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D2F735B8-B28A-42B7-B5FE-675AC20E7AED}" xr6:coauthVersionLast="47" xr6:coauthVersionMax="47" xr10:uidLastSave="{00000000-0000-0000-0000-000000000000}"/>
  <bookViews>
    <workbookView xWindow="28680" yWindow="-120" windowWidth="29040" windowHeight="15720" firstSheet="18" activeTab="28"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12"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5" i="88" l="1"/>
  <c r="AF47" i="70"/>
  <c r="AB46" i="70"/>
  <c r="AF46" i="70"/>
  <c r="K21" i="49"/>
  <c r="AH12" i="49"/>
  <c r="AA33" i="49" l="1"/>
  <c r="AB33" i="49"/>
  <c r="AC33" i="49"/>
  <c r="AD33" i="49"/>
  <c r="AE33" i="49"/>
  <c r="AM14" i="49"/>
  <c r="AL14" i="49"/>
  <c r="AK14" i="49"/>
  <c r="AJ14" i="49"/>
  <c r="AI14" i="49"/>
  <c r="AH14" i="49"/>
  <c r="AH13" i="49"/>
  <c r="AG13" i="49"/>
  <c r="E12" i="49"/>
  <c r="F12" i="49"/>
  <c r="G12" i="49"/>
  <c r="H12" i="49"/>
  <c r="I12" i="49"/>
  <c r="J12" i="49"/>
  <c r="K12" i="49"/>
  <c r="L12" i="49"/>
  <c r="M12" i="49"/>
  <c r="N12" i="49"/>
  <c r="O12" i="49"/>
  <c r="P12" i="49"/>
  <c r="Q12" i="49"/>
  <c r="R12" i="49"/>
  <c r="S12" i="49"/>
  <c r="T12" i="49"/>
  <c r="U12" i="49"/>
  <c r="V12" i="49"/>
  <c r="W12" i="49"/>
  <c r="X12" i="49"/>
  <c r="Y12" i="49"/>
  <c r="Z12" i="49"/>
  <c r="AA12" i="49"/>
  <c r="AB12" i="49"/>
  <c r="AC12" i="49"/>
  <c r="AD12" i="49"/>
  <c r="AE12" i="49"/>
  <c r="AF12" i="49"/>
  <c r="D12" i="49"/>
  <c r="AG12" i="49"/>
  <c r="AG14" i="49"/>
  <c r="AH11" i="30"/>
  <c r="AI11" i="30"/>
  <c r="AJ11" i="30"/>
  <c r="AK11" i="30"/>
  <c r="AL11" i="30"/>
  <c r="AM11" i="30"/>
  <c r="AN11" i="30"/>
  <c r="AG11" i="30"/>
  <c r="AF40" i="70"/>
  <c r="C4" i="35"/>
  <c r="C5" i="35"/>
  <c r="C7" i="35"/>
  <c r="D11" i="55" s="1"/>
  <c r="C8" i="35"/>
  <c r="C9" i="35"/>
  <c r="C12" i="35"/>
  <c r="C13" i="35"/>
  <c r="C14" i="35"/>
  <c r="C15" i="35"/>
  <c r="C16" i="35"/>
  <c r="D20" i="55" s="1"/>
  <c r="D88" i="55" s="1"/>
  <c r="C23" i="35"/>
  <c r="C24" i="35"/>
  <c r="C25" i="35"/>
  <c r="AS31" i="80"/>
  <c r="AR93" i="80"/>
  <c r="AR90" i="80"/>
  <c r="AR92" i="80"/>
  <c r="K4" i="35"/>
  <c r="K5" i="35"/>
  <c r="K7" i="35"/>
  <c r="K8" i="35"/>
  <c r="K9" i="35"/>
  <c r="K12" i="35"/>
  <c r="L16" i="55" s="1"/>
  <c r="K13" i="35"/>
  <c r="L17" i="55" s="1"/>
  <c r="K14" i="35"/>
  <c r="L18" i="55" s="1"/>
  <c r="K15" i="35"/>
  <c r="L19" i="55" s="1"/>
  <c r="K16" i="35"/>
  <c r="L20" i="55" s="1"/>
  <c r="K23" i="35"/>
  <c r="K24" i="35"/>
  <c r="K25" i="35"/>
  <c r="S16" i="20"/>
  <c r="T16" i="20"/>
  <c r="U16" i="20"/>
  <c r="V16" i="20"/>
  <c r="W16" i="20"/>
  <c r="X16" i="20"/>
  <c r="Y16" i="20"/>
  <c r="Z16" i="20"/>
  <c r="AA16" i="20"/>
  <c r="AB16" i="20"/>
  <c r="AC16" i="20"/>
  <c r="AD16" i="20"/>
  <c r="AE16" i="2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T10" i="29"/>
  <c r="T18" i="75" s="1"/>
  <c r="S10" i="29"/>
  <c r="S18" i="75" s="1"/>
  <c r="R10" i="29"/>
  <c r="Q10" i="29"/>
  <c r="O10" i="29"/>
  <c r="N10" i="29"/>
  <c r="M10" i="29"/>
  <c r="T9" i="29"/>
  <c r="S9" i="29"/>
  <c r="R9" i="29"/>
  <c r="Q9" i="29"/>
  <c r="P9" i="29"/>
  <c r="P10" i="29" s="1"/>
  <c r="O9" i="29"/>
  <c r="N9" i="29"/>
  <c r="M9" i="29"/>
  <c r="L9" i="29"/>
  <c r="L11" i="29" s="1"/>
  <c r="K9" i="29"/>
  <c r="K11" i="29" s="1"/>
  <c r="K18" i="75" s="1"/>
  <c r="J9" i="29"/>
  <c r="J11" i="29" s="1"/>
  <c r="J18" i="75" s="1"/>
  <c r="R17" i="40"/>
  <c r="R15" i="40"/>
  <c r="Q14" i="40"/>
  <c r="P14" i="40"/>
  <c r="P17" i="40" s="1"/>
  <c r="T13" i="40"/>
  <c r="S13" i="40"/>
  <c r="R13" i="40"/>
  <c r="R14" i="40" s="1"/>
  <c r="R16" i="40" s="1"/>
  <c r="Q13" i="40"/>
  <c r="P13" i="40"/>
  <c r="O13" i="40"/>
  <c r="N13" i="40"/>
  <c r="M13" i="40"/>
  <c r="L13" i="40"/>
  <c r="K13" i="40"/>
  <c r="J13" i="40"/>
  <c r="T12" i="40"/>
  <c r="S12" i="40"/>
  <c r="R12" i="40"/>
  <c r="Q12" i="40"/>
  <c r="P12" i="40"/>
  <c r="O12" i="40"/>
  <c r="N12" i="40"/>
  <c r="M12" i="40"/>
  <c r="M14" i="40" s="1"/>
  <c r="L12" i="40"/>
  <c r="K12" i="40"/>
  <c r="J12" i="40"/>
  <c r="T11" i="40"/>
  <c r="S11" i="40"/>
  <c r="R11" i="40"/>
  <c r="Q11" i="40"/>
  <c r="P11" i="40"/>
  <c r="O11" i="40"/>
  <c r="N11" i="40"/>
  <c r="M11" i="40"/>
  <c r="L11" i="40"/>
  <c r="K11" i="40"/>
  <c r="J11" i="40"/>
  <c r="L67" i="38"/>
  <c r="L69" i="38" s="1"/>
  <c r="L65" i="38"/>
  <c r="J65" i="38"/>
  <c r="L64" i="38"/>
  <c r="L66" i="38" s="1"/>
  <c r="N55" i="38"/>
  <c r="M55" i="38"/>
  <c r="L55" i="38"/>
  <c r="N48" i="38" s="1"/>
  <c r="P54" i="38"/>
  <c r="O54" i="38"/>
  <c r="N54" i="38"/>
  <c r="M54" i="38"/>
  <c r="L54" i="38"/>
  <c r="K54" i="38"/>
  <c r="K55" i="38" s="1"/>
  <c r="J54" i="38"/>
  <c r="P53" i="38"/>
  <c r="O53" i="38"/>
  <c r="O55" i="38" s="1"/>
  <c r="K67" i="38" s="1"/>
  <c r="N53" i="38"/>
  <c r="M53" i="38"/>
  <c r="I65" i="38" s="1"/>
  <c r="L53" i="38"/>
  <c r="K53" i="38"/>
  <c r="J53" i="38"/>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W106" i="75"/>
  <c r="V105" i="75"/>
  <c r="W105" i="75" s="1"/>
  <c r="U105" i="75"/>
  <c r="T105" i="75"/>
  <c r="U104" i="75" s="1"/>
  <c r="U106" i="75" s="1"/>
  <c r="S105" i="75"/>
  <c r="R105" i="75"/>
  <c r="Q105" i="75"/>
  <c r="P105" i="75"/>
  <c r="O105" i="75"/>
  <c r="N105" i="75"/>
  <c r="M105" i="75"/>
  <c r="L105" i="75"/>
  <c r="K105" i="75"/>
  <c r="J105" i="75"/>
  <c r="I105" i="75"/>
  <c r="H105" i="75"/>
  <c r="G105" i="75"/>
  <c r="F105" i="75"/>
  <c r="E105" i="75"/>
  <c r="D105" i="75"/>
  <c r="W104" i="75"/>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M87" i="75"/>
  <c r="L87" i="75"/>
  <c r="J87" i="75"/>
  <c r="V86" i="75"/>
  <c r="U86" i="75"/>
  <c r="T86" i="75"/>
  <c r="S86" i="75"/>
  <c r="R86" i="75"/>
  <c r="Q86" i="75"/>
  <c r="P86" i="75"/>
  <c r="O86" i="75"/>
  <c r="N86" i="75"/>
  <c r="M86" i="75"/>
  <c r="L86" i="75"/>
  <c r="K86" i="75"/>
  <c r="J86" i="75"/>
  <c r="I86" i="75"/>
  <c r="H86" i="75"/>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N36" i="75"/>
  <c r="M36" i="75"/>
  <c r="K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N22" i="75"/>
  <c r="K22" i="75"/>
  <c r="T21" i="75"/>
  <c r="S21" i="75"/>
  <c r="R21" i="75"/>
  <c r="Q21" i="75"/>
  <c r="P21" i="75"/>
  <c r="M21" i="75"/>
  <c r="L21" i="75"/>
  <c r="L38" i="75" s="1"/>
  <c r="K21" i="75"/>
  <c r="I21" i="75"/>
  <c r="H21" i="75"/>
  <c r="H38" i="75" s="1"/>
  <c r="G21" i="75"/>
  <c r="F21" i="75"/>
  <c r="E21" i="75"/>
  <c r="D21" i="75"/>
  <c r="AC18" i="75"/>
  <c r="AB18" i="75"/>
  <c r="AA18" i="75"/>
  <c r="Z18" i="75"/>
  <c r="Y18" i="75"/>
  <c r="X18" i="75"/>
  <c r="W18" i="75"/>
  <c r="V18" i="75"/>
  <c r="U18" i="75"/>
  <c r="P18" i="75"/>
  <c r="O18" i="75"/>
  <c r="N18" i="75"/>
  <c r="M18" i="75"/>
  <c r="L18" i="75"/>
  <c r="I18" i="75"/>
  <c r="H18" i="75"/>
  <c r="V15" i="75"/>
  <c r="T13" i="75"/>
  <c r="S13" i="75"/>
  <c r="R13" i="75"/>
  <c r="Q13" i="75"/>
  <c r="P13" i="75"/>
  <c r="O13" i="75"/>
  <c r="N13" i="75"/>
  <c r="M13" i="75"/>
  <c r="V12" i="75"/>
  <c r="U12" i="75"/>
  <c r="T12" i="75"/>
  <c r="S12" i="75"/>
  <c r="R12" i="75"/>
  <c r="E133" i="75" s="1"/>
  <c r="E137" i="75" s="1"/>
  <c r="Q12" i="75"/>
  <c r="P12" i="75"/>
  <c r="O12" i="75"/>
  <c r="N12" i="75"/>
  <c r="M12" i="75"/>
  <c r="L12" i="75"/>
  <c r="K12" i="75"/>
  <c r="J12" i="75"/>
  <c r="I12" i="75"/>
  <c r="H12" i="75"/>
  <c r="G12" i="75"/>
  <c r="F12" i="75"/>
  <c r="E12" i="75"/>
  <c r="D12" i="75"/>
  <c r="L155" i="88"/>
  <c r="AF137" i="88"/>
  <c r="AF127" i="88" s="1"/>
  <c r="AG127" i="88" s="1"/>
  <c r="AH127" i="88" s="1"/>
  <c r="AI127" i="88" s="1"/>
  <c r="AJ127" i="88" s="1"/>
  <c r="AK127" i="88" s="1"/>
  <c r="AL127" i="88" s="1"/>
  <c r="AM127" i="88" s="1"/>
  <c r="AN127" i="88" s="1"/>
  <c r="AE137" i="88"/>
  <c r="AE127" i="88" s="1"/>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R137" i="88"/>
  <c r="R127" i="88" s="1"/>
  <c r="Q137" i="88"/>
  <c r="Q127" i="88" s="1"/>
  <c r="P137" i="88"/>
  <c r="P127" i="88" s="1"/>
  <c r="O137" i="88"/>
  <c r="O127" i="88" s="1"/>
  <c r="N137" i="88"/>
  <c r="N127" i="88" s="1"/>
  <c r="I107" i="88" s="1"/>
  <c r="J107" i="88" s="1"/>
  <c r="K107" i="88" s="1"/>
  <c r="L107" i="88" s="1"/>
  <c r="M137" i="88"/>
  <c r="L137" i="88"/>
  <c r="L127" i="88" s="1"/>
  <c r="K137" i="88"/>
  <c r="K127" i="88" s="1"/>
  <c r="J137" i="88"/>
  <c r="I137" i="88"/>
  <c r="H137" i="88"/>
  <c r="H127" i="88" s="1"/>
  <c r="G137" i="88"/>
  <c r="F137" i="88"/>
  <c r="AF136"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J154" i="88" s="1"/>
  <c r="H136" i="88"/>
  <c r="G136" i="88"/>
  <c r="F136" i="88"/>
  <c r="G154" i="88" s="1"/>
  <c r="AF134"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F133"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F132"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F131" i="88"/>
  <c r="AF135" i="88" s="1"/>
  <c r="AE131" i="88"/>
  <c r="AD131" i="88"/>
  <c r="AD135" i="88" s="1"/>
  <c r="AC131" i="88"/>
  <c r="AC135" i="88" s="1"/>
  <c r="AB131" i="88"/>
  <c r="AB135" i="88" s="1"/>
  <c r="AA131" i="88"/>
  <c r="AA135" i="88" s="1"/>
  <c r="Z131" i="88"/>
  <c r="Y131" i="88"/>
  <c r="X131" i="88"/>
  <c r="X135" i="88" s="1"/>
  <c r="W131" i="88"/>
  <c r="W135" i="88" s="1"/>
  <c r="V131" i="88"/>
  <c r="U131" i="88"/>
  <c r="T131" i="88"/>
  <c r="T135" i="88" s="1"/>
  <c r="S131" i="88"/>
  <c r="S135" i="88" s="1"/>
  <c r="R131" i="88"/>
  <c r="R135" i="88" s="1"/>
  <c r="Q131" i="88"/>
  <c r="Q135" i="88" s="1"/>
  <c r="P131" i="88"/>
  <c r="P135" i="88" s="1"/>
  <c r="O131" i="88"/>
  <c r="N131" i="88"/>
  <c r="N135" i="88" s="1"/>
  <c r="M131" i="88"/>
  <c r="L131" i="88"/>
  <c r="K131" i="88"/>
  <c r="J131" i="88"/>
  <c r="J135" i="88" s="1"/>
  <c r="I131" i="88"/>
  <c r="H131" i="88"/>
  <c r="H135" i="88" s="1"/>
  <c r="G131" i="88"/>
  <c r="G135" i="88" s="1"/>
  <c r="F131" i="88"/>
  <c r="F135" i="88" s="1"/>
  <c r="I127" i="88"/>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M99" i="88"/>
  <c r="L99" i="88"/>
  <c r="K99" i="88"/>
  <c r="J99" i="88"/>
  <c r="I99" i="88"/>
  <c r="H99" i="88"/>
  <c r="G99" i="88"/>
  <c r="F99" i="88"/>
  <c r="E99" i="88"/>
  <c r="M97" i="88"/>
  <c r="L97" i="88"/>
  <c r="K97" i="88"/>
  <c r="J97" i="88"/>
  <c r="I97" i="88"/>
  <c r="H97" i="88"/>
  <c r="G97" i="88"/>
  <c r="F97" i="88"/>
  <c r="E97" i="88"/>
  <c r="M96" i="88"/>
  <c r="L96" i="88"/>
  <c r="K96" i="88"/>
  <c r="J96" i="88"/>
  <c r="I96" i="88"/>
  <c r="H96" i="88"/>
  <c r="G96" i="88"/>
  <c r="F96" i="88"/>
  <c r="E96" i="88"/>
  <c r="F84" i="88"/>
  <c r="E84" i="88"/>
  <c r="F82" i="88"/>
  <c r="E82" i="88"/>
  <c r="F81" i="88"/>
  <c r="E81" i="88"/>
  <c r="V71" i="88"/>
  <c r="U71" i="88"/>
  <c r="T71" i="88"/>
  <c r="S71" i="88"/>
  <c r="R71" i="88"/>
  <c r="Q71" i="88"/>
  <c r="P71" i="88"/>
  <c r="O71" i="88"/>
  <c r="N71" i="88"/>
  <c r="M71" i="88"/>
  <c r="L71" i="88"/>
  <c r="V69" i="88"/>
  <c r="U69" i="88"/>
  <c r="T69" i="88"/>
  <c r="S69" i="88"/>
  <c r="R69" i="88"/>
  <c r="Q69" i="88"/>
  <c r="P69" i="88"/>
  <c r="O69" i="88"/>
  <c r="N69" i="88"/>
  <c r="M69" i="88"/>
  <c r="L69" i="88"/>
  <c r="V67" i="88"/>
  <c r="U67" i="88"/>
  <c r="T67" i="88"/>
  <c r="S67" i="88"/>
  <c r="R67" i="88"/>
  <c r="Q67" i="88"/>
  <c r="P67" i="88"/>
  <c r="O67" i="88"/>
  <c r="N67" i="88"/>
  <c r="M67" i="88"/>
  <c r="L67"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98" i="88" s="1"/>
  <c r="E65" i="88"/>
  <c r="E83" i="88" s="1"/>
  <c r="V64" i="88"/>
  <c r="U64" i="88"/>
  <c r="T64" i="88"/>
  <c r="S64" i="88"/>
  <c r="R64" i="88"/>
  <c r="Q64" i="88"/>
  <c r="P64" i="88"/>
  <c r="O64" i="88"/>
  <c r="N64" i="88"/>
  <c r="M64" i="88"/>
  <c r="L64" i="88"/>
  <c r="V62" i="88"/>
  <c r="U62" i="88"/>
  <c r="T62" i="88"/>
  <c r="S62" i="88"/>
  <c r="R62" i="88"/>
  <c r="Q62" i="88"/>
  <c r="P62" i="88"/>
  <c r="O62" i="88"/>
  <c r="N62" i="88"/>
  <c r="M62" i="88"/>
  <c r="L62" i="88"/>
  <c r="K62" i="88"/>
  <c r="J62" i="88"/>
  <c r="I62" i="88"/>
  <c r="H62" i="88"/>
  <c r="AJ56" i="88"/>
  <c r="AI56" i="88"/>
  <c r="AH56" i="88"/>
  <c r="AJ53" i="88"/>
  <c r="AI53" i="88"/>
  <c r="AH53" i="88"/>
  <c r="AG53" i="88"/>
  <c r="AF53" i="88"/>
  <c r="AE53" i="88"/>
  <c r="AD53" i="88"/>
  <c r="AC53" i="88"/>
  <c r="AB53" i="88"/>
  <c r="AA53" i="88"/>
  <c r="Z53" i="88"/>
  <c r="Y53" i="88"/>
  <c r="L45" i="88"/>
  <c r="AE30" i="88"/>
  <c r="AD30" i="88"/>
  <c r="AC30" i="88"/>
  <c r="AB30" i="88"/>
  <c r="AB142" i="88" s="1"/>
  <c r="AA30" i="88"/>
  <c r="Z30" i="88"/>
  <c r="Y30" i="88"/>
  <c r="Y142" i="88" s="1"/>
  <c r="X30" i="88"/>
  <c r="W30" i="88"/>
  <c r="V30" i="88"/>
  <c r="U30" i="88"/>
  <c r="T30" i="88"/>
  <c r="S30" i="88"/>
  <c r="R30" i="88"/>
  <c r="Q30" i="88"/>
  <c r="P30" i="88"/>
  <c r="O30" i="88"/>
  <c r="N30" i="88"/>
  <c r="M30" i="88"/>
  <c r="L30" i="88"/>
  <c r="L142" i="88" s="1"/>
  <c r="K30" i="88"/>
  <c r="J30" i="88"/>
  <c r="I30" i="88"/>
  <c r="I142" i="88" s="1"/>
  <c r="H30" i="88"/>
  <c r="G30" i="88"/>
  <c r="F30" i="88"/>
  <c r="AF29" i="88"/>
  <c r="AE29" i="88"/>
  <c r="AD29" i="88"/>
  <c r="AC29" i="88"/>
  <c r="AB29" i="88"/>
  <c r="AA29" i="88"/>
  <c r="Z29" i="88"/>
  <c r="Y29" i="88"/>
  <c r="X29" i="88"/>
  <c r="W29" i="88"/>
  <c r="W141" i="88" s="1"/>
  <c r="V29" i="88"/>
  <c r="U29" i="88"/>
  <c r="T29" i="88"/>
  <c r="S29" i="88"/>
  <c r="R29" i="88"/>
  <c r="Q29" i="88"/>
  <c r="P29" i="88"/>
  <c r="O29" i="88"/>
  <c r="N29" i="88"/>
  <c r="M29" i="88"/>
  <c r="L29" i="88"/>
  <c r="K29" i="88"/>
  <c r="J29" i="88"/>
  <c r="I29" i="88"/>
  <c r="H29" i="88"/>
  <c r="G29" i="88"/>
  <c r="G141" i="88" s="1"/>
  <c r="F29" i="88"/>
  <c r="AF28" i="88"/>
  <c r="AE28" i="88"/>
  <c r="AD28" i="88"/>
  <c r="AC28" i="88"/>
  <c r="AB28" i="88"/>
  <c r="AA28" i="88"/>
  <c r="Z28" i="88"/>
  <c r="Y28" i="88"/>
  <c r="X28" i="88"/>
  <c r="W28" i="88"/>
  <c r="V28" i="88"/>
  <c r="U28" i="88"/>
  <c r="T28" i="88"/>
  <c r="S28" i="88"/>
  <c r="R28" i="88"/>
  <c r="Q28" i="88"/>
  <c r="Q140" i="88" s="1"/>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F26" i="88"/>
  <c r="AE26" i="88"/>
  <c r="AD26" i="88"/>
  <c r="AC26" i="88"/>
  <c r="AB26" i="88"/>
  <c r="AA26" i="88"/>
  <c r="Z26" i="88"/>
  <c r="Y26" i="88"/>
  <c r="X26" i="88"/>
  <c r="W26" i="88"/>
  <c r="V26" i="88"/>
  <c r="U26" i="88"/>
  <c r="T26" i="88"/>
  <c r="S26" i="88"/>
  <c r="R26" i="88"/>
  <c r="Q26" i="88"/>
  <c r="P26" i="88"/>
  <c r="O26" i="88"/>
  <c r="N26" i="88"/>
  <c r="M26" i="88"/>
  <c r="L26" i="88"/>
  <c r="K26" i="88"/>
  <c r="J26" i="88"/>
  <c r="I26" i="88"/>
  <c r="H26" i="88"/>
  <c r="G26" i="88"/>
  <c r="F26" i="88"/>
  <c r="AE19"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F17" i="88"/>
  <c r="AE17" i="88"/>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F16" i="88"/>
  <c r="AG16" i="88" s="1"/>
  <c r="AH16" i="88" s="1"/>
  <c r="AI16" i="88" s="1"/>
  <c r="AJ16" i="88" s="1"/>
  <c r="AK16" i="88" s="1"/>
  <c r="AL16" i="88" s="1"/>
  <c r="AM16" i="88" s="1"/>
  <c r="AN16" i="88" s="1"/>
  <c r="AE16" i="88"/>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F13" i="88"/>
  <c r="AG13" i="88" s="1"/>
  <c r="AE13" i="88"/>
  <c r="AD13" i="88"/>
  <c r="AC13" i="88"/>
  <c r="AB13" i="88"/>
  <c r="AA13" i="88"/>
  <c r="Z13" i="88"/>
  <c r="Y13" i="88"/>
  <c r="X13" i="88"/>
  <c r="W13" i="88"/>
  <c r="V13" i="88"/>
  <c r="U13" i="88"/>
  <c r="T13" i="88"/>
  <c r="S13" i="88"/>
  <c r="R13" i="88"/>
  <c r="R125" i="88" s="1"/>
  <c r="Q13" i="88"/>
  <c r="P13" i="88"/>
  <c r="O13" i="88"/>
  <c r="N13" i="88"/>
  <c r="M13" i="88"/>
  <c r="L13" i="88"/>
  <c r="K13" i="88"/>
  <c r="J13" i="88"/>
  <c r="I13" i="88"/>
  <c r="H13" i="88"/>
  <c r="G13" i="88"/>
  <c r="F13" i="88"/>
  <c r="AF10"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Y73" i="59"/>
  <c r="X73" i="59"/>
  <c r="AD72" i="59"/>
  <c r="AC72" i="59"/>
  <c r="AD71" i="59" s="1"/>
  <c r="AD73" i="59" s="1"/>
  <c r="AB72" i="59"/>
  <c r="AA72" i="59"/>
  <c r="Z72" i="59"/>
  <c r="Y72" i="59"/>
  <c r="Z71" i="59" s="1"/>
  <c r="Z73" i="59" s="1"/>
  <c r="X72" i="59"/>
  <c r="Y71" i="59" s="1"/>
  <c r="W72" i="59"/>
  <c r="V72" i="59"/>
  <c r="U72" i="59"/>
  <c r="V71" i="59" s="1"/>
  <c r="V73" i="59" s="1"/>
  <c r="T72" i="59"/>
  <c r="U71" i="59" s="1"/>
  <c r="U73" i="59" s="1"/>
  <c r="S72" i="59"/>
  <c r="R72" i="59"/>
  <c r="Q72" i="59"/>
  <c r="P72" i="59"/>
  <c r="O72" i="59"/>
  <c r="N72" i="59"/>
  <c r="M72" i="59"/>
  <c r="L72" i="59"/>
  <c r="K72" i="59"/>
  <c r="J72" i="59"/>
  <c r="I72" i="59"/>
  <c r="H72" i="59"/>
  <c r="G72" i="59"/>
  <c r="F72" i="59"/>
  <c r="E72" i="59"/>
  <c r="D72" i="59"/>
  <c r="AB71" i="59"/>
  <c r="AB73" i="59" s="1"/>
  <c r="AA71" i="59"/>
  <c r="AA73" i="59" s="1"/>
  <c r="X71" i="59"/>
  <c r="W71" i="59"/>
  <c r="W73" i="59" s="1"/>
  <c r="G66" i="59"/>
  <c r="F66" i="59"/>
  <c r="E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X54" i="59"/>
  <c r="U54" i="59"/>
  <c r="T54" i="59"/>
  <c r="S54" i="59"/>
  <c r="R54" i="59"/>
  <c r="Q54" i="59"/>
  <c r="P54" i="59"/>
  <c r="N54" i="59"/>
  <c r="J54" i="59"/>
  <c r="AD52" i="59"/>
  <c r="AC52" i="59"/>
  <c r="AB52" i="59"/>
  <c r="AA52" i="59"/>
  <c r="AA54" i="59" s="1"/>
  <c r="Z52" i="59"/>
  <c r="Z54" i="59" s="1"/>
  <c r="Y52" i="59"/>
  <c r="Y54" i="59" s="1"/>
  <c r="X52" i="59"/>
  <c r="W52" i="59"/>
  <c r="V52" i="59"/>
  <c r="U52" i="59"/>
  <c r="T52" i="59"/>
  <c r="S52" i="59"/>
  <c r="Q56" i="59" s="1"/>
  <c r="R52" i="59"/>
  <c r="Q52" i="59"/>
  <c r="P52" i="59"/>
  <c r="O52" i="59"/>
  <c r="O54" i="59" s="1"/>
  <c r="N52" i="59"/>
  <c r="M52" i="59"/>
  <c r="L52" i="59"/>
  <c r="K52" i="59"/>
  <c r="K54" i="59" s="1"/>
  <c r="J52" i="59"/>
  <c r="I52" i="59"/>
  <c r="H52" i="59"/>
  <c r="G52" i="59"/>
  <c r="F52" i="59"/>
  <c r="E52" i="59"/>
  <c r="D52" i="59"/>
  <c r="S51" i="59"/>
  <c r="S26" i="59" s="1"/>
  <c r="R51" i="59"/>
  <c r="R26" i="59" s="1"/>
  <c r="P51" i="59"/>
  <c r="P26"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Q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H66" i="59" s="1"/>
  <c r="G26" i="59"/>
  <c r="F26" i="59"/>
  <c r="E26" i="59"/>
  <c r="D26" i="59"/>
  <c r="AF25" i="59"/>
  <c r="AF30" i="59" s="1"/>
  <c r="X25" i="59"/>
  <c r="S25" i="59"/>
  <c r="R25" i="59"/>
  <c r="R30" i="59" s="1"/>
  <c r="Q25" i="59"/>
  <c r="P25" i="59"/>
  <c r="AC24" i="59"/>
  <c r="AA24" i="59"/>
  <c r="Z24" i="59"/>
  <c r="Y24" i="59"/>
  <c r="X24" i="59"/>
  <c r="T21" i="59"/>
  <c r="S21" i="59"/>
  <c r="R21" i="59"/>
  <c r="Q21" i="59"/>
  <c r="P21" i="59"/>
  <c r="O21" i="59"/>
  <c r="M21" i="59"/>
  <c r="L21" i="59"/>
  <c r="K21" i="59"/>
  <c r="K30" i="59" s="1"/>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N18" i="59"/>
  <c r="M18" i="59"/>
  <c r="L18" i="59"/>
  <c r="K18" i="59"/>
  <c r="J18" i="59"/>
  <c r="I18" i="59"/>
  <c r="H18" i="59"/>
  <c r="W17" i="59"/>
  <c r="O17" i="59"/>
  <c r="I17" i="59"/>
  <c r="G17" i="59"/>
  <c r="AD16" i="59"/>
  <c r="AC16" i="59"/>
  <c r="AB16" i="59"/>
  <c r="AA16" i="59"/>
  <c r="Z16" i="59"/>
  <c r="W15" i="59"/>
  <c r="V15" i="59"/>
  <c r="V13" i="59"/>
  <c r="U13" i="59"/>
  <c r="T13" i="59"/>
  <c r="AD12" i="59"/>
  <c r="AD13" i="59" s="1"/>
  <c r="AC12" i="59"/>
  <c r="AB12" i="59"/>
  <c r="AB13" i="59" s="1"/>
  <c r="AA12" i="59"/>
  <c r="Z12" i="59"/>
  <c r="Z13" i="59" s="1"/>
  <c r="Y12" i="59"/>
  <c r="Y13" i="59" s="1"/>
  <c r="X12" i="59"/>
  <c r="W12" i="59"/>
  <c r="X13" i="59" s="1"/>
  <c r="V12" i="59"/>
  <c r="W13" i="59" s="1"/>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O72" i="83"/>
  <c r="N72" i="83"/>
  <c r="M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T70" i="83"/>
  <c r="T72" i="83" s="1"/>
  <c r="S70" i="83"/>
  <c r="S72" i="83" s="1"/>
  <c r="R70" i="83"/>
  <c r="R72" i="83" s="1"/>
  <c r="Q70" i="83"/>
  <c r="Q72" i="83" s="1"/>
  <c r="P70" i="83"/>
  <c r="P72" i="83" s="1"/>
  <c r="O70" i="83"/>
  <c r="N70" i="83"/>
  <c r="M70" i="83"/>
  <c r="L70" i="83"/>
  <c r="K70" i="83"/>
  <c r="J70" i="83"/>
  <c r="I70" i="83"/>
  <c r="I72" i="83" s="1"/>
  <c r="H70" i="83"/>
  <c r="G70" i="83"/>
  <c r="G72" i="83" s="1"/>
  <c r="F70" i="83"/>
  <c r="E70" i="83"/>
  <c r="D70" i="83"/>
  <c r="E72" i="83" s="1"/>
  <c r="AD69" i="83"/>
  <c r="AD71" i="83" s="1"/>
  <c r="AD70" i="83" s="1"/>
  <c r="AC69" i="83"/>
  <c r="AC71" i="83" s="1"/>
  <c r="V69" i="83"/>
  <c r="V71"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K50" i="83" s="1"/>
  <c r="K26" i="83" s="1"/>
  <c r="J51" i="83"/>
  <c r="J50" i="83" s="1"/>
  <c r="J26" i="83" s="1"/>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R38" i="83" s="1"/>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M38" i="83" s="1"/>
  <c r="M40" i="83" s="1"/>
  <c r="L36" i="83"/>
  <c r="L38" i="83" s="1"/>
  <c r="L40" i="83" s="1"/>
  <c r="K36" i="83"/>
  <c r="K38" i="83" s="1"/>
  <c r="J36" i="83"/>
  <c r="J38" i="83" s="1"/>
  <c r="J40" i="83" s="1"/>
  <c r="I36" i="83"/>
  <c r="I38" i="83" s="1"/>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L30" i="83"/>
  <c r="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P30" i="83" s="1"/>
  <c r="O25" i="83"/>
  <c r="O30" i="83" s="1"/>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I21" i="83"/>
  <c r="I30" i="83" s="1"/>
  <c r="H21" i="83"/>
  <c r="H30" i="83" s="1"/>
  <c r="G21" i="83"/>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D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B14" i="83" s="1"/>
  <c r="AB63" i="83" s="1"/>
  <c r="AA16" i="83"/>
  <c r="Z16" i="83"/>
  <c r="Z14" i="83" s="1"/>
  <c r="Z63" i="83" s="1"/>
  <c r="Y16" i="83"/>
  <c r="Y14" i="83" s="1"/>
  <c r="Y63" i="83" s="1"/>
  <c r="X16" i="83"/>
  <c r="W16" i="83"/>
  <c r="W14" i="83" s="1"/>
  <c r="V16" i="83"/>
  <c r="AC15" i="83"/>
  <c r="AB15" i="83"/>
  <c r="AA15" i="83"/>
  <c r="AA14" i="83" s="1"/>
  <c r="AA63" i="83" s="1"/>
  <c r="Z15" i="83"/>
  <c r="Y15" i="83"/>
  <c r="X15" i="83"/>
  <c r="X14" i="83" s="1"/>
  <c r="X63" i="83" s="1"/>
  <c r="W15" i="83"/>
  <c r="V15" i="83"/>
  <c r="AN14" i="83"/>
  <c r="AM14" i="83"/>
  <c r="AL14" i="83"/>
  <c r="AK14" i="83"/>
  <c r="AJ14" i="83"/>
  <c r="AI14" i="83"/>
  <c r="AH14" i="83"/>
  <c r="AG14" i="83"/>
  <c r="AF14" i="83"/>
  <c r="AE14" i="83"/>
  <c r="AD14" i="83"/>
  <c r="U14" i="83"/>
  <c r="T14" i="83"/>
  <c r="S14" i="83"/>
  <c r="R14" i="83"/>
  <c r="Q14" i="83"/>
  <c r="P14" i="83"/>
  <c r="O14" i="83"/>
  <c r="N14" i="83"/>
  <c r="M14" i="83"/>
  <c r="L14" i="83"/>
  <c r="K14" i="83"/>
  <c r="K63" i="83" s="1"/>
  <c r="J14" i="83"/>
  <c r="J63" i="83" s="1"/>
  <c r="I14" i="83"/>
  <c r="H14" i="83"/>
  <c r="H63" i="83" s="1"/>
  <c r="G14" i="83"/>
  <c r="G63" i="83" s="1"/>
  <c r="F14" i="83"/>
  <c r="E14" i="83"/>
  <c r="D14" i="83"/>
  <c r="D63" i="83" s="1"/>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Z69" i="82"/>
  <c r="Z67" i="82" s="1"/>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P28" i="82"/>
  <c r="O28" i="82"/>
  <c r="N28" i="82"/>
  <c r="M28" i="82"/>
  <c r="L28" i="82"/>
  <c r="K28" i="82"/>
  <c r="J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R23" i="82"/>
  <c r="Q23" i="82"/>
  <c r="P23" i="82"/>
  <c r="M23" i="82"/>
  <c r="L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J22" i="82"/>
  <c r="I22" i="82"/>
  <c r="H22" i="82"/>
  <c r="G22" i="82"/>
  <c r="F22" i="82"/>
  <c r="E22" i="82"/>
  <c r="D22" i="82"/>
  <c r="W21" i="82"/>
  <c r="V21" i="82"/>
  <c r="U21" i="82"/>
  <c r="T21" i="82"/>
  <c r="S21" i="82"/>
  <c r="R21" i="82"/>
  <c r="P21" i="82"/>
  <c r="O21" i="82"/>
  <c r="N21" i="82"/>
  <c r="M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T20" i="82"/>
  <c r="S20" i="82"/>
  <c r="R20" i="82"/>
  <c r="P20" i="82"/>
  <c r="O20" i="82"/>
  <c r="N20" i="82"/>
  <c r="M20" i="82"/>
  <c r="L20" i="82"/>
  <c r="K20" i="82"/>
  <c r="J20" i="82"/>
  <c r="I20" i="82"/>
  <c r="H20" i="82"/>
  <c r="G20" i="82"/>
  <c r="F20" i="82"/>
  <c r="E20" i="82"/>
  <c r="D20" i="82"/>
  <c r="AD19" i="82"/>
  <c r="E7" i="84" s="1"/>
  <c r="AC19" i="82"/>
  <c r="Z19" i="82"/>
  <c r="Y19" i="82"/>
  <c r="AC18" i="82"/>
  <c r="AB18" i="82"/>
  <c r="AA18" i="82"/>
  <c r="Z18" i="82"/>
  <c r="Y18" i="82"/>
  <c r="X18" i="82"/>
  <c r="W18" i="82"/>
  <c r="S18" i="82"/>
  <c r="R18" i="82"/>
  <c r="K18" i="82"/>
  <c r="I18" i="82"/>
  <c r="H18" i="82"/>
  <c r="G18" i="82"/>
  <c r="AF17" i="82"/>
  <c r="AE17" i="82"/>
  <c r="AD17" i="82"/>
  <c r="AC17" i="82"/>
  <c r="AB17" i="82"/>
  <c r="AA17" i="82"/>
  <c r="Z17" i="82"/>
  <c r="W16" i="82"/>
  <c r="V16" i="82"/>
  <c r="AF12" i="82"/>
  <c r="AE12" i="82"/>
  <c r="F3" i="84" s="1"/>
  <c r="AD12" i="82"/>
  <c r="AD14" i="82" s="1"/>
  <c r="AC12" i="82"/>
  <c r="AB12" i="82"/>
  <c r="AC14" i="82" s="1"/>
  <c r="AA12" i="82"/>
  <c r="AA13" i="82" s="1"/>
  <c r="Z12" i="82"/>
  <c r="Y12" i="82"/>
  <c r="Y13"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W12" i="67"/>
  <c r="K24" i="33"/>
  <c r="J24" i="33"/>
  <c r="I24" i="33"/>
  <c r="I26" i="33" s="1"/>
  <c r="H24" i="33"/>
  <c r="H26" i="33" s="1"/>
  <c r="G24" i="33"/>
  <c r="F24" i="33"/>
  <c r="E24" i="33"/>
  <c r="J23" i="33"/>
  <c r="AC14" i="33"/>
  <c r="AA14" i="33"/>
  <c r="Z14" i="33"/>
  <c r="Y14" i="33"/>
  <c r="X14" i="33"/>
  <c r="W14" i="33"/>
  <c r="V14" i="33"/>
  <c r="U14" i="33"/>
  <c r="T14" i="33"/>
  <c r="K14" i="33"/>
  <c r="J14" i="33"/>
  <c r="I14" i="33"/>
  <c r="H14" i="33"/>
  <c r="G14" i="33"/>
  <c r="F14"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AE10" i="33"/>
  <c r="AD10" i="33"/>
  <c r="AC10" i="33"/>
  <c r="AB10" i="33"/>
  <c r="AA10" i="33"/>
  <c r="Z10" i="33"/>
  <c r="H22" i="33" s="1"/>
  <c r="Y10" i="33"/>
  <c r="X10" i="33"/>
  <c r="W10" i="33"/>
  <c r="W17" i="75" s="1"/>
  <c r="V10" i="33"/>
  <c r="U10" i="33"/>
  <c r="T10" i="33"/>
  <c r="S10" i="33"/>
  <c r="S17" i="75" s="1"/>
  <c r="R10" i="33"/>
  <c r="Q10" i="33"/>
  <c r="P10" i="33"/>
  <c r="O10" i="33"/>
  <c r="N10" i="33"/>
  <c r="M10" i="33"/>
  <c r="L10" i="33"/>
  <c r="K10" i="33"/>
  <c r="J10" i="33"/>
  <c r="J18" i="82" s="1"/>
  <c r="I10" i="33"/>
  <c r="I17" i="75" s="1"/>
  <c r="H10" i="33"/>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30"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X11" i="49"/>
  <c r="W11" i="49"/>
  <c r="V11" i="49"/>
  <c r="U11" i="49"/>
  <c r="T11" i="49"/>
  <c r="S11" i="49"/>
  <c r="R11" i="49"/>
  <c r="Q11" i="49"/>
  <c r="P11" i="49"/>
  <c r="O11" i="49"/>
  <c r="N11" i="49"/>
  <c r="M11" i="49"/>
  <c r="L11" i="49"/>
  <c r="K11" i="49"/>
  <c r="J11" i="49"/>
  <c r="I11" i="49"/>
  <c r="H11" i="49"/>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J10" i="49"/>
  <c r="I10" i="49"/>
  <c r="H10" i="49"/>
  <c r="G10" i="49"/>
  <c r="F10" i="49"/>
  <c r="E10" i="49"/>
  <c r="D10" i="49"/>
  <c r="AD82" i="30"/>
  <c r="AD80" i="30"/>
  <c r="AD73" i="30"/>
  <c r="AD72" i="30"/>
  <c r="AD71" i="30"/>
  <c r="AD70" i="30"/>
  <c r="AD69" i="30"/>
  <c r="AD68" i="30"/>
  <c r="AD67" i="30"/>
  <c r="AD66" i="30"/>
  <c r="AD57" i="30"/>
  <c r="AD56" i="30"/>
  <c r="AD54" i="30"/>
  <c r="AF47" i="30"/>
  <c r="C6" i="35" s="1"/>
  <c r="D10" i="55" s="1"/>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T19" i="30"/>
  <c r="S19" i="30"/>
  <c r="R19" i="30"/>
  <c r="Q19" i="30"/>
  <c r="P19" i="30"/>
  <c r="O19" i="30"/>
  <c r="N19" i="30"/>
  <c r="M19" i="30"/>
  <c r="O31" i="30" s="1"/>
  <c r="O30" i="30" s="1"/>
  <c r="L19" i="30"/>
  <c r="L16" i="30" s="1"/>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J16" i="30" s="1"/>
  <c r="I18" i="30"/>
  <c r="H18" i="30"/>
  <c r="H14" i="30" s="1"/>
  <c r="AF17" i="30"/>
  <c r="AF16" i="30" s="1"/>
  <c r="AE17" i="30"/>
  <c r="AD17" i="30"/>
  <c r="AC17" i="30"/>
  <c r="AB17" i="30"/>
  <c r="AA17" i="30"/>
  <c r="Z17" i="30"/>
  <c r="Y17" i="30"/>
  <c r="X17" i="30"/>
  <c r="W17" i="30"/>
  <c r="V17" i="30"/>
  <c r="U17" i="30"/>
  <c r="T17" i="30"/>
  <c r="S17" i="30"/>
  <c r="R17" i="30"/>
  <c r="Q17" i="30"/>
  <c r="P17" i="30"/>
  <c r="O17" i="30"/>
  <c r="N17" i="30"/>
  <c r="M17" i="30"/>
  <c r="L17" i="30"/>
  <c r="K17" i="30"/>
  <c r="J17" i="30"/>
  <c r="I17" i="30"/>
  <c r="I16" i="30" s="1"/>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H12" i="30" s="1"/>
  <c r="H25" i="91"/>
  <c r="G25" i="91"/>
  <c r="F25" i="91"/>
  <c r="G20" i="91"/>
  <c r="F20" i="91"/>
  <c r="F21" i="91" s="1"/>
  <c r="F22" i="91" s="1"/>
  <c r="E20" i="91"/>
  <c r="H19" i="91"/>
  <c r="G19" i="91"/>
  <c r="F19" i="91"/>
  <c r="E19" i="91"/>
  <c r="D19" i="91"/>
  <c r="H13" i="91"/>
  <c r="H16" i="91" s="1"/>
  <c r="G13" i="91"/>
  <c r="G16" i="91" s="1"/>
  <c r="F13" i="91"/>
  <c r="F16" i="91" s="1"/>
  <c r="E13" i="91"/>
  <c r="D13" i="91"/>
  <c r="L58" i="20"/>
  <c r="K58" i="20"/>
  <c r="AE49"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S46" i="20"/>
  <c r="AC45" i="20"/>
  <c r="AC46" i="20" s="1"/>
  <c r="AB45" i="20"/>
  <c r="AB46" i="20" s="1"/>
  <c r="AA45" i="20"/>
  <c r="Z45" i="20"/>
  <c r="Y45" i="20"/>
  <c r="X45" i="20"/>
  <c r="W45" i="20"/>
  <c r="V45" i="20"/>
  <c r="U45" i="20"/>
  <c r="T45" i="20"/>
  <c r="S45" i="20"/>
  <c r="R45" i="20"/>
  <c r="Q45" i="20"/>
  <c r="P45" i="20"/>
  <c r="P46" i="20" s="1"/>
  <c r="O45" i="20"/>
  <c r="N45" i="20"/>
  <c r="N46" i="20" s="1"/>
  <c r="M45" i="20"/>
  <c r="M46" i="20" s="1"/>
  <c r="L45" i="20"/>
  <c r="L46" i="20" s="1"/>
  <c r="K45" i="20"/>
  <c r="K46" i="20" s="1"/>
  <c r="J45" i="20"/>
  <c r="I45" i="20"/>
  <c r="H45" i="20"/>
  <c r="G45" i="20"/>
  <c r="F45" i="20"/>
  <c r="E45" i="20"/>
  <c r="D45" i="20"/>
  <c r="AC44" i="20"/>
  <c r="AB44" i="20"/>
  <c r="AA44" i="20"/>
  <c r="AA46" i="20" s="1"/>
  <c r="Z44" i="20"/>
  <c r="Y44" i="20"/>
  <c r="Y46" i="20" s="1"/>
  <c r="X44" i="20"/>
  <c r="X46" i="20" s="1"/>
  <c r="W44" i="20"/>
  <c r="W46" i="20" s="1"/>
  <c r="V44" i="20"/>
  <c r="V46" i="20" s="1"/>
  <c r="U44" i="20"/>
  <c r="T44" i="20"/>
  <c r="T46" i="20" s="1"/>
  <c r="S44" i="20"/>
  <c r="R44" i="20"/>
  <c r="Q44" i="20"/>
  <c r="Q46" i="20" s="1"/>
  <c r="P44" i="20"/>
  <c r="O44" i="20"/>
  <c r="N44" i="20"/>
  <c r="M44" i="20"/>
  <c r="L44" i="20"/>
  <c r="K44" i="20"/>
  <c r="J44" i="20"/>
  <c r="I44" i="20"/>
  <c r="I46" i="20" s="1"/>
  <c r="H44" i="20"/>
  <c r="H46" i="20" s="1"/>
  <c r="G44" i="20"/>
  <c r="G46" i="20" s="1"/>
  <c r="F44" i="20"/>
  <c r="F46" i="20" s="1"/>
  <c r="E44" i="20"/>
  <c r="D44" i="20"/>
  <c r="D46" i="20" s="1"/>
  <c r="BC40" i="20"/>
  <c r="BB40" i="20"/>
  <c r="BA40" i="20"/>
  <c r="AZ40" i="20"/>
  <c r="AY40" i="20"/>
  <c r="AX40" i="20"/>
  <c r="AW40" i="20"/>
  <c r="AV40" i="20"/>
  <c r="AU40" i="20"/>
  <c r="AT40" i="20"/>
  <c r="AS40" i="20"/>
  <c r="AR40" i="20"/>
  <c r="Y85" i="80" s="1"/>
  <c r="AQ40" i="20"/>
  <c r="X85" i="80" s="1"/>
  <c r="AP40" i="20"/>
  <c r="W85" i="80" s="1"/>
  <c r="AO40" i="20"/>
  <c r="V85" i="80" s="1"/>
  <c r="AN40" i="20"/>
  <c r="U85" i="80" s="1"/>
  <c r="AM40" i="20"/>
  <c r="AL40" i="20"/>
  <c r="AK40" i="20"/>
  <c r="R85" i="80" s="1"/>
  <c r="AJ40" i="20"/>
  <c r="Q85" i="80" s="1"/>
  <c r="AI40" i="20"/>
  <c r="P85" i="80" s="1"/>
  <c r="AH40" i="20"/>
  <c r="O85" i="80" s="1"/>
  <c r="AG40" i="20"/>
  <c r="AF40" i="20"/>
  <c r="AE40" i="20"/>
  <c r="L85" i="80" s="1"/>
  <c r="AD40" i="20"/>
  <c r="K85" i="80" s="1"/>
  <c r="AC40" i="20"/>
  <c r="J85" i="80" s="1"/>
  <c r="AB40" i="20"/>
  <c r="I85" i="80" s="1"/>
  <c r="AA40" i="20"/>
  <c r="H85" i="80" s="1"/>
  <c r="Z40" i="20"/>
  <c r="G85" i="80" s="1"/>
  <c r="Y40" i="20"/>
  <c r="F85" i="80" s="1"/>
  <c r="X40" i="20"/>
  <c r="E85" i="80" s="1"/>
  <c r="W40" i="20"/>
  <c r="V40" i="20"/>
  <c r="U40" i="20"/>
  <c r="T40" i="20"/>
  <c r="S40" i="20"/>
  <c r="R40" i="20"/>
  <c r="Q40" i="20"/>
  <c r="P40" i="20"/>
  <c r="O40" i="20"/>
  <c r="N40" i="20"/>
  <c r="M40" i="20"/>
  <c r="L40" i="20"/>
  <c r="K40" i="20"/>
  <c r="J40" i="20"/>
  <c r="I40" i="20"/>
  <c r="H40" i="20"/>
  <c r="G40" i="20"/>
  <c r="F40" i="20"/>
  <c r="E40" i="20"/>
  <c r="D40" i="20"/>
  <c r="AB32" i="20"/>
  <c r="AA32" i="20"/>
  <c r="X32" i="20"/>
  <c r="W32" i="20"/>
  <c r="V32" i="20"/>
  <c r="U32" i="20"/>
  <c r="T32" i="20"/>
  <c r="J32" i="20"/>
  <c r="I32" i="20"/>
  <c r="H32" i="20"/>
  <c r="AN31" i="20"/>
  <c r="AM31" i="20"/>
  <c r="AL31" i="20"/>
  <c r="AK31" i="20"/>
  <c r="AJ31" i="20"/>
  <c r="AI31" i="20"/>
  <c r="AH31" i="20"/>
  <c r="AG31" i="20"/>
  <c r="Y31" i="20"/>
  <c r="X31" i="20"/>
  <c r="W31" i="20"/>
  <c r="V31" i="20"/>
  <c r="U31" i="20"/>
  <c r="AF28" i="20"/>
  <c r="AE28" i="20"/>
  <c r="AD28" i="20"/>
  <c r="AC28" i="20"/>
  <c r="AB28" i="20"/>
  <c r="AA28" i="20"/>
  <c r="Z28" i="20"/>
  <c r="Z32" i="20" s="1"/>
  <c r="Y28" i="20"/>
  <c r="Y32" i="20" s="1"/>
  <c r="X28" i="20"/>
  <c r="W28" i="20"/>
  <c r="V28" i="20"/>
  <c r="U28" i="20"/>
  <c r="T28" i="20"/>
  <c r="S28" i="20"/>
  <c r="R28" i="20"/>
  <c r="R32" i="20" s="1"/>
  <c r="Q28" i="20"/>
  <c r="P28" i="20"/>
  <c r="O28" i="20"/>
  <c r="N28" i="20"/>
  <c r="M28" i="20"/>
  <c r="L28" i="20"/>
  <c r="K28" i="20"/>
  <c r="J28" i="20"/>
  <c r="I28" i="20"/>
  <c r="H28" i="20"/>
  <c r="X13" i="20"/>
  <c r="AF12" i="20"/>
  <c r="AE12" i="20"/>
  <c r="AD12" i="20"/>
  <c r="AC12" i="20"/>
  <c r="AB12" i="20"/>
  <c r="AA12" i="20"/>
  <c r="AA13" i="20" s="1"/>
  <c r="Z12" i="20"/>
  <c r="Z13" i="20" s="1"/>
  <c r="Y12" i="20"/>
  <c r="X12" i="20"/>
  <c r="W12" i="20"/>
  <c r="V12" i="20"/>
  <c r="U12" i="20"/>
  <c r="T12" i="20"/>
  <c r="S12" i="20"/>
  <c r="R12" i="20"/>
  <c r="Q12" i="20"/>
  <c r="P12" i="20"/>
  <c r="O12" i="20"/>
  <c r="N12" i="20"/>
  <c r="M12" i="20"/>
  <c r="L12" i="20"/>
  <c r="K12" i="20"/>
  <c r="J12" i="20"/>
  <c r="I12" i="20"/>
  <c r="H12" i="20"/>
  <c r="AD95" i="26"/>
  <c r="AC95" i="26"/>
  <c r="AC94" i="26" s="1"/>
  <c r="AC58" i="20" s="1"/>
  <c r="AB95" i="26"/>
  <c r="AA95" i="26"/>
  <c r="Z95" i="26"/>
  <c r="Y95" i="26"/>
  <c r="X95" i="26"/>
  <c r="W95" i="26"/>
  <c r="V95" i="26"/>
  <c r="U95" i="26"/>
  <c r="U94" i="26" s="1"/>
  <c r="U58" i="20" s="1"/>
  <c r="T95" i="26"/>
  <c r="S95" i="26"/>
  <c r="X94" i="26"/>
  <c r="X58" i="20" s="1"/>
  <c r="Q94" i="26"/>
  <c r="Q58" i="20" s="1"/>
  <c r="P94" i="26"/>
  <c r="P58" i="20" s="1"/>
  <c r="O94" i="26"/>
  <c r="O58" i="20" s="1"/>
  <c r="N94" i="26"/>
  <c r="N58" i="20" s="1"/>
  <c r="M94" i="26"/>
  <c r="M58" i="20" s="1"/>
  <c r="L94" i="26"/>
  <c r="K94" i="26"/>
  <c r="J94" i="26"/>
  <c r="J58" i="20" s="1"/>
  <c r="I94" i="26"/>
  <c r="I58" i="20" s="1"/>
  <c r="H94" i="26"/>
  <c r="V94" i="26" s="1"/>
  <c r="V58" i="20" s="1"/>
  <c r="R81" i="26"/>
  <c r="O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C75" i="26"/>
  <c r="AB75" i="26"/>
  <c r="Z75" i="26"/>
  <c r="W75" i="26"/>
  <c r="J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B14" i="26"/>
  <c r="AA14" i="26"/>
  <c r="AA75" i="26" s="1"/>
  <c r="Z14" i="26"/>
  <c r="Y14" i="26"/>
  <c r="Y75" i="26" s="1"/>
  <c r="X14" i="26"/>
  <c r="X75" i="26" s="1"/>
  <c r="W14" i="26"/>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AD13" i="26"/>
  <c r="AB13" i="26"/>
  <c r="Y13" i="26"/>
  <c r="Y81" i="26" s="1"/>
  <c r="X13" i="26"/>
  <c r="X81" i="26" s="1"/>
  <c r="T13" i="26"/>
  <c r="T81" i="26" s="1"/>
  <c r="S13" i="26"/>
  <c r="S81" i="26" s="1"/>
  <c r="R13" i="26"/>
  <c r="Q13" i="26"/>
  <c r="Q81" i="26" s="1"/>
  <c r="P13" i="26"/>
  <c r="P81" i="26" s="1"/>
  <c r="O13" i="26"/>
  <c r="N13" i="26"/>
  <c r="N81" i="26" s="1"/>
  <c r="M13" i="26"/>
  <c r="M81" i="26" s="1"/>
  <c r="L13" i="26"/>
  <c r="L81" i="26" s="1"/>
  <c r="K13" i="26"/>
  <c r="K81" i="26" s="1"/>
  <c r="J13" i="26"/>
  <c r="AP12" i="26"/>
  <c r="AO12" i="26"/>
  <c r="J12" i="26"/>
  <c r="D44" i="26" s="1"/>
  <c r="AD11" i="26"/>
  <c r="AB11" i="26"/>
  <c r="Y11" i="26"/>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C9" i="26"/>
  <c r="AB9" i="26"/>
  <c r="AA9" i="26"/>
  <c r="AA11" i="26" s="1"/>
  <c r="Z9" i="26"/>
  <c r="Z11" i="26" s="1"/>
  <c r="Y9" i="26"/>
  <c r="X9" i="26"/>
  <c r="W9" i="26"/>
  <c r="V9" i="26"/>
  <c r="U9" i="26"/>
  <c r="T9" i="26"/>
  <c r="T11" i="26" s="1"/>
  <c r="S9" i="26"/>
  <c r="R9" i="26"/>
  <c r="R11" i="26" s="1"/>
  <c r="Q9" i="26"/>
  <c r="Q11" i="26" s="1"/>
  <c r="P9" i="26"/>
  <c r="O9" i="26"/>
  <c r="N9" i="26"/>
  <c r="M9" i="26"/>
  <c r="L9" i="26"/>
  <c r="K9" i="26"/>
  <c r="J9" i="26"/>
  <c r="J11" i="26" s="1"/>
  <c r="J20" i="26" s="1"/>
  <c r="J78" i="26" s="1"/>
  <c r="I9" i="26"/>
  <c r="I11" i="26" s="1"/>
  <c r="I20" i="26" s="1"/>
  <c r="I78" i="26" s="1"/>
  <c r="I73" i="26" s="1"/>
  <c r="I59" i="20" s="1"/>
  <c r="H9" i="26"/>
  <c r="G9" i="26"/>
  <c r="F9" i="26"/>
  <c r="E9" i="26"/>
  <c r="D9" i="26"/>
  <c r="D11" i="26" s="1"/>
  <c r="D20" i="26" s="1"/>
  <c r="I20" i="74"/>
  <c r="H20" i="74"/>
  <c r="G20" i="74"/>
  <c r="G19" i="74" s="1"/>
  <c r="F20" i="74"/>
  <c r="E20" i="74"/>
  <c r="I19" i="74"/>
  <c r="H19" i="74"/>
  <c r="E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U13" i="74" s="1"/>
  <c r="T16" i="74"/>
  <c r="S16" i="74"/>
  <c r="R16" i="74"/>
  <c r="Q16" i="74"/>
  <c r="P16" i="74"/>
  <c r="O16" i="74"/>
  <c r="O13" i="74" s="1"/>
  <c r="N16" i="74"/>
  <c r="M16" i="74"/>
  <c r="L16" i="74"/>
  <c r="K16" i="74"/>
  <c r="J16" i="74"/>
  <c r="I16" i="74"/>
  <c r="H16" i="74"/>
  <c r="G16" i="74"/>
  <c r="F16" i="74"/>
  <c r="E16" i="74"/>
  <c r="D16" i="74"/>
  <c r="U15" i="74"/>
  <c r="T15" i="74"/>
  <c r="T13" i="74" s="1"/>
  <c r="S15" i="74"/>
  <c r="S13" i="74" s="1"/>
  <c r="S20" i="74" s="1"/>
  <c r="S19" i="74" s="1"/>
  <c r="R15" i="74"/>
  <c r="R13" i="74" s="1"/>
  <c r="Q15" i="74"/>
  <c r="P15" i="74"/>
  <c r="O15" i="74"/>
  <c r="N15" i="74"/>
  <c r="M15" i="74"/>
  <c r="L15" i="74"/>
  <c r="K15" i="74"/>
  <c r="J15" i="74"/>
  <c r="I15" i="74"/>
  <c r="H15" i="74"/>
  <c r="G15" i="74"/>
  <c r="F15" i="74"/>
  <c r="E15" i="74"/>
  <c r="D15" i="74"/>
  <c r="U14" i="74"/>
  <c r="T14" i="74"/>
  <c r="S14" i="74"/>
  <c r="R14" i="74"/>
  <c r="Q14" i="74"/>
  <c r="P14" i="74"/>
  <c r="O14" i="74"/>
  <c r="N14" i="74"/>
  <c r="N13" i="74" s="1"/>
  <c r="M14" i="74"/>
  <c r="L14" i="74"/>
  <c r="K14" i="74"/>
  <c r="K13" i="74" s="1"/>
  <c r="K20" i="74" s="1"/>
  <c r="J14" i="74"/>
  <c r="I14" i="74"/>
  <c r="H14" i="74"/>
  <c r="G14" i="74"/>
  <c r="F14" i="74"/>
  <c r="E14" i="74"/>
  <c r="D14" i="74"/>
  <c r="P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E11" i="74"/>
  <c r="D11" i="74"/>
  <c r="D20" i="74" s="1"/>
  <c r="D19" i="74" s="1"/>
  <c r="AN24" i="25"/>
  <c r="AM24" i="25"/>
  <c r="AL24" i="25"/>
  <c r="AK24" i="25"/>
  <c r="AJ24" i="25"/>
  <c r="AI24" i="25"/>
  <c r="AH24" i="25"/>
  <c r="AG24" i="25"/>
  <c r="AF24" i="25"/>
  <c r="AE24" i="25"/>
  <c r="AD24" i="25"/>
  <c r="AC24" i="25"/>
  <c r="AB24" i="25"/>
  <c r="AA24" i="25"/>
  <c r="Z24" i="25"/>
  <c r="Y24" i="25"/>
  <c r="X24" i="25"/>
  <c r="U21" i="25"/>
  <c r="H21" i="25"/>
  <c r="AF20" i="25"/>
  <c r="AE20" i="25"/>
  <c r="AC20" i="25"/>
  <c r="AB20" i="25"/>
  <c r="T20" i="25"/>
  <c r="T16" i="82" s="1"/>
  <c r="I20" i="25"/>
  <c r="I16" i="82" s="1"/>
  <c r="E20" i="25"/>
  <c r="E16" i="82" s="1"/>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O14" i="25" s="1"/>
  <c r="N18" i="25"/>
  <c r="M18" i="25"/>
  <c r="L18" i="25"/>
  <c r="K18" i="25"/>
  <c r="J18" i="25"/>
  <c r="I18" i="25"/>
  <c r="H18" i="25"/>
  <c r="G18" i="25"/>
  <c r="F18" i="25"/>
  <c r="E18" i="25"/>
  <c r="D18" i="25"/>
  <c r="AH17" i="25"/>
  <c r="AI17" i="25" s="1"/>
  <c r="AJ17" i="25" s="1"/>
  <c r="AK17" i="25" s="1"/>
  <c r="AL17" i="25" s="1"/>
  <c r="AM17" i="25" s="1"/>
  <c r="AN17" i="25" s="1"/>
  <c r="AG17" i="25"/>
  <c r="AF17" i="25"/>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H14" i="25" s="1"/>
  <c r="G16" i="25"/>
  <c r="F16" i="25"/>
  <c r="E16" i="25"/>
  <c r="D16" i="25"/>
  <c r="AF15" i="25"/>
  <c r="AE15" i="25"/>
  <c r="AE14" i="25" s="1"/>
  <c r="AD15" i="25"/>
  <c r="AC15" i="25"/>
  <c r="AB15" i="25"/>
  <c r="AA15" i="25"/>
  <c r="Z15" i="25"/>
  <c r="Z14" i="25" s="1"/>
  <c r="Y15" i="25"/>
  <c r="X15" i="25"/>
  <c r="W15" i="25"/>
  <c r="V15" i="25"/>
  <c r="U15" i="25"/>
  <c r="T15" i="25"/>
  <c r="S15" i="25"/>
  <c r="R15" i="25"/>
  <c r="Q15" i="25"/>
  <c r="P15" i="25"/>
  <c r="O15" i="25"/>
  <c r="N15" i="25"/>
  <c r="N14" i="25" s="1"/>
  <c r="M15" i="25"/>
  <c r="M14" i="25" s="1"/>
  <c r="M21" i="25" s="1"/>
  <c r="L15" i="25"/>
  <c r="K15" i="25"/>
  <c r="J15" i="25"/>
  <c r="I15" i="25"/>
  <c r="H15" i="25"/>
  <c r="G15" i="25"/>
  <c r="F15" i="25"/>
  <c r="E15" i="25"/>
  <c r="D15" i="25"/>
  <c r="AD14" i="25"/>
  <c r="X14" i="25"/>
  <c r="V14" i="25"/>
  <c r="U14" i="25"/>
  <c r="T14" i="25"/>
  <c r="S14" i="25"/>
  <c r="R14" i="25"/>
  <c r="P14" i="25"/>
  <c r="AF13" i="25"/>
  <c r="AG13" i="25" s="1"/>
  <c r="AE13" i="25"/>
  <c r="AD13" i="25"/>
  <c r="AC13" i="25"/>
  <c r="AB13" i="25"/>
  <c r="AA13" i="25"/>
  <c r="Z13" i="25"/>
  <c r="Y13" i="25"/>
  <c r="X13" i="25"/>
  <c r="W13" i="25"/>
  <c r="V13" i="25"/>
  <c r="U13" i="25"/>
  <c r="T13" i="25"/>
  <c r="S13" i="25"/>
  <c r="R13" i="25"/>
  <c r="Q13" i="25"/>
  <c r="Q21" i="25" s="1"/>
  <c r="P13" i="25"/>
  <c r="P21" i="25" s="1"/>
  <c r="O13" i="25"/>
  <c r="N13" i="25"/>
  <c r="N21" i="25" s="1"/>
  <c r="M13" i="25"/>
  <c r="L13" i="25"/>
  <c r="K13" i="25"/>
  <c r="J13" i="25"/>
  <c r="I13" i="25"/>
  <c r="H13" i="25"/>
  <c r="G13" i="25"/>
  <c r="F13" i="25"/>
  <c r="E13" i="25"/>
  <c r="D13" i="25"/>
  <c r="AF11" i="25"/>
  <c r="AE11" i="25"/>
  <c r="AD11" i="25"/>
  <c r="AD20" i="25" s="1"/>
  <c r="AC11" i="25"/>
  <c r="AB11" i="25"/>
  <c r="AA11" i="25"/>
  <c r="AA20" i="25" s="1"/>
  <c r="Z11" i="25"/>
  <c r="Z20" i="25" s="1"/>
  <c r="Y11" i="25"/>
  <c r="X11" i="25"/>
  <c r="W11" i="25"/>
  <c r="V11" i="25"/>
  <c r="U11" i="25"/>
  <c r="T11" i="25"/>
  <c r="T21" i="25" s="1"/>
  <c r="S11" i="25"/>
  <c r="R11" i="25"/>
  <c r="Q11" i="25"/>
  <c r="P11" i="25"/>
  <c r="O11" i="25"/>
  <c r="N11" i="25"/>
  <c r="M11" i="25"/>
  <c r="L11" i="25"/>
  <c r="K11" i="25"/>
  <c r="J11" i="25"/>
  <c r="I11" i="25"/>
  <c r="I21" i="25" s="1"/>
  <c r="H11" i="25"/>
  <c r="G11" i="25"/>
  <c r="F11" i="25"/>
  <c r="E11" i="25"/>
  <c r="E21" i="25" s="1"/>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T31" i="70" s="1"/>
  <c r="U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C45" i="70"/>
  <c r="AC20" i="70" s="1"/>
  <c r="AC27" i="70" s="1"/>
  <c r="AB45" i="70"/>
  <c r="AA45" i="70"/>
  <c r="Z45" i="70"/>
  <c r="Y45" i="70"/>
  <c r="Y20" i="70" s="1"/>
  <c r="Y27" i="70" s="1"/>
  <c r="X45" i="70"/>
  <c r="W45" i="70"/>
  <c r="V45" i="70"/>
  <c r="U45" i="70"/>
  <c r="U20" i="70" s="1"/>
  <c r="U27" i="70" s="1"/>
  <c r="T45" i="70"/>
  <c r="T20" i="70" s="1"/>
  <c r="T27" i="70" s="1"/>
  <c r="S45" i="70"/>
  <c r="S20" i="70" s="1"/>
  <c r="R45" i="70"/>
  <c r="Q45" i="70"/>
  <c r="P45" i="70"/>
  <c r="P20" i="70" s="1"/>
  <c r="P27" i="70" s="1"/>
  <c r="O45" i="70"/>
  <c r="O20" i="70" s="1"/>
  <c r="N45" i="70"/>
  <c r="N20" i="70" s="1"/>
  <c r="M45" i="70"/>
  <c r="M20" i="70" s="1"/>
  <c r="M27" i="70" s="1"/>
  <c r="L45" i="70"/>
  <c r="K45" i="70"/>
  <c r="J45" i="70"/>
  <c r="I45" i="70"/>
  <c r="I20" i="70" s="1"/>
  <c r="I27" i="70" s="1"/>
  <c r="H45" i="70"/>
  <c r="G45" i="70"/>
  <c r="F45" i="70"/>
  <c r="E45" i="70"/>
  <c r="E20" i="70" s="1"/>
  <c r="D45" i="70"/>
  <c r="D20" i="70" s="1"/>
  <c r="AL44" i="70"/>
  <c r="AL45" i="70" s="1"/>
  <c r="AL20" i="70" s="1"/>
  <c r="AL27" i="70" s="1"/>
  <c r="AJ44" i="70"/>
  <c r="AJ18" i="70" s="1"/>
  <c r="AJ26" i="70" s="1"/>
  <c r="F5" i="71" s="1"/>
  <c r="AI44" i="70"/>
  <c r="AI45" i="70" s="1"/>
  <c r="AI20" i="70" s="1"/>
  <c r="AH44" i="70"/>
  <c r="AH45" i="70" s="1"/>
  <c r="AH20" i="70" s="1"/>
  <c r="AF44" i="70"/>
  <c r="AE44" i="70"/>
  <c r="AD44" i="70"/>
  <c r="AD18" i="70" s="1"/>
  <c r="AD26" i="70" s="1"/>
  <c r="AC44" i="70"/>
  <c r="AC18" i="70" s="1"/>
  <c r="AB44" i="70"/>
  <c r="AA44" i="70"/>
  <c r="Z44" i="70"/>
  <c r="Z18" i="70" s="1"/>
  <c r="Y44" i="70"/>
  <c r="Y18" i="70" s="1"/>
  <c r="X44" i="70"/>
  <c r="X18" i="70" s="1"/>
  <c r="W44" i="70"/>
  <c r="W18" i="70" s="1"/>
  <c r="W26" i="70" s="1"/>
  <c r="V44" i="70"/>
  <c r="U44" i="70"/>
  <c r="T44" i="70"/>
  <c r="T18" i="70" s="1"/>
  <c r="S44" i="70"/>
  <c r="R44" i="70"/>
  <c r="Q44" i="70"/>
  <c r="P44" i="70"/>
  <c r="O44" i="70"/>
  <c r="N44" i="70"/>
  <c r="M44" i="70"/>
  <c r="L44" i="70"/>
  <c r="K44" i="70"/>
  <c r="J44" i="70"/>
  <c r="J18" i="70" s="1"/>
  <c r="I44" i="70"/>
  <c r="I18" i="70" s="1"/>
  <c r="I26" i="70" s="1"/>
  <c r="H44" i="70"/>
  <c r="H18" i="70" s="1"/>
  <c r="G44" i="70"/>
  <c r="G18" i="70" s="1"/>
  <c r="G26" i="70" s="1"/>
  <c r="F44" i="70"/>
  <c r="E44" i="70"/>
  <c r="E18" i="70" s="1"/>
  <c r="D44" i="70"/>
  <c r="D18" i="70" s="1"/>
  <c r="AN41" i="70"/>
  <c r="AN44" i="70" s="1"/>
  <c r="AM41" i="70"/>
  <c r="AI41" i="70"/>
  <c r="AI16" i="70" s="1"/>
  <c r="G32" i="55" s="1"/>
  <c r="AH41" i="70"/>
  <c r="AF41" i="70"/>
  <c r="AE41" i="70"/>
  <c r="AE16" i="70" s="1"/>
  <c r="AE25" i="70" s="1"/>
  <c r="AD41" i="70"/>
  <c r="AD16" i="70" s="1"/>
  <c r="AD25" i="70" s="1"/>
  <c r="AC41" i="70"/>
  <c r="AC16" i="70" s="1"/>
  <c r="AB41" i="70"/>
  <c r="AA41" i="70"/>
  <c r="Z41" i="70"/>
  <c r="Z16" i="70" s="1"/>
  <c r="Z25" i="70" s="1"/>
  <c r="Y41" i="70"/>
  <c r="Y16" i="70" s="1"/>
  <c r="X41" i="70"/>
  <c r="W41" i="70"/>
  <c r="W16" i="70" s="1"/>
  <c r="W25" i="70" s="1"/>
  <c r="V41" i="70"/>
  <c r="U41" i="70"/>
  <c r="T41" i="70"/>
  <c r="S41" i="70"/>
  <c r="S16" i="70" s="1"/>
  <c r="R41" i="70"/>
  <c r="Q41" i="70"/>
  <c r="Q16" i="70" s="1"/>
  <c r="Q25" i="70" s="1"/>
  <c r="P41" i="70"/>
  <c r="O41" i="70"/>
  <c r="O16" i="70" s="1"/>
  <c r="O25" i="70" s="1"/>
  <c r="N41" i="70"/>
  <c r="N16" i="70" s="1"/>
  <c r="M41" i="70"/>
  <c r="M16" i="70" s="1"/>
  <c r="L41" i="70"/>
  <c r="K41" i="70"/>
  <c r="J41" i="70"/>
  <c r="I41" i="70"/>
  <c r="I16" i="70" s="1"/>
  <c r="H41" i="70"/>
  <c r="G41" i="70"/>
  <c r="F41" i="70"/>
  <c r="E41" i="70"/>
  <c r="D41" i="70"/>
  <c r="AN40" i="70"/>
  <c r="AN14" i="70" s="1"/>
  <c r="AE40" i="70"/>
  <c r="AD40" i="70"/>
  <c r="AD14" i="70" s="1"/>
  <c r="AC40" i="70"/>
  <c r="AB40" i="70"/>
  <c r="AA40" i="70"/>
  <c r="Z40" i="70"/>
  <c r="Y40" i="70"/>
  <c r="X40" i="70"/>
  <c r="W40" i="70"/>
  <c r="V40" i="70"/>
  <c r="V14" i="70" s="1"/>
  <c r="V24" i="70" s="1"/>
  <c r="U40" i="70"/>
  <c r="T40" i="70"/>
  <c r="T14" i="70" s="1"/>
  <c r="T24" i="70" s="1"/>
  <c r="S40" i="70"/>
  <c r="S14" i="70" s="1"/>
  <c r="S24" i="70" s="1"/>
  <c r="R40" i="70"/>
  <c r="R14" i="70" s="1"/>
  <c r="Q40" i="70"/>
  <c r="Q14" i="70" s="1"/>
  <c r="Q24" i="70" s="1"/>
  <c r="P40" i="70"/>
  <c r="O40" i="70"/>
  <c r="O14" i="70" s="1"/>
  <c r="O24" i="70" s="1"/>
  <c r="N40" i="70"/>
  <c r="N14" i="70" s="1"/>
  <c r="M40" i="70"/>
  <c r="L40" i="70"/>
  <c r="K40" i="70"/>
  <c r="J40" i="70"/>
  <c r="I40" i="70"/>
  <c r="H40" i="70"/>
  <c r="G40" i="70"/>
  <c r="F40" i="70"/>
  <c r="E40" i="70"/>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E37" i="70"/>
  <c r="AD37" i="70"/>
  <c r="AD12" i="70" s="1"/>
  <c r="AD23" i="70" s="1"/>
  <c r="AC37" i="70"/>
  <c r="AC12" i="70" s="1"/>
  <c r="AB37" i="70"/>
  <c r="AA37" i="70"/>
  <c r="AA12" i="70" s="1"/>
  <c r="AA23" i="70" s="1"/>
  <c r="Z37" i="70"/>
  <c r="Z12" i="70" s="1"/>
  <c r="Z23" i="70" s="1"/>
  <c r="Y37" i="70"/>
  <c r="Y12" i="70" s="1"/>
  <c r="Y23" i="70" s="1"/>
  <c r="X37" i="70"/>
  <c r="X12" i="70" s="1"/>
  <c r="X23" i="70" s="1"/>
  <c r="W37" i="70"/>
  <c r="W12" i="70" s="1"/>
  <c r="V37" i="70"/>
  <c r="U37" i="70"/>
  <c r="T37" i="70"/>
  <c r="S37" i="70"/>
  <c r="R37" i="70"/>
  <c r="Q37" i="70"/>
  <c r="P37" i="70"/>
  <c r="P12" i="70" s="1"/>
  <c r="P23" i="70" s="1"/>
  <c r="O37" i="70"/>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F37" i="70"/>
  <c r="E37" i="70"/>
  <c r="D37" i="70"/>
  <c r="V31" i="70"/>
  <c r="W31" i="70" s="1"/>
  <c r="X31" i="70" s="1"/>
  <c r="Y31" i="70" s="1"/>
  <c r="Z31" i="70" s="1"/>
  <c r="AA31" i="70" s="1"/>
  <c r="AB31" i="70" s="1"/>
  <c r="AC31" i="70" s="1"/>
  <c r="AD31" i="70" s="1"/>
  <c r="AE31" i="70" s="1"/>
  <c r="AF31" i="70" s="1"/>
  <c r="AI27" i="70"/>
  <c r="AH27" i="70"/>
  <c r="AF27" i="70"/>
  <c r="AE27" i="70"/>
  <c r="AD27" i="70"/>
  <c r="X27" i="70"/>
  <c r="S27" i="70"/>
  <c r="O27" i="70"/>
  <c r="N27" i="70"/>
  <c r="H27" i="70"/>
  <c r="E27" i="70"/>
  <c r="D27" i="70"/>
  <c r="AC26" i="70"/>
  <c r="AB26" i="70"/>
  <c r="Z26" i="70"/>
  <c r="Y26" i="70"/>
  <c r="X26" i="70"/>
  <c r="V26" i="70"/>
  <c r="T26" i="70"/>
  <c r="L26" i="70"/>
  <c r="J26" i="70"/>
  <c r="H26" i="70"/>
  <c r="F26" i="70"/>
  <c r="E26" i="70"/>
  <c r="D26" i="70"/>
  <c r="AN25" i="70"/>
  <c r="J4" i="71" s="1"/>
  <c r="AI25" i="70"/>
  <c r="E4" i="71" s="1"/>
  <c r="AC25" i="70"/>
  <c r="Y25" i="70"/>
  <c r="X25" i="70"/>
  <c r="S25" i="70"/>
  <c r="R25" i="70"/>
  <c r="N25" i="70"/>
  <c r="M25" i="70"/>
  <c r="I25" i="70"/>
  <c r="AD24" i="70"/>
  <c r="R24" i="70"/>
  <c r="P24" i="70"/>
  <c r="N24" i="70"/>
  <c r="M24" i="70"/>
  <c r="L24" i="70"/>
  <c r="AI23" i="70"/>
  <c r="E2" i="71" s="1"/>
  <c r="AH23" i="70"/>
  <c r="D2" i="71" s="1"/>
  <c r="AC23" i="70"/>
  <c r="AB23" i="70"/>
  <c r="W23" i="70"/>
  <c r="S23" i="70"/>
  <c r="G23" i="70"/>
  <c r="D23" i="70"/>
  <c r="AB20" i="70"/>
  <c r="AB27" i="70" s="1"/>
  <c r="AA20" i="70"/>
  <c r="AA27" i="70" s="1"/>
  <c r="Z20" i="70"/>
  <c r="Z27" i="70" s="1"/>
  <c r="X20" i="70"/>
  <c r="W20" i="70"/>
  <c r="W27" i="70" s="1"/>
  <c r="V20" i="70"/>
  <c r="V27" i="70" s="1"/>
  <c r="R20" i="70"/>
  <c r="R27" i="70" s="1"/>
  <c r="Q20" i="70"/>
  <c r="Q27" i="70" s="1"/>
  <c r="L20" i="70"/>
  <c r="L27" i="70" s="1"/>
  <c r="K20" i="70"/>
  <c r="K27" i="70" s="1"/>
  <c r="J20" i="70"/>
  <c r="J27" i="70" s="1"/>
  <c r="H20" i="70"/>
  <c r="G20" i="70"/>
  <c r="G27" i="70" s="1"/>
  <c r="F20" i="70"/>
  <c r="F27" i="70" s="1"/>
  <c r="AL18" i="70"/>
  <c r="AI18" i="70"/>
  <c r="AF18" i="70"/>
  <c r="AF26" i="70" s="1"/>
  <c r="AE18" i="70"/>
  <c r="AE26" i="70" s="1"/>
  <c r="AB18" i="70"/>
  <c r="AA18" i="70"/>
  <c r="AA26" i="70" s="1"/>
  <c r="V18" i="70"/>
  <c r="U18" i="70"/>
  <c r="U26" i="70" s="1"/>
  <c r="S18" i="70"/>
  <c r="S26" i="70" s="1"/>
  <c r="R18" i="70"/>
  <c r="R26" i="70" s="1"/>
  <c r="Q18" i="70"/>
  <c r="Q26" i="70" s="1"/>
  <c r="P18" i="70"/>
  <c r="P26" i="70" s="1"/>
  <c r="O18" i="70"/>
  <c r="O26" i="70" s="1"/>
  <c r="N18" i="70"/>
  <c r="N26" i="70" s="1"/>
  <c r="M18" i="70"/>
  <c r="M26" i="70" s="1"/>
  <c r="L18" i="70"/>
  <c r="K18" i="70"/>
  <c r="K26" i="70" s="1"/>
  <c r="F18" i="70"/>
  <c r="AN16" i="70"/>
  <c r="AL16" i="70"/>
  <c r="AL25" i="70" s="1"/>
  <c r="AJ16" i="70"/>
  <c r="AJ25" i="70" s="1"/>
  <c r="AH16" i="70"/>
  <c r="F32" i="55" s="1"/>
  <c r="F101" i="55" s="1"/>
  <c r="AF16" i="70"/>
  <c r="AB16" i="70"/>
  <c r="AB25" i="70" s="1"/>
  <c r="AA16" i="70"/>
  <c r="AA25" i="70" s="1"/>
  <c r="X16" i="70"/>
  <c r="V16" i="70"/>
  <c r="V25" i="70" s="1"/>
  <c r="U16" i="70"/>
  <c r="U25" i="70" s="1"/>
  <c r="T16" i="70"/>
  <c r="T25" i="70" s="1"/>
  <c r="R16" i="70"/>
  <c r="P16" i="70"/>
  <c r="P25" i="70" s="1"/>
  <c r="L16" i="70"/>
  <c r="L25" i="70" s="1"/>
  <c r="K16" i="70"/>
  <c r="K25" i="70" s="1"/>
  <c r="J16" i="70"/>
  <c r="J25" i="70" s="1"/>
  <c r="H16" i="70"/>
  <c r="H25" i="70" s="1"/>
  <c r="G16" i="70"/>
  <c r="G25" i="70" s="1"/>
  <c r="F16" i="70"/>
  <c r="F25" i="70" s="1"/>
  <c r="E16" i="70"/>
  <c r="E25" i="70" s="1"/>
  <c r="D16" i="70"/>
  <c r="D25" i="70" s="1"/>
  <c r="AF14" i="70"/>
  <c r="AF24" i="70" s="1"/>
  <c r="AE14" i="70"/>
  <c r="AE24" i="70" s="1"/>
  <c r="AC14" i="70"/>
  <c r="AC24" i="70" s="1"/>
  <c r="AB14" i="70"/>
  <c r="AB24" i="70" s="1"/>
  <c r="AA14" i="70"/>
  <c r="AA24" i="70" s="1"/>
  <c r="Z14" i="70"/>
  <c r="Z24" i="70" s="1"/>
  <c r="Y14" i="70"/>
  <c r="Y24" i="70" s="1"/>
  <c r="X14" i="70"/>
  <c r="X24" i="70" s="1"/>
  <c r="W14" i="70"/>
  <c r="W24" i="70" s="1"/>
  <c r="U14" i="70"/>
  <c r="U24" i="70" s="1"/>
  <c r="P14" i="70"/>
  <c r="M14" i="70"/>
  <c r="L14" i="70"/>
  <c r="K14" i="70"/>
  <c r="K24" i="70" s="1"/>
  <c r="J14" i="70"/>
  <c r="J24" i="70" s="1"/>
  <c r="I14" i="70"/>
  <c r="I24" i="70" s="1"/>
  <c r="H14" i="70"/>
  <c r="H24" i="70" s="1"/>
  <c r="G14" i="70"/>
  <c r="G24" i="70" s="1"/>
  <c r="F14" i="70"/>
  <c r="F24" i="70" s="1"/>
  <c r="E14" i="70"/>
  <c r="E24" i="70" s="1"/>
  <c r="AL12" i="70"/>
  <c r="AL23" i="70" s="1"/>
  <c r="H2" i="71" s="1"/>
  <c r="AK12" i="70"/>
  <c r="AK23" i="70" s="1"/>
  <c r="AF12" i="70"/>
  <c r="AE12" i="70"/>
  <c r="AE23" i="70" s="1"/>
  <c r="AB12" i="70"/>
  <c r="V12" i="70"/>
  <c r="V23" i="70" s="1"/>
  <c r="U12" i="70"/>
  <c r="U23" i="70" s="1"/>
  <c r="T12" i="70"/>
  <c r="T23" i="70" s="1"/>
  <c r="S12" i="70"/>
  <c r="R12" i="70"/>
  <c r="R23" i="70" s="1"/>
  <c r="Q12" i="70"/>
  <c r="Q23" i="70" s="1"/>
  <c r="O12" i="70"/>
  <c r="O23" i="70" s="1"/>
  <c r="F12" i="70"/>
  <c r="F23" i="70" s="1"/>
  <c r="E12" i="70"/>
  <c r="E23" i="70" s="1"/>
  <c r="D12" i="70"/>
  <c r="J25" i="35"/>
  <c r="I25" i="35"/>
  <c r="H25" i="35"/>
  <c r="G25" i="35"/>
  <c r="F25" i="35"/>
  <c r="E25" i="35"/>
  <c r="D25" i="35"/>
  <c r="I24" i="35"/>
  <c r="H24" i="35"/>
  <c r="G24" i="35"/>
  <c r="E24" i="35"/>
  <c r="D24" i="35"/>
  <c r="J23" i="35"/>
  <c r="K27" i="55" s="1"/>
  <c r="K130" i="55" s="1"/>
  <c r="I23" i="35"/>
  <c r="J27" i="55" s="1"/>
  <c r="H23" i="35"/>
  <c r="I27" i="55" s="1"/>
  <c r="G23" i="35"/>
  <c r="F23" i="35"/>
  <c r="E23" i="35"/>
  <c r="F27" i="55" s="1"/>
  <c r="D23" i="35"/>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T85" i="80"/>
  <c r="S85" i="80"/>
  <c r="N85" i="80"/>
  <c r="M85" i="80"/>
  <c r="D85" i="80"/>
  <c r="C85" i="80"/>
  <c r="J135" i="55"/>
  <c r="F135" i="55"/>
  <c r="G133" i="55"/>
  <c r="F133" i="55"/>
  <c r="D133" i="55"/>
  <c r="H102" i="55"/>
  <c r="D102" i="55"/>
  <c r="K95" i="55"/>
  <c r="B42" i="55"/>
  <c r="J34" i="55"/>
  <c r="J103" i="55" s="1"/>
  <c r="G34" i="55"/>
  <c r="F34" i="55"/>
  <c r="H33" i="55"/>
  <c r="H136" i="55" s="1"/>
  <c r="D33" i="55"/>
  <c r="D136" i="55" s="1"/>
  <c r="L32" i="55"/>
  <c r="J32" i="55"/>
  <c r="J101" i="55" s="1"/>
  <c r="H32" i="55"/>
  <c r="H101" i="55" s="1"/>
  <c r="I30" i="55"/>
  <c r="D30" i="55"/>
  <c r="D99" i="55" s="1"/>
  <c r="L27" i="55"/>
  <c r="H27" i="55"/>
  <c r="H95" i="55" s="1"/>
  <c r="G27" i="55"/>
  <c r="G130" i="55" s="1"/>
  <c r="E27" i="55"/>
  <c r="E130" i="55" s="1"/>
  <c r="D27" i="55"/>
  <c r="D130" i="55" s="1"/>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L12" i="55"/>
  <c r="C12" i="55"/>
  <c r="B12" i="55"/>
  <c r="L11" i="55"/>
  <c r="C11" i="55"/>
  <c r="B11" i="55"/>
  <c r="C10" i="55"/>
  <c r="B10" i="55"/>
  <c r="L8" i="55"/>
  <c r="C8" i="55"/>
  <c r="L6" i="55"/>
  <c r="C6" i="55"/>
  <c r="C5" i="55"/>
  <c r="B5" i="55"/>
  <c r="C4" i="55"/>
  <c r="B4" i="55"/>
  <c r="C3" i="55"/>
  <c r="B3" i="55"/>
  <c r="H6" i="71"/>
  <c r="E6" i="71"/>
  <c r="D6" i="71"/>
  <c r="H4" i="71"/>
  <c r="F4" i="71"/>
  <c r="G2" i="71"/>
  <c r="Y12" i="50"/>
  <c r="X12" i="50"/>
  <c r="W12" i="50"/>
  <c r="V12" i="50"/>
  <c r="Y11" i="50"/>
  <c r="X11"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F78" i="46"/>
  <c r="G78" i="46" s="1"/>
  <c r="E78" i="46"/>
  <c r="C78" i="46"/>
  <c r="E77" i="46"/>
  <c r="F77" i="46" s="1"/>
  <c r="G77" i="46" s="1"/>
  <c r="C77" i="46"/>
  <c r="E76" i="46"/>
  <c r="F76" i="46" s="1"/>
  <c r="G76" i="46" s="1"/>
  <c r="C76" i="46"/>
  <c r="E75" i="46"/>
  <c r="F75" i="46" s="1"/>
  <c r="G75" i="46" s="1"/>
  <c r="C75" i="46"/>
  <c r="F74" i="46"/>
  <c r="G74" i="46" s="1"/>
  <c r="E74" i="46"/>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F62" i="46"/>
  <c r="G62" i="46" s="1"/>
  <c r="E62" i="46"/>
  <c r="C62" i="46"/>
  <c r="E61" i="46"/>
  <c r="F61" i="46" s="1"/>
  <c r="G61" i="46" s="1"/>
  <c r="C61" i="46"/>
  <c r="E60" i="46"/>
  <c r="F60" i="46" s="1"/>
  <c r="G60" i="46" s="1"/>
  <c r="C60" i="46"/>
  <c r="F59" i="46"/>
  <c r="G59" i="46" s="1"/>
  <c r="E59" i="46"/>
  <c r="C59" i="46"/>
  <c r="G58" i="46"/>
  <c r="F58" i="46"/>
  <c r="E58" i="46"/>
  <c r="C58" i="46"/>
  <c r="F57" i="46"/>
  <c r="E57" i="46"/>
  <c r="C57" i="46"/>
  <c r="F56" i="46"/>
  <c r="G56" i="46" s="1"/>
  <c r="E56" i="46"/>
  <c r="C56" i="46"/>
  <c r="G55" i="46"/>
  <c r="F55" i="46"/>
  <c r="E55" i="46"/>
  <c r="C55" i="46"/>
  <c r="E54" i="46"/>
  <c r="F54" i="46" s="1"/>
  <c r="G54" i="46" s="1"/>
  <c r="C54" i="46"/>
  <c r="G53" i="46"/>
  <c r="F53" i="46"/>
  <c r="E53" i="46"/>
  <c r="C53" i="46"/>
  <c r="F52" i="46"/>
  <c r="G52" i="46" s="1"/>
  <c r="E52" i="46"/>
  <c r="C52" i="46"/>
  <c r="E51" i="46"/>
  <c r="F51" i="46" s="1"/>
  <c r="G51" i="46" s="1"/>
  <c r="C51" i="46"/>
  <c r="E50" i="46"/>
  <c r="F50" i="46" s="1"/>
  <c r="G50" i="46" s="1"/>
  <c r="C50" i="46"/>
  <c r="G49" i="46"/>
  <c r="F49" i="46"/>
  <c r="E49" i="46"/>
  <c r="C49" i="46"/>
  <c r="F48" i="46"/>
  <c r="G48" i="46" s="1"/>
  <c r="E48" i="46"/>
  <c r="C48" i="46"/>
  <c r="E47" i="46"/>
  <c r="F47" i="46" s="1"/>
  <c r="G47" i="46" s="1"/>
  <c r="C47" i="46"/>
  <c r="F46" i="46"/>
  <c r="G46" i="46" s="1"/>
  <c r="E46" i="46"/>
  <c r="C46" i="46"/>
  <c r="G45" i="46"/>
  <c r="F45" i="46"/>
  <c r="E45" i="46"/>
  <c r="C45" i="46"/>
  <c r="F44" i="46"/>
  <c r="G44" i="46" s="1"/>
  <c r="E44" i="46"/>
  <c r="C44" i="46"/>
  <c r="E43" i="46"/>
  <c r="F43" i="46" s="1"/>
  <c r="G43" i="46" s="1"/>
  <c r="C43" i="46"/>
  <c r="G42" i="46"/>
  <c r="E42" i="46"/>
  <c r="F42" i="46" s="1"/>
  <c r="C42" i="46"/>
  <c r="G41" i="46"/>
  <c r="F41" i="46"/>
  <c r="E41" i="46"/>
  <c r="C41" i="46"/>
  <c r="F40" i="46"/>
  <c r="G40" i="46" s="1"/>
  <c r="E40" i="46"/>
  <c r="C40" i="46"/>
  <c r="E39" i="46"/>
  <c r="F39" i="46" s="1"/>
  <c r="G39" i="46" s="1"/>
  <c r="C39" i="46"/>
  <c r="G38" i="46"/>
  <c r="E38" i="46"/>
  <c r="F38" i="46" s="1"/>
  <c r="C38" i="46"/>
  <c r="G37" i="46"/>
  <c r="F37" i="46"/>
  <c r="E37" i="46"/>
  <c r="C37" i="46"/>
  <c r="F36" i="46"/>
  <c r="G36" i="46" s="1"/>
  <c r="E36" i="46"/>
  <c r="C36" i="46"/>
  <c r="E35" i="46"/>
  <c r="F35" i="46" s="1"/>
  <c r="G35" i="46" s="1"/>
  <c r="C35" i="46"/>
  <c r="F34" i="46"/>
  <c r="G34" i="46" s="1"/>
  <c r="E34" i="46"/>
  <c r="C34" i="46"/>
  <c r="G33" i="46"/>
  <c r="F33" i="46"/>
  <c r="E33" i="46"/>
  <c r="C33" i="46"/>
  <c r="F32" i="46"/>
  <c r="G32" i="46" s="1"/>
  <c r="E32" i="46"/>
  <c r="C32" i="46"/>
  <c r="E31" i="46"/>
  <c r="F31" i="46" s="1"/>
  <c r="G31" i="46" s="1"/>
  <c r="E30" i="46"/>
  <c r="F30" i="46" s="1"/>
  <c r="G30" i="46" s="1"/>
  <c r="G29" i="46"/>
  <c r="F29" i="46"/>
  <c r="E29" i="46"/>
  <c r="E28" i="46"/>
  <c r="F28" i="46" s="1"/>
  <c r="G28" i="46" s="1"/>
  <c r="F27" i="46"/>
  <c r="G27" i="46" s="1"/>
  <c r="E27" i="46"/>
  <c r="C27" i="46"/>
  <c r="E26" i="46"/>
  <c r="F26" i="46" s="1"/>
  <c r="G26" i="46" s="1"/>
  <c r="C26" i="46"/>
  <c r="E25" i="46"/>
  <c r="F25" i="46" s="1"/>
  <c r="G25" i="46" s="1"/>
  <c r="C25" i="46"/>
  <c r="G24" i="46"/>
  <c r="F24" i="46"/>
  <c r="E24" i="46"/>
  <c r="C24" i="46"/>
  <c r="F23" i="46"/>
  <c r="G23" i="46" s="1"/>
  <c r="E23" i="46"/>
  <c r="C23" i="46"/>
  <c r="E22" i="46"/>
  <c r="F22" i="46" s="1"/>
  <c r="G22" i="46" s="1"/>
  <c r="C22" i="46"/>
  <c r="E21" i="46"/>
  <c r="F21" i="46" s="1"/>
  <c r="G21" i="46" s="1"/>
  <c r="C21" i="46"/>
  <c r="G20" i="46"/>
  <c r="F20" i="46"/>
  <c r="E20" i="46"/>
  <c r="C20" i="46"/>
  <c r="F19" i="46"/>
  <c r="G19" i="46" s="1"/>
  <c r="E19" i="46"/>
  <c r="C19" i="46"/>
  <c r="E18" i="46"/>
  <c r="F18" i="46" s="1"/>
  <c r="G18" i="46" s="1"/>
  <c r="C18" i="46"/>
  <c r="E17" i="46"/>
  <c r="F17" i="46" s="1"/>
  <c r="G17" i="46" s="1"/>
  <c r="C17" i="46"/>
  <c r="G16" i="46"/>
  <c r="F16" i="46"/>
  <c r="E16" i="46"/>
  <c r="C16" i="46"/>
  <c r="F15" i="46"/>
  <c r="G15" i="46" s="1"/>
  <c r="E15" i="46"/>
  <c r="C15" i="46"/>
  <c r="E14" i="46"/>
  <c r="F14" i="46" s="1"/>
  <c r="G14" i="46" s="1"/>
  <c r="C14" i="46"/>
  <c r="E13" i="46"/>
  <c r="F13" i="46" s="1"/>
  <c r="G13" i="46" s="1"/>
  <c r="C13" i="46"/>
  <c r="G12" i="46"/>
  <c r="F12" i="46"/>
  <c r="E12" i="46"/>
  <c r="C12" i="46"/>
  <c r="F11" i="46"/>
  <c r="G11" i="46" s="1"/>
  <c r="E11" i="46"/>
  <c r="C11" i="46"/>
  <c r="E10" i="46"/>
  <c r="F10" i="46" s="1"/>
  <c r="G10" i="46" s="1"/>
  <c r="C10" i="46"/>
  <c r="E9" i="46"/>
  <c r="F9" i="46" s="1"/>
  <c r="G9" i="46" s="1"/>
  <c r="C9" i="46"/>
  <c r="G8" i="46"/>
  <c r="F8" i="46"/>
  <c r="E8" i="46"/>
  <c r="C8" i="46"/>
  <c r="F7" i="46"/>
  <c r="G7" i="46" s="1"/>
  <c r="E7" i="46"/>
  <c r="C7" i="46"/>
  <c r="E6" i="46"/>
  <c r="F6" i="46" s="1"/>
  <c r="G6" i="46" s="1"/>
  <c r="C6" i="46"/>
  <c r="E5" i="46"/>
  <c r="F5" i="46" s="1"/>
  <c r="G5" i="46" s="1"/>
  <c r="C5" i="46"/>
  <c r="G4" i="46"/>
  <c r="F4" i="46"/>
  <c r="E4" i="46"/>
  <c r="C4" i="46"/>
  <c r="F3" i="46"/>
  <c r="G3" i="46" s="1"/>
  <c r="E3" i="46"/>
  <c r="C3" i="46"/>
  <c r="C2" i="46"/>
  <c r="Q23" i="74"/>
  <c r="P23" i="74"/>
  <c r="O23" i="74"/>
  <c r="U23" i="74"/>
  <c r="T23" i="74"/>
  <c r="S23" i="74"/>
  <c r="N23" i="74"/>
  <c r="M23" i="74"/>
  <c r="S24" i="25"/>
  <c r="R24" i="25"/>
  <c r="Q24" i="25"/>
  <c r="P24" i="25"/>
  <c r="O24" i="25"/>
  <c r="N24" i="25"/>
  <c r="M24" i="25"/>
  <c r="R23" i="74"/>
  <c r="U24" i="25"/>
  <c r="T24" i="25"/>
  <c r="R140" i="88" l="1"/>
  <c r="H33" i="88"/>
  <c r="I141" i="88"/>
  <c r="Y141" i="88"/>
  <c r="N142" i="88"/>
  <c r="AD142" i="88"/>
  <c r="J141" i="88"/>
  <c r="Z141" i="88"/>
  <c r="O142" i="88"/>
  <c r="AE142" i="88"/>
  <c r="AF142" i="88" s="1"/>
  <c r="AF30" i="88" s="1"/>
  <c r="AF56" i="88"/>
  <c r="AC56" i="88"/>
  <c r="J15" i="88"/>
  <c r="J9" i="88" s="1"/>
  <c r="S150" i="88"/>
  <c r="H151" i="88"/>
  <c r="M152" i="88"/>
  <c r="S32" i="88"/>
  <c r="I33" i="88"/>
  <c r="Y33" i="88"/>
  <c r="K33" i="88"/>
  <c r="H150" i="88"/>
  <c r="M151" i="88"/>
  <c r="M141" i="88"/>
  <c r="AC141" i="88"/>
  <c r="R142" i="88"/>
  <c r="K150" i="88"/>
  <c r="P151" i="88"/>
  <c r="R155" i="88"/>
  <c r="N15" i="88"/>
  <c r="N126" i="88" s="1"/>
  <c r="H106" i="88" s="1"/>
  <c r="M32" i="88"/>
  <c r="AE56" i="88"/>
  <c r="S154" i="88"/>
  <c r="M15" i="88"/>
  <c r="M126" i="88" s="1"/>
  <c r="S15" i="88"/>
  <c r="F105" i="88"/>
  <c r="T15" i="88"/>
  <c r="T9" i="88" s="1"/>
  <c r="R152" i="88"/>
  <c r="L141" i="88"/>
  <c r="AB141" i="88"/>
  <c r="Q142" i="88"/>
  <c r="I150" i="88"/>
  <c r="N151" i="88"/>
  <c r="S152" i="88"/>
  <c r="AA130" i="88"/>
  <c r="AA123" i="88" s="1"/>
  <c r="AF130" i="88"/>
  <c r="AF139" i="88" s="1"/>
  <c r="AG139" i="88" s="1"/>
  <c r="AH139" i="88" s="1"/>
  <c r="AI139" i="88" s="1"/>
  <c r="AJ139" i="88" s="1"/>
  <c r="AB130" i="88"/>
  <c r="AB123" i="88" s="1"/>
  <c r="F83" i="88"/>
  <c r="F106" i="88" s="1"/>
  <c r="L32" i="88"/>
  <c r="O152" i="88"/>
  <c r="F24" i="88"/>
  <c r="P140" i="88"/>
  <c r="Q149" i="88"/>
  <c r="G32" i="88"/>
  <c r="W24" i="88"/>
  <c r="W25" i="88" s="1"/>
  <c r="M24" i="88"/>
  <c r="R149" i="88"/>
  <c r="H24" i="88"/>
  <c r="AD140" i="88"/>
  <c r="E98" i="88"/>
  <c r="E106" i="88" s="1"/>
  <c r="L151" i="88"/>
  <c r="Q154" i="88"/>
  <c r="S149" i="88"/>
  <c r="O24" i="88"/>
  <c r="T24" i="88"/>
  <c r="S153" i="88"/>
  <c r="R154" i="88"/>
  <c r="G155" i="88"/>
  <c r="Q151" i="88"/>
  <c r="F33" i="88"/>
  <c r="K15" i="88"/>
  <c r="K9" i="88" s="1"/>
  <c r="AA15" i="88"/>
  <c r="AA9" i="88" s="1"/>
  <c r="AE15" i="88"/>
  <c r="AE9" i="88" s="1"/>
  <c r="U141" i="88"/>
  <c r="G33" i="88"/>
  <c r="W33" i="88"/>
  <c r="L15" i="88"/>
  <c r="P15" i="88"/>
  <c r="P9" i="88" s="1"/>
  <c r="F141" i="88"/>
  <c r="V141" i="88"/>
  <c r="K142" i="88"/>
  <c r="AA142" i="88"/>
  <c r="J150" i="88"/>
  <c r="O151" i="88"/>
  <c r="O15" i="88"/>
  <c r="O9" i="88" s="1"/>
  <c r="R141" i="88"/>
  <c r="G142" i="88"/>
  <c r="W142" i="88"/>
  <c r="S141" i="88"/>
  <c r="H142" i="88"/>
  <c r="X142" i="88"/>
  <c r="V130" i="88"/>
  <c r="V139" i="88" s="1"/>
  <c r="AF15" i="88"/>
  <c r="AF126" i="88" s="1"/>
  <c r="AG126" i="88" s="1"/>
  <c r="AH126" i="88" s="1"/>
  <c r="AI126" i="88" s="1"/>
  <c r="AJ126" i="88" s="1"/>
  <c r="AK126" i="88" s="1"/>
  <c r="AL126" i="88" s="1"/>
  <c r="AM126" i="88" s="1"/>
  <c r="AN126" i="88" s="1"/>
  <c r="U15" i="88"/>
  <c r="U126" i="88" s="1"/>
  <c r="K149" i="88"/>
  <c r="I155" i="88"/>
  <c r="S126" i="88"/>
  <c r="H32" i="88"/>
  <c r="AD24" i="88"/>
  <c r="L130" i="88"/>
  <c r="L139" i="88" s="1"/>
  <c r="I32" i="88"/>
  <c r="H40" i="88"/>
  <c r="H77" i="88" s="1"/>
  <c r="H84" i="88" s="1"/>
  <c r="AE24" i="88"/>
  <c r="M130" i="88"/>
  <c r="M123" i="88" s="1"/>
  <c r="AC130" i="88"/>
  <c r="AC123" i="88" s="1"/>
  <c r="J32" i="88"/>
  <c r="AA141" i="88"/>
  <c r="P142" i="88"/>
  <c r="K32" i="88"/>
  <c r="AA32" i="88"/>
  <c r="AB32" i="88"/>
  <c r="AG10" i="88"/>
  <c r="AK10" i="88" s="1"/>
  <c r="AL10" i="88" s="1"/>
  <c r="AM10" i="88" s="1"/>
  <c r="AN10" i="88" s="1"/>
  <c r="R33" i="88"/>
  <c r="I40" i="88"/>
  <c r="F104" i="88"/>
  <c r="P152" i="88"/>
  <c r="M154" i="88"/>
  <c r="AD32" i="88"/>
  <c r="G24" i="88"/>
  <c r="N154" i="88"/>
  <c r="S142" i="88"/>
  <c r="T141" i="88"/>
  <c r="I15" i="88"/>
  <c r="I126" i="88" s="1"/>
  <c r="AC15" i="88"/>
  <c r="AC126" i="88" s="1"/>
  <c r="U24" i="88"/>
  <c r="AA140" i="88"/>
  <c r="U142" i="88"/>
  <c r="AD15" i="88"/>
  <c r="AD9" i="88" s="1"/>
  <c r="F32" i="88"/>
  <c r="V24" i="88"/>
  <c r="AB140" i="88"/>
  <c r="F142" i="88"/>
  <c r="V142" i="88"/>
  <c r="N140" i="88"/>
  <c r="W32" i="88"/>
  <c r="J152" i="88"/>
  <c r="H155" i="88"/>
  <c r="R24" i="88"/>
  <c r="AC32" i="88"/>
  <c r="K152" i="88"/>
  <c r="G151" i="88"/>
  <c r="AA33" i="88"/>
  <c r="W140" i="88"/>
  <c r="Q130" i="88"/>
  <c r="Q123" i="88" s="1"/>
  <c r="K135" i="88"/>
  <c r="K140" i="88" s="1"/>
  <c r="G149" i="88"/>
  <c r="N152" i="88"/>
  <c r="V32" i="88"/>
  <c r="F15" i="88"/>
  <c r="F9" i="88" s="1"/>
  <c r="F31" i="88" s="1"/>
  <c r="V15" i="88"/>
  <c r="V126" i="88" s="1"/>
  <c r="Y15" i="88"/>
  <c r="Y9" i="88" s="1"/>
  <c r="H140" i="88"/>
  <c r="X140" i="88"/>
  <c r="R130" i="88"/>
  <c r="R139" i="88" s="1"/>
  <c r="L135" i="88"/>
  <c r="H149" i="88"/>
  <c r="E105" i="88"/>
  <c r="N150" i="88"/>
  <c r="H152" i="88"/>
  <c r="X130" i="88"/>
  <c r="X139" i="88" s="1"/>
  <c r="AG17" i="88"/>
  <c r="AH17" i="88" s="1"/>
  <c r="AI17" i="88" s="1"/>
  <c r="AJ17" i="88" s="1"/>
  <c r="AK17" i="88" s="1"/>
  <c r="AL17" i="88" s="1"/>
  <c r="AM17" i="88" s="1"/>
  <c r="AN17" i="88" s="1"/>
  <c r="N24" i="88"/>
  <c r="O150" i="88"/>
  <c r="I152" i="88"/>
  <c r="S24" i="88"/>
  <c r="F107" i="88"/>
  <c r="AF140" i="88"/>
  <c r="AG140" i="88" s="1"/>
  <c r="AG28" i="88" s="1"/>
  <c r="S140" i="88"/>
  <c r="J130" i="88"/>
  <c r="J139" i="88" s="1"/>
  <c r="R15" i="88"/>
  <c r="R126" i="88" s="1"/>
  <c r="X125" i="88"/>
  <c r="F140" i="88"/>
  <c r="G15" i="88"/>
  <c r="G9" i="88" s="1"/>
  <c r="W15" i="88"/>
  <c r="W9" i="88" s="1"/>
  <c r="X33" i="88"/>
  <c r="W130" i="88"/>
  <c r="W123" i="88" s="1"/>
  <c r="M135" i="88"/>
  <c r="M125" i="88" s="1"/>
  <c r="J149" i="88"/>
  <c r="Q152" i="88"/>
  <c r="O154" i="88"/>
  <c r="AB15" i="88"/>
  <c r="AB126" i="88" s="1"/>
  <c r="H130" i="88"/>
  <c r="H139" i="88" s="1"/>
  <c r="Q15" i="88"/>
  <c r="Q126" i="88" s="1"/>
  <c r="N32" i="88"/>
  <c r="T140" i="88"/>
  <c r="K130" i="88"/>
  <c r="K139" i="88" s="1"/>
  <c r="T130" i="88"/>
  <c r="T139" i="88" s="1"/>
  <c r="I151" i="88"/>
  <c r="H154" i="88"/>
  <c r="X141" i="88"/>
  <c r="X24" i="88"/>
  <c r="K151" i="88"/>
  <c r="AC125" i="88"/>
  <c r="H15" i="88"/>
  <c r="X15" i="88"/>
  <c r="AF19" i="88"/>
  <c r="T142" i="88"/>
  <c r="AD56" i="88"/>
  <c r="AF14" i="82"/>
  <c r="U53" i="82"/>
  <c r="Q51" i="82"/>
  <c r="K48" i="82"/>
  <c r="K26" i="82" s="1"/>
  <c r="K63" i="82" s="1"/>
  <c r="X19" i="82"/>
  <c r="L51" i="82"/>
  <c r="AB51" i="82"/>
  <c r="AC51" i="82"/>
  <c r="O51" i="82"/>
  <c r="AE48" i="82"/>
  <c r="AE26" i="82" s="1"/>
  <c r="X13" i="82"/>
  <c r="P51" i="82"/>
  <c r="AF48" i="82"/>
  <c r="AF26" i="82" s="1"/>
  <c r="AB69" i="82"/>
  <c r="AB67" i="82" s="1"/>
  <c r="Q53" i="82"/>
  <c r="AC69" i="82"/>
  <c r="AC67" i="82" s="1"/>
  <c r="AF29" i="82"/>
  <c r="Y5" i="50" s="1"/>
  <c r="O48" i="82"/>
  <c r="O26" i="82" s="1"/>
  <c r="R51" i="82"/>
  <c r="P48" i="82"/>
  <c r="P26" i="82" s="1"/>
  <c r="S51" i="82"/>
  <c r="T51" i="82"/>
  <c r="U51" i="82"/>
  <c r="AE14" i="82"/>
  <c r="K51" i="82"/>
  <c r="AA51" i="82"/>
  <c r="AB14" i="82"/>
  <c r="AE51" i="82"/>
  <c r="X69" i="82"/>
  <c r="X67" i="82" s="1"/>
  <c r="AF51" i="82"/>
  <c r="AA48" i="82"/>
  <c r="AA26" i="82" s="1"/>
  <c r="AD51" i="82"/>
  <c r="R38" i="82"/>
  <c r="AB48" i="82"/>
  <c r="AB26" i="82" s="1"/>
  <c r="AC48" i="82"/>
  <c r="AC26" i="82" s="1"/>
  <c r="AC13" i="82"/>
  <c r="AD48" i="82"/>
  <c r="AD26" i="82" s="1"/>
  <c r="G63" i="82"/>
  <c r="AF13" i="82"/>
  <c r="AE35" i="82"/>
  <c r="H63" i="82"/>
  <c r="AF35" i="82"/>
  <c r="Q29" i="82"/>
  <c r="U48" i="82"/>
  <c r="U26" i="82" s="1"/>
  <c r="X29" i="82"/>
  <c r="D72" i="83"/>
  <c r="O63" i="83"/>
  <c r="U69" i="83"/>
  <c r="U71" i="83" s="1"/>
  <c r="P63" i="83"/>
  <c r="E63" i="83"/>
  <c r="U63" i="83"/>
  <c r="AC14" i="83"/>
  <c r="AC63" i="83" s="1"/>
  <c r="S63" i="83"/>
  <c r="M30" i="83"/>
  <c r="R30" i="83"/>
  <c r="F72" i="83"/>
  <c r="Q63" i="83"/>
  <c r="F63" i="83"/>
  <c r="F62" i="83" s="1"/>
  <c r="F65" i="83" s="1"/>
  <c r="V14" i="83"/>
  <c r="V63" i="83" s="1"/>
  <c r="T63" i="83"/>
  <c r="S30" i="83"/>
  <c r="F64" i="83"/>
  <c r="D38" i="83"/>
  <c r="T38" i="83"/>
  <c r="T30" i="83"/>
  <c r="G64" i="83"/>
  <c r="G62" i="83" s="1"/>
  <c r="G65" i="83" s="1"/>
  <c r="G74" i="83" s="1"/>
  <c r="G29" i="83" s="1"/>
  <c r="E38" i="83"/>
  <c r="E40" i="83" s="1"/>
  <c r="H64" i="83"/>
  <c r="H62" i="83" s="1"/>
  <c r="H65" i="83" s="1"/>
  <c r="H74" i="83" s="1"/>
  <c r="H29" i="83" s="1"/>
  <c r="F38" i="83"/>
  <c r="F40" i="83" s="1"/>
  <c r="G38" i="83"/>
  <c r="G40" i="83" s="1"/>
  <c r="J72" i="83"/>
  <c r="H38" i="83"/>
  <c r="H40" i="83" s="1"/>
  <c r="N38" i="83"/>
  <c r="N40" i="83" s="1"/>
  <c r="L72" i="83"/>
  <c r="L63" i="83"/>
  <c r="P38" i="83"/>
  <c r="Q38" i="83"/>
  <c r="R40" i="83" s="1"/>
  <c r="P30" i="49"/>
  <c r="P38" i="59" s="1"/>
  <c r="P39" i="59" s="1"/>
  <c r="Q30" i="49"/>
  <c r="Q45" i="75" s="1"/>
  <c r="Q46" i="75" s="1"/>
  <c r="AF30" i="49"/>
  <c r="AD34" i="49"/>
  <c r="O33" i="49"/>
  <c r="O34" i="49" s="1"/>
  <c r="E23" i="49"/>
  <c r="AH18" i="30"/>
  <c r="AG16" i="30"/>
  <c r="M14" i="30"/>
  <c r="M12" i="30" s="1"/>
  <c r="AC14" i="30"/>
  <c r="AC12" i="30" s="1"/>
  <c r="AE14" i="30"/>
  <c r="H47" i="30"/>
  <c r="AD16" i="30"/>
  <c r="H16" i="30"/>
  <c r="N16" i="30"/>
  <c r="W16" i="26"/>
  <c r="W77" i="26" s="1"/>
  <c r="F11" i="26"/>
  <c r="F20" i="26" s="1"/>
  <c r="V11" i="26"/>
  <c r="X30" i="26"/>
  <c r="V16" i="26"/>
  <c r="V77" i="26" s="1"/>
  <c r="G11" i="26"/>
  <c r="G20" i="26" s="1"/>
  <c r="S94" i="26"/>
  <c r="S58" i="20" s="1"/>
  <c r="H11" i="26"/>
  <c r="H20" i="26" s="1"/>
  <c r="H78" i="26" s="1"/>
  <c r="H73" i="26" s="1"/>
  <c r="H59" i="20" s="1"/>
  <c r="X11" i="26"/>
  <c r="Q31" i="26"/>
  <c r="X16" i="26"/>
  <c r="X77" i="26" s="1"/>
  <c r="T94" i="26"/>
  <c r="T58" i="20" s="1"/>
  <c r="W11" i="26"/>
  <c r="R31" i="26"/>
  <c r="R16" i="26" s="1"/>
  <c r="R77" i="26" s="1"/>
  <c r="M30" i="26"/>
  <c r="M76" i="26"/>
  <c r="L11" i="26"/>
  <c r="L20" i="26" s="1"/>
  <c r="L78" i="26" s="1"/>
  <c r="L73" i="26" s="1"/>
  <c r="L59" i="20" s="1"/>
  <c r="L60" i="20" s="1"/>
  <c r="N30" i="26"/>
  <c r="U31" i="26"/>
  <c r="U16" i="26" s="1"/>
  <c r="U77" i="26" s="1"/>
  <c r="V9" i="50"/>
  <c r="P30" i="26"/>
  <c r="W94" i="26"/>
  <c r="W58" i="20" s="1"/>
  <c r="P11" i="26"/>
  <c r="AF11" i="26"/>
  <c r="AF20"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31" i="20"/>
  <c r="Y13" i="20"/>
  <c r="AB31" i="20"/>
  <c r="R46" i="20"/>
  <c r="J46" i="20"/>
  <c r="Z46" i="20"/>
  <c r="O46" i="20"/>
  <c r="E46" i="20"/>
  <c r="U46" i="20"/>
  <c r="Z31" i="20"/>
  <c r="I60" i="20"/>
  <c r="I17" i="20" s="1"/>
  <c r="V16" i="74"/>
  <c r="W16" i="74" s="1"/>
  <c r="X16" i="74" s="1"/>
  <c r="Y16" i="74" s="1"/>
  <c r="Z16" i="74" s="1"/>
  <c r="AA16" i="74" s="1"/>
  <c r="AB16" i="74" s="1"/>
  <c r="AC16" i="74" s="1"/>
  <c r="I88" i="55"/>
  <c r="I123" i="55"/>
  <c r="E114" i="55"/>
  <c r="E79" i="55"/>
  <c r="G31" i="55"/>
  <c r="AI24" i="70"/>
  <c r="E3" i="71" s="1"/>
  <c r="P14" i="75"/>
  <c r="P14" i="59"/>
  <c r="P20" i="25"/>
  <c r="P16" i="82" s="1"/>
  <c r="AG15" i="25"/>
  <c r="AH13" i="25"/>
  <c r="K121" i="55"/>
  <c r="K86" i="55"/>
  <c r="Y45" i="75"/>
  <c r="Y38" i="59"/>
  <c r="Y37" i="82"/>
  <c r="E120" i="55"/>
  <c r="E85" i="55"/>
  <c r="I120" i="55"/>
  <c r="I85" i="55"/>
  <c r="M17" i="82"/>
  <c r="M20" i="25"/>
  <c r="M16" i="82" s="1"/>
  <c r="S32" i="20"/>
  <c r="S31" i="20"/>
  <c r="J120" i="55"/>
  <c r="J85" i="55"/>
  <c r="T14" i="59"/>
  <c r="T14" i="75"/>
  <c r="T98" i="75" s="1"/>
  <c r="T17" i="82"/>
  <c r="T15" i="82" s="1"/>
  <c r="F114" i="55"/>
  <c r="F79" i="55"/>
  <c r="I99" i="55"/>
  <c r="I133" i="55"/>
  <c r="U17" i="82"/>
  <c r="V21" i="25"/>
  <c r="Q20" i="74"/>
  <c r="Q19" i="74"/>
  <c r="N85" i="82"/>
  <c r="M85" i="82"/>
  <c r="L85" i="82"/>
  <c r="E86" i="55"/>
  <c r="E121" i="55"/>
  <c r="G101" i="55"/>
  <c r="G135" i="55"/>
  <c r="P17" i="82"/>
  <c r="AE91" i="80"/>
  <c r="D114" i="55"/>
  <c r="D79" i="55"/>
  <c r="AI26" i="70"/>
  <c r="E5" i="71" s="1"/>
  <c r="G33" i="55"/>
  <c r="D20" i="25"/>
  <c r="D16" i="82" s="1"/>
  <c r="D21" i="25"/>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14" i="70" s="1"/>
  <c r="AG71" i="70"/>
  <c r="X70" i="70"/>
  <c r="X71" i="82" s="1"/>
  <c r="N14" i="75"/>
  <c r="N20" i="25"/>
  <c r="N16" i="82" s="1"/>
  <c r="N17" i="82"/>
  <c r="W14" i="25"/>
  <c r="E30" i="49"/>
  <c r="U45" i="75"/>
  <c r="U38" i="59"/>
  <c r="U37" i="82"/>
  <c r="F120" i="55"/>
  <c r="AB72" i="70"/>
  <c r="V45" i="75"/>
  <c r="V38" i="59"/>
  <c r="V37" i="82"/>
  <c r="AF25" i="70"/>
  <c r="D32" i="55"/>
  <c r="AM71" i="70"/>
  <c r="AL71" i="70"/>
  <c r="AG72" i="70"/>
  <c r="AF72" i="70"/>
  <c r="C43" i="26"/>
  <c r="C62" i="26"/>
  <c r="AD13" i="20"/>
  <c r="AE13" i="20"/>
  <c r="Z45" i="75"/>
  <c r="Z38" i="59"/>
  <c r="Z37" i="82"/>
  <c r="K26" i="33"/>
  <c r="J26" i="33"/>
  <c r="AL26" i="70"/>
  <c r="H5" i="71" s="1"/>
  <c r="J33" i="55"/>
  <c r="AN13" i="78"/>
  <c r="AN14" i="78" s="1"/>
  <c r="AN70" i="70"/>
  <c r="AN71" i="82" s="1"/>
  <c r="F21" i="25"/>
  <c r="F20" i="25"/>
  <c r="F16" i="82" s="1"/>
  <c r="I14" i="25"/>
  <c r="Y14" i="25"/>
  <c r="AB14" i="75"/>
  <c r="AB15" i="59"/>
  <c r="AB14" i="59" s="1"/>
  <c r="AB16" i="82"/>
  <c r="AB15" i="82" s="1"/>
  <c r="R20" i="74"/>
  <c r="R19" i="74" s="1"/>
  <c r="G21" i="91"/>
  <c r="G22" i="91" s="1"/>
  <c r="F30" i="49"/>
  <c r="Q17" i="75"/>
  <c r="Q14" i="33"/>
  <c r="Q17" i="59"/>
  <c r="Q18" i="82"/>
  <c r="S14" i="20"/>
  <c r="T30" i="70"/>
  <c r="AI71" i="70"/>
  <c r="AC72" i="70"/>
  <c r="Z70" i="70"/>
  <c r="Z71" i="82" s="1"/>
  <c r="G21" i="25"/>
  <c r="G20" i="25" s="1"/>
  <c r="G16" i="82" s="1"/>
  <c r="J14" i="25"/>
  <c r="J21" i="25" s="1"/>
  <c r="AC14" i="75"/>
  <c r="AC15" i="59"/>
  <c r="AC14" i="59" s="1"/>
  <c r="AC16" i="82"/>
  <c r="AC15" i="82" s="1"/>
  <c r="AC62" i="82" s="1"/>
  <c r="G33" i="49"/>
  <c r="G30" i="49"/>
  <c r="W45" i="75"/>
  <c r="W38" i="59"/>
  <c r="W33" i="49"/>
  <c r="W34" i="49" s="1"/>
  <c r="W37" i="82"/>
  <c r="U69" i="82"/>
  <c r="U67" i="82" s="1"/>
  <c r="T19" i="82"/>
  <c r="F137" i="55"/>
  <c r="F103" i="55"/>
  <c r="AJ71" i="70"/>
  <c r="AE14" i="59"/>
  <c r="AE16" i="82"/>
  <c r="AE15" i="82" s="1"/>
  <c r="T20" i="74"/>
  <c r="T19" i="74" s="1"/>
  <c r="L17" i="20"/>
  <c r="AB13" i="20"/>
  <c r="V69" i="82"/>
  <c r="V67" i="82" s="1"/>
  <c r="U19" i="82"/>
  <c r="D100" i="55"/>
  <c r="H30" i="55"/>
  <c r="AJ23" i="70"/>
  <c r="F2" i="71" s="1"/>
  <c r="AA13" i="78"/>
  <c r="AA14" i="78" s="1"/>
  <c r="T10" i="50" s="1"/>
  <c r="AA70" i="70"/>
  <c r="AA71" i="82" s="1"/>
  <c r="AA38" i="70"/>
  <c r="AK40" i="70"/>
  <c r="AK14" i="70" s="1"/>
  <c r="AK71" i="70"/>
  <c r="U19" i="74"/>
  <c r="K11" i="26"/>
  <c r="K20" i="26" s="1"/>
  <c r="K78" i="26" s="1"/>
  <c r="K73" i="26" s="1"/>
  <c r="K59" i="20" s="1"/>
  <c r="K60" i="20" s="1"/>
  <c r="K35" i="20" s="1"/>
  <c r="D47" i="26"/>
  <c r="E47" i="26" s="1"/>
  <c r="D25" i="91"/>
  <c r="D16" i="91"/>
  <c r="I30" i="49"/>
  <c r="AJ40" i="70"/>
  <c r="AJ14" i="70" s="1"/>
  <c r="AE70" i="83"/>
  <c r="AE69" i="83"/>
  <c r="AE71" i="83" s="1"/>
  <c r="AN38" i="70"/>
  <c r="AN37" i="70" s="1"/>
  <c r="AN12" i="70" s="1"/>
  <c r="AL40" i="70"/>
  <c r="AL14" i="70" s="1"/>
  <c r="V12" i="74"/>
  <c r="AF13" i="20"/>
  <c r="AG12" i="20"/>
  <c r="D6" i="55"/>
  <c r="Q21" i="82"/>
  <c r="Q18" i="75"/>
  <c r="Q20" i="82"/>
  <c r="R18" i="75"/>
  <c r="R18" i="59"/>
  <c r="D78" i="55"/>
  <c r="D113" i="55"/>
  <c r="E123" i="55"/>
  <c r="H135" i="55"/>
  <c r="E30" i="55"/>
  <c r="AG23" i="70"/>
  <c r="C2" i="71" s="1"/>
  <c r="AM40" i="70"/>
  <c r="AM14" i="70" s="1"/>
  <c r="AD72" i="70"/>
  <c r="AF14" i="25"/>
  <c r="L13" i="74"/>
  <c r="L20" i="74" s="1"/>
  <c r="L19" i="74" s="1"/>
  <c r="E44" i="26"/>
  <c r="K32" i="20"/>
  <c r="AH29" i="82"/>
  <c r="N21" i="75"/>
  <c r="N14" i="40"/>
  <c r="N17" i="40" s="1"/>
  <c r="N23" i="82"/>
  <c r="N15" i="40"/>
  <c r="N21" i="59"/>
  <c r="AC13" i="20"/>
  <c r="R29" i="21"/>
  <c r="V29" i="21"/>
  <c r="T29" i="21"/>
  <c r="N35" i="26"/>
  <c r="AG41" i="70"/>
  <c r="L31" i="55"/>
  <c r="AN24" i="70"/>
  <c r="J3" i="71" s="1"/>
  <c r="T71" i="70"/>
  <c r="M13" i="74"/>
  <c r="M20" i="74" s="1"/>
  <c r="M19" i="74" s="1"/>
  <c r="AO23" i="26"/>
  <c r="L35" i="20"/>
  <c r="L32" i="20"/>
  <c r="AH22" i="30"/>
  <c r="AI22" i="30" s="1"/>
  <c r="AJ22" i="30" s="1"/>
  <c r="AK22" i="30" s="1"/>
  <c r="AL22" i="30" s="1"/>
  <c r="AM22" i="30" s="1"/>
  <c r="AN22" i="30" s="1"/>
  <c r="AI29" i="82"/>
  <c r="AB32" i="75"/>
  <c r="AB24" i="59"/>
  <c r="AB24" i="82"/>
  <c r="U4" i="50" s="1"/>
  <c r="D137" i="55"/>
  <c r="D103" i="55"/>
  <c r="O20" i="25"/>
  <c r="O16" i="82" s="1"/>
  <c r="C49" i="26"/>
  <c r="M32" i="20"/>
  <c r="M31" i="20"/>
  <c r="AC32" i="20"/>
  <c r="AC31" i="20"/>
  <c r="AB16" i="30"/>
  <c r="AC16" i="30"/>
  <c r="X38" i="59"/>
  <c r="X37" i="82"/>
  <c r="X45" i="75"/>
  <c r="V13" i="82"/>
  <c r="Z13" i="82"/>
  <c r="U20" i="74"/>
  <c r="V20" i="74" s="1"/>
  <c r="W20" i="74" s="1"/>
  <c r="X20" i="74" s="1"/>
  <c r="Y20" i="74" s="1"/>
  <c r="Z20" i="74" s="1"/>
  <c r="AA20" i="74" s="1"/>
  <c r="AB20" i="74" s="1"/>
  <c r="AC20" i="74" s="1"/>
  <c r="AN18" i="70"/>
  <c r="AN45" i="70"/>
  <c r="AN20" i="70" s="1"/>
  <c r="V71" i="70"/>
  <c r="AQ13" i="26"/>
  <c r="J81" i="26"/>
  <c r="J73" i="26" s="1"/>
  <c r="J59" i="20" s="1"/>
  <c r="J60" i="20" s="1"/>
  <c r="D45" i="26"/>
  <c r="E45" i="26" s="1"/>
  <c r="N31" i="20"/>
  <c r="N32" i="20"/>
  <c r="AD31" i="20"/>
  <c r="AD32" i="20"/>
  <c r="AD33" i="20" s="1"/>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21" i="25"/>
  <c r="O32" i="20"/>
  <c r="AE32" i="20"/>
  <c r="AE31" i="20"/>
  <c r="AB45" i="75"/>
  <c r="AB38" i="59"/>
  <c r="AB37" i="82"/>
  <c r="AB34" i="49"/>
  <c r="AB35" i="49"/>
  <c r="Q18" i="59"/>
  <c r="AH40" i="70"/>
  <c r="AH14" i="70" s="1"/>
  <c r="AH71" i="70"/>
  <c r="F81" i="55"/>
  <c r="I86" i="55"/>
  <c r="I121" i="55"/>
  <c r="J79" i="55"/>
  <c r="E95" i="55"/>
  <c r="H114" i="55"/>
  <c r="R21" i="25"/>
  <c r="P32" i="20"/>
  <c r="P31" i="20"/>
  <c r="AF32" i="20"/>
  <c r="AF31" i="20"/>
  <c r="I63" i="83"/>
  <c r="I66" i="83"/>
  <c r="J86" i="55"/>
  <c r="J121" i="55"/>
  <c r="K79" i="55"/>
  <c r="J137" i="55"/>
  <c r="AH18" i="70"/>
  <c r="AH25" i="70"/>
  <c r="D4" i="71" s="1"/>
  <c r="Y38" i="70"/>
  <c r="Q14" i="75"/>
  <c r="Q98" i="75" s="1"/>
  <c r="Q14" i="59"/>
  <c r="Q65" i="59" s="1"/>
  <c r="Q17" i="82"/>
  <c r="Q20" i="25"/>
  <c r="Q16" i="82" s="1"/>
  <c r="S21" i="25"/>
  <c r="S20" i="25" s="1"/>
  <c r="S16" i="82" s="1"/>
  <c r="O31" i="20"/>
  <c r="D20" i="91"/>
  <c r="D21" i="91" s="1"/>
  <c r="D22" i="91" s="1"/>
  <c r="R29" i="82"/>
  <c r="AF19" i="82"/>
  <c r="AG69" i="82"/>
  <c r="AG67" i="82" s="1"/>
  <c r="AG66" i="82" s="1"/>
  <c r="AS30" i="80" s="1"/>
  <c r="AB62" i="83"/>
  <c r="AB65" i="83" s="1"/>
  <c r="Z13" i="78"/>
  <c r="Z14" i="78" s="1"/>
  <c r="Z38" i="70"/>
  <c r="E14" i="59"/>
  <c r="E14" i="75"/>
  <c r="E17" i="82"/>
  <c r="E15" i="82" s="1"/>
  <c r="U20" i="25"/>
  <c r="U16" i="82" s="1"/>
  <c r="AF16" i="82"/>
  <c r="AF15" i="82" s="1"/>
  <c r="AF14" i="59"/>
  <c r="D12" i="55"/>
  <c r="AO34" i="26"/>
  <c r="AP19" i="26" s="1"/>
  <c r="Q32" i="20"/>
  <c r="R31" i="20"/>
  <c r="Q31" i="20"/>
  <c r="AD49" i="30"/>
  <c r="J33" i="49"/>
  <c r="J30" i="49"/>
  <c r="K40" i="83"/>
  <c r="Q40" i="83"/>
  <c r="K52" i="78"/>
  <c r="M42" i="78"/>
  <c r="N42" i="78" s="1"/>
  <c r="D12" i="21"/>
  <c r="D10" i="21"/>
  <c r="I29" i="21" s="1"/>
  <c r="E1" i="21"/>
  <c r="D7" i="21"/>
  <c r="M21" i="21"/>
  <c r="W46" i="30"/>
  <c r="W47" i="30" s="1"/>
  <c r="U41" i="21"/>
  <c r="Q41" i="21"/>
  <c r="Z35" i="26"/>
  <c r="H20" i="25"/>
  <c r="H16" i="82" s="1"/>
  <c r="K14" i="25"/>
  <c r="K21" i="25" s="1"/>
  <c r="AA14" i="25"/>
  <c r="S16" i="26"/>
  <c r="S77" i="26" s="1"/>
  <c r="E25" i="91"/>
  <c r="E16" i="91"/>
  <c r="R17" i="75"/>
  <c r="R14" i="33"/>
  <c r="R17" i="59"/>
  <c r="S14" i="33"/>
  <c r="AD13" i="78"/>
  <c r="AD14" i="78" s="1"/>
  <c r="W10" i="50" s="1"/>
  <c r="AD38" i="70"/>
  <c r="I14" i="75"/>
  <c r="I14" i="59"/>
  <c r="I65" i="59" s="1"/>
  <c r="I17" i="82"/>
  <c r="I15" i="82" s="1"/>
  <c r="L14" i="25"/>
  <c r="L21" i="25" s="1"/>
  <c r="L20" i="25" s="1"/>
  <c r="L16" i="82" s="1"/>
  <c r="AB14" i="25"/>
  <c r="K19" i="74"/>
  <c r="T16" i="26"/>
  <c r="T77" i="26" s="1"/>
  <c r="N28" i="26"/>
  <c r="J30" i="83"/>
  <c r="J64" i="83"/>
  <c r="J62" i="83" s="1"/>
  <c r="J65" i="83" s="1"/>
  <c r="U52" i="83"/>
  <c r="W50" i="83"/>
  <c r="W26" i="83" s="1"/>
  <c r="W64" i="83" s="1"/>
  <c r="R50" i="83"/>
  <c r="R26" i="83" s="1"/>
  <c r="R64" i="83" s="1"/>
  <c r="R52" i="83"/>
  <c r="Q50" i="83"/>
  <c r="Q26" i="83" s="1"/>
  <c r="Q64" i="83" s="1"/>
  <c r="Q52" i="83"/>
  <c r="O50" i="83"/>
  <c r="O26" i="83" s="1"/>
  <c r="O64" i="83" s="1"/>
  <c r="O62" i="83" s="1"/>
  <c r="O65" i="83" s="1"/>
  <c r="P52" i="83"/>
  <c r="O52" i="83"/>
  <c r="N52" i="83"/>
  <c r="AB50" i="83"/>
  <c r="AB26" i="83" s="1"/>
  <c r="AB64" i="83" s="1"/>
  <c r="AA50" i="83"/>
  <c r="AA26" i="83" s="1"/>
  <c r="AA64" i="83" s="1"/>
  <c r="AA62" i="83" s="1"/>
  <c r="AA65" i="83" s="1"/>
  <c r="Y50" i="83"/>
  <c r="Y26" i="83" s="1"/>
  <c r="Y64" i="83" s="1"/>
  <c r="Y62" i="83" s="1"/>
  <c r="Y65" i="83" s="1"/>
  <c r="M50" i="83"/>
  <c r="M26" i="83" s="1"/>
  <c r="M64" i="83" s="1"/>
  <c r="L50" i="83"/>
  <c r="L26" i="83" s="1"/>
  <c r="L64" i="83" s="1"/>
  <c r="L62" i="83" s="1"/>
  <c r="L65" i="83" s="1"/>
  <c r="X50" i="83"/>
  <c r="X26" i="83" s="1"/>
  <c r="X64" i="83" s="1"/>
  <c r="X62" i="83" s="1"/>
  <c r="X65"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K64" i="83"/>
  <c r="K62" i="83" s="1"/>
  <c r="K65" i="83" s="1"/>
  <c r="I50" i="83"/>
  <c r="I26" i="83" s="1"/>
  <c r="I64" i="83" s="1"/>
  <c r="Y52" i="83"/>
  <c r="AF23" i="70"/>
  <c r="AA14" i="75"/>
  <c r="AA15" i="59"/>
  <c r="AA14" i="59" s="1"/>
  <c r="AA16" i="82"/>
  <c r="AA15" i="82" s="1"/>
  <c r="AO14" i="26"/>
  <c r="M75" i="26"/>
  <c r="J14" i="30"/>
  <c r="J12" i="30" s="1"/>
  <c r="Q30" i="83"/>
  <c r="J52" i="83"/>
  <c r="Z52" i="83"/>
  <c r="Z50" i="83"/>
  <c r="Z26" i="83" s="1"/>
  <c r="Z64" i="83" s="1"/>
  <c r="Z62" i="83" s="1"/>
  <c r="Z65" i="83" s="1"/>
  <c r="N96" i="59"/>
  <c r="M96" i="59"/>
  <c r="L96" i="59"/>
  <c r="AK41" i="70"/>
  <c r="AK72" i="70"/>
  <c r="AJ72" i="70"/>
  <c r="N20" i="74"/>
  <c r="N19" i="74" s="1"/>
  <c r="H13" i="74"/>
  <c r="AH94" i="26"/>
  <c r="R94" i="26"/>
  <c r="R58" i="20" s="1"/>
  <c r="H58" i="20"/>
  <c r="H60" i="20" s="1"/>
  <c r="H35" i="20" s="1"/>
  <c r="AG94" i="26"/>
  <c r="AF94" i="26"/>
  <c r="C3" i="35" s="1"/>
  <c r="AE94" i="26"/>
  <c r="AN94" i="26"/>
  <c r="AM94" i="26"/>
  <c r="AL94" i="26"/>
  <c r="AK94" i="26"/>
  <c r="AJ94" i="26"/>
  <c r="AI94" i="26"/>
  <c r="Y94" i="26"/>
  <c r="Y58" i="20" s="1"/>
  <c r="L12" i="30"/>
  <c r="L47" i="30"/>
  <c r="K14" i="30"/>
  <c r="K12" i="30" s="1"/>
  <c r="K16" i="30"/>
  <c r="L29" i="82"/>
  <c r="L48" i="82"/>
  <c r="L26" i="82" s="1"/>
  <c r="L63" i="82" s="1"/>
  <c r="K52" i="83"/>
  <c r="AA52" i="83"/>
  <c r="U56" i="59"/>
  <c r="T51" i="59"/>
  <c r="T26" i="59" s="1"/>
  <c r="AL72" i="70"/>
  <c r="AG16" i="25"/>
  <c r="AH16" i="25" s="1"/>
  <c r="AI16" i="25" s="1"/>
  <c r="AJ16" i="25" s="1"/>
  <c r="AK16" i="25" s="1"/>
  <c r="AL16" i="25" s="1"/>
  <c r="AM16" i="25" s="1"/>
  <c r="AN16" i="25" s="1"/>
  <c r="H14" i="75"/>
  <c r="H14" i="59"/>
  <c r="H65" i="59" s="1"/>
  <c r="H64" i="59" s="1"/>
  <c r="H67" i="59" s="1"/>
  <c r="H17" i="82"/>
  <c r="O20" i="74"/>
  <c r="O19" i="74" s="1"/>
  <c r="I13" i="74"/>
  <c r="AO19" i="26"/>
  <c r="AG20" i="26"/>
  <c r="AF78" i="26"/>
  <c r="Z94" i="26"/>
  <c r="Z58" i="20" s="1"/>
  <c r="K38" i="59"/>
  <c r="K39" i="59" s="1"/>
  <c r="K45" i="75"/>
  <c r="K46" i="75" s="1"/>
  <c r="K37" i="82"/>
  <c r="K38" i="82" s="1"/>
  <c r="W63" i="83"/>
  <c r="S64" i="83"/>
  <c r="S62" i="83" s="1"/>
  <c r="S65" i="83" s="1"/>
  <c r="N64" i="83"/>
  <c r="N125" i="88"/>
  <c r="H105" i="88" s="1"/>
  <c r="I105" i="88" s="1"/>
  <c r="J105" i="88" s="1"/>
  <c r="K105" i="88" s="1"/>
  <c r="L105" i="88" s="1"/>
  <c r="N33" i="88"/>
  <c r="AD125" i="88"/>
  <c r="AD33" i="88"/>
  <c r="AQ91" i="80"/>
  <c r="AP91" i="80"/>
  <c r="S13" i="78"/>
  <c r="S14" i="78" s="1"/>
  <c r="T70" i="70"/>
  <c r="T71" i="82" s="1"/>
  <c r="AI13" i="78"/>
  <c r="AI14" i="78" s="1"/>
  <c r="F24" i="35" s="1"/>
  <c r="AJ70" i="70"/>
  <c r="AJ71" i="82" s="1"/>
  <c r="AI70" i="70"/>
  <c r="AI71" i="82" s="1"/>
  <c r="AD15" i="59"/>
  <c r="AD14" i="59" s="1"/>
  <c r="AD65" i="59" s="1"/>
  <c r="AD16" i="82"/>
  <c r="AD15" i="82" s="1"/>
  <c r="P20" i="74"/>
  <c r="P19" i="74" s="1"/>
  <c r="J13" i="74"/>
  <c r="J20" i="74" s="1"/>
  <c r="J19" i="74" s="1"/>
  <c r="AA94" i="26"/>
  <c r="M16" i="30"/>
  <c r="S30" i="49"/>
  <c r="AE19" i="82"/>
  <c r="F7" i="84" s="1"/>
  <c r="G7" i="84" s="1"/>
  <c r="AF69" i="82"/>
  <c r="AF67" i="82" s="1"/>
  <c r="L30" i="59"/>
  <c r="J140" i="88"/>
  <c r="J33" i="88"/>
  <c r="Z33"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31" i="20"/>
  <c r="H20" i="91"/>
  <c r="H21" i="91" s="1"/>
  <c r="H22" i="91" s="1"/>
  <c r="N12" i="30"/>
  <c r="K33" i="49"/>
  <c r="K34" i="49" s="1"/>
  <c r="AA45" i="75"/>
  <c r="AA38" i="59"/>
  <c r="AA37" i="82"/>
  <c r="D23" i="49"/>
  <c r="AA34" i="49"/>
  <c r="M51" i="82"/>
  <c r="M48" i="82"/>
  <c r="M26" i="82" s="1"/>
  <c r="G66" i="83"/>
  <c r="G31" i="83" s="1"/>
  <c r="H72" i="83"/>
  <c r="O51" i="59"/>
  <c r="O26" i="59" s="1"/>
  <c r="N51" i="59"/>
  <c r="N26" i="59" s="1"/>
  <c r="M51" i="59"/>
  <c r="M26" i="59" s="1"/>
  <c r="L51" i="59"/>
  <c r="L26" i="59" s="1"/>
  <c r="L66" i="59" s="1"/>
  <c r="V51" i="59"/>
  <c r="V26" i="59" s="1"/>
  <c r="V54" i="59"/>
  <c r="AE12" i="30"/>
  <c r="L33" i="49"/>
  <c r="L34" i="49" s="1"/>
  <c r="N51" i="82"/>
  <c r="N48" i="82"/>
  <c r="N26" i="82" s="1"/>
  <c r="H66" i="83"/>
  <c r="W51" i="59"/>
  <c r="W26" i="59" s="1"/>
  <c r="W54" i="59"/>
  <c r="K38" i="75"/>
  <c r="N29" i="26"/>
  <c r="M29" i="26"/>
  <c r="AD94" i="26"/>
  <c r="AF12" i="30"/>
  <c r="AG12" i="30" s="1"/>
  <c r="AH12" i="30" s="1"/>
  <c r="AI12" i="30" s="1"/>
  <c r="AJ12" i="30" s="1"/>
  <c r="AK12" i="30" s="1"/>
  <c r="AL12" i="30" s="1"/>
  <c r="AM12" i="30" s="1"/>
  <c r="AN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AD14" i="30"/>
  <c r="AD12" i="30" s="1"/>
  <c r="N17" i="75"/>
  <c r="N27" i="75" s="1"/>
  <c r="N17" i="59"/>
  <c r="N18" i="82"/>
  <c r="N14" i="33"/>
  <c r="AD17" i="59"/>
  <c r="AD18" i="82"/>
  <c r="E5" i="84" s="1"/>
  <c r="AD14" i="33"/>
  <c r="AA13" i="33"/>
  <c r="Z13" i="33"/>
  <c r="Y13" i="33"/>
  <c r="L48" i="78"/>
  <c r="U70" i="70"/>
  <c r="U71" i="82" s="1"/>
  <c r="AK70" i="70"/>
  <c r="AK71" i="82" s="1"/>
  <c r="E11" i="26"/>
  <c r="E20" i="26" s="1"/>
  <c r="U11" i="26"/>
  <c r="K17" i="20"/>
  <c r="AE16" i="30"/>
  <c r="AD55" i="30"/>
  <c r="O17" i="75"/>
  <c r="O18" i="82"/>
  <c r="O14" i="33"/>
  <c r="AE17" i="59"/>
  <c r="AE18" i="82"/>
  <c r="F5" i="84" s="1"/>
  <c r="AE14" i="33"/>
  <c r="AE13" i="33"/>
  <c r="AD13" i="33"/>
  <c r="AC13" i="33"/>
  <c r="AB13" i="33"/>
  <c r="O38" i="82"/>
  <c r="W69" i="82"/>
  <c r="W67" i="82" s="1"/>
  <c r="E17" i="75"/>
  <c r="E18" i="82"/>
  <c r="U17" i="75"/>
  <c r="U17" i="59"/>
  <c r="U18" i="82"/>
  <c r="AL29" i="82"/>
  <c r="T48" i="82"/>
  <c r="T26" i="82" s="1"/>
  <c r="M63" i="83"/>
  <c r="L52" i="83"/>
  <c r="AB52" i="83"/>
  <c r="K72" i="83"/>
  <c r="J51" i="59"/>
  <c r="J26" i="59" s="1"/>
  <c r="O33" i="88"/>
  <c r="AE33" i="88"/>
  <c r="O21" i="75"/>
  <c r="O14" i="40"/>
  <c r="O17" i="40" s="1"/>
  <c r="O23" i="82"/>
  <c r="F17" i="75"/>
  <c r="F18" i="82"/>
  <c r="V17" i="75"/>
  <c r="V17" i="59"/>
  <c r="V18" i="82"/>
  <c r="M52" i="83"/>
  <c r="AC52" i="83"/>
  <c r="P33" i="88"/>
  <c r="P125" i="88"/>
  <c r="I38" i="88"/>
  <c r="AF125" i="88"/>
  <c r="AG125" i="88" s="1"/>
  <c r="AH125" i="88" s="1"/>
  <c r="AI125" i="88" s="1"/>
  <c r="AJ125" i="88" s="1"/>
  <c r="AK125" i="88" s="1"/>
  <c r="AL125" i="88" s="1"/>
  <c r="AM125" i="88" s="1"/>
  <c r="AN125" i="88" s="1"/>
  <c r="AF33" i="88"/>
  <c r="L45" i="75"/>
  <c r="L46" i="75" s="1"/>
  <c r="L38" i="59"/>
  <c r="L39" i="59" s="1"/>
  <c r="L37" i="82"/>
  <c r="L38" i="82" s="1"/>
  <c r="AD35" i="82"/>
  <c r="E3" i="84"/>
  <c r="AD13" i="82"/>
  <c r="F29" i="82"/>
  <c r="F63" i="82"/>
  <c r="V48" i="82"/>
  <c r="V26" i="82" s="1"/>
  <c r="N50" i="83"/>
  <c r="N26" i="83" s="1"/>
  <c r="I68" i="59"/>
  <c r="AE13" i="82"/>
  <c r="P29" i="82"/>
  <c r="W48" i="82"/>
  <c r="W26" i="82" s="1"/>
  <c r="AC50" i="83"/>
  <c r="P32" i="26"/>
  <c r="N30" i="49"/>
  <c r="D63" i="82"/>
  <c r="G4" i="84"/>
  <c r="Q48" i="82"/>
  <c r="Q26" i="82" s="1"/>
  <c r="X48" i="82"/>
  <c r="X26" i="82" s="1"/>
  <c r="X63" i="82" s="1"/>
  <c r="X51" i="82"/>
  <c r="V51" i="82"/>
  <c r="L83" i="82"/>
  <c r="L84" i="82" s="1"/>
  <c r="AA13" i="59"/>
  <c r="K141" i="88"/>
  <c r="K24" i="88"/>
  <c r="Q32" i="26"/>
  <c r="N31" i="30"/>
  <c r="N30" i="30" s="1"/>
  <c r="J17" i="75"/>
  <c r="J17" i="59"/>
  <c r="Z17" i="75"/>
  <c r="Z17" i="59"/>
  <c r="U13" i="82"/>
  <c r="E63" i="82"/>
  <c r="R48" i="82"/>
  <c r="R26" i="82" s="1"/>
  <c r="I48" i="82"/>
  <c r="I26" i="82" s="1"/>
  <c r="I63" i="82" s="1"/>
  <c r="Y48" i="82"/>
  <c r="Y26" i="82" s="1"/>
  <c r="Y51" i="82"/>
  <c r="W51" i="82"/>
  <c r="R63" i="83"/>
  <c r="E17" i="59"/>
  <c r="E68" i="59" s="1"/>
  <c r="E32" i="59" s="1"/>
  <c r="P32" i="88"/>
  <c r="I37" i="88"/>
  <c r="AF32" i="88"/>
  <c r="K17" i="75"/>
  <c r="K17" i="59"/>
  <c r="AA17" i="75"/>
  <c r="AA17" i="59"/>
  <c r="S48" i="82"/>
  <c r="S26" i="82" s="1"/>
  <c r="J48" i="82"/>
  <c r="J26" i="82" s="1"/>
  <c r="J63" i="82" s="1"/>
  <c r="J51" i="82"/>
  <c r="Z48" i="82"/>
  <c r="Z26" i="82" s="1"/>
  <c r="Z51" i="82"/>
  <c r="AC13" i="59"/>
  <c r="F17" i="59"/>
  <c r="Q32" i="88"/>
  <c r="Q51" i="59"/>
  <c r="Q26" i="59" s="1"/>
  <c r="AC51" i="59"/>
  <c r="AC26" i="59" s="1"/>
  <c r="AB51" i="59"/>
  <c r="AB26" i="59" s="1"/>
  <c r="AA51" i="59"/>
  <c r="AA26" i="59" s="1"/>
  <c r="Z51" i="59"/>
  <c r="Z26" i="59" s="1"/>
  <c r="U51" i="59"/>
  <c r="U26" i="59" s="1"/>
  <c r="O32" i="88"/>
  <c r="H37" i="88"/>
  <c r="AE32" i="88"/>
  <c r="D133" i="75"/>
  <c r="D137" i="75" s="1"/>
  <c r="N63" i="83"/>
  <c r="N94" i="83"/>
  <c r="M94" i="83"/>
  <c r="L94" i="83"/>
  <c r="R32" i="88"/>
  <c r="O149" i="88"/>
  <c r="O130" i="88"/>
  <c r="O123" i="88" s="1"/>
  <c r="P149" i="88"/>
  <c r="O135" i="88"/>
  <c r="O153" i="88" s="1"/>
  <c r="AE130" i="88"/>
  <c r="AE139" i="88" s="1"/>
  <c r="AE135" i="88"/>
  <c r="AE125" i="88" s="1"/>
  <c r="D66" i="83"/>
  <c r="D31" i="83" s="1"/>
  <c r="D30" i="83"/>
  <c r="D64" i="83"/>
  <c r="D62" i="83" s="1"/>
  <c r="D65" i="83" s="1"/>
  <c r="D74" i="83" s="1"/>
  <c r="D29" i="83" s="1"/>
  <c r="O38" i="83"/>
  <c r="X51" i="59"/>
  <c r="X26" i="59" s="1"/>
  <c r="X66" i="59" s="1"/>
  <c r="AD51" i="59"/>
  <c r="J66" i="59"/>
  <c r="J151" i="88"/>
  <c r="M155" i="88"/>
  <c r="M127" i="88"/>
  <c r="H107" i="88" s="1"/>
  <c r="E66" i="83"/>
  <c r="E31" i="83" s="1"/>
  <c r="E64" i="83"/>
  <c r="T32" i="88"/>
  <c r="I154" i="88"/>
  <c r="F66" i="83"/>
  <c r="F31" i="83" s="1"/>
  <c r="T50" i="83"/>
  <c r="T26" i="83" s="1"/>
  <c r="T64" i="83" s="1"/>
  <c r="S52" i="83"/>
  <c r="S17" i="59"/>
  <c r="AC71" i="59"/>
  <c r="AC73" i="59" s="1"/>
  <c r="L43" i="78"/>
  <c r="P50" i="83"/>
  <c r="P26" i="83" s="1"/>
  <c r="P64" i="83" s="1"/>
  <c r="P62" i="83" s="1"/>
  <c r="P65" i="83" s="1"/>
  <c r="U50" i="83"/>
  <c r="U26" i="83" s="1"/>
  <c r="U64" i="83" s="1"/>
  <c r="U62" i="83" s="1"/>
  <c r="U65" i="83" s="1"/>
  <c r="T52" i="83"/>
  <c r="K66" i="59"/>
  <c r="AE71" i="59"/>
  <c r="AE73" i="59" s="1"/>
  <c r="AE72" i="59" s="1"/>
  <c r="B7" i="84"/>
  <c r="H17" i="75"/>
  <c r="H17" i="59"/>
  <c r="G134" i="75"/>
  <c r="X17" i="75"/>
  <c r="G131" i="75"/>
  <c r="G132" i="75" s="1"/>
  <c r="X17" i="59"/>
  <c r="T17" i="33"/>
  <c r="S38" i="83"/>
  <c r="S40" i="83" s="1"/>
  <c r="V50" i="83"/>
  <c r="V26" i="83" s="1"/>
  <c r="V64" i="83" s="1"/>
  <c r="H68" i="59"/>
  <c r="Y17" i="75"/>
  <c r="Y17" i="59"/>
  <c r="D25" i="33"/>
  <c r="N30" i="83"/>
  <c r="W52" i="83"/>
  <c r="V52" i="83"/>
  <c r="M16" i="5"/>
  <c r="Y51" i="59"/>
  <c r="Y26" i="59" s="1"/>
  <c r="Z15" i="88"/>
  <c r="Z126"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0" i="88"/>
  <c r="AC24" i="88"/>
  <c r="P141" i="88"/>
  <c r="P24" i="88"/>
  <c r="AF141" i="88"/>
  <c r="AG141" i="88" s="1"/>
  <c r="AF24" i="88"/>
  <c r="C20" i="35" s="1"/>
  <c r="I24" i="88"/>
  <c r="Y24" i="88"/>
  <c r="Q141" i="88"/>
  <c r="Q24" i="88"/>
  <c r="AC33" i="88"/>
  <c r="O48" i="38"/>
  <c r="I67" i="38"/>
  <c r="L54" i="59"/>
  <c r="AB54" i="59"/>
  <c r="AD54" i="59"/>
  <c r="M40" i="78"/>
  <c r="N40" i="78" s="1"/>
  <c r="Y32" i="88"/>
  <c r="J24" i="88"/>
  <c r="Z24" i="88"/>
  <c r="E104" i="88"/>
  <c r="P30" i="59"/>
  <c r="M54" i="59"/>
  <c r="AC54" i="59"/>
  <c r="K47" i="78"/>
  <c r="K45" i="78"/>
  <c r="Z32" i="88"/>
  <c r="H38" i="88"/>
  <c r="L33" i="88"/>
  <c r="AB125" i="88"/>
  <c r="AB33" i="88"/>
  <c r="J155" i="88"/>
  <c r="J142" i="88"/>
  <c r="J127" i="88"/>
  <c r="P34" i="38"/>
  <c r="K51" i="59"/>
  <c r="K26" i="59" s="1"/>
  <c r="M33" i="88"/>
  <c r="L24" i="88"/>
  <c r="AB24" i="88"/>
  <c r="P40" i="38"/>
  <c r="R40" i="38" s="1"/>
  <c r="T41" i="38"/>
  <c r="S9" i="88"/>
  <c r="Q33" i="88"/>
  <c r="Q125" i="88"/>
  <c r="U135" i="88"/>
  <c r="U125" i="88" s="1"/>
  <c r="U130" i="88"/>
  <c r="U123" i="88" s="1"/>
  <c r="L7" i="21"/>
  <c r="J7" i="21"/>
  <c r="E77" i="21" s="1"/>
  <c r="M7" i="21"/>
  <c r="K7" i="21"/>
  <c r="Q12" i="21"/>
  <c r="P12" i="21"/>
  <c r="O12" i="21"/>
  <c r="N12" i="21"/>
  <c r="U32" i="88"/>
  <c r="S125" i="88"/>
  <c r="S33" i="88"/>
  <c r="G153" i="88"/>
  <c r="L150" i="88"/>
  <c r="T125" i="88"/>
  <c r="T33" i="88"/>
  <c r="M150" i="88"/>
  <c r="M41" i="78"/>
  <c r="N41" i="78" s="1"/>
  <c r="L41" i="78"/>
  <c r="U33" i="88"/>
  <c r="G40" i="88"/>
  <c r="G77" i="88" s="1"/>
  <c r="G84" i="88" s="1"/>
  <c r="G107" i="88" s="1"/>
  <c r="G140" i="88"/>
  <c r="X32" i="88"/>
  <c r="I149" i="88"/>
  <c r="I130" i="88"/>
  <c r="I135" i="88"/>
  <c r="I153" i="88" s="1"/>
  <c r="Y130" i="88"/>
  <c r="Y123" i="88" s="1"/>
  <c r="Y135" i="88"/>
  <c r="Y140" i="88" s="1"/>
  <c r="S151" i="88"/>
  <c r="S130" i="88"/>
  <c r="S123" i="88" s="1"/>
  <c r="M38" i="78"/>
  <c r="N38" i="78" s="1"/>
  <c r="G37" i="88"/>
  <c r="G74" i="88" s="1"/>
  <c r="G81" i="88" s="1"/>
  <c r="G104" i="88" s="1"/>
  <c r="V33" i="88"/>
  <c r="F130" i="88"/>
  <c r="F139" i="88" s="1"/>
  <c r="Z130" i="88"/>
  <c r="Z123" i="88" s="1"/>
  <c r="V135" i="88"/>
  <c r="V140" i="88" s="1"/>
  <c r="Q85" i="75"/>
  <c r="P85" i="75"/>
  <c r="R85" i="75"/>
  <c r="M85" i="75"/>
  <c r="L85" i="75"/>
  <c r="K85" i="75"/>
  <c r="J85" i="75"/>
  <c r="V85" i="75"/>
  <c r="U85" i="75"/>
  <c r="X104" i="75"/>
  <c r="X106" i="75" s="1"/>
  <c r="X105" i="75" s="1"/>
  <c r="W125" i="88"/>
  <c r="H141" i="88"/>
  <c r="G130" i="88"/>
  <c r="G148" i="88" s="1"/>
  <c r="Z135" i="88"/>
  <c r="Z140" i="88" s="1"/>
  <c r="P154" i="88"/>
  <c r="G79" i="21"/>
  <c r="AA24" i="88"/>
  <c r="S127" i="88"/>
  <c r="S155" i="88"/>
  <c r="J22" i="75"/>
  <c r="J36" i="75"/>
  <c r="P48" i="38"/>
  <c r="N56" i="38"/>
  <c r="J67" i="38"/>
  <c r="R4" i="21"/>
  <c r="U4" i="21"/>
  <c r="T4" i="21"/>
  <c r="S4" i="21"/>
  <c r="P130" i="88"/>
  <c r="P123" i="88" s="1"/>
  <c r="L22" i="75"/>
  <c r="L56" i="38"/>
  <c r="L36" i="75"/>
  <c r="G38" i="88"/>
  <c r="G75" i="88" s="1"/>
  <c r="G82" i="88" s="1"/>
  <c r="G105" i="88" s="1"/>
  <c r="H125" i="88"/>
  <c r="Z142" i="88"/>
  <c r="Q153" i="88"/>
  <c r="P38" i="38"/>
  <c r="R38" i="38" s="1"/>
  <c r="L36" i="78"/>
  <c r="L44" i="78"/>
  <c r="R153" i="88"/>
  <c r="G150" i="88"/>
  <c r="H101" i="75"/>
  <c r="O25" i="38"/>
  <c r="Q38" i="38"/>
  <c r="J125" i="88"/>
  <c r="I101" i="75"/>
  <c r="H99" i="75"/>
  <c r="S26" i="38"/>
  <c r="M26" i="38" s="1"/>
  <c r="O26" i="38" s="1"/>
  <c r="M25" i="38"/>
  <c r="K69" i="38"/>
  <c r="K66" i="38"/>
  <c r="AA125" i="88"/>
  <c r="O141" i="88"/>
  <c r="AE141" i="88"/>
  <c r="M142" i="88"/>
  <c r="AC142" i="88"/>
  <c r="E107" i="88"/>
  <c r="Q43" i="38"/>
  <c r="M15" i="40"/>
  <c r="M17" i="40"/>
  <c r="H153" i="88"/>
  <c r="R151" i="88"/>
  <c r="G152" i="88"/>
  <c r="K155" i="88"/>
  <c r="V87" i="75"/>
  <c r="R87" i="75"/>
  <c r="K87" i="75"/>
  <c r="J70" i="38"/>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0" i="88"/>
  <c r="N155" i="88"/>
  <c r="N87" i="75"/>
  <c r="L191" i="65"/>
  <c r="Y40" i="75"/>
  <c r="R23" i="75"/>
  <c r="R33" i="75"/>
  <c r="R38" i="75" s="1"/>
  <c r="L149" i="88"/>
  <c r="Q150" i="88"/>
  <c r="O155" i="88"/>
  <c r="O87" i="75"/>
  <c r="N14" i="38"/>
  <c r="M19" i="21"/>
  <c r="W38" i="30" s="1"/>
  <c r="W21" i="30" s="1"/>
  <c r="W16" i="30" s="1"/>
  <c r="L19" i="21"/>
  <c r="V38" i="30" s="1"/>
  <c r="V21" i="30" s="1"/>
  <c r="E7" i="5"/>
  <c r="Q7" i="21"/>
  <c r="P7" i="21"/>
  <c r="N7" i="21"/>
  <c r="O7" i="21"/>
  <c r="M149" i="88"/>
  <c r="R150" i="88"/>
  <c r="L154" i="88"/>
  <c r="K154" i="88"/>
  <c r="P155" i="88"/>
  <c r="L152" i="88"/>
  <c r="T27" i="75"/>
  <c r="F99" i="75"/>
  <c r="P87" i="75"/>
  <c r="M14" i="38"/>
  <c r="M46" i="38" s="1"/>
  <c r="M47" i="38" s="1"/>
  <c r="N25" i="38"/>
  <c r="P29" i="38"/>
  <c r="Q29" i="38" s="1"/>
  <c r="P35" i="38"/>
  <c r="M48" i="38"/>
  <c r="K56" i="38"/>
  <c r="F7" i="5"/>
  <c r="F10" i="5"/>
  <c r="V5" i="21" s="1"/>
  <c r="N141" i="88"/>
  <c r="AD141" i="88"/>
  <c r="N149" i="88"/>
  <c r="AD130" i="88"/>
  <c r="Q155"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7" i="40"/>
  <c r="S14" i="40"/>
  <c r="S15" i="40" s="1"/>
  <c r="M16" i="40"/>
  <c r="F6" i="5"/>
  <c r="M12" i="21"/>
  <c r="L12" i="21"/>
  <c r="K12" i="21"/>
  <c r="J12" i="21"/>
  <c r="Q49" i="21"/>
  <c r="V16" i="6"/>
  <c r="S85" i="75"/>
  <c r="N12" i="38"/>
  <c r="K65" i="38"/>
  <c r="K70" i="38" s="1"/>
  <c r="O22" i="75"/>
  <c r="O56" i="38"/>
  <c r="O36" i="75"/>
  <c r="M56" i="38"/>
  <c r="J15" i="40"/>
  <c r="J21" i="75"/>
  <c r="J38" i="75" s="1"/>
  <c r="T14" i="40"/>
  <c r="T16" i="40" s="1"/>
  <c r="E5" i="5"/>
  <c r="D4" i="21" s="1"/>
  <c r="D8" i="21"/>
  <c r="B16" i="5"/>
  <c r="I3" i="21"/>
  <c r="N130" i="88"/>
  <c r="T85" i="75"/>
  <c r="T87" i="75"/>
  <c r="P36" i="75"/>
  <c r="K15" i="40"/>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J126" i="88" l="1"/>
  <c r="L123" i="88"/>
  <c r="T126" i="88"/>
  <c r="I148" i="88"/>
  <c r="M9" i="88"/>
  <c r="M31" i="88" s="1"/>
  <c r="AB139" i="88"/>
  <c r="T25" i="88"/>
  <c r="AG142" i="88"/>
  <c r="AG30" i="88" s="1"/>
  <c r="D22" i="35" s="1"/>
  <c r="E26" i="55" s="1"/>
  <c r="N9" i="88"/>
  <c r="H123" i="88"/>
  <c r="O31" i="88"/>
  <c r="X25" i="88"/>
  <c r="AH10" i="88"/>
  <c r="AI10" i="88" s="1"/>
  <c r="AJ10" i="88" s="1"/>
  <c r="T31" i="88"/>
  <c r="AF123" i="88"/>
  <c r="AG123" i="88" s="1"/>
  <c r="AH123" i="88" s="1"/>
  <c r="AI123" i="88" s="1"/>
  <c r="AJ123" i="88" s="1"/>
  <c r="AK123" i="88" s="1"/>
  <c r="AL123" i="88" s="1"/>
  <c r="AM123" i="88" s="1"/>
  <c r="AN123" i="88" s="1"/>
  <c r="AA139" i="88"/>
  <c r="U25" i="88"/>
  <c r="AE126" i="88"/>
  <c r="AE25" i="88"/>
  <c r="K31" i="88"/>
  <c r="K125" i="88"/>
  <c r="W31" i="88"/>
  <c r="I45" i="88"/>
  <c r="S56" i="88" s="1"/>
  <c r="AA126" i="88"/>
  <c r="J40" i="88"/>
  <c r="J77" i="88" s="1"/>
  <c r="J84" i="88" s="1"/>
  <c r="H39" i="88"/>
  <c r="H76" i="88" s="1"/>
  <c r="H83" i="88" s="1"/>
  <c r="Y31" i="88"/>
  <c r="K153" i="88"/>
  <c r="L9" i="88"/>
  <c r="L31" i="88" s="1"/>
  <c r="AC139" i="88"/>
  <c r="Q139" i="88"/>
  <c r="Z25" i="88"/>
  <c r="L126" i="88"/>
  <c r="I77" i="88"/>
  <c r="I84" i="88" s="1"/>
  <c r="Y126" i="88"/>
  <c r="V123" i="88"/>
  <c r="Q9" i="88"/>
  <c r="Q31" i="88" s="1"/>
  <c r="K126" i="88"/>
  <c r="AG26" i="88"/>
  <c r="AS38" i="80" s="1"/>
  <c r="AD31" i="88"/>
  <c r="P126" i="88"/>
  <c r="O126" i="88"/>
  <c r="M139" i="88"/>
  <c r="L153" i="88"/>
  <c r="X123" i="88"/>
  <c r="M148" i="88"/>
  <c r="N31" i="88"/>
  <c r="W126" i="88"/>
  <c r="I9" i="88"/>
  <c r="I31" i="88" s="1"/>
  <c r="AH140" i="88"/>
  <c r="AH28" i="88" s="1"/>
  <c r="G39" i="88"/>
  <c r="G76" i="88" s="1"/>
  <c r="G83" i="88" s="1"/>
  <c r="G106" i="88" s="1"/>
  <c r="AD126" i="88"/>
  <c r="R148" i="88"/>
  <c r="U139" i="88"/>
  <c r="U9" i="88"/>
  <c r="U31" i="88" s="1"/>
  <c r="Y125" i="88"/>
  <c r="L125" i="88"/>
  <c r="L140" i="88"/>
  <c r="R123" i="88"/>
  <c r="I125" i="88"/>
  <c r="H45" i="88"/>
  <c r="O56" i="88" s="1"/>
  <c r="I140" i="88"/>
  <c r="AF9" i="88"/>
  <c r="C19" i="35" s="1"/>
  <c r="D23" i="55" s="1"/>
  <c r="G31" i="88"/>
  <c r="S148" i="88"/>
  <c r="Y25" i="88"/>
  <c r="AC9" i="88"/>
  <c r="AC31" i="88" s="1"/>
  <c r="V25" i="88"/>
  <c r="H9" i="88"/>
  <c r="H31" i="88" s="1"/>
  <c r="H126" i="88"/>
  <c r="W139" i="88"/>
  <c r="H148" i="88"/>
  <c r="AS37" i="80"/>
  <c r="AG15" i="88"/>
  <c r="AG9" i="88" s="1"/>
  <c r="S31" i="88"/>
  <c r="L148" i="88"/>
  <c r="J123" i="88"/>
  <c r="O140" i="88"/>
  <c r="Z125" i="88"/>
  <c r="O125" i="88"/>
  <c r="X9" i="88"/>
  <c r="X31" i="88" s="1"/>
  <c r="X126" i="88"/>
  <c r="V9" i="88"/>
  <c r="V31" i="88" s="1"/>
  <c r="AC25" i="88"/>
  <c r="AG19" i="88"/>
  <c r="C21" i="35"/>
  <c r="D25" i="55" s="1"/>
  <c r="M140" i="88"/>
  <c r="M153" i="88"/>
  <c r="C22" i="35"/>
  <c r="D26" i="55" s="1"/>
  <c r="S139" i="88"/>
  <c r="R9" i="88"/>
  <c r="R31" i="88" s="1"/>
  <c r="I39" i="88"/>
  <c r="I44" i="88" s="1"/>
  <c r="AB9" i="88"/>
  <c r="AB31" i="88" s="1"/>
  <c r="K148" i="88"/>
  <c r="K123" i="88"/>
  <c r="AA25" i="88"/>
  <c r="P153" i="88"/>
  <c r="N153" i="88"/>
  <c r="T123" i="88"/>
  <c r="AG48" i="82"/>
  <c r="N15" i="82"/>
  <c r="P15" i="82"/>
  <c r="L86" i="82"/>
  <c r="U15" i="82"/>
  <c r="I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T62" i="83"/>
  <c r="T65" i="83" s="1"/>
  <c r="O40" i="83"/>
  <c r="Q62" i="83"/>
  <c r="Q65" i="83" s="1"/>
  <c r="N62" i="83"/>
  <c r="N65" i="83" s="1"/>
  <c r="V62" i="83"/>
  <c r="V65" i="83" s="1"/>
  <c r="E62" i="83"/>
  <c r="E65" i="83" s="1"/>
  <c r="E74" i="83" s="1"/>
  <c r="E29" i="83" s="1"/>
  <c r="E33" i="83" s="1"/>
  <c r="M62" i="83"/>
  <c r="M65" i="83" s="1"/>
  <c r="I33" i="49"/>
  <c r="X33" i="49"/>
  <c r="X34" i="49" s="1"/>
  <c r="AC34" i="49"/>
  <c r="Y33" i="49"/>
  <c r="Y34" i="49" s="1"/>
  <c r="Q38" i="59"/>
  <c r="Q39" i="59" s="1"/>
  <c r="Q41" i="59" s="1"/>
  <c r="AF33" i="49"/>
  <c r="AF34" i="49" s="1"/>
  <c r="Q33" i="49"/>
  <c r="Q34" i="49" s="1"/>
  <c r="R33" i="49"/>
  <c r="R34" i="49" s="1"/>
  <c r="G21" i="49"/>
  <c r="G22" i="49" s="1"/>
  <c r="G23" i="49" s="1"/>
  <c r="H21" i="49"/>
  <c r="H22" i="49" s="1"/>
  <c r="H23" i="49" s="1"/>
  <c r="AF37" i="82"/>
  <c r="C11" i="35"/>
  <c r="D15" i="55" s="1"/>
  <c r="AF38" i="59"/>
  <c r="AB37" i="49"/>
  <c r="L40" i="82"/>
  <c r="Q37" i="82"/>
  <c r="Q38" i="82" s="1"/>
  <c r="P45" i="75"/>
  <c r="P46" i="75" s="1"/>
  <c r="Q48" i="75" s="1"/>
  <c r="P37" i="82"/>
  <c r="P38" i="82" s="1"/>
  <c r="P40" i="82" s="1"/>
  <c r="Z33" i="49"/>
  <c r="Z34" i="49" s="1"/>
  <c r="P33" i="49"/>
  <c r="P34" i="49" s="1"/>
  <c r="C10" i="35"/>
  <c r="D14" i="55" s="1"/>
  <c r="O25" i="30"/>
  <c r="W14" i="30"/>
  <c r="W12" i="30" s="1"/>
  <c r="AI18" i="30"/>
  <c r="AH16" i="30"/>
  <c r="AO30" i="26"/>
  <c r="AN58" i="20"/>
  <c r="K3" i="35"/>
  <c r="L5" i="55" s="1"/>
  <c r="Q16" i="26"/>
  <c r="Q77" i="26" s="1"/>
  <c r="AO29" i="26"/>
  <c r="I35" i="20"/>
  <c r="H17"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E33" i="59"/>
  <c r="J14" i="75"/>
  <c r="J17" i="82"/>
  <c r="J20" i="25"/>
  <c r="J16" i="82" s="1"/>
  <c r="E62" i="82"/>
  <c r="E61" i="82" s="1"/>
  <c r="E64" i="82" s="1"/>
  <c r="E31" i="82" s="1"/>
  <c r="E33" i="82"/>
  <c r="N37" i="30"/>
  <c r="N32" i="75"/>
  <c r="N24" i="59"/>
  <c r="N66" i="59" s="1"/>
  <c r="N24" i="82"/>
  <c r="Y104" i="75"/>
  <c r="Y106" i="75" s="1"/>
  <c r="Y105" i="75"/>
  <c r="P28" i="75"/>
  <c r="T62" i="82"/>
  <c r="Z33" i="75"/>
  <c r="Z23" i="75"/>
  <c r="Z25" i="82"/>
  <c r="Z33" i="82" s="1"/>
  <c r="Z25" i="59"/>
  <c r="F74" i="21"/>
  <c r="R16" i="30"/>
  <c r="R14" i="30"/>
  <c r="R12" i="30" s="1"/>
  <c r="J35" i="20"/>
  <c r="J17" i="20"/>
  <c r="N23" i="75"/>
  <c r="N33" i="75"/>
  <c r="N38" i="75" s="1"/>
  <c r="N25" i="59"/>
  <c r="N30" i="59" s="1"/>
  <c r="N25" i="82"/>
  <c r="N29" i="82" s="1"/>
  <c r="L52" i="78"/>
  <c r="L15" i="21"/>
  <c r="V36" i="26"/>
  <c r="O14" i="30"/>
  <c r="O12" i="30" s="1"/>
  <c r="O16" i="30"/>
  <c r="T24" i="75"/>
  <c r="T34" i="75"/>
  <c r="M5" i="21"/>
  <c r="L5" i="21"/>
  <c r="K5" i="21"/>
  <c r="J5" i="21"/>
  <c r="Q27" i="75"/>
  <c r="J153" i="88"/>
  <c r="J31" i="88"/>
  <c r="O15" i="40"/>
  <c r="H45" i="75"/>
  <c r="H46" i="75" s="1"/>
  <c r="H38" i="59"/>
  <c r="H39" i="59" s="1"/>
  <c r="H37" i="82"/>
  <c r="H38" i="82" s="1"/>
  <c r="H34" i="49"/>
  <c r="AA62" i="82"/>
  <c r="I98" i="75"/>
  <c r="I27" i="75"/>
  <c r="J45" i="75"/>
  <c r="J46" i="75" s="1"/>
  <c r="J48" i="75" s="1"/>
  <c r="J38" i="59"/>
  <c r="J39" i="59" s="1"/>
  <c r="K41" i="59" s="1"/>
  <c r="J34" i="49"/>
  <c r="J37" i="82"/>
  <c r="J38" i="82" s="1"/>
  <c r="U62" i="82"/>
  <c r="I62" i="83"/>
  <c r="I65" i="83" s="1"/>
  <c r="I74" i="83" s="1"/>
  <c r="I29" i="83" s="1"/>
  <c r="U29" i="21"/>
  <c r="D43" i="26"/>
  <c r="Q28" i="75"/>
  <c r="AN23" i="70"/>
  <c r="J2" i="71" s="1"/>
  <c r="L30" i="55"/>
  <c r="AC65" i="59"/>
  <c r="F33" i="49"/>
  <c r="J136" i="55"/>
  <c r="J102" i="55"/>
  <c r="N98" i="75"/>
  <c r="AH15" i="25"/>
  <c r="AH14" i="25" s="1"/>
  <c r="AH11" i="25" s="1"/>
  <c r="AH20" i="25" s="1"/>
  <c r="AI13" i="25"/>
  <c r="U40" i="21"/>
  <c r="O37" i="30"/>
  <c r="F5" i="21"/>
  <c r="I5" i="21"/>
  <c r="H5" i="21"/>
  <c r="G5" i="21"/>
  <c r="E80" i="21"/>
  <c r="T37" i="26"/>
  <c r="T17" i="26" s="1"/>
  <c r="AF24" i="59"/>
  <c r="AF24" i="82"/>
  <c r="AF33" i="82" s="1"/>
  <c r="C17" i="35" s="1"/>
  <c r="AE140" i="88"/>
  <c r="I123" i="88"/>
  <c r="K21" i="21"/>
  <c r="U46" i="30"/>
  <c r="J68" i="59"/>
  <c r="I32" i="59"/>
  <c r="I33" i="59" s="1"/>
  <c r="V40" i="21"/>
  <c r="V44" i="21"/>
  <c r="F83" i="21"/>
  <c r="N14" i="21"/>
  <c r="O40" i="21"/>
  <c r="O15" i="21"/>
  <c r="Y36" i="26"/>
  <c r="Y33" i="26" s="1"/>
  <c r="J35" i="21"/>
  <c r="C80" i="21"/>
  <c r="J69" i="38"/>
  <c r="J66" i="38"/>
  <c r="AB25" i="88"/>
  <c r="N45" i="75"/>
  <c r="N46" i="75" s="1"/>
  <c r="N37" i="82"/>
  <c r="N38" i="82" s="1"/>
  <c r="O40" i="82" s="1"/>
  <c r="N34" i="49"/>
  <c r="N38" i="59"/>
  <c r="N39" i="59" s="1"/>
  <c r="AD33" i="82"/>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48"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39" i="88"/>
  <c r="K18" i="21"/>
  <c r="U140" i="88"/>
  <c r="L92" i="83"/>
  <c r="L93" i="83" s="1"/>
  <c r="H98" i="75"/>
  <c r="H97" i="75" s="1"/>
  <c r="H100" i="75" s="1"/>
  <c r="H109" i="75" s="1"/>
  <c r="H37" i="75" s="1"/>
  <c r="H27" i="75"/>
  <c r="H26" i="75" s="1"/>
  <c r="H29" i="75" s="1"/>
  <c r="AJ58" i="20"/>
  <c r="G3" i="35"/>
  <c r="H5" i="55" s="1"/>
  <c r="N27" i="26"/>
  <c r="O28" i="26"/>
  <c r="N76" i="26"/>
  <c r="N15" i="26"/>
  <c r="E65" i="59"/>
  <c r="E64" i="59" s="1"/>
  <c r="E67" i="59" s="1"/>
  <c r="E76" i="59" s="1"/>
  <c r="E29" i="59" s="1"/>
  <c r="E34" i="59" s="1"/>
  <c r="AE34" i="20"/>
  <c r="AE33" i="20"/>
  <c r="K32" i="55"/>
  <c r="AM25" i="70"/>
  <c r="I4" i="71" s="1"/>
  <c r="G29" i="21"/>
  <c r="P40" i="83"/>
  <c r="E31" i="55"/>
  <c r="AG24" i="70"/>
  <c r="C3" i="71" s="1"/>
  <c r="E21" i="91"/>
  <c r="E22" i="91" s="1"/>
  <c r="T65" i="59"/>
  <c r="P62" i="82"/>
  <c r="P15" i="21"/>
  <c r="Z36" i="26"/>
  <c r="Q56" i="88"/>
  <c r="R56" i="88"/>
  <c r="P139" i="88"/>
  <c r="O41" i="59"/>
  <c r="H76" i="59"/>
  <c r="H29" i="59" s="1"/>
  <c r="H34" i="59" s="1"/>
  <c r="E98" i="75"/>
  <c r="E97" i="75" s="1"/>
  <c r="E100" i="75" s="1"/>
  <c r="E109" i="75" s="1"/>
  <c r="E37" i="75" s="1"/>
  <c r="E27" i="75"/>
  <c r="E26" i="75" s="1"/>
  <c r="E29" i="75" s="1"/>
  <c r="E101" i="75"/>
  <c r="E39" i="75" s="1"/>
  <c r="P25" i="21"/>
  <c r="Z44" i="30" s="1"/>
  <c r="Z42" i="30"/>
  <c r="Z25" i="30" s="1"/>
  <c r="R40" i="21"/>
  <c r="D20" i="21"/>
  <c r="N39" i="30" s="1"/>
  <c r="L17" i="40"/>
  <c r="L15" i="40"/>
  <c r="L16" i="40"/>
  <c r="R14" i="21"/>
  <c r="G83" i="21"/>
  <c r="H20" i="21"/>
  <c r="R39" i="30" s="1"/>
  <c r="M35" i="21"/>
  <c r="G82" i="21"/>
  <c r="V24" i="75"/>
  <c r="V34" i="75"/>
  <c r="W85" i="75"/>
  <c r="V125" i="88"/>
  <c r="V37" i="30"/>
  <c r="Q148" i="88"/>
  <c r="AE51" i="59"/>
  <c r="AD26" i="59"/>
  <c r="J37" i="88"/>
  <c r="I74" i="88"/>
  <c r="I81" i="88" s="1"/>
  <c r="I41" i="88"/>
  <c r="AG26" i="82"/>
  <c r="AG63" i="82" s="1"/>
  <c r="AH48" i="82"/>
  <c r="AO31" i="26"/>
  <c r="AK58" i="20"/>
  <c r="H3" i="35"/>
  <c r="I5" i="55" s="1"/>
  <c r="AK16" i="70"/>
  <c r="AK44" i="70"/>
  <c r="F31" i="55"/>
  <c r="AH24" i="70"/>
  <c r="D3" i="71" s="1"/>
  <c r="AM45" i="70"/>
  <c r="AM20" i="70" s="1"/>
  <c r="AM18" i="70"/>
  <c r="H29" i="21"/>
  <c r="S16" i="40"/>
  <c r="G14" i="75"/>
  <c r="G14" i="59"/>
  <c r="G17" i="82"/>
  <c r="G15" i="82" s="1"/>
  <c r="AF13" i="33"/>
  <c r="AI13" i="33"/>
  <c r="AH13" i="33"/>
  <c r="AG13" i="33"/>
  <c r="AG10" i="33" s="1"/>
  <c r="U33" i="49"/>
  <c r="U34" i="49" s="1"/>
  <c r="P65" i="59"/>
  <c r="C79" i="21"/>
  <c r="J18" i="21"/>
  <c r="AE31" i="88"/>
  <c r="AI58" i="20"/>
  <c r="F3" i="35"/>
  <c r="G5" i="55" s="1"/>
  <c r="S40" i="21"/>
  <c r="K17" i="40"/>
  <c r="O37" i="21"/>
  <c r="N37" i="21"/>
  <c r="M37" i="21"/>
  <c r="L37" i="21"/>
  <c r="V37" i="21"/>
  <c r="U37" i="21"/>
  <c r="T37" i="21"/>
  <c r="S37" i="21"/>
  <c r="R37" i="21"/>
  <c r="Q37" i="21"/>
  <c r="P37" i="21"/>
  <c r="V35" i="26"/>
  <c r="D23" i="21"/>
  <c r="N42" i="30" s="1"/>
  <c r="I19" i="21"/>
  <c r="S38" i="30" s="1"/>
  <c r="N35" i="21"/>
  <c r="W6" i="21"/>
  <c r="AH26" i="88"/>
  <c r="J101" i="75"/>
  <c r="I39" i="75"/>
  <c r="J24" i="75"/>
  <c r="J28" i="75" s="1"/>
  <c r="J34" i="75"/>
  <c r="J99" i="75" s="1"/>
  <c r="Z139" i="88"/>
  <c r="Y139" i="88"/>
  <c r="M25" i="21"/>
  <c r="W37" i="30"/>
  <c r="P31" i="88"/>
  <c r="K5" i="84"/>
  <c r="AL58"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P98" i="75"/>
  <c r="P27" i="75"/>
  <c r="P26" i="75" s="1"/>
  <c r="P29" i="75" s="1"/>
  <c r="V14" i="40"/>
  <c r="J16" i="40"/>
  <c r="I43" i="88"/>
  <c r="I75" i="88"/>
  <c r="I82" i="88" s="1"/>
  <c r="J38" i="88"/>
  <c r="AJ27" i="70"/>
  <c r="F6" i="71" s="1"/>
  <c r="H34" i="55"/>
  <c r="I33" i="82"/>
  <c r="I62" i="82"/>
  <c r="I61" i="82" s="1"/>
  <c r="I64" i="82" s="1"/>
  <c r="I31" i="82" s="1"/>
  <c r="S14" i="59"/>
  <c r="S65" i="59" s="1"/>
  <c r="S14" i="75"/>
  <c r="S17" i="82"/>
  <c r="S15" i="82" s="1"/>
  <c r="M15" i="21"/>
  <c r="W36" i="26"/>
  <c r="D76" i="21"/>
  <c r="F21" i="21"/>
  <c r="P46" i="30"/>
  <c r="P47" i="30" s="1"/>
  <c r="I24" i="21"/>
  <c r="O35" i="21"/>
  <c r="AI26" i="88"/>
  <c r="W70" i="59"/>
  <c r="H32" i="59"/>
  <c r="V70" i="59"/>
  <c r="V69" i="59" s="1"/>
  <c r="U70" i="59"/>
  <c r="U69" i="59" s="1"/>
  <c r="N37" i="26"/>
  <c r="W10" i="21"/>
  <c r="E20" i="21"/>
  <c r="O39" i="30" s="1"/>
  <c r="G21" i="21"/>
  <c r="Q46" i="30"/>
  <c r="Q47" i="30" s="1"/>
  <c r="I20" i="21"/>
  <c r="S39" i="30" s="1"/>
  <c r="P35" i="21"/>
  <c r="L34" i="75"/>
  <c r="L99" i="75" s="1"/>
  <c r="L24" i="75"/>
  <c r="L28" i="75" s="1"/>
  <c r="AA31" i="88"/>
  <c r="O139" i="88"/>
  <c r="M16" i="26"/>
  <c r="V13" i="33"/>
  <c r="U13" i="33"/>
  <c r="T13" i="33"/>
  <c r="W13" i="33"/>
  <c r="R48" i="75"/>
  <c r="H31" i="83"/>
  <c r="H33" i="83" s="1"/>
  <c r="W68" i="83"/>
  <c r="V68" i="83"/>
  <c r="V67" i="83" s="1"/>
  <c r="U68" i="83"/>
  <c r="U67" i="83" s="1"/>
  <c r="S45" i="75"/>
  <c r="S46" i="75" s="1"/>
  <c r="S48" i="75" s="1"/>
  <c r="S38" i="59"/>
  <c r="S39" i="59" s="1"/>
  <c r="S41" i="59" s="1"/>
  <c r="S37" i="82"/>
  <c r="S38" i="82" s="1"/>
  <c r="S40" i="82" s="1"/>
  <c r="S33" i="49"/>
  <c r="S34" i="49" s="1"/>
  <c r="L97" i="59"/>
  <c r="Z65" i="59"/>
  <c r="H15" i="82"/>
  <c r="AG19" i="82"/>
  <c r="AH69" i="82"/>
  <c r="AH67" i="82" s="1"/>
  <c r="AH66" i="82" s="1"/>
  <c r="K29" i="21"/>
  <c r="E99" i="55"/>
  <c r="E133" i="55"/>
  <c r="AG13" i="20"/>
  <c r="AH12" i="20"/>
  <c r="D4" i="35"/>
  <c r="E6" i="55" s="1"/>
  <c r="AB62" i="82"/>
  <c r="T45" i="75"/>
  <c r="T46" i="75" s="1"/>
  <c r="T37" i="82"/>
  <c r="T38" i="82" s="1"/>
  <c r="T38" i="59"/>
  <c r="T39" i="59" s="1"/>
  <c r="T33" i="49"/>
  <c r="T34" i="49" s="1"/>
  <c r="G134" i="55"/>
  <c r="G100" i="55"/>
  <c r="E76" i="21"/>
  <c r="J21" i="21"/>
  <c r="T46" i="30"/>
  <c r="T47" i="30" s="1"/>
  <c r="T40" i="21"/>
  <c r="N148" i="88"/>
  <c r="N123" i="88"/>
  <c r="H104" i="88" s="1"/>
  <c r="I104" i="88" s="1"/>
  <c r="J104" i="88" s="1"/>
  <c r="K104" i="88" s="1"/>
  <c r="L104" i="88" s="1"/>
  <c r="S24" i="75"/>
  <c r="S28" i="75" s="1"/>
  <c r="S34" i="75"/>
  <c r="P148" i="88"/>
  <c r="J24" i="21"/>
  <c r="AC26" i="83"/>
  <c r="AC64" i="83" s="1"/>
  <c r="AC62" i="83" s="1"/>
  <c r="AC65" i="83" s="1"/>
  <c r="AD50" i="83"/>
  <c r="P13" i="33"/>
  <c r="Q13" i="33"/>
  <c r="R13" i="33"/>
  <c r="S13" i="33"/>
  <c r="AM58" i="20"/>
  <c r="J3" i="35"/>
  <c r="K5" i="55" s="1"/>
  <c r="K14" i="75"/>
  <c r="K14" i="59"/>
  <c r="K65" i="59" s="1"/>
  <c r="K64" i="59" s="1"/>
  <c r="K67" i="59"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3" i="88"/>
  <c r="H75" i="88"/>
  <c r="H82" i="88" s="1"/>
  <c r="J23" i="21"/>
  <c r="T42" i="30" s="1"/>
  <c r="T25" i="30" s="1"/>
  <c r="L41" i="59"/>
  <c r="H74" i="88"/>
  <c r="H81" i="88" s="1"/>
  <c r="H41" i="88"/>
  <c r="G5" i="84"/>
  <c r="L5" i="84"/>
  <c r="M45" i="75"/>
  <c r="M46" i="75" s="1"/>
  <c r="M48" i="75" s="1"/>
  <c r="M38" i="59"/>
  <c r="M39" i="59" s="1"/>
  <c r="M41" i="59" s="1"/>
  <c r="M37" i="82"/>
  <c r="M38" i="82" s="1"/>
  <c r="M40" i="82" s="1"/>
  <c r="M34" i="49"/>
  <c r="F74" i="83"/>
  <c r="F29" i="83" s="1"/>
  <c r="F33" i="83" s="1"/>
  <c r="AE58" i="20"/>
  <c r="X9" i="50"/>
  <c r="Z33" i="26"/>
  <c r="Z13" i="26"/>
  <c r="Z20" i="26" s="1"/>
  <c r="Z78" i="26" s="1"/>
  <c r="AG29" i="70"/>
  <c r="AH29" i="70" s="1"/>
  <c r="AI29" i="70" s="1"/>
  <c r="AJ29" i="70" s="1"/>
  <c r="AK29" i="70" s="1"/>
  <c r="AL29" i="70" s="1"/>
  <c r="AM29" i="70" s="1"/>
  <c r="AN29" i="70" s="1"/>
  <c r="AN27" i="70"/>
  <c r="J6" i="71" s="1"/>
  <c r="L34" i="55"/>
  <c r="L29" i="21"/>
  <c r="T14" i="20"/>
  <c r="U30" i="70"/>
  <c r="AB65" i="59"/>
  <c r="D135" i="55"/>
  <c r="D101" i="55"/>
  <c r="J99" i="55"/>
  <c r="J133" i="55"/>
  <c r="V16" i="75"/>
  <c r="V14" i="75" s="1"/>
  <c r="V16" i="59"/>
  <c r="V14" i="59" s="1"/>
  <c r="V65" i="59" s="1"/>
  <c r="V17" i="82"/>
  <c r="V15" i="82" s="1"/>
  <c r="W21" i="25"/>
  <c r="K71" i="38"/>
  <c r="K73" i="38"/>
  <c r="O25" i="21"/>
  <c r="Y44" i="30" s="1"/>
  <c r="Y42" i="30"/>
  <c r="Y25" i="30" s="1"/>
  <c r="K34" i="75"/>
  <c r="K99" i="75" s="1"/>
  <c r="K24" i="75"/>
  <c r="K28" i="75" s="1"/>
  <c r="I139" i="88"/>
  <c r="AE123" i="88"/>
  <c r="Z62" i="82"/>
  <c r="AG32" i="20"/>
  <c r="D8" i="55"/>
  <c r="AF34" i="20"/>
  <c r="D9" i="55" s="1"/>
  <c r="AF33"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39" i="88"/>
  <c r="AD25" i="59"/>
  <c r="AD30" i="59" s="1"/>
  <c r="AD25" i="82"/>
  <c r="AD29" i="82" s="1"/>
  <c r="W5" i="50" s="1"/>
  <c r="R34" i="75"/>
  <c r="R24" i="75"/>
  <c r="R28" i="75" s="1"/>
  <c r="Z9" i="88"/>
  <c r="Z31" i="88" s="1"/>
  <c r="F76" i="21"/>
  <c r="K24" i="21"/>
  <c r="G33" i="83"/>
  <c r="AF58"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U14" i="75"/>
  <c r="M14" i="59"/>
  <c r="M65" i="59" s="1"/>
  <c r="D15" i="21"/>
  <c r="N36" i="26"/>
  <c r="N33" i="26" s="1"/>
  <c r="AE25" i="59"/>
  <c r="AE30" i="59" s="1"/>
  <c r="AE25" i="82"/>
  <c r="AE29" i="82" s="1"/>
  <c r="X5" i="50" s="1"/>
  <c r="P34" i="75"/>
  <c r="P24" i="75"/>
  <c r="T42" i="38"/>
  <c r="P41" i="38"/>
  <c r="R41" i="38" s="1"/>
  <c r="AF25" i="88"/>
  <c r="D24" i="55"/>
  <c r="AK139" i="88"/>
  <c r="AJ26" i="88"/>
  <c r="E82" i="21"/>
  <c r="AD123" i="88"/>
  <c r="AD139"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V103" i="75"/>
  <c r="U103" i="75"/>
  <c r="U102" i="75" s="1"/>
  <c r="H39" i="75"/>
  <c r="H41" i="75" s="1"/>
  <c r="AD25" i="88"/>
  <c r="F82" i="21"/>
  <c r="M45" i="78"/>
  <c r="N45" i="78" s="1"/>
  <c r="L45" i="78"/>
  <c r="D33" i="83"/>
  <c r="L95" i="83"/>
  <c r="AH142" i="88"/>
  <c r="G3" i="84"/>
  <c r="AG33" i="88"/>
  <c r="AH13" i="88"/>
  <c r="AD58" i="20"/>
  <c r="W9" i="50"/>
  <c r="AA58" i="20"/>
  <c r="T9" i="50"/>
  <c r="AG11" i="26"/>
  <c r="AG78" i="26"/>
  <c r="AH20" i="26"/>
  <c r="L14" i="75"/>
  <c r="L14" i="59"/>
  <c r="L65" i="59" s="1"/>
  <c r="L64" i="59" s="1"/>
  <c r="L67" i="59" s="1"/>
  <c r="L17" i="82"/>
  <c r="L15" i="82" s="1"/>
  <c r="S41" i="21"/>
  <c r="R14" i="59"/>
  <c r="R65" i="59" s="1"/>
  <c r="R17" i="82"/>
  <c r="R20" i="25"/>
  <c r="R16" i="82" s="1"/>
  <c r="W8" i="21"/>
  <c r="AC33" i="20"/>
  <c r="P29" i="21"/>
  <c r="I38" i="59"/>
  <c r="I39" i="59" s="1"/>
  <c r="I45" i="75"/>
  <c r="I46" i="75" s="1"/>
  <c r="I37" i="82"/>
  <c r="I38" i="82" s="1"/>
  <c r="I34" i="49"/>
  <c r="V33" i="49"/>
  <c r="V34" i="49" s="1"/>
  <c r="D119" i="55"/>
  <c r="D84" i="55"/>
  <c r="D83" i="21"/>
  <c r="F14" i="21"/>
  <c r="I21" i="21"/>
  <c r="S46" i="30"/>
  <c r="S47" i="30" s="1"/>
  <c r="Q37" i="30"/>
  <c r="C4" i="21"/>
  <c r="E16" i="5"/>
  <c r="D21" i="21"/>
  <c r="N46" i="30"/>
  <c r="N47" i="30" s="1"/>
  <c r="AG47" i="30"/>
  <c r="D6" i="35" s="1"/>
  <c r="E10" i="55" s="1"/>
  <c r="AB58" i="20"/>
  <c r="U9" i="50"/>
  <c r="W62" i="83"/>
  <c r="W65" i="83" s="1"/>
  <c r="D3" i="35"/>
  <c r="E5" i="55" s="1"/>
  <c r="AG58"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AB33" i="82" s="1"/>
  <c r="Q34" i="75"/>
  <c r="Q24" i="75"/>
  <c r="AH141" i="88"/>
  <c r="AG29" i="88"/>
  <c r="AP9"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48" i="88"/>
  <c r="M47" i="78"/>
  <c r="N47" i="78" s="1"/>
  <c r="L47" i="78"/>
  <c r="P41" i="59"/>
  <c r="F80" i="21"/>
  <c r="X37" i="26"/>
  <c r="X17" i="26" s="1"/>
  <c r="E3" i="35"/>
  <c r="F5" i="55" s="1"/>
  <c r="AH58" i="20"/>
  <c r="X10" i="50"/>
  <c r="T41" i="21"/>
  <c r="D80" i="55"/>
  <c r="D115" i="55"/>
  <c r="D29" i="21"/>
  <c r="D28" i="21" s="1"/>
  <c r="Q29" i="21"/>
  <c r="F14" i="75"/>
  <c r="F17" i="82"/>
  <c r="F15" i="82" s="1"/>
  <c r="F14" i="59"/>
  <c r="D14" i="75"/>
  <c r="D14" i="59"/>
  <c r="D17" i="82"/>
  <c r="D15" i="82" s="1"/>
  <c r="M14" i="75"/>
  <c r="V11" i="74"/>
  <c r="V19" i="74" s="1"/>
  <c r="V14" i="74"/>
  <c r="V13" i="74" s="1"/>
  <c r="W12" i="74"/>
  <c r="AE62" i="82"/>
  <c r="N62" i="82"/>
  <c r="I64" i="59"/>
  <c r="I67" i="59" s="1"/>
  <c r="I76" i="59" s="1"/>
  <c r="I29" i="59" s="1"/>
  <c r="V41" i="21"/>
  <c r="Q15" i="82"/>
  <c r="I31" i="83"/>
  <c r="I33" i="83" s="1"/>
  <c r="J66" i="83"/>
  <c r="J74" i="83" s="1"/>
  <c r="J29" i="83" s="1"/>
  <c r="E29" i="21"/>
  <c r="S29" i="21"/>
  <c r="J31" i="55"/>
  <c r="AL24" i="70"/>
  <c r="H3" i="71" s="1"/>
  <c r="H99" i="55"/>
  <c r="H133" i="55"/>
  <c r="F45" i="75"/>
  <c r="F46" i="75" s="1"/>
  <c r="F38" i="59"/>
  <c r="F39" i="59" s="1"/>
  <c r="F37" i="82"/>
  <c r="F38" i="82" s="1"/>
  <c r="F40" i="82" s="1"/>
  <c r="F34" i="49"/>
  <c r="N14" i="59"/>
  <c r="N65" i="59" s="1"/>
  <c r="N64" i="59" s="1"/>
  <c r="N67" i="59" s="1"/>
  <c r="K40" i="88" l="1"/>
  <c r="AG24" i="88"/>
  <c r="AH32" i="88"/>
  <c r="AI140" i="88"/>
  <c r="J45" i="88"/>
  <c r="T56" i="88"/>
  <c r="N56" i="88"/>
  <c r="P56" i="88"/>
  <c r="M56" i="88"/>
  <c r="AG32" i="88"/>
  <c r="J106" i="88"/>
  <c r="K106" i="88" s="1"/>
  <c r="L106" i="88" s="1"/>
  <c r="I106" i="88"/>
  <c r="H44" i="88"/>
  <c r="P55" i="88" s="1"/>
  <c r="AF31" i="88"/>
  <c r="D94" i="55"/>
  <c r="D129" i="55"/>
  <c r="J39" i="88"/>
  <c r="K39" i="88" s="1"/>
  <c r="D93" i="55"/>
  <c r="D128" i="55"/>
  <c r="I76" i="88"/>
  <c r="I83" i="88" s="1"/>
  <c r="AH9" i="88"/>
  <c r="E19" i="35" s="1"/>
  <c r="F23" i="55" s="1"/>
  <c r="AH19" i="88"/>
  <c r="D21" i="35"/>
  <c r="E25" i="55" s="1"/>
  <c r="R15" i="82"/>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D33" i="82"/>
  <c r="AI69" i="82"/>
  <c r="AI67" i="82" s="1"/>
  <c r="AI66" i="82" s="1"/>
  <c r="AH19" i="82"/>
  <c r="AG25" i="88"/>
  <c r="D20" i="35"/>
  <c r="E24" i="55" s="1"/>
  <c r="AG69" i="83"/>
  <c r="AG71" i="83" s="1"/>
  <c r="AG70" i="83" s="1"/>
  <c r="L33" i="82"/>
  <c r="L62" i="82"/>
  <c r="L61" i="82" s="1"/>
  <c r="L64" i="82" s="1"/>
  <c r="L31" i="82" s="1"/>
  <c r="F62" i="82"/>
  <c r="F61" i="82" s="1"/>
  <c r="F64" i="82" s="1"/>
  <c r="F31" i="82" s="1"/>
  <c r="F33" i="82"/>
  <c r="D75" i="21"/>
  <c r="P32" i="75"/>
  <c r="P99" i="75" s="1"/>
  <c r="P24" i="59"/>
  <c r="P66" i="59" s="1"/>
  <c r="P24" i="82"/>
  <c r="W14" i="74"/>
  <c r="W13" i="74" s="1"/>
  <c r="W11" i="74" s="1"/>
  <c r="W19" i="74" s="1"/>
  <c r="X12" i="74"/>
  <c r="N15" i="21"/>
  <c r="F85" i="21" s="1"/>
  <c r="F84" i="21"/>
  <c r="X36" i="26"/>
  <c r="X33" i="26" s="1"/>
  <c r="J134" i="55"/>
  <c r="J100" i="55"/>
  <c r="U21" i="30"/>
  <c r="AD75" i="30"/>
  <c r="E22" i="21"/>
  <c r="O41" i="30" s="1"/>
  <c r="O40" i="30"/>
  <c r="D111" i="55"/>
  <c r="D76" i="55"/>
  <c r="S28" i="21"/>
  <c r="AC81" i="26" s="1"/>
  <c r="AE66" i="59"/>
  <c r="D22" i="21"/>
  <c r="N40" i="30"/>
  <c r="I40" i="82"/>
  <c r="E74" i="21"/>
  <c r="T33" i="75"/>
  <c r="T23" i="75"/>
  <c r="T28" i="75" s="1"/>
  <c r="T26" i="75" s="1"/>
  <c r="T29" i="75" s="1"/>
  <c r="T25" i="59"/>
  <c r="T25" i="82"/>
  <c r="T29" i="82" s="1"/>
  <c r="AG18" i="70"/>
  <c r="AG45" i="70"/>
  <c r="AG20" i="70" s="1"/>
  <c r="W33" i="26"/>
  <c r="W13" i="26"/>
  <c r="V27" i="75"/>
  <c r="V98" i="75"/>
  <c r="O52" i="88"/>
  <c r="N52" i="88"/>
  <c r="M52" i="88"/>
  <c r="P52" i="88"/>
  <c r="C75" i="21"/>
  <c r="W5" i="21"/>
  <c r="M32" i="75"/>
  <c r="M99" i="75" s="1"/>
  <c r="M24" i="59"/>
  <c r="M24" i="82"/>
  <c r="F102" i="55"/>
  <c r="F136" i="55"/>
  <c r="M77" i="26"/>
  <c r="AO16" i="26"/>
  <c r="M20" i="26"/>
  <c r="M78" i="26" s="1"/>
  <c r="J43" i="88"/>
  <c r="J75" i="88"/>
  <c r="J82" i="88" s="1"/>
  <c r="K38" i="88"/>
  <c r="K134" i="55"/>
  <c r="K100" i="55"/>
  <c r="G108" i="55"/>
  <c r="G73" i="55"/>
  <c r="G65" i="59"/>
  <c r="G64" i="59" s="1"/>
  <c r="G67" i="59" s="1"/>
  <c r="G76" i="59" s="1"/>
  <c r="G29" i="59" s="1"/>
  <c r="G34" i="59" s="1"/>
  <c r="G68" i="59"/>
  <c r="G32" i="59" s="1"/>
  <c r="AH26" i="82"/>
  <c r="AH63" i="82" s="1"/>
  <c r="AI48" i="82"/>
  <c r="O27" i="26"/>
  <c r="O15" i="26"/>
  <c r="O20" i="26" s="1"/>
  <c r="O78" i="26" s="1"/>
  <c r="P28" i="26"/>
  <c r="O76" i="26"/>
  <c r="O73" i="26" s="1"/>
  <c r="O59" i="20" s="1"/>
  <c r="O60" i="20" s="1"/>
  <c r="V56" i="88"/>
  <c r="U56" i="88"/>
  <c r="X56" i="88"/>
  <c r="W56" i="88"/>
  <c r="Q32" i="75"/>
  <c r="Q99" i="75" s="1"/>
  <c r="Q97" i="75" s="1"/>
  <c r="Q100" i="75" s="1"/>
  <c r="Q24" i="59"/>
  <c r="Q66" i="59" s="1"/>
  <c r="Q64" i="59" s="1"/>
  <c r="Q67" i="59" s="1"/>
  <c r="Q24" i="82"/>
  <c r="Q63" i="82" s="1"/>
  <c r="E75" i="21"/>
  <c r="T24" i="82"/>
  <c r="Z29" i="82"/>
  <c r="Z63" i="82"/>
  <c r="J98" i="75"/>
  <c r="J97" i="75" s="1"/>
  <c r="J100" i="75" s="1"/>
  <c r="J109" i="75" s="1"/>
  <c r="J37" i="75" s="1"/>
  <c r="J27" i="75"/>
  <c r="J26" i="75" s="1"/>
  <c r="J29" i="75" s="1"/>
  <c r="E94" i="55"/>
  <c r="E129" i="55"/>
  <c r="S24" i="82"/>
  <c r="S63" i="82" s="1"/>
  <c r="S32" i="75"/>
  <c r="S99" i="75" s="1"/>
  <c r="S24" i="59"/>
  <c r="S66" i="59" s="1"/>
  <c r="S64" i="59" s="1"/>
  <c r="S67" i="59" s="1"/>
  <c r="X16" i="30"/>
  <c r="X14" i="30"/>
  <c r="X12" i="30" s="1"/>
  <c r="R64" i="59"/>
  <c r="R67" i="59" s="1"/>
  <c r="H137" i="55"/>
  <c r="H103" i="55"/>
  <c r="I108" i="55"/>
  <c r="I73" i="55"/>
  <c r="M98" i="75"/>
  <c r="M27" i="75"/>
  <c r="F108" i="55"/>
  <c r="F73" i="55"/>
  <c r="Y29" i="82"/>
  <c r="Y63" i="82"/>
  <c r="L98" i="75"/>
  <c r="L97" i="75" s="1"/>
  <c r="L100" i="75" s="1"/>
  <c r="L27" i="75"/>
  <c r="L26" i="75" s="1"/>
  <c r="L29" i="75" s="1"/>
  <c r="AH30" i="88"/>
  <c r="E22" i="35" s="1"/>
  <c r="F26" i="55" s="1"/>
  <c r="AI142" i="88"/>
  <c r="W33" i="75"/>
  <c r="W38" i="75" s="1"/>
  <c r="W23" i="75"/>
  <c r="W25" i="59"/>
  <c r="W30" i="59" s="1"/>
  <c r="W25" i="82"/>
  <c r="W29" i="82" s="1"/>
  <c r="Z61" i="82"/>
  <c r="Z64" i="82" s="1"/>
  <c r="G98" i="75"/>
  <c r="G97" i="75" s="1"/>
  <c r="G100" i="75" s="1"/>
  <c r="G27" i="75"/>
  <c r="G26" i="75" s="1"/>
  <c r="G29" i="75" s="1"/>
  <c r="G101" i="75"/>
  <c r="G39" i="75" s="1"/>
  <c r="E41" i="75"/>
  <c r="D126" i="55"/>
  <c r="D91" i="55"/>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M33" i="82"/>
  <c r="H47" i="21"/>
  <c r="R83" i="26" s="1"/>
  <c r="K98" i="75"/>
  <c r="K97" i="75" s="1"/>
  <c r="K100" i="75" s="1"/>
  <c r="K27" i="75"/>
  <c r="K26" i="75" s="1"/>
  <c r="K29" i="75" s="1"/>
  <c r="AM26" i="70"/>
  <c r="I5" i="71" s="1"/>
  <c r="K33" i="55"/>
  <c r="J74" i="88"/>
  <c r="J81" i="88" s="1"/>
  <c r="K37" i="88"/>
  <c r="J41" i="88"/>
  <c r="R15" i="21"/>
  <c r="G85" i="21" s="1"/>
  <c r="G84" i="21"/>
  <c r="G87" i="21" s="1"/>
  <c r="AB36" i="26"/>
  <c r="AB33" i="26" s="1"/>
  <c r="E134" i="55"/>
  <c r="E100" i="55"/>
  <c r="S55" i="88"/>
  <c r="R55" i="88"/>
  <c r="Q55" i="88"/>
  <c r="T55" i="88"/>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39" i="88"/>
  <c r="AK26" i="88"/>
  <c r="I47" i="21"/>
  <c r="S83" i="26" s="1"/>
  <c r="AB64" i="59"/>
  <c r="AB67" i="59" s="1"/>
  <c r="P54" i="88"/>
  <c r="O54" i="88"/>
  <c r="N54" i="88"/>
  <c r="M54" i="88"/>
  <c r="K108" i="55"/>
  <c r="K73" i="55"/>
  <c r="AJ140" i="88"/>
  <c r="AI28" i="88"/>
  <c r="E109" i="55"/>
  <c r="E74" i="55"/>
  <c r="H33" i="59"/>
  <c r="W12" i="21"/>
  <c r="C82" i="21"/>
  <c r="T37" i="30"/>
  <c r="AM27" i="70"/>
  <c r="I6" i="71" s="1"/>
  <c r="K34" i="55"/>
  <c r="H48" i="75"/>
  <c r="Z38" i="75"/>
  <c r="AI141" i="88"/>
  <c r="AH29" i="88"/>
  <c r="AH24" i="88" s="1"/>
  <c r="K76" i="59"/>
  <c r="K29" i="59"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27" i="75"/>
  <c r="U98" i="75"/>
  <c r="E40" i="82"/>
  <c r="J47" i="21"/>
  <c r="T83" i="26" s="1"/>
  <c r="V47" i="21"/>
  <c r="AF83" i="26" s="1"/>
  <c r="AG83" i="26" s="1"/>
  <c r="AH83" i="26" s="1"/>
  <c r="AI83" i="26" s="1"/>
  <c r="AJ83" i="26" s="1"/>
  <c r="AK83" i="26" s="1"/>
  <c r="AL83" i="26" s="1"/>
  <c r="AM83" i="26" s="1"/>
  <c r="AN83" i="26" s="1"/>
  <c r="U14" i="20"/>
  <c r="V30" i="70"/>
  <c r="AH13" i="20"/>
  <c r="AI12" i="20"/>
  <c r="E4" i="35"/>
  <c r="F6" i="55" s="1"/>
  <c r="X70" i="59"/>
  <c r="W69" i="59"/>
  <c r="P97" i="75"/>
  <c r="P100" i="75" s="1"/>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2" i="88"/>
  <c r="S52" i="88"/>
  <c r="R52" i="88"/>
  <c r="Q52" i="88"/>
  <c r="H108" i="55"/>
  <c r="H73" i="55"/>
  <c r="C74" i="21"/>
  <c r="W4" i="21"/>
  <c r="M23" i="75"/>
  <c r="M28" i="75" s="1"/>
  <c r="M33" i="75"/>
  <c r="M38" i="75" s="1"/>
  <c r="M25" i="59"/>
  <c r="M30" i="59" s="1"/>
  <c r="M25" i="82"/>
  <c r="M29" i="82" s="1"/>
  <c r="W40" i="75"/>
  <c r="W31" i="59"/>
  <c r="W30" i="82"/>
  <c r="K68" i="59"/>
  <c r="J32" i="59"/>
  <c r="F98" i="75"/>
  <c r="F97" i="75" s="1"/>
  <c r="F100" i="75" s="1"/>
  <c r="F27" i="75"/>
  <c r="F26" i="75" s="1"/>
  <c r="F29" i="75" s="1"/>
  <c r="F101" i="75"/>
  <c r="F39" i="75" s="1"/>
  <c r="AB38" i="75"/>
  <c r="I22" i="21"/>
  <c r="S41" i="30" s="1"/>
  <c r="S40" i="30"/>
  <c r="E87" i="21"/>
  <c r="E41" i="59"/>
  <c r="K47" i="21"/>
  <c r="U83" i="26" s="1"/>
  <c r="Q83" i="26"/>
  <c r="O32" i="75"/>
  <c r="O24" i="59"/>
  <c r="O24" i="82"/>
  <c r="O33" i="82" s="1"/>
  <c r="F134" i="55"/>
  <c r="F100" i="55"/>
  <c r="AE26" i="59"/>
  <c r="AF51" i="59"/>
  <c r="K40" i="82"/>
  <c r="AD83" i="30"/>
  <c r="U47" i="30"/>
  <c r="AD84" i="30" s="1"/>
  <c r="F41" i="59"/>
  <c r="I34" i="59"/>
  <c r="G40" i="82"/>
  <c r="E48" i="75"/>
  <c r="AC29" i="82"/>
  <c r="V5" i="50" s="1"/>
  <c r="AC63" i="82"/>
  <c r="AC61" i="82" s="1"/>
  <c r="AC64" i="82" s="1"/>
  <c r="AC33" i="82"/>
  <c r="AD34" i="82" s="1"/>
  <c r="S27" i="75"/>
  <c r="S26" i="75" s="1"/>
  <c r="S29" i="75" s="1"/>
  <c r="S98" i="75"/>
  <c r="S97" i="75" s="1"/>
  <c r="S100" i="75" s="1"/>
  <c r="I41" i="75"/>
  <c r="P64" i="59"/>
  <c r="P67" i="59" s="1"/>
  <c r="W7" i="21"/>
  <c r="K101" i="55"/>
  <c r="K135" i="55"/>
  <c r="K25" i="21"/>
  <c r="U37" i="30"/>
  <c r="AD74" i="30" s="1"/>
  <c r="AA29" i="82"/>
  <c r="T5" i="50" s="1"/>
  <c r="K22" i="21"/>
  <c r="U41" i="30" s="1"/>
  <c r="AD78" i="30" s="1"/>
  <c r="U40" i="30"/>
  <c r="AD77" i="30" s="1"/>
  <c r="N63" i="82"/>
  <c r="P28" i="21"/>
  <c r="Z81" i="26" s="1"/>
  <c r="Q28" i="21"/>
  <c r="AA81" i="26" s="1"/>
  <c r="E108" i="55"/>
  <c r="E73" i="55"/>
  <c r="J22" i="21"/>
  <c r="T41" i="30" s="1"/>
  <c r="T40" i="30"/>
  <c r="X68" i="83"/>
  <c r="W67" i="83"/>
  <c r="K101" i="75"/>
  <c r="J39" i="75"/>
  <c r="AI15" i="25"/>
  <c r="AI14" i="25" s="1"/>
  <c r="AI11" i="25" s="1"/>
  <c r="AI20" i="25" s="1"/>
  <c r="AJ13" i="25"/>
  <c r="Z104" i="75"/>
  <c r="Z106" i="75" s="1"/>
  <c r="Z105" i="75" s="1"/>
  <c r="R62" i="82"/>
  <c r="G48" i="75"/>
  <c r="AC30" i="59"/>
  <c r="AC66" i="59"/>
  <c r="AC64" i="59" s="1"/>
  <c r="AC67" i="59" s="1"/>
  <c r="J28" i="21"/>
  <c r="J108" i="55"/>
  <c r="J73" i="55"/>
  <c r="AK45" i="70"/>
  <c r="AK20" i="70" s="1"/>
  <c r="AK18" i="70"/>
  <c r="L25" i="21"/>
  <c r="Z14" i="30"/>
  <c r="Z12" i="30" s="1"/>
  <c r="Z16" i="30"/>
  <c r="AA30" i="59"/>
  <c r="J31" i="83"/>
  <c r="J33" i="83" s="1"/>
  <c r="K66" i="83"/>
  <c r="C15" i="21"/>
  <c r="W14" i="21"/>
  <c r="C84" i="21"/>
  <c r="F15" i="21"/>
  <c r="D85" i="21" s="1"/>
  <c r="D84" i="21"/>
  <c r="P36" i="26"/>
  <c r="P33" i="26" s="1"/>
  <c r="AI32" i="88"/>
  <c r="I134" i="55"/>
  <c r="I100" i="55"/>
  <c r="M47" i="21"/>
  <c r="W83" i="26" s="1"/>
  <c r="Y14" i="30"/>
  <c r="Y12" i="30" s="1"/>
  <c r="Y16" i="30"/>
  <c r="AC38" i="75"/>
  <c r="G22" i="21"/>
  <c r="Q41" i="30" s="1"/>
  <c r="Q40" i="30"/>
  <c r="K133" i="55"/>
  <c r="K99" i="55"/>
  <c r="W3" i="50"/>
  <c r="N61" i="82"/>
  <c r="N64" i="82" s="1"/>
  <c r="N31" i="82" s="1"/>
  <c r="D87" i="21"/>
  <c r="W103" i="75"/>
  <c r="V102" i="75"/>
  <c r="D127" i="55"/>
  <c r="D92" i="55"/>
  <c r="H134" i="55"/>
  <c r="H100" i="55"/>
  <c r="K15" i="82"/>
  <c r="H22" i="21"/>
  <c r="R41" i="30" s="1"/>
  <c r="R40" i="30"/>
  <c r="AB66" i="59"/>
  <c r="AD26" i="83"/>
  <c r="AE50" i="83"/>
  <c r="AG18" i="82"/>
  <c r="D12" i="35"/>
  <c r="E16" i="55" s="1"/>
  <c r="AG17" i="59"/>
  <c r="AH10" i="33"/>
  <c r="AK25" i="70"/>
  <c r="G4" i="71" s="1"/>
  <c r="I32" i="55"/>
  <c r="AA38" i="75"/>
  <c r="N41" i="59"/>
  <c r="J41" i="59"/>
  <c r="N33" i="82"/>
  <c r="G62" i="82"/>
  <c r="G61" i="82" s="1"/>
  <c r="G64" i="82" s="1"/>
  <c r="G31" i="82" s="1"/>
  <c r="G33" i="82"/>
  <c r="AH47" i="30"/>
  <c r="E6" i="35" s="1"/>
  <c r="F10" i="55" s="1"/>
  <c r="R14" i="75"/>
  <c r="AH33" i="88"/>
  <c r="AI13"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4" i="88"/>
  <c r="T54" i="88"/>
  <c r="S54" i="88"/>
  <c r="R54" i="88"/>
  <c r="D65" i="59"/>
  <c r="D64" i="59" s="1"/>
  <c r="D67" i="59" s="1"/>
  <c r="D68" i="59"/>
  <c r="D32" i="59" s="1"/>
  <c r="Y30" i="59"/>
  <c r="Y66" i="59"/>
  <c r="AG31" i="88"/>
  <c r="D19" i="35"/>
  <c r="E23" i="55" s="1"/>
  <c r="O62" i="82"/>
  <c r="AF63" i="82"/>
  <c r="Y4" i="50"/>
  <c r="AQ9" i="88"/>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59" i="20" s="1"/>
  <c r="Z60" i="20" s="1"/>
  <c r="O52" i="21"/>
  <c r="O47" i="21" s="1"/>
  <c r="Y83" i="26" s="1"/>
  <c r="Y73" i="26" s="1"/>
  <c r="Y59" i="20" s="1"/>
  <c r="Y60" i="20" s="1"/>
  <c r="N52" i="21"/>
  <c r="N47" i="21" s="1"/>
  <c r="X83" i="26" s="1"/>
  <c r="M52" i="21"/>
  <c r="L52" i="21"/>
  <c r="L47" i="21" s="1"/>
  <c r="V83" i="26" s="1"/>
  <c r="K52" i="21"/>
  <c r="D78" i="21"/>
  <c r="J52" i="21"/>
  <c r="I52" i="21"/>
  <c r="H52" i="21"/>
  <c r="V52" i="21"/>
  <c r="V62" i="82"/>
  <c r="I5" i="84"/>
  <c r="H62" i="82"/>
  <c r="H61" i="82" s="1"/>
  <c r="H64" i="82" s="1"/>
  <c r="H31" i="82" s="1"/>
  <c r="H33" i="82"/>
  <c r="I73" i="38"/>
  <c r="I71" i="38"/>
  <c r="I97" i="75"/>
  <c r="I100" i="75" s="1"/>
  <c r="I109" i="75" s="1"/>
  <c r="I37" i="75" s="1"/>
  <c r="X4" i="50"/>
  <c r="AE63" i="82"/>
  <c r="AE61" i="82" s="1"/>
  <c r="AE64" i="82" s="1"/>
  <c r="AE33" i="82"/>
  <c r="AF34" i="82" s="1"/>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32" i="20"/>
  <c r="AG33" i="20"/>
  <c r="D5" i="35"/>
  <c r="E8" i="55" s="1"/>
  <c r="AG34" i="20"/>
  <c r="E9" i="55" s="1"/>
  <c r="O98" i="75"/>
  <c r="O27" i="75"/>
  <c r="Z64" i="59"/>
  <c r="Z67" i="59" s="1"/>
  <c r="N17" i="26"/>
  <c r="AO17" i="26" s="1"/>
  <c r="AO37" i="26"/>
  <c r="AP16" i="26" s="1"/>
  <c r="F22" i="21"/>
  <c r="P41" i="30" s="1"/>
  <c r="P40" i="30"/>
  <c r="V33" i="26"/>
  <c r="V13" i="26"/>
  <c r="D117" i="55"/>
  <c r="D82" i="55"/>
  <c r="AG14" i="59"/>
  <c r="AG15" i="82"/>
  <c r="D8" i="35"/>
  <c r="K45" i="88"/>
  <c r="K77" i="88"/>
  <c r="K84" i="88" s="1"/>
  <c r="L40" i="88"/>
  <c r="AA33" i="82"/>
  <c r="AB34" i="82" s="1"/>
  <c r="Q26" i="75"/>
  <c r="Q29" i="75" s="1"/>
  <c r="Z30" i="59"/>
  <c r="Z66" i="59"/>
  <c r="J14" i="59"/>
  <c r="J65" i="59" s="1"/>
  <c r="J64" i="59" s="1"/>
  <c r="J67" i="59" s="1"/>
  <c r="J76" i="59" s="1"/>
  <c r="J29" i="59" s="1"/>
  <c r="J34" i="59" s="1"/>
  <c r="K48" i="75"/>
  <c r="N55" i="88" l="1"/>
  <c r="O55" i="88"/>
  <c r="M55" i="88"/>
  <c r="J76" i="88"/>
  <c r="J83" i="88" s="1"/>
  <c r="J44" i="88"/>
  <c r="E128" i="55"/>
  <c r="E93" i="55"/>
  <c r="AI15" i="88"/>
  <c r="AI9" i="88" s="1"/>
  <c r="AI19" i="88"/>
  <c r="E21" i="35"/>
  <c r="F25" i="55" s="1"/>
  <c r="V33" i="82"/>
  <c r="R33" i="82"/>
  <c r="R61" i="82"/>
  <c r="R64" i="82" s="1"/>
  <c r="R31" i="82" s="1"/>
  <c r="M63" i="82"/>
  <c r="Q33" i="82"/>
  <c r="M61" i="82"/>
  <c r="M64" i="82" s="1"/>
  <c r="M31" i="82" s="1"/>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O36" i="26"/>
  <c r="AP14" i="26" s="1"/>
  <c r="E12" i="55"/>
  <c r="AS33" i="80"/>
  <c r="Y17" i="20"/>
  <c r="Y35" i="20"/>
  <c r="AE65" i="82"/>
  <c r="AF64" i="82"/>
  <c r="AE31" i="82"/>
  <c r="F6" i="84" s="1"/>
  <c r="AB59" i="20"/>
  <c r="AB60" i="20" s="1"/>
  <c r="U2" i="50"/>
  <c r="AH25" i="88"/>
  <c r="E20" i="35"/>
  <c r="F24" i="55" s="1"/>
  <c r="AH31" i="88"/>
  <c r="AA31" i="82"/>
  <c r="AA65" i="82"/>
  <c r="AI14" i="59"/>
  <c r="AI15" i="82"/>
  <c r="F8" i="35"/>
  <c r="G12" i="55" s="1"/>
  <c r="AB31" i="82"/>
  <c r="Z35" i="20"/>
  <c r="Z17" i="20"/>
  <c r="AJ69" i="82"/>
  <c r="AJ67" i="82" s="1"/>
  <c r="AJ66" i="82" s="1"/>
  <c r="AI19" i="82"/>
  <c r="M83" i="82"/>
  <c r="AA104" i="75"/>
  <c r="AA106" i="75" s="1"/>
  <c r="AA105" i="75" s="1"/>
  <c r="AA56" i="88"/>
  <c r="Z56" i="88"/>
  <c r="AB56" i="88"/>
  <c r="Y56" i="88"/>
  <c r="D122" i="55"/>
  <c r="D87" i="55"/>
  <c r="AJ32" i="88"/>
  <c r="AO9" i="88"/>
  <c r="AA73" i="26"/>
  <c r="O26" i="75"/>
  <c r="O29" i="75" s="1"/>
  <c r="S33" i="38"/>
  <c r="O32" i="38"/>
  <c r="Q32" i="38" s="1"/>
  <c r="S44" i="30"/>
  <c r="I26" i="21"/>
  <c r="Y70" i="59"/>
  <c r="X69" i="59"/>
  <c r="AM139" i="88"/>
  <c r="AL26" i="88"/>
  <c r="AI32" i="20"/>
  <c r="AH34" i="20"/>
  <c r="F9" i="55" s="1"/>
  <c r="AH33" i="20"/>
  <c r="E5" i="35"/>
  <c r="F8" i="55" s="1"/>
  <c r="K103" i="55"/>
  <c r="K137" i="55"/>
  <c r="AF26" i="59"/>
  <c r="AG51" i="59"/>
  <c r="L77" i="88"/>
  <c r="L84" i="88" s="1"/>
  <c r="M40" i="88"/>
  <c r="E135" i="55"/>
  <c r="E101" i="55"/>
  <c r="AI10" i="33"/>
  <c r="AH18" i="82"/>
  <c r="E12" i="35"/>
  <c r="F16" i="55" s="1"/>
  <c r="AH17" i="59"/>
  <c r="W15" i="21"/>
  <c r="C85" i="21"/>
  <c r="C87" i="21" s="1"/>
  <c r="F91" i="55"/>
  <c r="F126" i="55"/>
  <c r="W47" i="21"/>
  <c r="F74" i="55"/>
  <c r="F109" i="55"/>
  <c r="AJ141" i="88"/>
  <c r="AI29" i="88"/>
  <c r="AI24" i="88" s="1"/>
  <c r="AJ142" i="88"/>
  <c r="AI30" i="88"/>
  <c r="F22" i="35" s="1"/>
  <c r="G26" i="55" s="1"/>
  <c r="M66" i="59"/>
  <c r="M64" i="59" s="1"/>
  <c r="M67" i="59" s="1"/>
  <c r="T30" i="59"/>
  <c r="T66" i="59"/>
  <c r="T64" i="59" s="1"/>
  <c r="T67" i="59" s="1"/>
  <c r="F94" i="55"/>
  <c r="F129" i="55"/>
  <c r="F76" i="59"/>
  <c r="F29" i="59" s="1"/>
  <c r="F34" i="59" s="1"/>
  <c r="X24" i="75"/>
  <c r="X28" i="75" s="1"/>
  <c r="X26" i="75" s="1"/>
  <c r="Y85" i="75"/>
  <c r="X34" i="75"/>
  <c r="X99" i="75" s="1"/>
  <c r="AI47" i="30"/>
  <c r="F6" i="35" s="1"/>
  <c r="G10" i="55" s="1"/>
  <c r="K76" i="88"/>
  <c r="K83" i="88" s="1"/>
  <c r="K44" i="88"/>
  <c r="L39" i="88"/>
  <c r="V14" i="20"/>
  <c r="W30" i="70"/>
  <c r="R44" i="30"/>
  <c r="H26" i="21"/>
  <c r="V63" i="82"/>
  <c r="V61" i="82" s="1"/>
  <c r="V64" i="82" s="1"/>
  <c r="G25" i="21"/>
  <c r="AI33" i="88"/>
  <c r="AJ13" i="88"/>
  <c r="AD58" i="30"/>
  <c r="U14" i="30"/>
  <c r="U16" i="30"/>
  <c r="AD53" i="30" s="1"/>
  <c r="U44" i="30"/>
  <c r="AD81" i="30" s="1"/>
  <c r="K26" i="21"/>
  <c r="T38" i="75"/>
  <c r="T99" i="75"/>
  <c r="T97" i="75" s="1"/>
  <c r="T100" i="75" s="1"/>
  <c r="F80" i="55"/>
  <c r="F115" i="55"/>
  <c r="E112" i="55"/>
  <c r="E77" i="55"/>
  <c r="AR9" i="88"/>
  <c r="R98" i="75"/>
  <c r="R97" i="75" s="1"/>
  <c r="R100" i="75" s="1"/>
  <c r="R27" i="75"/>
  <c r="R26" i="75" s="1"/>
  <c r="R29" i="75" s="1"/>
  <c r="W102" i="75"/>
  <c r="X103" i="75"/>
  <c r="X55" i="88"/>
  <c r="W55" i="88"/>
  <c r="V55" i="88"/>
  <c r="U55" i="88"/>
  <c r="U81" i="26"/>
  <c r="AO13" i="26"/>
  <c r="P44" i="30"/>
  <c r="F26" i="21"/>
  <c r="G41" i="75"/>
  <c r="E111" i="55"/>
  <c r="E76" i="55"/>
  <c r="F78" i="55"/>
  <c r="F113" i="55"/>
  <c r="E25" i="21"/>
  <c r="D124" i="55"/>
  <c r="D89" i="55"/>
  <c r="V66" i="59"/>
  <c r="V64" i="59" s="1"/>
  <c r="V67" i="59" s="1"/>
  <c r="G109" i="75"/>
  <c r="G37"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2" i="88"/>
  <c r="X52" i="88"/>
  <c r="V52" i="88"/>
  <c r="U52" i="88"/>
  <c r="V81" i="26"/>
  <c r="X16" i="59"/>
  <c r="X17" i="82"/>
  <c r="Y21" i="25"/>
  <c r="X20" i="25"/>
  <c r="K74" i="88"/>
  <c r="K81" i="88" s="1"/>
  <c r="K41" i="88"/>
  <c r="L37" i="88"/>
  <c r="W62" i="82"/>
  <c r="W61" i="82" s="1"/>
  <c r="W64" i="82" s="1"/>
  <c r="W33" i="82"/>
  <c r="U97" i="75"/>
  <c r="U100" i="75" s="1"/>
  <c r="M97" i="75"/>
  <c r="M100" i="75" s="1"/>
  <c r="X14" i="74"/>
  <c r="X13" i="74" s="1"/>
  <c r="X11" i="74" s="1"/>
  <c r="X19" i="74" s="1"/>
  <c r="Y12" i="74"/>
  <c r="AC31" i="82"/>
  <c r="J33" i="59"/>
  <c r="U99" i="75"/>
  <c r="M73" i="26"/>
  <c r="M59" i="20" s="1"/>
  <c r="M60" i="20" s="1"/>
  <c r="AC73" i="26"/>
  <c r="X67" i="83"/>
  <c r="Y68" i="83"/>
  <c r="AG81" i="26"/>
  <c r="AF73" i="26"/>
  <c r="C2" i="35" s="1"/>
  <c r="D76" i="59"/>
  <c r="D29" i="59" s="1"/>
  <c r="D34" i="59" s="1"/>
  <c r="L38" i="88"/>
  <c r="K75" i="88"/>
  <c r="K82" i="88" s="1"/>
  <c r="K43" i="88"/>
  <c r="K34" i="59"/>
  <c r="O33" i="26"/>
  <c r="AO33" i="26" s="1"/>
  <c r="AO35" i="26"/>
  <c r="AP13" i="26" s="1"/>
  <c r="T44" i="38"/>
  <c r="P43" i="38"/>
  <c r="R43" i="38" s="1"/>
  <c r="E126" i="55"/>
  <c r="E91" i="55"/>
  <c r="J41" i="75"/>
  <c r="O63" i="82"/>
  <c r="O61" i="82" s="1"/>
  <c r="O64" i="82" s="1"/>
  <c r="O31" i="82" s="1"/>
  <c r="L68" i="59"/>
  <c r="K32" i="59"/>
  <c r="K33" i="59" s="1"/>
  <c r="V42" i="75"/>
  <c r="W66" i="59"/>
  <c r="W64" i="59" s="1"/>
  <c r="W67" i="59" s="1"/>
  <c r="T63" i="82"/>
  <c r="T61" i="82" s="1"/>
  <c r="T64" i="82" s="1"/>
  <c r="T33" i="82"/>
  <c r="AJ48" i="82"/>
  <c r="AI26" i="82"/>
  <c r="AI63" i="82" s="1"/>
  <c r="P63" i="82"/>
  <c r="P61" i="82" s="1"/>
  <c r="P64" i="82" s="1"/>
  <c r="P31" i="82" s="1"/>
  <c r="P33" i="82"/>
  <c r="AI13" i="20"/>
  <c r="AJ12" i="20"/>
  <c r="F4" i="35"/>
  <c r="G6" i="55" s="1"/>
  <c r="AJ28" i="88"/>
  <c r="AK140" i="88"/>
  <c r="E80" i="55"/>
  <c r="E115" i="55"/>
  <c r="E119" i="55"/>
  <c r="E84" i="55"/>
  <c r="V44" i="30"/>
  <c r="L26" i="21"/>
  <c r="O17" i="20"/>
  <c r="O35" i="20"/>
  <c r="M26" i="75"/>
  <c r="M29" i="75" s="1"/>
  <c r="P27" i="26"/>
  <c r="Q28" i="26"/>
  <c r="P76" i="26"/>
  <c r="P15" i="26"/>
  <c r="V54" i="88"/>
  <c r="X54" i="88"/>
  <c r="W54" i="88"/>
  <c r="U54" i="88"/>
  <c r="V97" i="75"/>
  <c r="V100" i="75" s="1"/>
  <c r="AK27" i="70"/>
  <c r="G6" i="71" s="1"/>
  <c r="I34" i="55"/>
  <c r="U63" i="82"/>
  <c r="U61" i="82" s="1"/>
  <c r="U64" i="82" s="1"/>
  <c r="U33" i="82"/>
  <c r="AH71" i="59"/>
  <c r="AH73" i="59" s="1"/>
  <c r="AH72" i="59" s="1"/>
  <c r="AC34" i="82"/>
  <c r="V3" i="50"/>
  <c r="F109" i="75"/>
  <c r="F37" i="75" s="1"/>
  <c r="F41" i="75" s="1"/>
  <c r="U26" i="75"/>
  <c r="U29" i="75" s="1"/>
  <c r="N20" i="26"/>
  <c r="N78" i="26" s="1"/>
  <c r="N73" i="26" s="1"/>
  <c r="N59" i="20" s="1"/>
  <c r="N60" i="20" s="1"/>
  <c r="R42" i="38"/>
  <c r="J33" i="82"/>
  <c r="J62" i="82"/>
  <c r="J61" i="82" s="1"/>
  <c r="J64" i="82" s="1"/>
  <c r="J31" i="82" s="1"/>
  <c r="I101" i="55"/>
  <c r="I135" i="55"/>
  <c r="K33" i="82"/>
  <c r="K62" i="82"/>
  <c r="K61" i="82" s="1"/>
  <c r="K64" i="82" s="1"/>
  <c r="K31" i="82" s="1"/>
  <c r="L101" i="75"/>
  <c r="K39" i="75"/>
  <c r="K41" i="75" s="1"/>
  <c r="O66" i="59"/>
  <c r="O64" i="59" s="1"/>
  <c r="O67" i="59" s="1"/>
  <c r="AD73" i="26"/>
  <c r="W99" i="75"/>
  <c r="AG27" i="70"/>
  <c r="C6" i="71" s="1"/>
  <c r="E34" i="55"/>
  <c r="S33" i="82"/>
  <c r="AE73" i="26"/>
  <c r="AJ15" i="25"/>
  <c r="AJ14" i="25" s="1"/>
  <c r="AK13" i="25"/>
  <c r="AJ11" i="25"/>
  <c r="AJ20" i="25" s="1"/>
  <c r="AA34" i="82"/>
  <c r="T3" i="50"/>
  <c r="AD65" i="82"/>
  <c r="AD31" i="82"/>
  <c r="E6" i="84" s="1"/>
  <c r="O99" i="75"/>
  <c r="O97" i="75" s="1"/>
  <c r="O100" i="75" s="1"/>
  <c r="AK32" i="88"/>
  <c r="K109" i="75"/>
  <c r="K37" i="75" s="1"/>
  <c r="W28" i="75"/>
  <c r="W26" i="75" s="1"/>
  <c r="G33" i="59"/>
  <c r="AG26" i="70"/>
  <c r="C5" i="71" s="1"/>
  <c r="E33" i="55"/>
  <c r="S61" i="82"/>
  <c r="S64" i="82" s="1"/>
  <c r="S31" i="82" s="1"/>
  <c r="AJ19" i="88" l="1"/>
  <c r="F21" i="35"/>
  <c r="G25" i="55" s="1"/>
  <c r="F128" i="55"/>
  <c r="F93" i="55"/>
  <c r="AJ15" i="88"/>
  <c r="AJ9" i="88" s="1"/>
  <c r="G19" i="35" s="1"/>
  <c r="H23" i="55" s="1"/>
  <c r="AJ13" i="49"/>
  <c r="AJ12" i="49" s="1"/>
  <c r="I21" i="49"/>
  <c r="I22" i="49" s="1"/>
  <c r="I23" i="49" s="1"/>
  <c r="AG30" i="49" s="1"/>
  <c r="AK16" i="30"/>
  <c r="AL18" i="30"/>
  <c r="AI71" i="59"/>
  <c r="AI73" i="59" s="1"/>
  <c r="AI72" i="59"/>
  <c r="M94" i="59"/>
  <c r="AI69" i="83"/>
  <c r="AI71" i="83" s="1"/>
  <c r="AI70" i="83" s="1"/>
  <c r="AK69" i="82"/>
  <c r="AK67" i="82" s="1"/>
  <c r="AK66" i="82" s="1"/>
  <c r="AJ19" i="82"/>
  <c r="AB104" i="75"/>
  <c r="AB106" i="75" s="1"/>
  <c r="AB105" i="75"/>
  <c r="AD59" i="20"/>
  <c r="AD60" i="20" s="1"/>
  <c r="W2" i="50"/>
  <c r="M101" i="75"/>
  <c r="L39" i="75"/>
  <c r="AL140" i="88"/>
  <c r="AK28" i="88"/>
  <c r="F33" i="59"/>
  <c r="M109" i="75"/>
  <c r="M37" i="75" s="1"/>
  <c r="F119" i="55"/>
  <c r="F84" i="55"/>
  <c r="AI33" i="20"/>
  <c r="AJ32" i="20"/>
  <c r="AI34" i="20"/>
  <c r="G9" i="55" s="1"/>
  <c r="F5" i="35"/>
  <c r="G8" i="55" s="1"/>
  <c r="AA59" i="20"/>
  <c r="AA60" i="20" s="1"/>
  <c r="T2" i="50"/>
  <c r="Q15" i="26"/>
  <c r="Q20" i="26" s="1"/>
  <c r="Q78" i="26" s="1"/>
  <c r="R28" i="26"/>
  <c r="Q27" i="26"/>
  <c r="Q76" i="26"/>
  <c r="L32" i="59"/>
  <c r="M68" i="59"/>
  <c r="L76" i="59"/>
  <c r="L29" i="59" s="1"/>
  <c r="L34" i="59" s="1"/>
  <c r="W14" i="20"/>
  <c r="X30" i="70"/>
  <c r="M84" i="82"/>
  <c r="M86" i="82"/>
  <c r="P20" i="26"/>
  <c r="P78" i="26" s="1"/>
  <c r="P73" i="26" s="1"/>
  <c r="P59" i="20" s="1"/>
  <c r="P60" i="20" s="1"/>
  <c r="AS9" i="88"/>
  <c r="E10" i="84"/>
  <c r="E11" i="84" s="1"/>
  <c r="E8" i="84"/>
  <c r="E9" i="84" s="1"/>
  <c r="W65" i="82"/>
  <c r="W31" i="82"/>
  <c r="V31" i="82"/>
  <c r="V65" i="82"/>
  <c r="F111" i="55"/>
  <c r="F76" i="55"/>
  <c r="AI18" i="82"/>
  <c r="AI17" i="59"/>
  <c r="AJ10" i="33"/>
  <c r="F12" i="35"/>
  <c r="G16" i="55" s="1"/>
  <c r="J22" i="33"/>
  <c r="Y67" i="83"/>
  <c r="Z68" i="83"/>
  <c r="AE64" i="83"/>
  <c r="AI25" i="88"/>
  <c r="F20" i="35"/>
  <c r="G24" i="55" s="1"/>
  <c r="T45" i="38"/>
  <c r="P45" i="38" s="1"/>
  <c r="R45" i="38" s="1"/>
  <c r="P44" i="38"/>
  <c r="R44" i="38" s="1"/>
  <c r="AF26" i="83"/>
  <c r="AG50" i="83"/>
  <c r="AK141" i="88"/>
  <c r="AJ29" i="88"/>
  <c r="AJ24" i="88" s="1"/>
  <c r="R46" i="38"/>
  <c r="R47" i="38" s="1"/>
  <c r="T44" i="30"/>
  <c r="J26" i="21"/>
  <c r="Y24" i="75"/>
  <c r="Y28" i="75" s="1"/>
  <c r="Y26" i="75" s="1"/>
  <c r="Y34" i="75"/>
  <c r="Y99" i="75" s="1"/>
  <c r="Z85" i="75"/>
  <c r="Z70" i="59"/>
  <c r="Y69" i="59"/>
  <c r="X15" i="59"/>
  <c r="X14" i="59" s="1"/>
  <c r="X65" i="59" s="1"/>
  <c r="X64" i="59" s="1"/>
  <c r="X67" i="59" s="1"/>
  <c r="X16" i="82"/>
  <c r="X15" i="82" s="1"/>
  <c r="T65" i="82"/>
  <c r="T31" i="82"/>
  <c r="L31" i="83"/>
  <c r="M66" i="83"/>
  <c r="L74" i="83"/>
  <c r="L29" i="83" s="1"/>
  <c r="O33" i="38"/>
  <c r="Q33" i="38" s="1"/>
  <c r="S34" i="38"/>
  <c r="L75" i="88"/>
  <c r="L82" i="88" s="1"/>
  <c r="L43" i="88"/>
  <c r="M38" i="88"/>
  <c r="X14" i="75"/>
  <c r="AG38" i="82"/>
  <c r="D22" i="55"/>
  <c r="F127" i="55"/>
  <c r="F92" i="55"/>
  <c r="AJ14" i="59"/>
  <c r="AJ15" i="82"/>
  <c r="G8" i="35"/>
  <c r="H12" i="55" s="1"/>
  <c r="AF59" i="20"/>
  <c r="AF60" i="20" s="1"/>
  <c r="D4" i="55"/>
  <c r="Y2" i="50"/>
  <c r="Z65" i="82"/>
  <c r="M76" i="59"/>
  <c r="M29" i="59" s="1"/>
  <c r="AL13" i="25"/>
  <c r="AK15" i="25"/>
  <c r="AK14" i="25" s="1"/>
  <c r="AK11" i="25" s="1"/>
  <c r="AK20" i="25" s="1"/>
  <c r="G74" i="55"/>
  <c r="G109" i="55"/>
  <c r="I136" i="55"/>
  <c r="I102" i="55"/>
  <c r="AB55" i="88"/>
  <c r="Z55" i="88"/>
  <c r="AA55" i="88"/>
  <c r="Y55" i="88"/>
  <c r="AB17" i="20"/>
  <c r="AB35" i="20"/>
  <c r="U65" i="82"/>
  <c r="U31" i="82"/>
  <c r="AJ13" i="20"/>
  <c r="AK12" i="20"/>
  <c r="G4" i="35"/>
  <c r="H6" i="55" s="1"/>
  <c r="G94" i="55"/>
  <c r="G129" i="55"/>
  <c r="I137" i="55"/>
  <c r="I103" i="55"/>
  <c r="N44" i="30"/>
  <c r="D26" i="21"/>
  <c r="AJ30" i="88"/>
  <c r="G22" i="35" s="1"/>
  <c r="H26" i="55" s="1"/>
  <c r="AK142" i="88"/>
  <c r="AC59" i="20"/>
  <c r="AC60" i="20" s="1"/>
  <c r="V2" i="50"/>
  <c r="AE59" i="20"/>
  <c r="AE60" i="20" s="1"/>
  <c r="X2" i="50"/>
  <c r="Z52" i="88"/>
  <c r="Y52" i="88"/>
  <c r="AB52" i="88"/>
  <c r="AA52" i="88"/>
  <c r="AD51" i="30"/>
  <c r="U12" i="30"/>
  <c r="AD50" i="30" s="1"/>
  <c r="E137" i="55"/>
  <c r="E103" i="55"/>
  <c r="N17" i="20"/>
  <c r="N35" i="20"/>
  <c r="AJ11" i="26"/>
  <c r="AK20" i="26"/>
  <c r="AJ78" i="26"/>
  <c r="AK13" i="88"/>
  <c r="AJ33" i="88"/>
  <c r="AG26" i="59"/>
  <c r="AH51" i="59"/>
  <c r="G80" i="55"/>
  <c r="G115" i="55"/>
  <c r="AA54" i="88"/>
  <c r="Y54" i="88"/>
  <c r="AB54" i="88"/>
  <c r="Z54" i="88"/>
  <c r="Y16" i="59"/>
  <c r="Y17" i="82"/>
  <c r="Y20" i="25"/>
  <c r="Q44" i="30"/>
  <c r="G26" i="21"/>
  <c r="K33" i="83"/>
  <c r="Y14" i="74"/>
  <c r="Y13" i="74" s="1"/>
  <c r="Y11" i="74" s="1"/>
  <c r="Y19" i="74" s="1"/>
  <c r="Z12" i="74"/>
  <c r="D33" i="59"/>
  <c r="F112" i="55"/>
  <c r="F77" i="55"/>
  <c r="L76" i="88"/>
  <c r="L83" i="88" s="1"/>
  <c r="L44" i="88"/>
  <c r="M39" i="88"/>
  <c r="AH81" i="26"/>
  <c r="AG73" i="26"/>
  <c r="O44" i="30"/>
  <c r="E26" i="21"/>
  <c r="E136" i="55"/>
  <c r="E102" i="55"/>
  <c r="F10" i="84"/>
  <c r="F11" i="84" s="1"/>
  <c r="G6" i="84"/>
  <c r="F8" i="84"/>
  <c r="F9" i="84" s="1"/>
  <c r="Y103" i="75"/>
  <c r="X102" i="75"/>
  <c r="AJ47" i="30"/>
  <c r="G6" i="35" s="1"/>
  <c r="H10" i="55" s="1"/>
  <c r="AL32" i="88"/>
  <c r="AF65" i="82"/>
  <c r="AG64" i="82"/>
  <c r="AF31" i="82"/>
  <c r="L41" i="88"/>
  <c r="M37" i="88"/>
  <c r="L74" i="88"/>
  <c r="L81" i="88" s="1"/>
  <c r="G78" i="55"/>
  <c r="G113" i="55"/>
  <c r="AN139" i="88"/>
  <c r="AN26" i="88" s="1"/>
  <c r="AN32" i="88" s="1"/>
  <c r="AM26" i="88"/>
  <c r="M35" i="20"/>
  <c r="M17" i="20"/>
  <c r="M77" i="88"/>
  <c r="M84" i="88" s="1"/>
  <c r="M45" i="88"/>
  <c r="AG56" i="88" s="1"/>
  <c r="N40" i="88"/>
  <c r="N45" i="88" s="1"/>
  <c r="AK48" i="82"/>
  <c r="AJ26" i="82"/>
  <c r="AJ63" i="82" s="1"/>
  <c r="AI31" i="88"/>
  <c r="F19" i="35"/>
  <c r="G23" i="55" s="1"/>
  <c r="L109" i="75"/>
  <c r="L37" i="75" s="1"/>
  <c r="AF66" i="59"/>
  <c r="AK15" i="88" l="1"/>
  <c r="AK9" i="88" s="1"/>
  <c r="G128" i="55"/>
  <c r="G93" i="55"/>
  <c r="G21" i="35"/>
  <c r="H25" i="55" s="1"/>
  <c r="AK19" i="88"/>
  <c r="AK13" i="49"/>
  <c r="AK12" i="49" s="1"/>
  <c r="AG37" i="82"/>
  <c r="AH30" i="49"/>
  <c r="D11" i="35"/>
  <c r="AG38" i="59"/>
  <c r="AG33" i="49"/>
  <c r="AL16" i="30"/>
  <c r="AM18" i="30"/>
  <c r="AK14" i="59"/>
  <c r="AK15" i="82"/>
  <c r="H8" i="35"/>
  <c r="I12" i="55" s="1"/>
  <c r="AJ69" i="83"/>
  <c r="AJ71" i="83" s="1"/>
  <c r="AJ70" i="83" s="1"/>
  <c r="M92" i="83"/>
  <c r="AJ25" i="88"/>
  <c r="G20" i="35"/>
  <c r="H24" i="55" s="1"/>
  <c r="AJ31"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X33" i="82"/>
  <c r="G126" i="55"/>
  <c r="G91" i="55"/>
  <c r="Y30" i="70"/>
  <c r="X14" i="20"/>
  <c r="AK13" i="20"/>
  <c r="AL12" i="20"/>
  <c r="H4" i="35"/>
  <c r="I6" i="55" s="1"/>
  <c r="AH38" i="82"/>
  <c r="D18" i="35"/>
  <c r="E22" i="55" s="1"/>
  <c r="L41" i="75"/>
  <c r="P17" i="20"/>
  <c r="P35" i="20"/>
  <c r="AL69" i="82"/>
  <c r="AL67" i="82" s="1"/>
  <c r="AK19" i="82"/>
  <c r="AL66" i="82"/>
  <c r="D2" i="35"/>
  <c r="E4" i="55" s="1"/>
  <c r="AG59" i="20"/>
  <c r="AG60" i="20" s="1"/>
  <c r="AL13" i="88"/>
  <c r="AK33" i="88"/>
  <c r="AA70" i="59"/>
  <c r="Z69" i="59"/>
  <c r="P46" i="38"/>
  <c r="P47" i="38" s="1"/>
  <c r="M39" i="75"/>
  <c r="M41" i="75" s="1"/>
  <c r="N101" i="75"/>
  <c r="AM32" i="88"/>
  <c r="AA35" i="20"/>
  <c r="AA17" i="20"/>
  <c r="AL141" i="88"/>
  <c r="AK29" i="88"/>
  <c r="AK24" i="88" s="1"/>
  <c r="H74" i="55"/>
  <c r="H109" i="55"/>
  <c r="AH64" i="82"/>
  <c r="AG31" i="82"/>
  <c r="AG12" i="82" s="1"/>
  <c r="AG65" i="82"/>
  <c r="AL48" i="82"/>
  <c r="AK26" i="82"/>
  <c r="AK63" i="82" s="1"/>
  <c r="AI81" i="26"/>
  <c r="AH73" i="26"/>
  <c r="Y15" i="59"/>
  <c r="Y14" i="59" s="1"/>
  <c r="Y65" i="59" s="1"/>
  <c r="Y64" i="59" s="1"/>
  <c r="Y67" i="59" s="1"/>
  <c r="Y16" i="82"/>
  <c r="Y15" i="82" s="1"/>
  <c r="AL15" i="25"/>
  <c r="AL14" i="25" s="1"/>
  <c r="AM13" i="25"/>
  <c r="AL11" i="25"/>
  <c r="AL20" i="25" s="1"/>
  <c r="AA85" i="75"/>
  <c r="Z34" i="75"/>
  <c r="Z99" i="75" s="1"/>
  <c r="Z24" i="75"/>
  <c r="G92" i="55"/>
  <c r="G127" i="55"/>
  <c r="Y102" i="75"/>
  <c r="Z103" i="75"/>
  <c r="G84" i="55"/>
  <c r="G119" i="55"/>
  <c r="H80" i="55"/>
  <c r="H115" i="55"/>
  <c r="L33" i="83"/>
  <c r="M41" i="88"/>
  <c r="M74" i="88"/>
  <c r="M81" i="88" s="1"/>
  <c r="N37" i="88"/>
  <c r="N41" i="88" s="1"/>
  <c r="M32" i="59"/>
  <c r="M33" i="59" s="1"/>
  <c r="N68" i="59"/>
  <c r="H126" i="55"/>
  <c r="H91" i="55"/>
  <c r="M95" i="59"/>
  <c r="M97" i="59"/>
  <c r="R15" i="26"/>
  <c r="R20" i="26" s="1"/>
  <c r="R78" i="26" s="1"/>
  <c r="S28" i="26"/>
  <c r="R27" i="26"/>
  <c r="R76" i="26"/>
  <c r="R73" i="26" s="1"/>
  <c r="R59" i="20" s="1"/>
  <c r="R60" i="20" s="1"/>
  <c r="AF64" i="83"/>
  <c r="AM140" i="88"/>
  <c r="AL28" i="88"/>
  <c r="AE52" i="88"/>
  <c r="AD52" i="88"/>
  <c r="AC52" i="88"/>
  <c r="AF52" i="88"/>
  <c r="AD55" i="88"/>
  <c r="AC55" i="88"/>
  <c r="AF55" i="88"/>
  <c r="AE55" i="88"/>
  <c r="M75" i="88"/>
  <c r="M82" i="88" s="1"/>
  <c r="M43" i="88"/>
  <c r="N38" i="88"/>
  <c r="N43" i="88" s="1"/>
  <c r="L33" i="59"/>
  <c r="AJ71" i="59"/>
  <c r="AJ73" i="59" s="1"/>
  <c r="AJ72" i="59"/>
  <c r="S35" i="38"/>
  <c r="O34" i="38"/>
  <c r="Q34" i="38" s="1"/>
  <c r="AJ33" i="20"/>
  <c r="AK32" i="20"/>
  <c r="AJ34" i="20"/>
  <c r="H9" i="55" s="1"/>
  <c r="G5" i="35"/>
  <c r="H8" i="55" s="1"/>
  <c r="G10" i="84"/>
  <c r="G11" i="84" s="1"/>
  <c r="G8" i="84"/>
  <c r="G9" i="84" s="1"/>
  <c r="M31" i="83"/>
  <c r="N66" i="83"/>
  <c r="M74" i="83"/>
  <c r="M29" i="83" s="1"/>
  <c r="AG66" i="59"/>
  <c r="D125" i="55"/>
  <c r="D90" i="55"/>
  <c r="M76" i="88"/>
  <c r="M83" i="88" s="1"/>
  <c r="M44" i="88"/>
  <c r="N39" i="88"/>
  <c r="N44" i="88" s="1"/>
  <c r="AK11" i="26"/>
  <c r="AL20" i="26"/>
  <c r="AK78" i="26"/>
  <c r="AK47" i="30"/>
  <c r="H6" i="35" s="1"/>
  <c r="I10" i="55" s="1"/>
  <c r="Y14" i="75"/>
  <c r="AC17" i="20"/>
  <c r="AC35" i="20"/>
  <c r="AF54" i="88"/>
  <c r="AE54" i="88"/>
  <c r="AD54" i="88"/>
  <c r="AC54" i="88"/>
  <c r="Q73" i="26"/>
  <c r="Q59" i="20" s="1"/>
  <c r="Q60" i="20" s="1"/>
  <c r="G76" i="55"/>
  <c r="G111" i="55"/>
  <c r="AI51" i="59"/>
  <c r="AH26" i="59"/>
  <c r="H78" i="55"/>
  <c r="H113" i="55"/>
  <c r="AL142" i="88"/>
  <c r="AK30" i="88"/>
  <c r="H22" i="35" s="1"/>
  <c r="I26" i="55" s="1"/>
  <c r="AA68" i="83"/>
  <c r="Z67" i="83"/>
  <c r="G77" i="55"/>
  <c r="G112" i="55"/>
  <c r="AL19" i="88" l="1"/>
  <c r="H21" i="35"/>
  <c r="I25" i="55" s="1"/>
  <c r="H128" i="55"/>
  <c r="H93" i="55"/>
  <c r="AL15" i="88"/>
  <c r="AL9" i="88" s="1"/>
  <c r="AL13" i="49"/>
  <c r="AL12" i="49" s="1"/>
  <c r="AG34" i="49"/>
  <c r="D10" i="35"/>
  <c r="E14" i="55" s="1"/>
  <c r="AG10" i="26"/>
  <c r="AG9" i="26" s="1"/>
  <c r="E15" i="55"/>
  <c r="AS32" i="80"/>
  <c r="AH33" i="49"/>
  <c r="AH37" i="82"/>
  <c r="AI30" i="49"/>
  <c r="E11" i="35"/>
  <c r="F15" i="55" s="1"/>
  <c r="AH38" i="59"/>
  <c r="AH34" i="49"/>
  <c r="AF35" i="49"/>
  <c r="AF36" i="49" s="1"/>
  <c r="AM16" i="30"/>
  <c r="AN18" i="30"/>
  <c r="AN16" i="30" s="1"/>
  <c r="AD104" i="75"/>
  <c r="AD106" i="75" s="1"/>
  <c r="AD105" i="75"/>
  <c r="AK25" i="88"/>
  <c r="H20" i="35"/>
  <c r="I24" i="55" s="1"/>
  <c r="AK69" i="83"/>
  <c r="AK71" i="83" s="1"/>
  <c r="AK70" i="83" s="1"/>
  <c r="Z28" i="75"/>
  <c r="Z26" i="75" s="1"/>
  <c r="AA34" i="75"/>
  <c r="AA99" i="75" s="1"/>
  <c r="AB85" i="75"/>
  <c r="AA24" i="75"/>
  <c r="AB12" i="74"/>
  <c r="AA14" i="74"/>
  <c r="AA13" i="74" s="1"/>
  <c r="AA11" i="74" s="1"/>
  <c r="AA19" i="74" s="1"/>
  <c r="AI54" i="88"/>
  <c r="AH54" i="88"/>
  <c r="AG54" i="88"/>
  <c r="AJ54" i="88"/>
  <c r="AI38" i="82"/>
  <c r="E18" i="35"/>
  <c r="F22" i="55" s="1"/>
  <c r="Y62" i="82"/>
  <c r="Y61" i="82" s="1"/>
  <c r="Y64" i="82" s="1"/>
  <c r="Y33" i="82"/>
  <c r="AH59" i="20"/>
  <c r="AH60" i="20" s="1"/>
  <c r="E2" i="35"/>
  <c r="F4" i="55" s="1"/>
  <c r="N39" i="75"/>
  <c r="O101" i="75"/>
  <c r="N109" i="75"/>
  <c r="N37" i="75" s="1"/>
  <c r="M93" i="83"/>
  <c r="M95" i="83"/>
  <c r="AG64" i="83"/>
  <c r="AM142" i="88"/>
  <c r="AL30" i="88"/>
  <c r="I22" i="35" s="1"/>
  <c r="J26" i="55" s="1"/>
  <c r="M34" i="59"/>
  <c r="AJ81" i="26"/>
  <c r="AI73" i="26"/>
  <c r="AK71" i="59"/>
  <c r="AK73" i="59" s="1"/>
  <c r="AK72" i="59" s="1"/>
  <c r="E72" i="55"/>
  <c r="E107" i="55"/>
  <c r="I74" i="55"/>
  <c r="I109" i="55"/>
  <c r="AL13" i="20"/>
  <c r="AM12" i="20"/>
  <c r="I4" i="35"/>
  <c r="J6" i="55" s="1"/>
  <c r="H112" i="55"/>
  <c r="H77" i="55"/>
  <c r="Z102" i="75"/>
  <c r="AA103" i="75"/>
  <c r="Y14" i="20"/>
  <c r="Z30" i="70"/>
  <c r="I8" i="35"/>
  <c r="J12" i="55" s="1"/>
  <c r="AL14" i="59"/>
  <c r="AL15" i="82"/>
  <c r="AM15" i="25"/>
  <c r="AM14" i="25" s="1"/>
  <c r="AN13" i="25"/>
  <c r="AM11" i="25"/>
  <c r="AM20" i="25" s="1"/>
  <c r="AN140" i="88"/>
  <c r="AN28" i="88" s="1"/>
  <c r="AM28" i="88"/>
  <c r="H119" i="55"/>
  <c r="H84" i="55"/>
  <c r="AK18" i="82"/>
  <c r="AK17" i="59"/>
  <c r="AL10" i="33"/>
  <c r="H12" i="35"/>
  <c r="I16" i="55" s="1"/>
  <c r="I78" i="55"/>
  <c r="I113" i="55"/>
  <c r="H111" i="55"/>
  <c r="H76" i="55"/>
  <c r="AA69" i="59"/>
  <c r="AB70" i="59"/>
  <c r="I80" i="55"/>
  <c r="I115" i="55"/>
  <c r="N31" i="83"/>
  <c r="O66" i="83"/>
  <c r="N74" i="83"/>
  <c r="N29" i="83" s="1"/>
  <c r="I94" i="55"/>
  <c r="I129" i="55"/>
  <c r="R17" i="20"/>
  <c r="R35" i="20"/>
  <c r="H127" i="55"/>
  <c r="H92" i="55"/>
  <c r="AL47" i="30"/>
  <c r="I6" i="35" s="1"/>
  <c r="J10" i="55" s="1"/>
  <c r="S15" i="26"/>
  <c r="T28" i="26"/>
  <c r="S27" i="26"/>
  <c r="S76" i="26"/>
  <c r="AH66" i="59"/>
  <c r="AJ51" i="59"/>
  <c r="AI26" i="59"/>
  <c r="AI66" i="59" s="1"/>
  <c r="AK33" i="20"/>
  <c r="AL32" i="20"/>
  <c r="AK34" i="20"/>
  <c r="I9" i="55" s="1"/>
  <c r="H5" i="35"/>
  <c r="I8" i="55" s="1"/>
  <c r="AM48" i="82"/>
  <c r="AL26" i="82"/>
  <c r="AL63" i="82" s="1"/>
  <c r="AM69" i="82"/>
  <c r="AM67" i="82" s="1"/>
  <c r="AL19" i="82"/>
  <c r="AM66" i="82"/>
  <c r="Q17" i="20"/>
  <c r="Q35" i="20"/>
  <c r="AI55" i="88"/>
  <c r="AH55" i="88"/>
  <c r="AG55" i="88"/>
  <c r="AJ55" i="88"/>
  <c r="AG33" i="82"/>
  <c r="AG13" i="82"/>
  <c r="AG35" i="82"/>
  <c r="AG14" i="82"/>
  <c r="X65" i="82"/>
  <c r="X31" i="82"/>
  <c r="AB65" i="82"/>
  <c r="AL33" i="88"/>
  <c r="AM13" i="88"/>
  <c r="AI50" i="83"/>
  <c r="AH26" i="83"/>
  <c r="AM141" i="88"/>
  <c r="AL29" i="88"/>
  <c r="AL24" i="88" s="1"/>
  <c r="AB68" i="83"/>
  <c r="AA67" i="83"/>
  <c r="AJ52" i="88"/>
  <c r="AI52" i="88"/>
  <c r="AH52" i="88"/>
  <c r="AG52" i="88"/>
  <c r="E125" i="55"/>
  <c r="E90" i="55"/>
  <c r="M33" i="83"/>
  <c r="AM20" i="26"/>
  <c r="AL11" i="26"/>
  <c r="AL78" i="26"/>
  <c r="S36" i="38"/>
  <c r="O36" i="38" s="1"/>
  <c r="O35" i="38"/>
  <c r="Q35" i="38" s="1"/>
  <c r="N32" i="59"/>
  <c r="N33" i="59" s="1"/>
  <c r="O68" i="59"/>
  <c r="N76" i="59"/>
  <c r="N29" i="59" s="1"/>
  <c r="AI64" i="82"/>
  <c r="AH31" i="82"/>
  <c r="AH12" i="82" s="1"/>
  <c r="AH65" i="82"/>
  <c r="AK31" i="88"/>
  <c r="H19" i="35"/>
  <c r="I23" i="55" s="1"/>
  <c r="AM15" i="88" l="1"/>
  <c r="AN15" i="88"/>
  <c r="I128" i="55"/>
  <c r="I93" i="55"/>
  <c r="AM19" i="88"/>
  <c r="I21" i="35"/>
  <c r="J25" i="55" s="1"/>
  <c r="AM13" i="49"/>
  <c r="AM12" i="49" s="1"/>
  <c r="F83" i="55"/>
  <c r="F118" i="55"/>
  <c r="AI38" i="59"/>
  <c r="AI37" i="82"/>
  <c r="AI33" i="49"/>
  <c r="F11" i="35"/>
  <c r="G15" i="55" s="1"/>
  <c r="E10" i="35"/>
  <c r="F14" i="55" s="1"/>
  <c r="AH10" i="26"/>
  <c r="AH9" i="26" s="1"/>
  <c r="E118" i="55"/>
  <c r="E83" i="55"/>
  <c r="E82" i="55"/>
  <c r="E117" i="55"/>
  <c r="AL69" i="83"/>
  <c r="AL71" i="83" s="1"/>
  <c r="AL70" i="83"/>
  <c r="AL71" i="59"/>
  <c r="AL73" i="59" s="1"/>
  <c r="AL72" i="59" s="1"/>
  <c r="I111" i="55"/>
  <c r="I76" i="55"/>
  <c r="AA30" i="70"/>
  <c r="Z14" i="20"/>
  <c r="J80" i="55"/>
  <c r="J115" i="55"/>
  <c r="AK81" i="26"/>
  <c r="AJ73" i="26"/>
  <c r="I119" i="55"/>
  <c r="I84" i="55"/>
  <c r="AC68" i="83"/>
  <c r="AB67" i="83"/>
  <c r="O31" i="83"/>
  <c r="O33" i="83" s="1"/>
  <c r="P66" i="83"/>
  <c r="O74" i="83"/>
  <c r="O29" i="83" s="1"/>
  <c r="J74" i="55"/>
  <c r="J109" i="55"/>
  <c r="AL25" i="88"/>
  <c r="I20" i="35"/>
  <c r="J24" i="55" s="1"/>
  <c r="AJ38" i="82"/>
  <c r="F18" i="35"/>
  <c r="G22" i="55" s="1"/>
  <c r="AN141" i="88"/>
  <c r="AN29" i="88" s="1"/>
  <c r="AM29" i="88"/>
  <c r="AM24" i="88" s="1"/>
  <c r="AN24" i="88"/>
  <c r="K20" i="35" s="1"/>
  <c r="L24" i="55" s="1"/>
  <c r="AL33" i="20"/>
  <c r="AM32" i="20"/>
  <c r="AL34" i="20"/>
  <c r="J9" i="55" s="1"/>
  <c r="I5" i="35"/>
  <c r="J8" i="55" s="1"/>
  <c r="F90" i="55"/>
  <c r="F125" i="55"/>
  <c r="AL18" i="82"/>
  <c r="AM10" i="33"/>
  <c r="AL17" i="59"/>
  <c r="I12" i="35"/>
  <c r="J16" i="55" s="1"/>
  <c r="AK51" i="59"/>
  <c r="AJ26" i="59"/>
  <c r="AJ66" i="59" s="1"/>
  <c r="N33" i="83"/>
  <c r="AM33" i="88"/>
  <c r="AN13" i="88"/>
  <c r="AM9" i="88"/>
  <c r="AC12" i="74"/>
  <c r="AB14" i="74"/>
  <c r="AB13" i="74" s="1"/>
  <c r="AB11" i="74" s="1"/>
  <c r="AB19" i="74" s="1"/>
  <c r="Q36" i="38"/>
  <c r="Q46" i="38" s="1"/>
  <c r="Q47" i="38" s="1"/>
  <c r="O46" i="38"/>
  <c r="O47" i="38" s="1"/>
  <c r="I112" i="55"/>
  <c r="I77" i="55"/>
  <c r="AG34" i="82"/>
  <c r="D17" i="35"/>
  <c r="E21" i="55" s="1"/>
  <c r="T15" i="26"/>
  <c r="T20" i="26" s="1"/>
  <c r="T78" i="26" s="1"/>
  <c r="T76" i="26"/>
  <c r="U28" i="26"/>
  <c r="T27" i="26"/>
  <c r="O39" i="75"/>
  <c r="D135" i="75" s="1"/>
  <c r="P101" i="75"/>
  <c r="O109" i="75"/>
  <c r="O37" i="75" s="1"/>
  <c r="AB34" i="75"/>
  <c r="AB99" i="75" s="1"/>
  <c r="AC85" i="75"/>
  <c r="AB24" i="75"/>
  <c r="AI59" i="20"/>
  <c r="AI60"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59" i="20" s="1"/>
  <c r="S60" i="20" s="1"/>
  <c r="AM14" i="59"/>
  <c r="J8" i="35"/>
  <c r="K12" i="55" s="1"/>
  <c r="AM15" i="82"/>
  <c r="K22" i="33"/>
  <c r="AB69" i="59"/>
  <c r="AC70" i="59"/>
  <c r="AN15" i="25"/>
  <c r="AN14" i="25" s="1"/>
  <c r="AN11" i="25"/>
  <c r="AN20" i="25" s="1"/>
  <c r="AA28" i="75"/>
  <c r="AA26" i="75" s="1"/>
  <c r="AJ64" i="82"/>
  <c r="AI31" i="82"/>
  <c r="AI12" i="82" s="1"/>
  <c r="AI65" i="82"/>
  <c r="N34" i="59"/>
  <c r="J78" i="55"/>
  <c r="J113" i="55"/>
  <c r="N41" i="75"/>
  <c r="AE104" i="75"/>
  <c r="AE106" i="75" s="1"/>
  <c r="AE105" i="75"/>
  <c r="AN142" i="88"/>
  <c r="AN30" i="88" s="1"/>
  <c r="K22" i="35" s="1"/>
  <c r="L26" i="55" s="1"/>
  <c r="AM30" i="88"/>
  <c r="J22" i="35" s="1"/>
  <c r="K26" i="55" s="1"/>
  <c r="AM13" i="20"/>
  <c r="AN12" i="20"/>
  <c r="J4" i="35"/>
  <c r="K6" i="55" s="1"/>
  <c r="I126" i="55"/>
  <c r="I91" i="55"/>
  <c r="AJ50" i="83"/>
  <c r="AI26" i="83"/>
  <c r="AL31" i="88"/>
  <c r="I19" i="35"/>
  <c r="J23" i="55" s="1"/>
  <c r="AH13" i="82"/>
  <c r="AH35" i="82"/>
  <c r="AH33" i="82"/>
  <c r="AH14" i="82"/>
  <c r="I127" i="55"/>
  <c r="I92" i="55"/>
  <c r="AM47" i="30"/>
  <c r="J6" i="35" s="1"/>
  <c r="K10" i="55" s="1"/>
  <c r="AN47" i="30"/>
  <c r="K6" i="35" s="1"/>
  <c r="L10" i="55" s="1"/>
  <c r="P68" i="59"/>
  <c r="O32" i="59"/>
  <c r="O76" i="59"/>
  <c r="O29" i="59" s="1"/>
  <c r="O34" i="59" s="1"/>
  <c r="AN48" i="82"/>
  <c r="AN26" i="82" s="1"/>
  <c r="AM26" i="82"/>
  <c r="AM63" i="82" s="1"/>
  <c r="F72" i="55"/>
  <c r="F107" i="55"/>
  <c r="J93" i="55" l="1"/>
  <c r="J128" i="55"/>
  <c r="AN19" i="88"/>
  <c r="K21" i="35" s="1"/>
  <c r="L25" i="55" s="1"/>
  <c r="J21" i="35"/>
  <c r="K25" i="55" s="1"/>
  <c r="J21" i="49"/>
  <c r="J22" i="49" s="1"/>
  <c r="K23" i="49" s="1"/>
  <c r="AN13" i="49"/>
  <c r="AN12" i="49" s="1"/>
  <c r="J23" i="49"/>
  <c r="AJ30" i="49" s="1"/>
  <c r="AJ33" i="49" s="1"/>
  <c r="F82" i="55"/>
  <c r="F117" i="55"/>
  <c r="G118" i="55"/>
  <c r="G83" i="55"/>
  <c r="AI34" i="49"/>
  <c r="F10" i="35"/>
  <c r="G14" i="55" s="1"/>
  <c r="AI10" i="26"/>
  <c r="AI9" i="26" s="1"/>
  <c r="AF37" i="49"/>
  <c r="T73" i="26"/>
  <c r="T59" i="20" s="1"/>
  <c r="T60" i="20" s="1"/>
  <c r="AM71" i="59"/>
  <c r="AM73" i="59" s="1"/>
  <c r="AM72" i="59"/>
  <c r="N94" i="59"/>
  <c r="AM25" i="88"/>
  <c r="J20" i="35"/>
  <c r="K24" i="55" s="1"/>
  <c r="AJ59" i="20"/>
  <c r="AJ60" i="20" s="1"/>
  <c r="G2" i="35"/>
  <c r="H4" i="55" s="1"/>
  <c r="S17" i="20"/>
  <c r="S35" i="20"/>
  <c r="K129" i="55"/>
  <c r="K94" i="55"/>
  <c r="K115" i="55"/>
  <c r="K80" i="55"/>
  <c r="AB102" i="75"/>
  <c r="AC103" i="75"/>
  <c r="J126" i="55"/>
  <c r="J91" i="55"/>
  <c r="E124" i="55"/>
  <c r="E89" i="55"/>
  <c r="G90" i="55"/>
  <c r="G125" i="55"/>
  <c r="AN14" i="59"/>
  <c r="AN15" i="82"/>
  <c r="AC69" i="59"/>
  <c r="AD70" i="59"/>
  <c r="AF104" i="75"/>
  <c r="AF106" i="75" s="1"/>
  <c r="AF105" i="75"/>
  <c r="AM33" i="20"/>
  <c r="AM34" i="20"/>
  <c r="K9" i="55" s="1"/>
  <c r="AN32" i="20"/>
  <c r="J5" i="35"/>
  <c r="K8" i="55" s="1"/>
  <c r="AI64" i="83"/>
  <c r="N84" i="82"/>
  <c r="N86" i="82"/>
  <c r="AL51" i="59"/>
  <c r="AK26" i="59"/>
  <c r="AK66" i="59" s="1"/>
  <c r="AK38" i="82"/>
  <c r="G18" i="35"/>
  <c r="H22" i="55" s="1"/>
  <c r="AD68" i="83"/>
  <c r="AC67" i="83"/>
  <c r="J112" i="55"/>
  <c r="J77" i="55"/>
  <c r="O41" i="75"/>
  <c r="AC14" i="74"/>
  <c r="AC13" i="74" s="1"/>
  <c r="AC11" i="74" s="1"/>
  <c r="AC19" i="74" s="1"/>
  <c r="AM31" i="88"/>
  <c r="J19" i="35"/>
  <c r="K23" i="55" s="1"/>
  <c r="U15" i="26"/>
  <c r="U20" i="26" s="1"/>
  <c r="U78" i="26" s="1"/>
  <c r="V28" i="26"/>
  <c r="U27" i="26"/>
  <c r="U76" i="26"/>
  <c r="U73" i="26" s="1"/>
  <c r="U59" i="20" s="1"/>
  <c r="U60" i="20" s="1"/>
  <c r="AK50" i="83"/>
  <c r="AJ26" i="83"/>
  <c r="J84" i="55"/>
  <c r="J119" i="55"/>
  <c r="J92" i="55"/>
  <c r="J127" i="55"/>
  <c r="AH34" i="82"/>
  <c r="E17" i="35"/>
  <c r="F21" i="55" s="1"/>
  <c r="AN33" i="88"/>
  <c r="AN9" i="88"/>
  <c r="P39" i="75"/>
  <c r="Q101" i="75"/>
  <c r="P109" i="75"/>
  <c r="P37" i="75" s="1"/>
  <c r="AN25" i="88"/>
  <c r="T17" i="20"/>
  <c r="T35" i="20"/>
  <c r="AI13" i="82"/>
  <c r="AI35" i="82"/>
  <c r="AI33" i="82"/>
  <c r="AI14" i="82"/>
  <c r="AK64" i="82"/>
  <c r="AJ31" i="82"/>
  <c r="AJ12" i="82" s="1"/>
  <c r="AJ65" i="82"/>
  <c r="AN10" i="33"/>
  <c r="AM17" i="59"/>
  <c r="AM18" i="82"/>
  <c r="J12" i="35"/>
  <c r="K16" i="55" s="1"/>
  <c r="AM69" i="83"/>
  <c r="AM71" i="83" s="1"/>
  <c r="AM70" i="83"/>
  <c r="K113" i="55"/>
  <c r="K78" i="55"/>
  <c r="J76" i="55"/>
  <c r="J111" i="55"/>
  <c r="AL81" i="26"/>
  <c r="AK73" i="26"/>
  <c r="AN11" i="26"/>
  <c r="AN78" i="26"/>
  <c r="AA14" i="20"/>
  <c r="AB30" i="70"/>
  <c r="Q66" i="83"/>
  <c r="P31" i="83"/>
  <c r="P74" i="83"/>
  <c r="P29" i="83" s="1"/>
  <c r="AN63" i="82"/>
  <c r="O33" i="59"/>
  <c r="K74" i="55"/>
  <c r="K109" i="55"/>
  <c r="AB28" i="75"/>
  <c r="AB26" i="75" s="1"/>
  <c r="G72" i="55"/>
  <c r="G107" i="55"/>
  <c r="Q68" i="59"/>
  <c r="P32" i="59"/>
  <c r="P76" i="59"/>
  <c r="P29" i="59" s="1"/>
  <c r="P34" i="59" s="1"/>
  <c r="AD85" i="75"/>
  <c r="AE85" i="75" s="1"/>
  <c r="AF85" i="75" s="1"/>
  <c r="AG85" i="75" s="1"/>
  <c r="AC24" i="75"/>
  <c r="AC34" i="75"/>
  <c r="AC99" i="75" s="1"/>
  <c r="K128" i="55" l="1"/>
  <c r="K93" i="55"/>
  <c r="AN31" i="88"/>
  <c r="K19" i="35"/>
  <c r="L23" i="55" s="1"/>
  <c r="AJ34" i="49"/>
  <c r="AJ10" i="26"/>
  <c r="AJ9" i="26" s="1"/>
  <c r="G10" i="35"/>
  <c r="H14" i="55" s="1"/>
  <c r="H117" i="55" s="1"/>
  <c r="G11" i="35"/>
  <c r="H15" i="55" s="1"/>
  <c r="H118" i="55" s="1"/>
  <c r="AK30" i="49"/>
  <c r="AJ38" i="59"/>
  <c r="AJ37" i="82"/>
  <c r="AK33" i="49"/>
  <c r="AK38" i="59"/>
  <c r="AK37" i="82"/>
  <c r="AL30" i="49"/>
  <c r="H11" i="35"/>
  <c r="I15" i="55" s="1"/>
  <c r="G82" i="55"/>
  <c r="G117" i="55"/>
  <c r="R66" i="83"/>
  <c r="Q31" i="83"/>
  <c r="Q74" i="83"/>
  <c r="Q29" i="83" s="1"/>
  <c r="AK31" i="82"/>
  <c r="AK12" i="82" s="1"/>
  <c r="AK65" i="82"/>
  <c r="AL64" i="82"/>
  <c r="F124" i="55"/>
  <c r="F89" i="55"/>
  <c r="AM51" i="59"/>
  <c r="AL26" i="59"/>
  <c r="P41" i="75"/>
  <c r="P33" i="59"/>
  <c r="K127" i="55"/>
  <c r="K92" i="55"/>
  <c r="AL38" i="82"/>
  <c r="H18" i="35"/>
  <c r="I22" i="55" s="1"/>
  <c r="AL50" i="83"/>
  <c r="AK26" i="83"/>
  <c r="K84" i="55"/>
  <c r="K119" i="55"/>
  <c r="AN34" i="20"/>
  <c r="L9" i="55" s="1"/>
  <c r="AN33" i="20"/>
  <c r="H72" i="55"/>
  <c r="H107" i="55"/>
  <c r="AK59" i="20"/>
  <c r="AK60" i="20" s="1"/>
  <c r="H2" i="35"/>
  <c r="I4" i="55" s="1"/>
  <c r="AI34" i="82"/>
  <c r="F17" i="35"/>
  <c r="G21" i="55" s="1"/>
  <c r="AN69" i="83"/>
  <c r="AN71" i="83" s="1"/>
  <c r="AN70" i="83" s="1"/>
  <c r="N92" i="83"/>
  <c r="AJ33" i="82"/>
  <c r="AJ14" i="82"/>
  <c r="AJ35" i="82"/>
  <c r="AJ13" i="82"/>
  <c r="AJ64" i="83"/>
  <c r="U17" i="20"/>
  <c r="U35" i="20"/>
  <c r="V76" i="26"/>
  <c r="V73" i="26" s="1"/>
  <c r="V59" i="20" s="1"/>
  <c r="V60" i="20" s="1"/>
  <c r="W28" i="26"/>
  <c r="V15" i="26"/>
  <c r="V20" i="26" s="1"/>
  <c r="V78" i="26" s="1"/>
  <c r="V27" i="26"/>
  <c r="AN17" i="59"/>
  <c r="AN18" i="82"/>
  <c r="K112" i="55"/>
  <c r="K77" i="55"/>
  <c r="AM81" i="26"/>
  <c r="AL73" i="26"/>
  <c r="AD67" i="83"/>
  <c r="AE68" i="83"/>
  <c r="AN72" i="59"/>
  <c r="AN71" i="59"/>
  <c r="AN73" i="59" s="1"/>
  <c r="Q39" i="75"/>
  <c r="R101" i="75"/>
  <c r="Q109" i="75"/>
  <c r="Q37" i="75" s="1"/>
  <c r="AC28" i="75"/>
  <c r="AC26" i="75" s="1"/>
  <c r="P33" i="83"/>
  <c r="K126" i="55"/>
  <c r="K91" i="55"/>
  <c r="AB14" i="20"/>
  <c r="AC30" i="70"/>
  <c r="K76" i="55"/>
  <c r="K111" i="55"/>
  <c r="Q32" i="59"/>
  <c r="R68" i="59"/>
  <c r="Q76" i="59"/>
  <c r="Q29" i="59" s="1"/>
  <c r="Q34" i="59" s="1"/>
  <c r="AC102" i="75"/>
  <c r="AD103" i="75"/>
  <c r="N95" i="59"/>
  <c r="N97" i="59"/>
  <c r="H90" i="55"/>
  <c r="H125" i="55"/>
  <c r="AD69" i="59"/>
  <c r="AE70" i="59"/>
  <c r="H83" i="55" l="1"/>
  <c r="H82" i="55"/>
  <c r="AL38" i="59"/>
  <c r="AM30" i="49"/>
  <c r="AJ35" i="49" s="1"/>
  <c r="AJ36" i="49" s="1"/>
  <c r="AL33" i="49"/>
  <c r="AL37" i="82"/>
  <c r="I11" i="35"/>
  <c r="J15" i="55" s="1"/>
  <c r="I118" i="55"/>
  <c r="I83" i="55"/>
  <c r="AK34" i="49"/>
  <c r="H10" i="35"/>
  <c r="I14" i="55" s="1"/>
  <c r="AK10" i="26"/>
  <c r="AK9" i="26" s="1"/>
  <c r="AC14" i="20"/>
  <c r="AD30" i="70"/>
  <c r="AL59" i="20"/>
  <c r="AL60" i="20" s="1"/>
  <c r="I2" i="35"/>
  <c r="J4" i="55" s="1"/>
  <c r="AN81" i="26"/>
  <c r="AN73" i="26" s="1"/>
  <c r="AM73" i="26"/>
  <c r="AL31" i="82"/>
  <c r="AL12" i="82" s="1"/>
  <c r="AM64" i="82"/>
  <c r="G17" i="35"/>
  <c r="H21" i="55" s="1"/>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33" i="82"/>
  <c r="AK13" i="82"/>
  <c r="AK14" i="82"/>
  <c r="AK35" i="82"/>
  <c r="V35" i="20"/>
  <c r="V17" i="20"/>
  <c r="R32" i="59"/>
  <c r="S68" i="59"/>
  <c r="R76" i="59"/>
  <c r="R29" i="59" s="1"/>
  <c r="R34" i="59" s="1"/>
  <c r="AL66" i="59"/>
  <c r="Q33" i="83"/>
  <c r="S66" i="83"/>
  <c r="R31" i="83"/>
  <c r="R74" i="83"/>
  <c r="R29" i="83" s="1"/>
  <c r="I90" i="55"/>
  <c r="I125" i="55"/>
  <c r="Q33" i="59"/>
  <c r="AN51" i="59"/>
  <c r="AN26" i="59" s="1"/>
  <c r="AN66" i="59" s="1"/>
  <c r="AM26" i="59"/>
  <c r="AE67" i="83"/>
  <c r="AF68" i="83"/>
  <c r="AE69" i="59"/>
  <c r="AF70" i="59"/>
  <c r="AK64" i="83"/>
  <c r="I82" i="55" l="1"/>
  <c r="I117" i="55"/>
  <c r="J118" i="55"/>
  <c r="J83" i="55"/>
  <c r="AL34" i="49"/>
  <c r="I10" i="35"/>
  <c r="J14" i="55" s="1"/>
  <c r="AL10" i="26"/>
  <c r="AL9" i="26" s="1"/>
  <c r="AM37" i="82"/>
  <c r="AN30" i="49"/>
  <c r="AM38" i="59"/>
  <c r="J11" i="35"/>
  <c r="K15" i="55" s="1"/>
  <c r="AM33" i="49"/>
  <c r="AN59" i="20"/>
  <c r="AN60" i="20" s="1"/>
  <c r="K2" i="35"/>
  <c r="L4" i="55" s="1"/>
  <c r="AM66" i="59"/>
  <c r="J90" i="55"/>
  <c r="J125" i="55"/>
  <c r="AN38" i="82"/>
  <c r="K18" i="35" s="1"/>
  <c r="L22" i="55" s="1"/>
  <c r="J18" i="35"/>
  <c r="K22" i="55" s="1"/>
  <c r="AN64" i="82"/>
  <c r="AN31" i="82" s="1"/>
  <c r="AN12" i="82" s="1"/>
  <c r="AM31" i="82"/>
  <c r="AM12" i="82" s="1"/>
  <c r="T66" i="83"/>
  <c r="S31" i="83"/>
  <c r="S74" i="83"/>
  <c r="S29" i="83" s="1"/>
  <c r="AL64" i="83"/>
  <c r="AK34" i="82"/>
  <c r="H17" i="35"/>
  <c r="I21" i="55" s="1"/>
  <c r="AL33" i="82"/>
  <c r="AL13" i="82"/>
  <c r="AL14" i="82"/>
  <c r="AL35" i="82"/>
  <c r="AN50" i="83"/>
  <c r="AN26" i="83" s="1"/>
  <c r="AM26" i="83"/>
  <c r="AM59" i="20"/>
  <c r="AM60" i="20" s="1"/>
  <c r="J2" i="35"/>
  <c r="K4" i="55" s="1"/>
  <c r="H124" i="55"/>
  <c r="H89" i="55"/>
  <c r="R33" i="83"/>
  <c r="J72" i="55"/>
  <c r="J107" i="55"/>
  <c r="AE102" i="75"/>
  <c r="AF103" i="75"/>
  <c r="AF102" i="75" s="1"/>
  <c r="AD14" i="20"/>
  <c r="AE30" i="70"/>
  <c r="S39" i="75"/>
  <c r="T101" i="75"/>
  <c r="S109" i="75"/>
  <c r="S37" i="75" s="1"/>
  <c r="R41" i="75"/>
  <c r="AF67" i="83"/>
  <c r="AG68" i="83"/>
  <c r="AF69" i="59"/>
  <c r="AG70" i="59"/>
  <c r="S32" i="59"/>
  <c r="S33" i="59" s="1"/>
  <c r="T68" i="59"/>
  <c r="S76" i="59"/>
  <c r="S29" i="59" s="1"/>
  <c r="X76" i="26"/>
  <c r="X15" i="26"/>
  <c r="X27" i="26"/>
  <c r="AO27" i="26" s="1"/>
  <c r="AO28" i="26"/>
  <c r="AP15" i="26" s="1"/>
  <c r="R33" i="59"/>
  <c r="W73" i="26"/>
  <c r="W59" i="20" s="1"/>
  <c r="W60" i="20" s="1"/>
  <c r="AM34" i="49" l="1"/>
  <c r="AM10" i="26"/>
  <c r="AM9" i="26" s="1"/>
  <c r="AJ37" i="49"/>
  <c r="J10" i="35"/>
  <c r="K14" i="55" s="1"/>
  <c r="K83" i="55"/>
  <c r="K118" i="55"/>
  <c r="K11" i="35"/>
  <c r="L15" i="55" s="1"/>
  <c r="AN33" i="49"/>
  <c r="AN38" i="59"/>
  <c r="AN37" i="82"/>
  <c r="AN34" i="49"/>
  <c r="J82" i="55"/>
  <c r="J117" i="55"/>
  <c r="AE14" i="20"/>
  <c r="AF30" i="70"/>
  <c r="AL34" i="82"/>
  <c r="I17" i="35"/>
  <c r="J21" i="55" s="1"/>
  <c r="I124" i="55"/>
  <c r="I89" i="55"/>
  <c r="S33" i="83"/>
  <c r="AG67" i="83"/>
  <c r="AH68" i="83"/>
  <c r="K90" i="55"/>
  <c r="K125" i="55"/>
  <c r="T32" i="59"/>
  <c r="U68" i="59"/>
  <c r="T76" i="59"/>
  <c r="T29" i="59" s="1"/>
  <c r="T34" i="59" s="1"/>
  <c r="AG69" i="59"/>
  <c r="AH70" i="59"/>
  <c r="AM33" i="82"/>
  <c r="AM13" i="82"/>
  <c r="AM14" i="82"/>
  <c r="K107" i="55"/>
  <c r="K72" i="55"/>
  <c r="AM64" i="83"/>
  <c r="T39" i="75"/>
  <c r="U101" i="75"/>
  <c r="T109" i="75"/>
  <c r="T37" i="75" s="1"/>
  <c r="X20" i="26"/>
  <c r="X78" i="26" s="1"/>
  <c r="X73" i="26" s="1"/>
  <c r="X59" i="20" s="1"/>
  <c r="X60" i="20" s="1"/>
  <c r="AO15" i="26"/>
  <c r="S34" i="59"/>
  <c r="U66" i="83"/>
  <c r="T31" i="83"/>
  <c r="T74" i="83"/>
  <c r="T29" i="83" s="1"/>
  <c r="AN14" i="82"/>
  <c r="AN33" i="82"/>
  <c r="AN13" i="82"/>
  <c r="W35" i="20"/>
  <c r="W17" i="20"/>
  <c r="AN64" i="83"/>
  <c r="S41" i="75"/>
  <c r="E135" i="75"/>
  <c r="AN34" i="82" l="1"/>
  <c r="K17" i="35"/>
  <c r="L21" i="55" s="1"/>
  <c r="T33" i="83"/>
  <c r="AN10" i="26"/>
  <c r="AN9" i="26" s="1"/>
  <c r="K10" i="35"/>
  <c r="L14" i="55" s="1"/>
  <c r="K117" i="55"/>
  <c r="K82" i="55"/>
  <c r="X35" i="20"/>
  <c r="X17" i="20"/>
  <c r="T33" i="59"/>
  <c r="T41" i="75"/>
  <c r="U32" i="59"/>
  <c r="V68" i="59"/>
  <c r="U76" i="59"/>
  <c r="U29" i="59" s="1"/>
  <c r="U34" i="59" s="1"/>
  <c r="V66" i="83"/>
  <c r="U31" i="83"/>
  <c r="U74" i="83"/>
  <c r="U29" i="83" s="1"/>
  <c r="V101" i="75"/>
  <c r="U39" i="75"/>
  <c r="U41" i="75" s="1"/>
  <c r="U109" i="75"/>
  <c r="U37" i="75" s="1"/>
  <c r="AM34" i="82"/>
  <c r="J17" i="35"/>
  <c r="K21" i="55" s="1"/>
  <c r="AF14" i="20"/>
  <c r="AF16" i="20" s="1"/>
  <c r="D7" i="55" s="1"/>
  <c r="AG30" i="70"/>
  <c r="AH67" i="83"/>
  <c r="AI68" i="83"/>
  <c r="J124" i="55"/>
  <c r="J89" i="55"/>
  <c r="AI70" i="59"/>
  <c r="AH69" i="59"/>
  <c r="D110" i="55" l="1"/>
  <c r="D75" i="55"/>
  <c r="W66" i="83"/>
  <c r="V31" i="83"/>
  <c r="V74" i="83"/>
  <c r="V29" i="83" s="1"/>
  <c r="AI69" i="59"/>
  <c r="AJ70" i="59"/>
  <c r="U33" i="59"/>
  <c r="AJ68" i="83"/>
  <c r="AI67" i="83"/>
  <c r="AG14" i="20"/>
  <c r="AG16" i="20" s="1"/>
  <c r="E7" i="55" s="1"/>
  <c r="AH30" i="70"/>
  <c r="K124" i="55"/>
  <c r="K89" i="55"/>
  <c r="V39" i="75"/>
  <c r="W101" i="75"/>
  <c r="V109" i="75"/>
  <c r="U33" i="83"/>
  <c r="W68" i="59"/>
  <c r="V32" i="59"/>
  <c r="V76" i="59"/>
  <c r="V29" i="59" s="1"/>
  <c r="V34" i="59" s="1"/>
  <c r="E75" i="55" l="1"/>
  <c r="E110" i="55"/>
  <c r="W39" i="75"/>
  <c r="X101" i="75"/>
  <c r="AH14" i="20"/>
  <c r="AH16" i="20" s="1"/>
  <c r="F7" i="55" s="1"/>
  <c r="AI30" i="70"/>
  <c r="AJ69" i="59"/>
  <c r="AK70" i="59"/>
  <c r="V33" i="59"/>
  <c r="V33" i="83"/>
  <c r="V37" i="75"/>
  <c r="V43" i="75" s="1"/>
  <c r="W109" i="75"/>
  <c r="AK68" i="83"/>
  <c r="AJ67" i="83"/>
  <c r="X68" i="59"/>
  <c r="W32" i="59"/>
  <c r="W76" i="59"/>
  <c r="W29" i="59" s="1"/>
  <c r="W34" i="59" s="1"/>
  <c r="X66" i="83"/>
  <c r="W31" i="83"/>
  <c r="W33" i="83" s="1"/>
  <c r="W74" i="83"/>
  <c r="W29" i="83" s="1"/>
  <c r="F110" i="55" l="1"/>
  <c r="F75" i="55"/>
  <c r="V41" i="75"/>
  <c r="AL68" i="83"/>
  <c r="AK67" i="83"/>
  <c r="V52" i="75"/>
  <c r="X109" i="75"/>
  <c r="W37" i="75"/>
  <c r="W12" i="75" s="1"/>
  <c r="F133" i="75" s="1"/>
  <c r="F137" i="75" s="1"/>
  <c r="AL70" i="59"/>
  <c r="AK69" i="59"/>
  <c r="AI14" i="20"/>
  <c r="AI16" i="20" s="1"/>
  <c r="G7" i="55" s="1"/>
  <c r="AJ30" i="70"/>
  <c r="Y66" i="83"/>
  <c r="X31" i="83"/>
  <c r="X74" i="83"/>
  <c r="X29" i="83" s="1"/>
  <c r="Y101" i="75"/>
  <c r="X39" i="75"/>
  <c r="W33" i="59"/>
  <c r="Y68" i="59"/>
  <c r="X32" i="59"/>
  <c r="X76" i="59"/>
  <c r="X29" i="59" s="1"/>
  <c r="X34" i="59" s="1"/>
  <c r="F135" i="75"/>
  <c r="G110" i="55" l="1"/>
  <c r="G75" i="55"/>
  <c r="Z101" i="75"/>
  <c r="Y39" i="75"/>
  <c r="X33" i="83"/>
  <c r="Y31" i="83"/>
  <c r="Z66" i="83"/>
  <c r="Y74" i="83"/>
  <c r="Y29" i="83" s="1"/>
  <c r="AJ14" i="20"/>
  <c r="AJ16" i="20" s="1"/>
  <c r="H7" i="55" s="1"/>
  <c r="AK30" i="70"/>
  <c r="AL69" i="59"/>
  <c r="AM70" i="59"/>
  <c r="X37" i="75"/>
  <c r="X12" i="75" s="1"/>
  <c r="Y109" i="75"/>
  <c r="X33" i="59"/>
  <c r="Z68" i="59"/>
  <c r="Y32" i="59"/>
  <c r="Y33" i="59" s="1"/>
  <c r="Y76" i="59"/>
  <c r="Y29" i="59" s="1"/>
  <c r="AM68" i="83"/>
  <c r="AL67" i="83"/>
  <c r="W41" i="75"/>
  <c r="H110" i="55" l="1"/>
  <c r="H75" i="55"/>
  <c r="AK14" i="20"/>
  <c r="AK16" i="20" s="1"/>
  <c r="I7" i="55" s="1"/>
  <c r="AL30" i="70"/>
  <c r="AA66" i="83"/>
  <c r="Z31" i="83"/>
  <c r="Z74" i="83"/>
  <c r="Z29" i="83" s="1"/>
  <c r="Y33" i="83"/>
  <c r="Y41" i="75"/>
  <c r="AN68" i="83"/>
  <c r="AN67" i="83" s="1"/>
  <c r="AM67" i="83"/>
  <c r="AA101" i="75"/>
  <c r="Z39" i="75"/>
  <c r="Y34" i="59"/>
  <c r="X41" i="75"/>
  <c r="AA68" i="59"/>
  <c r="Z32" i="59"/>
  <c r="Z33" i="59" s="1"/>
  <c r="Z76" i="59"/>
  <c r="Z29" i="59" s="1"/>
  <c r="Y37" i="75"/>
  <c r="Y12" i="75" s="1"/>
  <c r="Z109" i="75"/>
  <c r="AN70" i="59"/>
  <c r="AN69" i="59" s="1"/>
  <c r="AM69" i="59"/>
  <c r="I110" i="55" l="1"/>
  <c r="I75" i="55"/>
  <c r="Z33" i="83"/>
  <c r="AB66" i="83"/>
  <c r="AA31" i="83"/>
  <c r="AA74" i="83"/>
  <c r="AA29" i="83" s="1"/>
  <c r="Z37" i="75"/>
  <c r="Z41" i="75" s="1"/>
  <c r="AA109" i="75"/>
  <c r="AL14" i="20"/>
  <c r="AL16" i="20" s="1"/>
  <c r="J7" i="55" s="1"/>
  <c r="AM30" i="70"/>
  <c r="AA32" i="59"/>
  <c r="AB68" i="59"/>
  <c r="AA76" i="59"/>
  <c r="AA29" i="59" s="1"/>
  <c r="AA34" i="59" s="1"/>
  <c r="AB101" i="75"/>
  <c r="AA39" i="75"/>
  <c r="G135" i="75"/>
  <c r="Z34" i="59"/>
  <c r="J110" i="55" l="1"/>
  <c r="J75" i="55"/>
  <c r="AC101" i="75"/>
  <c r="AB39" i="75"/>
  <c r="AA33" i="59"/>
  <c r="AA37" i="75"/>
  <c r="AA12" i="75" s="1"/>
  <c r="AB109" i="75"/>
  <c r="AA33" i="83"/>
  <c r="AC66" i="83"/>
  <c r="AB31" i="83"/>
  <c r="AB74" i="83"/>
  <c r="AB29" i="83" s="1"/>
  <c r="Z12" i="75"/>
  <c r="G133" i="75" s="1"/>
  <c r="G137" i="75" s="1"/>
  <c r="AA41" i="75"/>
  <c r="AB32" i="59"/>
  <c r="AC68" i="59"/>
  <c r="AB76" i="59"/>
  <c r="AB29" i="59" s="1"/>
  <c r="AB34" i="59" s="1"/>
  <c r="AN30" i="70"/>
  <c r="AN14" i="20" s="1"/>
  <c r="AN16" i="20" s="1"/>
  <c r="L7" i="55" s="1"/>
  <c r="AM14" i="20"/>
  <c r="AM16" i="20" s="1"/>
  <c r="K7" i="55" s="1"/>
  <c r="K110" i="55" l="1"/>
  <c r="K75" i="55"/>
  <c r="AD68" i="59"/>
  <c r="AC32" i="59"/>
  <c r="AC33" i="59" s="1"/>
  <c r="AC76" i="59"/>
  <c r="AC29" i="59" s="1"/>
  <c r="AC34" i="59" s="1"/>
  <c r="AB33" i="59"/>
  <c r="AB33" i="83"/>
  <c r="AC31" i="83"/>
  <c r="AD66" i="83"/>
  <c r="AC74" i="83"/>
  <c r="AC109" i="75"/>
  <c r="AB37" i="75"/>
  <c r="AB12" i="75" s="1"/>
  <c r="AD101" i="75"/>
  <c r="AE101" i="75" s="1"/>
  <c r="AF101" i="75" s="1"/>
  <c r="AC39" i="75"/>
  <c r="AB41" i="75" l="1"/>
  <c r="AD109" i="75"/>
  <c r="AE109" i="75" s="1"/>
  <c r="AF109" i="75" s="1"/>
  <c r="AC37" i="75"/>
  <c r="AC12" i="75" s="1"/>
  <c r="AD74" i="83"/>
  <c r="AC29" i="83"/>
  <c r="AC33" i="83" s="1"/>
  <c r="AD31" i="83"/>
  <c r="AE66" i="83"/>
  <c r="AE68" i="59"/>
  <c r="AD32" i="59"/>
  <c r="AD76" i="59"/>
  <c r="AF68" i="59" l="1"/>
  <c r="AE32" i="59"/>
  <c r="AE74" i="83"/>
  <c r="AD29" i="83"/>
  <c r="AD12" i="83" s="1"/>
  <c r="B3" i="84" s="1"/>
  <c r="AE76" i="59"/>
  <c r="AD29" i="59"/>
  <c r="AD34" i="59" s="1"/>
  <c r="AE31" i="83"/>
  <c r="AF66" i="83"/>
  <c r="AC41" i="75"/>
  <c r="AF31" i="83" l="1"/>
  <c r="AG66" i="83"/>
  <c r="AF76" i="59"/>
  <c r="AE29" i="59"/>
  <c r="AD34" i="83"/>
  <c r="B6" i="84" s="1"/>
  <c r="AG68" i="59"/>
  <c r="AF32" i="59"/>
  <c r="K3" i="84"/>
  <c r="AF74" i="83"/>
  <c r="AE29" i="83"/>
  <c r="AE12" i="83" s="1"/>
  <c r="C3" i="84" s="1"/>
  <c r="AD33" i="83"/>
  <c r="B4" i="84" s="1"/>
  <c r="AE33" i="59"/>
  <c r="AD33" i="59"/>
  <c r="K4" i="84" l="1"/>
  <c r="D3" i="84"/>
  <c r="L3" i="84"/>
  <c r="AG74" i="83"/>
  <c r="AF29" i="83"/>
  <c r="AF12" i="83" s="1"/>
  <c r="B10" i="84"/>
  <c r="B11" i="84" s="1"/>
  <c r="B8" i="84"/>
  <c r="B9" i="84" s="1"/>
  <c r="K6" i="84"/>
  <c r="AG76" i="59"/>
  <c r="AF29" i="59"/>
  <c r="AE33" i="83"/>
  <c r="C4" i="84" s="1"/>
  <c r="AE34" i="83"/>
  <c r="C6" i="84" s="1"/>
  <c r="AG31" i="83"/>
  <c r="AH66" i="83"/>
  <c r="AH68" i="59"/>
  <c r="AG32" i="59"/>
  <c r="AE34" i="59"/>
  <c r="AE12" i="59"/>
  <c r="AF33" i="83" l="1"/>
  <c r="D6" i="84"/>
  <c r="C10" i="84"/>
  <c r="C8" i="84"/>
  <c r="C9" i="84" s="1"/>
  <c r="L6" i="84"/>
  <c r="AH76" i="59"/>
  <c r="AG29" i="59"/>
  <c r="AG34" i="59" s="1"/>
  <c r="AI66" i="83"/>
  <c r="AH31" i="83"/>
  <c r="I3" i="84"/>
  <c r="AI68" i="59"/>
  <c r="AH32" i="59"/>
  <c r="C11" i="84"/>
  <c r="D4" i="84"/>
  <c r="L4" i="84"/>
  <c r="AF34" i="59"/>
  <c r="AF12" i="59"/>
  <c r="AF34" i="83"/>
  <c r="AG29" i="83"/>
  <c r="AG12" i="83" s="1"/>
  <c r="AH74" i="83"/>
  <c r="AG12" i="59"/>
  <c r="AF33" i="59"/>
  <c r="AI32" i="59" l="1"/>
  <c r="AJ68" i="59"/>
  <c r="D11" i="84"/>
  <c r="I4" i="84"/>
  <c r="AI74" i="83"/>
  <c r="AH29" i="83"/>
  <c r="AH12" i="83" s="1"/>
  <c r="AJ66" i="83"/>
  <c r="AI31" i="83"/>
  <c r="AG33" i="59"/>
  <c r="AI76" i="59"/>
  <c r="AH29" i="59"/>
  <c r="AH34" i="59" s="1"/>
  <c r="D10" i="84"/>
  <c r="D8" i="84"/>
  <c r="D9" i="84" s="1"/>
  <c r="I6" i="84"/>
  <c r="I8" i="84" s="1"/>
  <c r="I9" i="84" s="1"/>
  <c r="AG33" i="83"/>
  <c r="AG34" i="83"/>
  <c r="AH34" i="83" l="1"/>
  <c r="AK66" i="83"/>
  <c r="AJ31" i="83"/>
  <c r="AJ32" i="59"/>
  <c r="AK68" i="59"/>
  <c r="AH12" i="59"/>
  <c r="AI29" i="59"/>
  <c r="AI34" i="59" s="1"/>
  <c r="AJ76" i="59"/>
  <c r="AH33" i="83"/>
  <c r="AJ74" i="83"/>
  <c r="AI29" i="83"/>
  <c r="AI12" i="83" s="1"/>
  <c r="AI33" i="59"/>
  <c r="AI12" i="59"/>
  <c r="AH33" i="59"/>
  <c r="AK76" i="59" l="1"/>
  <c r="AJ29" i="59"/>
  <c r="AJ34" i="59" s="1"/>
  <c r="AK74" i="83"/>
  <c r="AJ29" i="83"/>
  <c r="AJ12" i="83" s="1"/>
  <c r="AK32" i="59"/>
  <c r="AL68" i="59"/>
  <c r="AJ33" i="59"/>
  <c r="AJ12" i="59"/>
  <c r="AJ33" i="83"/>
  <c r="AJ34" i="83"/>
  <c r="AL66" i="83"/>
  <c r="AK31" i="83"/>
  <c r="AI34" i="83"/>
  <c r="AI33" i="83"/>
  <c r="AM66" i="83" l="1"/>
  <c r="AL31" i="83"/>
  <c r="AM68" i="59"/>
  <c r="AL32" i="59"/>
  <c r="AL74" i="83"/>
  <c r="AK29" i="83"/>
  <c r="AK12" i="83" s="1"/>
  <c r="AL76" i="59"/>
  <c r="AK29" i="59"/>
  <c r="AK34" i="59" s="1"/>
  <c r="AM76" i="59" l="1"/>
  <c r="AL29" i="59"/>
  <c r="AM74" i="83"/>
  <c r="AL29" i="83"/>
  <c r="AL12" i="83" s="1"/>
  <c r="AL33" i="59"/>
  <c r="AN68" i="59"/>
  <c r="AN32" i="59" s="1"/>
  <c r="AM32" i="59"/>
  <c r="AK33" i="83"/>
  <c r="AK34" i="83"/>
  <c r="AK12" i="59"/>
  <c r="AK33" i="59"/>
  <c r="AL34" i="83"/>
  <c r="AL33" i="83"/>
  <c r="AN66" i="83"/>
  <c r="AN31" i="83" s="1"/>
  <c r="AM31" i="83"/>
  <c r="AN74" i="83" l="1"/>
  <c r="AN29" i="83" s="1"/>
  <c r="AN12" i="83" s="1"/>
  <c r="AM29" i="83"/>
  <c r="AM12" i="83" s="1"/>
  <c r="AL34" i="59"/>
  <c r="AL12" i="59"/>
  <c r="AM34" i="83"/>
  <c r="AM33" i="83"/>
  <c r="AN76" i="59"/>
  <c r="AN29" i="59" s="1"/>
  <c r="AN34" i="59" s="1"/>
  <c r="AM29" i="59"/>
  <c r="AM34" i="59" s="1"/>
  <c r="AN33" i="83" l="1"/>
  <c r="AN34" i="83"/>
  <c r="AM12" i="59"/>
  <c r="AN12" i="59"/>
  <c r="AM33" i="59"/>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29" authorId="2"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0"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7"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3"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tc={24F94836-2C70-4D99-A431-04968E6EED39}</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2"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H18" authorId="8" shapeId="0" xr:uid="{24F94836-2C70-4D99-A431-04968E6EED39}">
      <text>
        <t>[Threaded comment]
Your version of Excel allows you to read this threaded comment; however, any edits to it will get removed if the file is opened in a newer version of Excel. Learn more: https://go.microsoft.com/fwlink/?linkid=870924
Comment:
    5% decrease (half of 10% of IEEPA tariffs, which is 50% of total tariffs) - following the SC decision</t>
      </text>
    </comment>
    <comment ref="V19" authorId="9"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10"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1"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2"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3"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4"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5"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6"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7"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8"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9"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20"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1"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2"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3"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4"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5"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6"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7"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8"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9"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30"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1"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2"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3"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4"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5"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6"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7"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8"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9"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40"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1"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2"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3"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4"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5"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6"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7"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8"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9"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50"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1"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2"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3"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4"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5"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6"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<sst xmlns="http://schemas.openxmlformats.org/spreadsheetml/2006/main" count="5681" uniqueCount="2415">
  <si>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</si>
  <si>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</si>
  <si>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</si>
  <si>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</si>
  <si>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</si>
  <si>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</si>
  <si>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</si>
  <si>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</si>
  <si>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</si>
  <si>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</si>
  <si>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</si>
  <si>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</si>
  <si>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</si>
  <si>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</si>
  <si>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</si>
  <si>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</si>
  <si>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</si>
  <si>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</si>
  <si>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</si>
  <si>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</si>
  <si>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</si>
  <si>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</si>
  <si>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</si>
  <si>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</si>
  <si>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</si>
  <si>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</si>
  <si>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</si>
  <si>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</si>
  <si>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</si>
  <si>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</si>
  <si>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</si>
  <si>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</si>
  <si>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</si>
  <si>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</si>
  <si>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</si>
  <si>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</si>
  <si>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</si>
  <si>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</si>
  <si>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</si>
  <si>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</si>
  <si>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</si>
  <si>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</si>
  <si>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</si>
  <si>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</si>
  <si>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</si>
  <si>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</si>
  <si>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</si>
  <si>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</si>
  <si>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</si>
  <si>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</si>
  <si>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</si>
  <si>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</si>
  <si>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</si>
  <si>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</si>
  <si>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</si>
  <si>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</si>
  <si>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</si>
  <si>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</si>
  <si>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</si>
  <si>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</si>
  <si>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</si>
  <si>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</si>
  <si>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</si>
  <si>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</si>
  <si>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</si>
  <si>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</si>
  <si>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</si>
  <si>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</si>
  <si>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</si>
  <si>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</si>
  <si>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</si>
  <si>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</si>
  <si>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</si>
  <si>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</si>
  <si>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</si>
  <si>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</si>
  <si>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</si>
  <si>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</si>
  <si>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</si>
  <si>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</si>
  <si>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</si>
  <si>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</si>
  <si>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</si>
  <si>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</si>
  <si>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</si>
  <si>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</si>
  <si>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</si>
  <si>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</si>
  <si>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</si>
  <si>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</si>
  <si>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</si>
  <si>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</si>
  <si>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</si>
  <si>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</si>
  <si>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</si>
  <si>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</si>
  <si>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</si>
  <si>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</si>
  <si>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</si>
  <si>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</si>
  <si>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</si>
  <si>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</si>
  <si>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</si>
  <si>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</si>
  <si>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</si>
  <si>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</si>
  <si>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</si>
  <si>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</si>
  <si>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</si>
  <si>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</si>
  <si>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</si>
  <si>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</si>
  <si>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</si>
  <si>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</si>
  <si>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</si>
  <si>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</si>
  <si>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</si>
  <si>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</si>
  <si>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</si>
  <si>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</si>
  <si>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</si>
  <si>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</si>
  <si>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</si>
  <si>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</si>
  <si>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</si>
  <si>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</si>
  <si>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</si>
  <si>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</si>
  <si>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</si>
  <si>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</si>
  <si>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</si>
  <si>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</si>
  <si>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</si>
  <si>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</si>
  <si>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</si>
  <si>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</si>
  <si>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</si>
  <si>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</si>
  <si>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</si>
  <si>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</si>
  <si>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</si>
  <si>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</si>
  <si>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</si>
  <si>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</si>
  <si>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</si>
  <si>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</si>
  <si>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</si>
  <si>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</si>
  <si>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</si>
  <si>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</si>
  <si>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</si>
  <si>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</si>
  <si>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</si>
  <si>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</si>
  <si>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</si>
  <si>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</si>
  <si>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</si>
  <si>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</si>
  <si>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</si>
  <si>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</si>
  <si>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</si>
  <si>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</si>
  <si>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</si>
  <si>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</si>
  <si>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</si>
  <si>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</si>
  <si>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</si>
  <si>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</si>
  <si>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</si>
  <si>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</si>
  <si>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</si>
  <si>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</si>
  <si>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</si>
  <si>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</si>
  <si>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</si>
  <si>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</si>
  <si>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</si>
  <si>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</si>
  <si>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</si>
  <si>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</si>
  <si>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</si>
  <si>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</si>
  <si>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</si>
  <si>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</si>
  <si>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</si>
  <si>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</si>
  <si>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</si>
  <si>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</si>
  <si>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</si>
  <si>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</si>
  <si>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</si>
  <si>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</si>
  <si>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</si>
  <si>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</si>
  <si>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</si>
  <si>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</si>
  <si>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</si>
  <si>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</si>
  <si>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</si>
  <si>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</si>
  <si>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</si>
  <si>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</si>
  <si>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</si>
  <si>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</si>
  <si>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</si>
  <si>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</si>
  <si>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</si>
  <si>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</si>
  <si>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</si>
  <si>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</si>
  <si>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</si>
  <si>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</si>
  <si>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</si>
  <si>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</si>
  <si>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</si>
  <si>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</si>
  <si>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</si>
  <si>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</si>
  <si>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</si>
  <si>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</si>
  <si>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</si>
  <si>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</si>
  <si>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</si>
  <si>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</si>
  <si>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</si>
  <si>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</si>
  <si>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</si>
  <si>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</si>
  <si>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</si>
  <si>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</si>
  <si>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</si>
  <si>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</si>
  <si>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</si>
  <si>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</si>
  <si>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</si>
  <si>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</si>
  <si>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</si>
  <si>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</si>
  <si>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</si>
  <si>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</si>
  <si>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</si>
  <si>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</si>
  <si>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</si>
  <si>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</si>
  <si>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</si>
  <si>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</si>
  <si>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</si>
  <si>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</si>
  <si>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</si>
  <si>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</si>
  <si>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</si>
  <si>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</si>
  <si>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</si>
  <si>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</si>
  <si>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</si>
  <si>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</si>
  <si>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</si>
  <si>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</si>
  <si>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</si>
  <si>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</si>
  <si>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</si>
  <si>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</si>
  <si>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</si>
  <si>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</si>
  <si>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</si>
  <si>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</si>
  <si>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</si>
  <si>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</si>
  <si>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</si>
  <si>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</si>
  <si>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</si>
  <si>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</si>
  <si>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</si>
  <si>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</si>
  <si>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</si>
  <si>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</si>
  <si>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</si>
  <si>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</si>
  <si>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</si>
  <si>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</si>
  <si>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</si>
  <si>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</si>
  <si>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</si>
  <si>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</si>
  <si>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</si>
  <si>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</si>
  <si>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</si>
  <si>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</si>
  <si>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</si>
  <si>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</si>
  <si>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</si>
  <si>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</si>
  <si>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</si>
  <si>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</si>
  <si>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</si>
  <si>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</si>
  <si>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</si>
  <si>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</si>
  <si>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</si>
  <si>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</si>
  <si>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</si>
  <si>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</si>
  <si>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</si>
  <si>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</si>
  <si>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</si>
  <si>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</si>
  <si>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</si>
  <si>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</si>
  <si>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</si>
  <si>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</si>
  <si>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</si>
  <si>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</si>
  <si>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</si>
  <si>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</si>
  <si>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</si>
  <si>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</si>
  <si>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</si>
  <si>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</si>
  <si>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</si>
  <si>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</si>
  <si>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</si>
  <si>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</si>
  <si>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</si>
  <si>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</si>
  <si>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</si>
  <si>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</si>
  <si>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</si>
  <si>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</si>
  <si>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</si>
  <si>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</si>
  <si>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</si>
  <si>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</si>
  <si>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</si>
  <si>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</si>
  <si>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</si>
  <si>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</si>
  <si>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</si>
  <si>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</si>
  <si>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</si>
  <si>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</si>
  <si>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</si>
  <si>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</si>
  <si>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</si>
  <si>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</si>
  <si>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</si>
  <si>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</si>
  <si>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</si>
  <si>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</si>
  <si>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</si>
  <si>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</si>
  <si>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</si>
  <si>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</si>
  <si>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</si>
  <si>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</si>
  <si>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</si>
  <si>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</si>
  <si>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</si>
  <si>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</si>
  <si>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</si>
  <si>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</si>
  <si>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</si>
  <si>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</si>
  <si>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</si>
  <si>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</si>
  <si>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</si>
  <si>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</si>
  <si>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</si>
  <si>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</si>
  <si>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</si>
  <si>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</si>
  <si>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</si>
  <si>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</si>
  <si>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</si>
  <si>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</si>
  <si>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</si>
  <si>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</si>
  <si>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</si>
  <si>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</si>
  <si>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</si>
  <si>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</si>
  <si>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</si>
  <si>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</si>
  <si>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</si>
  <si>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</si>
  <si>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</si>
  <si>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</si>
  <si>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</si>
  <si>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</si>
  <si>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</si>
  <si>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</si>
  <si>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</si>
  <si>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</si>
  <si>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</si>
  <si>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</si>
  <si>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</si>
  <si>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</si>
  <si>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</si>
  <si>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</si>
  <si>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</si>
  <si>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</si>
  <si>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</si>
  <si>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</si>
  <si>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</si>
  <si>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</si>
  <si>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</si>
  <si>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</si>
  <si>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</si>
  <si>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</si>
  <si>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</si>
  <si>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</si>
  <si>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</si>
  <si>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</si>
  <si>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</si>
  <si>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</si>
  <si>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</si>
  <si>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</si>
  <si>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</si>
  <si>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</si>
  <si>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</si>
  <si>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</si>
  <si>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</si>
  <si>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</si>
  <si>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</si>
  <si>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</si>
  <si>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</si>
  <si>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</si>
  <si>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</si>
  <si>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</si>
  <si>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</si>
  <si>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</si>
  <si>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</si>
  <si>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</si>
  <si>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</si>
  <si>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</si>
  <si>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</si>
  <si>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</si>
  <si>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</si>
  <si>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</si>
  <si>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</si>
  <si>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</si>
  <si>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</si>
  <si>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</si>
  <si>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</si>
  <si>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</si>
  <si>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</si>
  <si>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</si>
  <si>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</si>
  <si>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</si>
  <si>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</si>
  <si>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</si>
  <si>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</si>
  <si>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</si>
  <si>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</si>
  <si>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</si>
  <si>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</si>
  <si>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</si>
  <si>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</si>
  <si>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</si>
  <si>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</si>
  <si>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</si>
  <si>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</si>
  <si>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</si>
  <si>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</si>
  <si>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</si>
  <si>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</si>
  <si>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</si>
  <si>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</si>
  <si>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</si>
  <si>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</si>
  <si>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</si>
  <si>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</si>
  <si>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</si>
  <si>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</si>
  <si>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</si>
  <si>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</si>
  <si>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</si>
  <si>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</si>
  <si>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</si>
  <si>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</si>
  <si>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</si>
  <si>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</si>
  <si>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</si>
  <si>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</si>
  <si>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</si>
  <si>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</si>
  <si>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</si>
  <si>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</si>
  <si>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</si>
  <si>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</si>
  <si>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</si>
  <si>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</si>
  <si>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</si>
  <si>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</si>
  <si>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</si>
  <si>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</si>
  <si>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</si>
  <si>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</si>
  <si>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</si>
  <si>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</si>
  <si>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</si>
  <si>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</si>
  <si>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</si>
  <si>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</si>
  <si>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</si>
  <si>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</si>
  <si>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</si>
  <si>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</si>
  <si>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</si>
  <si>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</si>
  <si>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</si>
  <si>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</si>
  <si>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</si>
  <si>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</si>
  <si>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</si>
  <si>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</si>
  <si>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</si>
  <si>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</si>
  <si>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</si>
  <si>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</si>
  <si>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</si>
  <si>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</si>
  <si>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</si>
  <si>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</si>
  <si>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</si>
  <si>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</si>
  <si>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</si>
  <si>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</si>
  <si>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</si>
  <si>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</si>
  <si>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</si>
  <si>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</si>
  <si>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</si>
  <si>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</si>
  <si>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</si>
  <si>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</si>
  <si>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</si>
  <si>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</si>
  <si>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</si>
  <si>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</si>
  <si>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</si>
  <si>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</si>
  <si>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</si>
  <si>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</si>
  <si>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</si>
  <si>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</si>
  <si>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</si>
  <si>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</si>
  <si>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</si>
  <si>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</si>
  <si>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</si>
  <si>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</si>
  <si>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</si>
  <si>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</si>
  <si>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</si>
  <si>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</si>
  <si>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</si>
  <si>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</si>
  <si>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</si>
  <si>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</si>
  <si>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</si>
  <si>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</si>
  <si>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</si>
  <si>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</si>
  <si>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</si>
  <si>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</si>
  <si>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</si>
  <si>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</si>
  <si>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</si>
  <si>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</si>
  <si>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</si>
  <si>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</si>
  <si>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</si>
  <si>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</si>
  <si>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</si>
  <si>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</si>
  <si>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</si>
  <si>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</si>
  <si>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</si>
  <si>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</si>
  <si>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</si>
  <si>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</si>
  <si>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</si>
  <si>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</si>
  <si>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</si>
  <si>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</si>
  <si>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</si>
  <si>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</si>
  <si>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</si>
  <si>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</si>
  <si>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</si>
  <si>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</si>
  <si>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</si>
  <si>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</si>
  <si>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</si>
  <si>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</si>
  <si>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</si>
  <si>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</si>
  <si>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</si>
  <si>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</si>
  <si>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</si>
  <si>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</si>
  <si>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</si>
  <si>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</si>
  <si>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</si>
  <si>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</si>
  <si>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</si>
  <si>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</si>
  <si>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</si>
  <si>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</si>
  <si>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</si>
  <si>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</si>
  <si>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</si>
  <si>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</si>
  <si>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</si>
  <si>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</si>
  <si>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</si>
  <si>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</si>
  <si>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</si>
  <si>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</si>
  <si>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</si>
  <si>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</si>
  <si>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</si>
  <si>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</si>
  <si>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</si>
  <si>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</si>
  <si>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</si>
  <si>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</si>
  <si>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</si>
  <si>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</si>
  <si>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</si>
  <si>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</si>
  <si>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</si>
  <si>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</si>
  <si>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</si>
  <si>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</si>
  <si>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</si>
  <si>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</si>
  <si>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</si>
  <si>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</si>
  <si>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</si>
  <si>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</si>
  <si>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</si>
  <si>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</si>
  <si>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</si>
  <si>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</si>
  <si>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</si>
  <si>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</si>
  <si>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</si>
  <si>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</si>
  <si>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</si>
  <si>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</si>
  <si>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</si>
  <si>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</si>
  <si>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</si>
  <si>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</si>
  <si>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</si>
  <si>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</si>
  <si>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</si>
  <si>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</si>
  <si>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</si>
  <si>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</si>
  <si>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</si>
  <si>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</si>
  <si>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</si>
  <si>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</si>
  <si>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</si>
  <si>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</si>
  <si>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</si>
  <si>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</si>
  <si>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</si>
  <si>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</si>
  <si>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</si>
  <si>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</si>
  <si>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</si>
  <si>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</si>
  <si>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</si>
  <si>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</si>
  <si>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</si>
  <si>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</si>
  <si>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</si>
  <si>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</si>
  <si>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</si>
  <si>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</si>
  <si>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</si>
  <si>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</si>
  <si>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</si>
  <si>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</si>
  <si>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</si>
  <si>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</si>
  <si>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</si>
  <si>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</si>
  <si>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</si>
  <si>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</si>
  <si>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</si>
  <si>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</si>
  <si>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</si>
  <si>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</si>
  <si>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</si>
  <si>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</si>
  <si>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</si>
  <si>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</si>
  <si>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</si>
  <si>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</si>
  <si>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</si>
  <si>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</si>
  <si>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</si>
  <si>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</si>
  <si>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</si>
  <si>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</si>
  <si>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</si>
  <si>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</si>
  <si>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</si>
  <si>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</si>
  <si>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</si>
  <si>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</si>
  <si>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</si>
  <si>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</si>
  <si>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</si>
  <si>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</si>
  <si>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</si>
  <si>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</si>
  <si>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</si>
  <si>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</si>
  <si>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</si>
  <si>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</si>
  <si>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</si>
  <si>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</si>
  <si>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</si>
  <si>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</si>
  <si>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</si>
  <si>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</si>
  <si>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</si>
  <si>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</si>
  <si>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</si>
  <si>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</si>
  <si>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</si>
  <si>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</si>
  <si>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</si>
  <si>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</si>
  <si>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</si>
  <si>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</si>
  <si>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</si>
  <si>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</si>
  <si>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</si>
  <si>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</si>
  <si>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</si>
  <si>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</si>
  <si>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</si>
  <si>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</si>
  <si>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</si>
  <si>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</si>
  <si>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</si>
  <si>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</si>
  <si>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</si>
  <si>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</si>
  <si>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</si>
  <si>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</si>
  <si>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</si>
  <si>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</si>
  <si>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</si>
  <si>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</si>
  <si>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</si>
  <si>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</si>
  <si>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</si>
  <si>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</si>
  <si>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</si>
  <si>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</si>
  <si>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</si>
  <si>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</si>
  <si>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</si>
  <si>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</si>
  <si>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</si>
  <si>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</si>
  <si>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</si>
  <si>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</si>
  <si>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</si>
  <si>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</si>
  <si>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</si>
  <si>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</si>
  <si>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</si>
  <si>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</si>
  <si>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</si>
  <si>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</si>
  <si>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</si>
  <si>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</si>
  <si>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</si>
  <si>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</si>
  <si>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</si>
  <si>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</si>
  <si>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</si>
  <si>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</si>
  <si>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</si>
  <si>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</si>
  <si>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</si>
  <si>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</si>
  <si>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</si>
  <si>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</si>
  <si>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</si>
  <si>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</si>
  <si>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</si>
  <si>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</si>
  <si>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</si>
  <si>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</si>
  <si>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</si>
  <si>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</si>
  <si>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</si>
  <si>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</si>
  <si>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</si>
  <si>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</si>
  <si>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</si>
  <si>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</si>
  <si>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</si>
  <si>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</si>
  <si>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</si>
  <si>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</si>
  <si>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</si>
  <si>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</si>
  <si>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</si>
  <si>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</si>
  <si>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</si>
  <si>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</si>
  <si>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</si>
  <si>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</si>
  <si>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</si>
  <si>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</si>
  <si>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</si>
  <si>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</si>
  <si>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</si>
  <si>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</si>
  <si>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</si>
  <si>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</si>
  <si>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</si>
  <si>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</si>
  <si>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</si>
  <si>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</si>
  <si>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</si>
  <si>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</si>
  <si>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</si>
  <si>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</si>
  <si>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</si>
  <si>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</si>
  <si>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</si>
  <si>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</si>
  <si>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</si>
  <si>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</si>
  <si>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</si>
  <si>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</si>
  <si>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</si>
  <si>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</si>
  <si>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</si>
  <si>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</si>
  <si>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</si>
  <si>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</si>
  <si>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</si>
  <si>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</si>
  <si>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</si>
  <si>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</si>
  <si>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</si>
  <si>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</si>
  <si>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</si>
  <si>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</si>
  <si>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</si>
  <si>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</si>
  <si>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</si>
  <si>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</si>
  <si>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</si>
  <si>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</si>
  <si>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</si>
  <si>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</si>
  <si>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</si>
  <si>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</si>
  <si>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</si>
  <si>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</si>
  <si>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</si>
  <si>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</si>
  <si>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</si>
  <si>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</si>
  <si>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</si>
  <si>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</si>
  <si>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</si>
  <si>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</si>
  <si>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</si>
  <si>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</si>
  <si>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</si>
  <si>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</si>
  <si>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</si>
  <si>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</si>
  <si>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</si>
  <si>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</si>
  <si>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</si>
  <si>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</si>
  <si>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</si>
  <si>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</si>
  <si>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</si>
  <si>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</si>
  <si>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</si>
  <si>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</si>
  <si>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</si>
  <si>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</si>
  <si>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</si>
  <si>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</si>
  <si>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</si>
  <si>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</si>
  <si>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</si>
  <si>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</si>
  <si>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</si>
  <si>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</si>
  <si>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</si>
  <si>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</si>
  <si>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</si>
  <si>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</si>
  <si>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</si>
  <si>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</si>
  <si>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</si>
  <si>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</si>
  <si>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</si>
  <si>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</si>
  <si>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</si>
  <si>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</si>
  <si>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</si>
  <si>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</si>
  <si>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</si>
  <si>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</si>
  <si>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</si>
  <si>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</si>
  <si>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</si>
  <si>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</si>
  <si>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</si>
  <si>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</si>
  <si>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</si>
  <si>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</si>
  <si>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</si>
  <si>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</si>
  <si>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</si>
  <si>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</si>
  <si>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</si>
  <si>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</si>
  <si>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</si>
  <si>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</si>
  <si>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</si>
  <si>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</si>
  <si>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</si>
  <si>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</si>
  <si>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</si>
  <si>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</si>
  <si>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</si>
  <si>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</si>
  <si>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</si>
  <si>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</si>
  <si>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</si>
  <si>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</si>
  <si>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</si>
  <si>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</si>
  <si>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</si>
  <si>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</si>
  <si>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</si>
  <si>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</si>
  <si>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</si>
  <si>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</si>
  <si>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</si>
  <si>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</si>
  <si>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</si>
  <si>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</si>
  <si>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</si>
  <si>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</si>
  <si>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</si>
  <si>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</si>
  <si>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</si>
  <si>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</si>
  <si>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</si>
  <si>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</si>
  <si>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</si>
  <si>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</si>
  <si>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</si>
  <si>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</si>
  <si>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</si>
  <si>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</si>
  <si>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</si>
  <si>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</si>
  <si>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</si>
  <si>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</si>
  <si>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</si>
  <si>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</si>
  <si>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</si>
  <si>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</si>
  <si>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</si>
  <si>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</si>
  <si>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</si>
  <si>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</si>
  <si>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</si>
  <si>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</si>
  <si>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</si>
  <si>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</si>
  <si>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</si>
  <si>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</si>
  <si>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</si>
  <si>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</si>
  <si>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</si>
  <si>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</si>
  <si>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</si>
  <si>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</si>
  <si>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</si>
  <si>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</si>
  <si>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</si>
  <si>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</si>
  <si>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</si>
  <si>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</si>
  <si>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</si>
  <si>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</si>
  <si>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</si>
  <si>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</si>
  <si>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</si>
  <si>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</si>
  <si>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</si>
  <si>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</si>
  <si>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</si>
  <si>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</si>
  <si>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</si>
  <si>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</si>
  <si>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</si>
  <si>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</si>
  <si>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</si>
  <si>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</si>
  <si>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</si>
  <si>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</si>
  <si>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</si>
  <si>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</si>
  <si>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</si>
  <si>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</si>
  <si>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</si>
  <si>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</si>
  <si>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</si>
  <si>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</si>
  <si>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</si>
  <si>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</si>
  <si>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</si>
  <si>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</si>
  <si>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</si>
  <si>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</si>
  <si>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</si>
  <si>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</si>
  <si>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</si>
  <si>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</si>
  <si>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</si>
  <si>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</si>
  <si>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</si>
  <si>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</si>
  <si>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</si>
  <si>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</si>
  <si>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</si>
  <si>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</si>
  <si>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</si>
  <si>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</si>
  <si>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</si>
  <si>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</si>
  <si>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</si>
  <si>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</si>
  <si>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</si>
  <si>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</si>
  <si>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</si>
  <si>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</si>
  <si>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</si>
  <si>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</si>
  <si>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</si>
  <si>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</si>
  <si>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</si>
  <si>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</si>
  <si>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</si>
  <si>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</si>
  <si>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</si>
  <si>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</si>
  <si>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</si>
  <si>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</si>
  <si>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</si>
  <si>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</si>
  <si>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</si>
  <si>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</si>
  <si>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</si>
  <si>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</si>
  <si>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</si>
  <si>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</si>
  <si>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</si>
  <si>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</si>
  <si>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</si>
  <si>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</si>
  <si>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</si>
  <si>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</si>
  <si>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</si>
  <si>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</si>
  <si>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</si>
  <si>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</si>
  <si>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</si>
  <si>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</si>
  <si>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</si>
  <si>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</si>
  <si>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</si>
  <si>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</si>
  <si>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</si>
  <si>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</si>
  <si>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</si>
  <si>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</si>
  <si>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</si>
  <si>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</si>
  <si>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</si>
  <si>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</si>
  <si>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</si>
  <si>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</si>
  <si>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</si>
  <si>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</si>
  <si>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</si>
  <si>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</si>
  <si>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</si>
  <si>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</si>
  <si>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</si>
  <si>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</si>
  <si>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</si>
  <si>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</si>
  <si>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</si>
  <si>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</si>
  <si>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</si>
  <si>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</si>
  <si>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</si>
  <si>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</si>
  <si>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</si>
  <si>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</si>
  <si>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</si>
  <si>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</si>
  <si>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</si>
  <si>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</si>
  <si>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</si>
  <si>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</si>
  <si>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</si>
  <si>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</si>
  <si>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</si>
  <si>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</si>
  <si>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</si>
  <si>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</si>
  <si>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</si>
  <si>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</si>
  <si>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</si>
  <si>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</si>
  <si>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</si>
  <si>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</si>
  <si>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</si>
  <si>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</si>
  <si>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</si>
  <si>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</si>
  <si>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</si>
  <si>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</si>
  <si>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</si>
  <si>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</si>
  <si>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</si>
  <si>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</si>
  <si>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</si>
  <si>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</si>
  <si>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</si>
  <si>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</si>
  <si>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</si>
  <si>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</si>
  <si>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</si>
  <si>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</si>
  <si>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</si>
  <si>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</si>
  <si>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</si>
  <si>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</si>
  <si>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</si>
  <si>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</si>
  <si>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</si>
  <si>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</si>
  <si>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</si>
  <si>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</si>
  <si>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</si>
  <si>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</si>
  <si>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</si>
  <si>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</si>
  <si>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</si>
  <si>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</si>
  <si>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</si>
  <si>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</si>
  <si>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</si>
  <si>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</si>
  <si>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</si>
  <si>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</si>
  <si>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</si>
  <si>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</si>
  <si>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</si>
  <si>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</si>
  <si>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</si>
  <si>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</si>
  <si>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</si>
  <si>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</si>
  <si>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</si>
  <si>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</si>
  <si>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</si>
  <si>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</si>
  <si>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</si>
  <si>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</si>
  <si>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</si>
  <si>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</si>
  <si>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</si>
  <si>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</si>
  <si>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</si>
  <si>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</si>
  <si>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</si>
  <si>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</si>
  <si>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</si>
  <si>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</si>
  <si>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</si>
  <si>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</si>
  <si>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</si>
  <si>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</si>
  <si>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</si>
  <si>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</si>
  <si>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</si>
  <si>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</si>
  <si>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</si>
  <si>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</si>
  <si>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</si>
  <si>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</si>
  <si>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</si>
  <si>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</si>
  <si>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</si>
  <si>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</si>
  <si>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</si>
  <si>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</si>
  <si>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</si>
  <si>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</si>
  <si>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</si>
  <si>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</si>
  <si>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</si>
  <si>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</si>
  <si>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</si>
  <si>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</si>
  <si>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</si>
  <si>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</si>
  <si>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</si>
  <si>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</si>
  <si>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</si>
  <si>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</si>
  <si>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</si>
  <si>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</si>
  <si>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</si>
  <si>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</si>
  <si>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</si>
  <si>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</si>
  <si>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</si>
  <si>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</si>
  <si>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</si>
  <si>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</si>
  <si>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</si>
  <si>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</si>
  <si>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</si>
  <si>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</si>
  <si>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</si>
  <si>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</si>
  <si>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</si>
  <si>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</si>
  <si>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</si>
  <si>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</si>
  <si>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</si>
  <si>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</si>
  <si>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</si>
  <si>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</si>
  <si>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</si>
  <si>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</si>
  <si>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</si>
  <si>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</si>
  <si>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</si>
  <si>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</si>
  <si>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</si>
  <si>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</si>
  <si>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</si>
  <si>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</si>
  <si>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</si>
  <si>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</si>
  <si>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</si>
  <si>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</si>
  <si>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</si>
  <si>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</si>
  <si>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</si>
  <si>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</si>
  <si>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</si>
  <si>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</si>
  <si>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</si>
  <si>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</si>
  <si>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</si>
  <si>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</si>
  <si>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</si>
  <si>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</si>
  <si>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</si>
  <si>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</si>
  <si>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</si>
  <si>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</si>
  <si>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</si>
  <si>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</si>
  <si>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</si>
  <si>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</si>
  <si>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</si>
  <si>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</si>
  <si>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</si>
  <si>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</si>
  <si>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</si>
  <si>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</si>
  <si>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</si>
  <si>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</si>
  <si>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</si>
  <si>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</si>
  <si>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</si>
  <si>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</si>
  <si>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</si>
  <si>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</si>
  <si>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</si>
  <si>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</si>
  <si>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</si>
  <si>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</si>
  <si>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</si>
  <si>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</si>
  <si>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</si>
  <si>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</si>
  <si>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</si>
  <si>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</si>
  <si>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</si>
  <si>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</si>
  <si>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</si>
  <si>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</si>
  <si>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</si>
  <si>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</si>
  <si>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</si>
  <si>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</si>
  <si>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</si>
  <si>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</si>
  <si>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</si>
  <si>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</si>
  <si>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</si>
  <si>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</si>
  <si>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</si>
  <si>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</si>
  <si>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</si>
  <si>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</si>
  <si>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</si>
  <si>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</si>
  <si>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</si>
  <si>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</si>
  <si>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</si>
  <si>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</si>
  <si>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</si>
  <si>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</si>
  <si>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</si>
  <si>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</si>
  <si>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</si>
  <si>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</si>
  <si>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</si>
  <si>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</si>
  <si>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</si>
  <si>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</si>
  <si>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</si>
  <si>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</si>
  <si>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</si>
  <si>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</si>
  <si>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</si>
  <si>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</si>
  <si>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</si>
  <si>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</si>
  <si>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</si>
  <si>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</si>
  <si>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</si>
  <si>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</si>
  <si>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</si>
  <si>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</si>
  <si>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</si>
  <si>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</si>
  <si>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</si>
  <si>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</si>
  <si>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</si>
  <si>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</si>
  <si>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</si>
  <si>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</si>
  <si>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</si>
  <si>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</si>
  <si>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</si>
  <si>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</si>
  <si>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</si>
  <si>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</si>
  <si>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</si>
  <si>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</si>
  <si>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</si>
  <si>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</si>
  <si>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</si>
  <si>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</si>
  <si>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</si>
  <si>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</si>
  <si>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</si>
  <si>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</si>
  <si>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</si>
  <si>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</si>
  <si>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</si>
  <si>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</si>
  <si>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</si>
  <si>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</si>
  <si>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</si>
  <si>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</si>
  <si>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</si>
  <si>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</si>
  <si>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</si>
  <si>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</si>
  <si>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</si>
  <si>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</si>
  <si>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</si>
  <si>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</si>
  <si>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</si>
  <si>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</si>
  <si>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</si>
  <si>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</si>
  <si>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</si>
  <si>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</si>
  <si>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</si>
  <si>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</si>
  <si>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</si>
  <si>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</si>
  <si>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</si>
  <si>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</si>
  <si>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</si>
  <si>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</si>
  <si>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</si>
  <si>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</si>
  <si>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</si>
  <si>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</si>
  <si>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</si>
  <si>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</si>
  <si>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</si>
  <si>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</si>
  <si>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</si>
  <si>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</si>
  <si>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</si>
  <si>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</si>
  <si>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</si>
  <si>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</si>
  <si>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</si>
  <si>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</si>
  <si>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</si>
  <si>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</si>
  <si>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</si>
  <si>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</si>
  <si>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</si>
  <si>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</si>
  <si>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</si>
  <si>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</si>
  <si>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</si>
  <si>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</si>
  <si>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</si>
  <si>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</si>
  <si>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</si>
  <si>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</si>
  <si>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</si>
  <si>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</si>
  <si>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</si>
  <si>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</si>
  <si>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</si>
  <si>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</si>
  <si>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</si>
  <si>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</si>
  <si>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</si>
  <si>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</si>
  <si>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</si>
  <si>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</si>
  <si>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</si>
  <si>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</si>
  <si>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</si>
  <si>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</si>
  <si>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</si>
  <si>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</si>
  <si>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</si>
  <si>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</si>
  <si>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</si>
  <si>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</si>
  <si>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</si>
  <si>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</si>
  <si>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</si>
  <si>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</si>
  <si>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</si>
  <si>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</si>
  <si>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</si>
  <si>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</si>
  <si>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</si>
  <si>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</si>
  <si>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</si>
  <si>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</si>
  <si>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</si>
  <si>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</si>
  <si>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</si>
  <si>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</si>
  <si>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</si>
  <si>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</si>
  <si>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</si>
  <si>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</si>
  <si>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</si>
  <si>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</si>
  <si>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</si>
  <si>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</si>
  <si>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</si>
  <si>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</si>
  <si>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</si>
  <si>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</si>
  <si>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</si>
  <si>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</si>
  <si>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</si>
  <si>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</si>
  <si>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</si>
  <si>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</si>
  <si>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</si>
  <si>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</si>
  <si>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</si>
  <si>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</si>
  <si>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</si>
  <si>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</si>
  <si>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</si>
  <si>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</si>
  <si>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</si>
  <si>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</si>
  <si>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</si>
  <si>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</si>
  <si>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</si>
  <si>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</si>
  <si>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</si>
  <si>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</si>
  <si>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</si>
  <si>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</si>
  <si>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</si>
  <si>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</si>
  <si>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</si>
  <si>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</si>
  <si>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</si>
  <si>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</si>
  <si>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</si>
  <si>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</si>
  <si>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</si>
  <si>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</si>
  <si>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</si>
  <si>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</si>
  <si>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</si>
  <si>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</si>
  <si>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</si>
  <si>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</si>
  <si>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</si>
  <si>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</si>
  <si>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</si>
  <si>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</si>
  <si>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</si>
  <si>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</si>
  <si>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</si>
  <si>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</si>
  <si>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</si>
  <si>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</si>
  <si>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</si>
  <si>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</si>
  <si>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</si>
  <si>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</si>
  <si>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</si>
  <si>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</si>
  <si>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</si>
  <si>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</si>
  <si>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</si>
  <si>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</si>
  <si>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</si>
  <si>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</si>
  <si>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</si>
  <si>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</si>
  <si>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</si>
  <si>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</si>
  <si>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</si>
  <si>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</si>
  <si>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</si>
  <si>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</si>
  <si>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</si>
  <si>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</si>
  <si>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</si>
  <si>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</si>
  <si>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</si>
  <si>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</si>
  <si>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</si>
  <si>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</si>
  <si>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</si>
  <si>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</si>
  <si>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</si>
  <si>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</si>
  <si>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</si>
  <si>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</si>
  <si>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</si>
  <si>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</si>
  <si>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</si>
  <si>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</si>
  <si>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</si>
  <si>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</si>
  <si>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</si>
  <si>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</si>
  <si>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</si>
  <si>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</si>
  <si>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</si>
  <si>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</si>
  <si>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</si>
  <si>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</si>
  <si>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</si>
  <si>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</si>
  <si>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</si>
  <si>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</si>
  <si>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</si>
  <si>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</si>
  <si>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</si>
  <si>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</si>
  <si>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</si>
  <si>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</si>
  <si>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</si>
  <si>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</si>
  <si>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</si>
  <si>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</si>
  <si>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</si>
  <si>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</si>
  <si>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</si>
  <si>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</si>
  <si>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</si>
  <si>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</si>
  <si>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</si>
  <si>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</si>
  <si>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</si>
  <si>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</si>
  <si>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</si>
  <si>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</si>
  <si>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</si>
  <si>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</si>
  <si>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</si>
  <si>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</si>
  <si>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</si>
  <si>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</si>
  <si>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</si>
  <si>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</si>
  <si>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</si>
  <si>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</si>
  <si>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</si>
  <si>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</si>
  <si>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</si>
  <si>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</si>
  <si>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</si>
  <si>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</si>
  <si>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</si>
  <si>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</si>
  <si>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</si>
  <si>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</si>
  <si>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</si>
  <si>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</si>
  <si>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</si>
  <si>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</si>
  <si>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</si>
  <si>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</si>
  <si>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</si>
  <si>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</si>
  <si>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</si>
  <si>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</si>
  <si>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</si>
  <si>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</si>
  <si>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</si>
  <si>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</si>
  <si>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</si>
  <si>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</si>
  <si>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</si>
  <si>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</si>
  <si>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</si>
  <si>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</si>
  <si>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</si>
  <si>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</si>
  <si>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</si>
  <si>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</si>
  <si>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</si>
  <si>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</si>
  <si>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</si>
  <si>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</si>
  <si>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</si>
  <si>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</si>
  <si>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</si>
  <si>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</si>
  <si>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</si>
  <si>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</si>
  <si>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</si>
  <si>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</si>
  <si>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</si>
  <si>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</si>
  <si>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</si>
  <si>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</si>
  <si>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</si>
  <si>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</si>
  <si>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</si>
  <si>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</si>
  <si>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</si>
  <si>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</si>
  <si>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</si>
  <si>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</si>
  <si>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</si>
  <si>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</si>
  <si>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</si>
  <si>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</si>
  <si>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</si>
  <si>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</si>
  <si>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</si>
  <si>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</si>
  <si>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</si>
  <si>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</si>
  <si>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</si>
  <si>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</si>
  <si>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</si>
  <si>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</si>
  <si>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</si>
  <si>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</si>
  <si>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</si>
  <si>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</si>
  <si>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</si>
  <si>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</si>
  <si>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</si>
  <si>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</si>
  <si>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</si>
  <si>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</si>
  <si>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</si>
  <si>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</si>
  <si>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</si>
  <si>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</si>
  <si>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</si>
  <si>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</si>
  <si>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</si>
  <si>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</si>
  <si>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</si>
  <si>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</si>
  <si>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</si>
  <si>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</si>
  <si>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</si>
  <si>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</si>
  <si>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</si>
  <si>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</si>
  <si>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</si>
  <si>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</si>
  <si>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</si>
  <si>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</si>
  <si>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</si>
  <si>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</si>
  <si>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</si>
  <si>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</si>
  <si>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</si>
  <si>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</si>
  <si>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</si>
  <si>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</si>
  <si>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</si>
  <si>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</si>
  <si>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</si>
  <si>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</si>
  <si>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</si>
  <si>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</si>
  <si>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</si>
  <si>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</si>
  <si>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</si>
  <si>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</si>
  <si>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</si>
  <si>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</si>
  <si>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</si>
  <si>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</si>
  <si>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</si>
  <si>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</si>
  <si>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</si>
  <si>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</si>
  <si>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</si>
  <si>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</si>
  <si>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</si>
  <si>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</si>
  <si>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</si>
  <si>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</si>
  <si>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</si>
  <si>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</si>
  <si>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</si>
  <si>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</si>
  <si>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</si>
  <si>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</si>
  <si>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</si>
  <si>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</si>
  <si>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</si>
  <si>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</si>
  <si>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</si>
  <si>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</si>
  <si>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</si>
  <si>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</si>
  <si>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</si>
  <si>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</si>
  <si>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</si>
  <si>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</si>
  <si>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</si>
  <si>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</si>
  <si>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</si>
  <si>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</si>
  <si>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</si>
  <si>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</si>
  <si>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</si>
  <si>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</si>
  <si>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</si>
  <si>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</si>
  <si>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</si>
  <si>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</si>
  <si>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</si>
  <si>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</si>
  <si>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</si>
  <si>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</si>
  <si>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</si>
  <si>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</si>
  <si>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</si>
  <si>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</si>
  <si>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</si>
  <si>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</si>
  <si>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</si>
  <si>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</si>
  <si>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</si>
  <si>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</si>
  <si>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</si>
  <si>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</si>
  <si>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</si>
  <si>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</si>
  <si>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</si>
  <si>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</si>
  <si>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</si>
  <si>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</si>
  <si>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</si>
  <si>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</si>
  <si>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</si>
  <si>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</si>
  <si>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</si>
  <si>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</si>
  <si>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</si>
  <si>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</si>
  <si>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</si>
  <si>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</si>
  <si>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</si>
  <si>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</si>
  <si>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</si>
  <si>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</si>
  <si>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</si>
  <si>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</si>
  <si>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</si>
  <si>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</si>
  <si>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</si>
  <si>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</si>
  <si>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</si>
  <si>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</si>
  <si>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</si>
  <si>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</si>
  <si>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</si>
  <si>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</si>
  <si>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</si>
  <si>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</si>
  <si>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</si>
  <si>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</si>
  <si>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</si>
  <si>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</si>
  <si>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</si>
  <si>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</si>
  <si>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</si>
  <si>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</si>
  <si>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</si>
  <si>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</si>
  <si>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</si>
  <si>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</si>
  <si>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</si>
  <si>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</si>
  <si>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</si>
  <si>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</si>
  <si>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</si>
  <si>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</si>
  <si>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</si>
  <si>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</si>
  <si>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</si>
  <si>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</si>
  <si>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</si>
  <si>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</si>
  <si>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</si>
  <si>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</si>
  <si>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</si>
  <si>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</si>
  <si>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</si>
  <si>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</si>
  <si>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</si>
  <si>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</si>
  <si>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</si>
  <si>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</si>
  <si>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</si>
  <si>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</si>
  <si>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</si>
  <si>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</si>
  <si>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</si>
  <si>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</si>
  <si>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</si>
  <si>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</si>
  <si>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</si>
  <si>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</si>
  <si>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</si>
  <si>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</si>
  <si>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</si>
  <si>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</si>
  <si>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</si>
  <si>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</si>
  <si>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</si>
  <si>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</si>
  <si>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</si>
  <si>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</si>
  <si>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</si>
  <si>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</si>
  <si>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</si>
  <si>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</si>
  <si>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</si>
  <si>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</si>
  <si>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</si>
  <si>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</si>
  <si>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</si>
  <si>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</si>
  <si>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</si>
  <si>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</si>
  <si>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</si>
  <si>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</si>
  <si>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</si>
  <si>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</si>
  <si>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</si>
  <si>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</si>
  <si>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</si>
  <si>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</si>
  <si>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</si>
  <si>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</si>
  <si>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</si>
  <si>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</si>
  <si>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</si>
  <si>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</si>
  <si>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</si>
  <si>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</si>
  <si>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</si>
  <si>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</si>
  <si>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</si>
  <si>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</si>
  <si>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</si>
  <si>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</si>
  <si>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</si>
  <si>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</si>
  <si>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</si>
  <si>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</si>
  <si>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</si>
  <si>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</si>
  <si>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</si>
  <si>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</si>
  <si>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</si>
  <si>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</si>
  <si>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</si>
  <si>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</si>
  <si>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</si>
  <si>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</si>
  <si>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</si>
  <si>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</si>
  <si>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</si>
  <si>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</si>
  <si>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</si>
  <si>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</si>
  <si>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</si>
  <si>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</si>
  <si>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</si>
  <si>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</si>
  <si>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</si>
  <si>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</si>
  <si>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</si>
  <si>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</si>
  <si>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</si>
  <si>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</si>
  <si>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</si>
  <si>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</si>
  <si>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</si>
  <si>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</si>
  <si>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</si>
  <si>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</si>
  <si>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</si>
  <si>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</si>
  <si>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</si>
  <si>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</si>
  <si>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</si>
  <si>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</si>
  <si>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</si>
  <si>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</si>
  <si>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</si>
  <si>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</si>
  <si>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</si>
  <si>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</si>
  <si>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</si>
  <si>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</si>
  <si>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</si>
  <si>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</si>
  <si>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</si>
  <si>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</si>
  <si>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</si>
  <si>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</si>
  <si>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</si>
  <si>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</si>
  <si>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</si>
  <si>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</si>
  <si>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</si>
  <si>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</si>
  <si>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</si>
  <si>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</si>
  <si>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</si>
  <si>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</si>
  <si>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</si>
  <si>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</si>
  <si>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</si>
  <si>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</si>
  <si>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</si>
  <si>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</si>
  <si>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</si>
  <si>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</si>
  <si>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</si>
  <si>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</si>
  <si>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</si>
  <si>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</si>
  <si>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</si>
  <si>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</si>
  <si>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</si>
  <si>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</si>
  <si>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</si>
  <si>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</si>
  <si>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</si>
  <si>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</si>
  <si>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</si>
  <si>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</si>
  <si>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</si>
  <si>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</si>
  <si>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</si>
  <si>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</si>
  <si>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</si>
  <si>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</si>
  <si>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</si>
  <si>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</si>
  <si>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</si>
  <si>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</si>
  <si>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</si>
  <si>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</si>
  <si>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</si>
  <si>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</si>
  <si>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</si>
  <si>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</si>
  <si>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</si>
  <si>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</si>
  <si>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</si>
  <si>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</si>
  <si>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</si>
  <si>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https://www.cbo.gov/system/files/2025-10/61823-Shutdown.pdf</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</si>
  <si>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</si>
  <si>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</si>
  <si>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</si>
  <si>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</si>
  <si>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</si>
  <si>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</si>
  <si>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</si>
  <si>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</si>
  <si>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</si>
  <si>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</si>
  <si>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</si>
  <si>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</si>
  <si>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</si>
  <si>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</si>
  <si>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Total COMP</t>
  </si>
  <si>
    <t>delayed spending</t>
  </si>
  <si>
    <t>real employment</t>
  </si>
  <si>
    <t>real other fed spending</t>
  </si>
  <si>
    <t>Nominal</t>
  </si>
  <si>
    <t>Real</t>
  </si>
  <si>
    <t>Federal Spending Changes During the Shutdown (Some made up during Q4)</t>
  </si>
  <si>
    <t xml:space="preserve">Total </t>
  </si>
  <si>
    <t>Cumulative effect</t>
  </si>
  <si>
    <t>effect on federal purchases</t>
  </si>
  <si>
    <t>residual (we assume multipliers which do not count for the FIM)</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</si>
  <si>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</si>
  <si>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</si>
  <si>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</si>
  <si>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</si>
  <si>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</si>
  <si>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 xml:space="preserve">effect on  nominal GDP (CBO says real 2025) </t>
  </si>
  <si>
    <t>CBO Nominal* GDP</t>
  </si>
  <si>
    <t>Effect on Real purchases</t>
  </si>
  <si>
    <t>Shutdown effects</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</si>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</sst>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3"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9"/>
      <color indexed="81"/>
      <name val="Tahoma"/>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574">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0" borderId="0" xfId="0" applyFont="1" applyAlignment="1">
      <alignment horizontal="center" vertical="center"/>
    </xf>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19" borderId="0" xfId="0" applyNumberFormat="1" applyFont="1" applyFill="1"/>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0" fontId="23" fillId="0" borderId="1" xfId="0" applyFont="1" applyBorder="1" applyAlignment="1">
      <alignment horizontal="center" vertical="center" wrapText="1"/>
    </xf>
    <xf numFmtId="10" fontId="23" fillId="9" borderId="0" xfId="0" applyNumberFormat="1" applyFont="1" applyFill="1" applyAlignment="1">
      <alignment horizontal="center" vertical="center"/>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19"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0" fontId="3" fillId="0" borderId="5" xfId="0" applyFont="1" applyBorder="1" applyAlignment="1">
      <alignment horizontal="center" vertical="center"/>
    </xf>
    <xf numFmtId="3" fontId="3" fillId="0" borderId="5" xfId="0" applyNumberFormat="1" applyFont="1" applyBorder="1" applyAlignment="1">
      <alignment horizontal="center" vertical="center"/>
    </xf>
    <xf numFmtId="3" fontId="3" fillId="8" borderId="5" xfId="0" applyNumberFormat="1" applyFont="1" applyFill="1" applyBorder="1" applyAlignment="1">
      <alignment horizontal="center"/>
    </xf>
    <xf numFmtId="0" fontId="3" fillId="0" borderId="3"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168" fontId="14" fillId="8" borderId="1" xfId="0" applyNumberFormat="1" applyFont="1" applyFill="1" applyBorder="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3" fillId="0" borderId="1" xfId="0" applyFont="1" applyBorder="1" applyAlignment="1">
      <alignment horizontal="center" vertical="top"/>
    </xf>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3" fillId="9"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2" xfId="0" applyFont="1" applyBorder="1" applyAlignment="1">
      <alignment horizontal="center" wrapText="1"/>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14"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7" fillId="0" borderId="0" xfId="0" applyFont="1" applyAlignment="1">
      <alignment horizontal="left" vertical="top" wrapText="1"/>
    </xf>
    <xf numFmtId="0" fontId="14" fillId="9" borderId="3" xfId="0" applyFont="1" applyFill="1" applyBorder="1" applyAlignment="1">
      <alignment horizontal="center"/>
    </xf>
    <xf numFmtId="0" fontId="14" fillId="9" borderId="7" xfId="0" applyFont="1" applyFill="1" applyBorder="1" applyAlignment="1">
      <alignment horizontal="center"/>
    </xf>
    <xf numFmtId="0" fontId="14" fillId="9" borderId="0" xfId="0" applyFont="1" applyFill="1" applyAlignment="1">
      <alignment horizontal="center"/>
    </xf>
    <xf numFmtId="0" fontId="3" fillId="8" borderId="15" xfId="0" applyFont="1" applyFill="1" applyBorder="1" applyAlignment="1">
      <alignment horizontal="right"/>
    </xf>
    <xf numFmtId="0" fontId="6" fillId="21" borderId="0" xfId="0" applyFont="1" applyFill="1" applyAlignment="1">
      <alignment horizontal="center"/>
    </xf>
    <xf numFmtId="0" fontId="6" fillId="21" borderId="2" xfId="0" applyFont="1" applyFill="1" applyBorder="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12" borderId="0" xfId="0" applyFont="1" applyFill="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3" fillId="9" borderId="1" xfId="0" applyFont="1" applyFill="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17" fontId="14" fillId="12" borderId="0" xfId="0" applyNumberFormat="1" applyFont="1" applyFill="1" applyBorder="1" applyAlignment="1">
      <alignment horizontal="left" wrapText="1"/>
    </xf>
    <xf numFmtId="3" fontId="3" fillId="46" borderId="0" xfId="0" applyNumberFormat="1" applyFont="1" applyFill="1" applyAlignment="1">
      <alignment horizontal="center" wrapText="1"/>
    </xf>
    <xf numFmtId="0" fontId="3" fillId="0" borderId="0" xfId="0" applyFont="1" applyBorder="1" applyAlignment="1">
      <alignment wrapText="1"/>
    </xf>
    <xf numFmtId="0" fontId="1" fillId="0" borderId="0" xfId="0" applyFont="1" applyBorder="1"/>
    <xf numFmtId="169" fontId="3" fillId="0" borderId="0" xfId="0" applyNumberFormat="1" applyFont="1" applyBorder="1" applyAlignment="1">
      <alignment horizontal="center"/>
    </xf>
    <xf numFmtId="169" fontId="3" fillId="8" borderId="0" xfId="0" applyNumberFormat="1" applyFont="1" applyFill="1" applyBorder="1" applyAlignment="1">
      <alignment horizontal="center"/>
    </xf>
    <xf numFmtId="169" fontId="3" fillId="9" borderId="0" xfId="0" applyNumberFormat="1" applyFont="1" applyFill="1" applyBorder="1" applyAlignment="1">
      <alignment horizontal="center"/>
    </xf>
    <xf numFmtId="169" fontId="0" fillId="0" borderId="0" xfId="0" applyNumberFormat="1"/>
    <xf numFmtId="0" fontId="24" fillId="0" borderId="1" xfId="0" applyFont="1" applyBorder="1"/>
  </cellXfs>
  <cellStyles count="1">
    <cellStyle name="Normal" xfId="0" builtinId="0"/>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94898</xdr:colOff>
      <xdr:row>75</xdr:row>
      <xdr:rowOff>67774</xdr:rowOff>
    </xdr:from>
    <xdr:to>
      <xdr:col>37</xdr:col>
      <xdr:colOff>301973</xdr:colOff>
      <xdr:row>75</xdr:row>
      <xdr:rowOff>67774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75</xdr:row>
      <xdr:rowOff>67774</xdr:rowOff>
    </xdr:from>
    <xdr:to>
      <xdr:col>37</xdr:col>
      <xdr:colOff>144904</xdr:colOff>
      <xdr:row>77</xdr:row>
      <xdr:rowOff>140657</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88</xdr:row>
      <xdr:rowOff>87749</xdr:rowOff>
    </xdr:from>
    <xdr:to>
      <xdr:col>37</xdr:col>
      <xdr:colOff>144904</xdr:colOff>
      <xdr:row>88</xdr:row>
      <xdr:rowOff>87749</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88</xdr:row>
      <xdr:rowOff>87749</xdr:rowOff>
    </xdr:from>
    <xdr:to>
      <xdr:col>37</xdr:col>
      <xdr:colOff>221104</xdr:colOff>
      <xdr:row>88</xdr:row>
      <xdr:rowOff>87749</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94898</xdr:colOff>
      <xdr:row>75</xdr:row>
      <xdr:rowOff>67774</xdr:rowOff>
    </xdr:from>
    <xdr:to>
      <xdr:col>37</xdr:col>
      <xdr:colOff>221104</xdr:colOff>
      <xdr:row>75</xdr:row>
      <xdr:rowOff>67774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173102</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20661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301973</xdr:colOff>
      <xdr:row>55</xdr:row>
      <xdr:rowOff>7545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55</xdr:row>
      <xdr:rowOff>7545</xdr:rowOff>
    </xdr:from>
    <xdr:to>
      <xdr:col>37</xdr:col>
      <xdr:colOff>144904</xdr:colOff>
      <xdr:row>60</xdr:row>
      <xdr:rowOff>126863</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1142</xdr:colOff>
      <xdr:row>63</xdr:row>
      <xdr:rowOff>21389</xdr:rowOff>
    </xdr:from>
    <xdr:to>
      <xdr:col>37</xdr:col>
      <xdr:colOff>144904</xdr:colOff>
      <xdr:row>63</xdr:row>
      <xdr:rowOff>21389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63</xdr:row>
      <xdr:rowOff>21389</xdr:rowOff>
    </xdr:from>
    <xdr:to>
      <xdr:col>37</xdr:col>
      <xdr:colOff>221104</xdr:colOff>
      <xdr:row>63</xdr:row>
      <xdr:rowOff>21389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35432</xdr:colOff>
      <xdr:row>55</xdr:row>
      <xdr:rowOff>7545</xdr:rowOff>
    </xdr:from>
    <xdr:to>
      <xdr:col>37</xdr:col>
      <xdr:colOff>221104</xdr:colOff>
      <xdr:row>55</xdr:row>
      <xdr:rowOff>7545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65165</xdr:rowOff>
    </xdr:from>
    <xdr:to>
      <xdr:col>1</xdr:col>
      <xdr:colOff>4085191</xdr:colOff>
      <xdr:row>21</xdr:row>
      <xdr:rowOff>126406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159802</xdr:rowOff>
    </xdr:from>
    <xdr:to>
      <xdr:col>1</xdr:col>
      <xdr:colOff>4085191</xdr:colOff>
      <xdr:row>22</xdr:row>
      <xdr:rowOff>173102</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9336</xdr:rowOff>
    </xdr:from>
    <xdr:to>
      <xdr:col>1</xdr:col>
      <xdr:colOff>4085191</xdr:colOff>
      <xdr:row>25</xdr:row>
      <xdr:rowOff>20661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84011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27626</xdr:rowOff>
    </xdr:from>
    <xdr:to>
      <xdr:col>37</xdr:col>
      <xdr:colOff>126256</xdr:colOff>
      <xdr:row>58</xdr:row>
      <xdr:rowOff>150828</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27626</xdr:rowOff>
    </xdr:from>
    <xdr:to>
      <xdr:col>37</xdr:col>
      <xdr:colOff>202456</xdr:colOff>
      <xdr:row>58</xdr:row>
      <xdr:rowOff>150828</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84011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27626</xdr:rowOff>
    </xdr:from>
    <xdr:to>
      <xdr:col>37</xdr:col>
      <xdr:colOff>126256</xdr:colOff>
      <xdr:row>58</xdr:row>
      <xdr:rowOff>150828</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27626</xdr:rowOff>
    </xdr:from>
    <xdr:to>
      <xdr:col>37</xdr:col>
      <xdr:colOff>202456</xdr:colOff>
      <xdr:row>58</xdr:row>
      <xdr:rowOff>150828</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28020</xdr:rowOff>
    </xdr:from>
    <xdr:to>
      <xdr:col>37</xdr:col>
      <xdr:colOff>202456</xdr:colOff>
      <xdr:row>58</xdr:row>
      <xdr:rowOff>152471</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304280</xdr:colOff>
      <xdr:row>46</xdr:row>
      <xdr:rowOff>149862</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58</xdr:row>
      <xdr:rowOff>28020</xdr:rowOff>
    </xdr:from>
    <xdr:to>
      <xdr:col>37</xdr:col>
      <xdr:colOff>202456</xdr:colOff>
      <xdr:row>58</xdr:row>
      <xdr:rowOff>152471</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74202</xdr:colOff>
      <xdr:row>46</xdr:row>
      <xdr:rowOff>135892</xdr:rowOff>
    </xdr:from>
    <xdr:to>
      <xdr:col>37</xdr:col>
      <xdr:colOff>202456</xdr:colOff>
      <xdr:row>46</xdr:row>
      <xdr:rowOff>149862</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135892</xdr:rowOff>
    </xdr:from>
    <xdr:to>
      <xdr:col>37</xdr:col>
      <xdr:colOff>304280</xdr:colOff>
      <xdr:row>46</xdr:row>
      <xdr:rowOff>150628</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46</xdr:row>
      <xdr:rowOff>135892</xdr:rowOff>
    </xdr:from>
    <xdr:to>
      <xdr:col>37</xdr:col>
      <xdr:colOff>126256</xdr:colOff>
      <xdr:row>55</xdr:row>
      <xdr:rowOff>47650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742446</xdr:colOff>
      <xdr:row>58</xdr:row>
      <xdr:rowOff>28020</xdr:rowOff>
    </xdr:from>
    <xdr:to>
      <xdr:col>37</xdr:col>
      <xdr:colOff>126256</xdr:colOff>
      <xdr:row>58</xdr:row>
      <xdr:rowOff>152471</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58</xdr:row>
      <xdr:rowOff>28020</xdr:rowOff>
    </xdr:from>
    <xdr:to>
      <xdr:col>37</xdr:col>
      <xdr:colOff>202456</xdr:colOff>
      <xdr:row>58</xdr:row>
      <xdr:rowOff>152471</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46</xdr:row>
      <xdr:rowOff>135892</xdr:rowOff>
    </xdr:from>
    <xdr:to>
      <xdr:col>37</xdr:col>
      <xdr:colOff>202456</xdr:colOff>
      <xdr:row>46</xdr:row>
      <xdr:rowOff>150628</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304280</xdr:colOff>
      <xdr:row>48</xdr:row>
      <xdr:rowOff>53</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121424</xdr:rowOff>
    </xdr:from>
    <xdr:to>
      <xdr:col>37</xdr:col>
      <xdr:colOff>93236</xdr:colOff>
      <xdr:row>62</xdr:row>
      <xdr:rowOff>112886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57</xdr:row>
      <xdr:rowOff>45516</xdr:rowOff>
    </xdr:from>
    <xdr:to>
      <xdr:col>37</xdr:col>
      <xdr:colOff>93236</xdr:colOff>
      <xdr:row>57</xdr:row>
      <xdr:rowOff>45516</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45516</xdr:rowOff>
    </xdr:from>
    <xdr:to>
      <xdr:col>37</xdr:col>
      <xdr:colOff>169436</xdr:colOff>
      <xdr:row>57</xdr:row>
      <xdr:rowOff>45516</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169436</xdr:colOff>
      <xdr:row>48</xdr:row>
      <xdr:rowOff>53</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145494</xdr:rowOff>
    </xdr:from>
    <xdr:to>
      <xdr:col>18</xdr:col>
      <xdr:colOff>469634</xdr:colOff>
      <xdr:row>36</xdr:row>
      <xdr:rowOff>26692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304280</xdr:colOff>
      <xdr:row>48</xdr:row>
      <xdr:rowOff>53</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47</xdr:row>
      <xdr:rowOff>121424</xdr:rowOff>
    </xdr:from>
    <xdr:to>
      <xdr:col>37</xdr:col>
      <xdr:colOff>93236</xdr:colOff>
      <xdr:row>62</xdr:row>
      <xdr:rowOff>112886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57</xdr:row>
      <xdr:rowOff>45516</xdr:rowOff>
    </xdr:from>
    <xdr:to>
      <xdr:col>37</xdr:col>
      <xdr:colOff>93236</xdr:colOff>
      <xdr:row>57</xdr:row>
      <xdr:rowOff>45516</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57</xdr:row>
      <xdr:rowOff>45516</xdr:rowOff>
    </xdr:from>
    <xdr:to>
      <xdr:col>37</xdr:col>
      <xdr:colOff>169436</xdr:colOff>
      <xdr:row>57</xdr:row>
      <xdr:rowOff>45516</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47</xdr:row>
      <xdr:rowOff>121424</xdr:rowOff>
    </xdr:from>
    <xdr:to>
      <xdr:col>37</xdr:col>
      <xdr:colOff>169436</xdr:colOff>
      <xdr:row>48</xdr:row>
      <xdr:rowOff>53</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86429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19</xdr:row>
      <xdr:rowOff>121524</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31</xdr:row>
      <xdr:rowOff>145494</xdr:rowOff>
    </xdr:from>
    <xdr:to>
      <xdr:col>18</xdr:col>
      <xdr:colOff>469634</xdr:colOff>
      <xdr:row>36</xdr:row>
      <xdr:rowOff>26692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304280</xdr:colOff>
      <xdr:row>67</xdr:row>
      <xdr:rowOff>76200</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152297</xdr:rowOff>
    </xdr:from>
    <xdr:to>
      <xdr:col>37</xdr:col>
      <xdr:colOff>93236</xdr:colOff>
      <xdr:row>80</xdr:row>
      <xdr:rowOff>1755</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169436</xdr:colOff>
      <xdr:row>67</xdr:row>
      <xdr:rowOff>76200</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469634</xdr:colOff>
      <xdr:row>40</xdr:row>
      <xdr:rowOff>116319</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304280</xdr:colOff>
      <xdr:row>67</xdr:row>
      <xdr:rowOff>76200</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152297</xdr:rowOff>
    </xdr:from>
    <xdr:to>
      <xdr:col>37</xdr:col>
      <xdr:colOff>93236</xdr:colOff>
      <xdr:row>80</xdr:row>
      <xdr:rowOff>1755</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152297</xdr:rowOff>
    </xdr:from>
    <xdr:to>
      <xdr:col>37</xdr:col>
      <xdr:colOff>169436</xdr:colOff>
      <xdr:row>67</xdr:row>
      <xdr:rowOff>76200</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430899</xdr:colOff>
      <xdr:row>40</xdr:row>
      <xdr:rowOff>116319</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304280</xdr:colOff>
      <xdr:row>67</xdr:row>
      <xdr:rowOff>76200</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173405</xdr:rowOff>
    </xdr:from>
    <xdr:to>
      <xdr:col>37</xdr:col>
      <xdr:colOff>93236</xdr:colOff>
      <xdr:row>80</xdr:row>
      <xdr:rowOff>1755</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169436</xdr:colOff>
      <xdr:row>67</xdr:row>
      <xdr:rowOff>76200</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427089</xdr:colOff>
      <xdr:row>40</xdr:row>
      <xdr:rowOff>116319</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304280</xdr:colOff>
      <xdr:row>67</xdr:row>
      <xdr:rowOff>76200</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63</xdr:row>
      <xdr:rowOff>173405</xdr:rowOff>
    </xdr:from>
    <xdr:to>
      <xdr:col>37</xdr:col>
      <xdr:colOff>93236</xdr:colOff>
      <xdr:row>80</xdr:row>
      <xdr:rowOff>1755</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696726</xdr:colOff>
      <xdr:row>73</xdr:row>
      <xdr:rowOff>132616</xdr:rowOff>
    </xdr:from>
    <xdr:to>
      <xdr:col>37</xdr:col>
      <xdr:colOff>93236</xdr:colOff>
      <xdr:row>73</xdr:row>
      <xdr:rowOff>132616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73</xdr:row>
      <xdr:rowOff>132616</xdr:rowOff>
    </xdr:from>
    <xdr:to>
      <xdr:col>37</xdr:col>
      <xdr:colOff>169436</xdr:colOff>
      <xdr:row>73</xdr:row>
      <xdr:rowOff>132616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10926</xdr:colOff>
      <xdr:row>63</xdr:row>
      <xdr:rowOff>173405</xdr:rowOff>
    </xdr:from>
    <xdr:to>
      <xdr:col>37</xdr:col>
      <xdr:colOff>169436</xdr:colOff>
      <xdr:row>67</xdr:row>
      <xdr:rowOff>76200</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29203</xdr:rowOff>
    </xdr:from>
    <xdr:to>
      <xdr:col>2</xdr:col>
      <xdr:colOff>629770</xdr:colOff>
      <xdr:row>36</xdr:row>
      <xdr:rowOff>559938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121524</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111464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36</xdr:row>
      <xdr:rowOff>857646</xdr:rowOff>
    </xdr:from>
    <xdr:to>
      <xdr:col>18</xdr:col>
      <xdr:colOff>427089</xdr:colOff>
      <xdr:row>40</xdr:row>
      <xdr:rowOff>116319</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71</xdr:row>
      <xdr:rowOff>172973</xdr:rowOff>
    </xdr:from>
    <xdr:to>
      <xdr:col>40</xdr:col>
      <xdr:colOff>457218</xdr:colOff>
      <xdr:row>76</xdr:row>
      <xdr:rowOff>113945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78</xdr:row>
      <xdr:rowOff>86972</xdr:rowOff>
    </xdr:from>
    <xdr:to>
      <xdr:col>40</xdr:col>
      <xdr:colOff>296339</xdr:colOff>
      <xdr:row>99</xdr:row>
      <xdr:rowOff>132596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87530</xdr:rowOff>
    </xdr:from>
    <xdr:to>
      <xdr:col>37</xdr:col>
      <xdr:colOff>94213</xdr:colOff>
      <xdr:row>70</xdr:row>
      <xdr:rowOff>153036</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87530</xdr:rowOff>
    </xdr:from>
    <xdr:to>
      <xdr:col>37</xdr:col>
      <xdr:colOff>170413</xdr:colOff>
      <xdr:row>70</xdr:row>
      <xdr:rowOff>153036</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77</xdr:row>
      <xdr:rowOff>159032</xdr:rowOff>
    </xdr:from>
    <xdr:to>
      <xdr:col>40</xdr:col>
      <xdr:colOff>296339</xdr:colOff>
      <xdr:row>84</xdr:row>
      <xdr:rowOff>172202</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266341</xdr:rowOff>
    </xdr:from>
    <xdr:to>
      <xdr:col>2</xdr:col>
      <xdr:colOff>629770</xdr:colOff>
      <xdr:row>36</xdr:row>
      <xdr:rowOff>1008292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149361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1048289</xdr:rowOff>
    </xdr:from>
    <xdr:to>
      <xdr:col>18</xdr:col>
      <xdr:colOff>466165</xdr:colOff>
      <xdr:row>53</xdr:row>
      <xdr:rowOff>35561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57957</xdr:rowOff>
    </xdr:from>
    <xdr:to>
      <xdr:col>19</xdr:col>
      <xdr:colOff>1196</xdr:colOff>
      <xdr:row>45</xdr:row>
      <xdr:rowOff>68711</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92</xdr:row>
      <xdr:rowOff>174596</xdr:rowOff>
    </xdr:from>
    <xdr:to>
      <xdr:col>40</xdr:col>
      <xdr:colOff>437533</xdr:colOff>
      <xdr:row>96</xdr:row>
      <xdr:rowOff>131119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68356</xdr:rowOff>
    </xdr:from>
    <xdr:to>
      <xdr:col>40</xdr:col>
      <xdr:colOff>296339</xdr:colOff>
      <xdr:row>128</xdr:row>
      <xdr:rowOff>76978</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90</xdr:row>
      <xdr:rowOff>172419</xdr:rowOff>
    </xdr:from>
    <xdr:to>
      <xdr:col>37</xdr:col>
      <xdr:colOff>68178</xdr:colOff>
      <xdr:row>92</xdr:row>
      <xdr:rowOff>112584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90</xdr:row>
      <xdr:rowOff>172419</xdr:rowOff>
    </xdr:from>
    <xdr:to>
      <xdr:col>37</xdr:col>
      <xdr:colOff>170413</xdr:colOff>
      <xdr:row>92</xdr:row>
      <xdr:rowOff>112584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68356</xdr:rowOff>
    </xdr:from>
    <xdr:to>
      <xdr:col>40</xdr:col>
      <xdr:colOff>296339</xdr:colOff>
      <xdr:row>105</xdr:row>
      <xdr:rowOff>88601</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58983</xdr:rowOff>
    </xdr:from>
    <xdr:to>
      <xdr:col>2</xdr:col>
      <xdr:colOff>629770</xdr:colOff>
      <xdr:row>45</xdr:row>
      <xdr:rowOff>6669</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86538</xdr:rowOff>
    </xdr:from>
    <xdr:to>
      <xdr:col>18</xdr:col>
      <xdr:colOff>456005</xdr:colOff>
      <xdr:row>72</xdr:row>
      <xdr:rowOff>67776</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142820</xdr:rowOff>
    </xdr:from>
    <xdr:to>
      <xdr:col>2</xdr:col>
      <xdr:colOff>629770</xdr:colOff>
      <xdr:row>27</xdr:row>
      <xdr:rowOff>162145</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131784</xdr:rowOff>
    </xdr:from>
    <xdr:to>
      <xdr:col>2</xdr:col>
      <xdr:colOff>629770</xdr:colOff>
      <xdr:row>28</xdr:row>
      <xdr:rowOff>355196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50</xdr:row>
      <xdr:rowOff>83803</xdr:rowOff>
    </xdr:from>
    <xdr:to>
      <xdr:col>2</xdr:col>
      <xdr:colOff>629770</xdr:colOff>
      <xdr:row>54</xdr:row>
      <xdr:rowOff>325646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52</xdr:row>
      <xdr:rowOff>98271</xdr:rowOff>
    </xdr:from>
    <xdr:to>
      <xdr:col>19</xdr:col>
      <xdr:colOff>18976</xdr:colOff>
      <xdr:row>56</xdr:row>
      <xdr:rowOff>86659</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94</xdr:row>
      <xdr:rowOff>6414</xdr:rowOff>
    </xdr:from>
    <xdr:to>
      <xdr:col>40</xdr:col>
      <xdr:colOff>437533</xdr:colOff>
      <xdr:row>97</xdr:row>
      <xdr:rowOff>113702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172777</xdr:rowOff>
    </xdr:from>
    <xdr:to>
      <xdr:col>40</xdr:col>
      <xdr:colOff>321739</xdr:colOff>
      <xdr:row>130</xdr:row>
      <xdr:rowOff>77197</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91</xdr:row>
      <xdr:rowOff>111788</xdr:rowOff>
    </xdr:from>
    <xdr:to>
      <xdr:col>37</xdr:col>
      <xdr:colOff>75163</xdr:colOff>
      <xdr:row>93</xdr:row>
      <xdr:rowOff>63706</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91</xdr:row>
      <xdr:rowOff>111788</xdr:rowOff>
    </xdr:from>
    <xdr:to>
      <xdr:col>37</xdr:col>
      <xdr:colOff>170413</xdr:colOff>
      <xdr:row>93</xdr:row>
      <xdr:rowOff>63706</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98</xdr:row>
      <xdr:rowOff>172777</xdr:rowOff>
    </xdr:from>
    <xdr:to>
      <xdr:col>40</xdr:col>
      <xdr:colOff>321739</xdr:colOff>
      <xdr:row>106</xdr:row>
      <xdr:rowOff>111418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69143</xdr:rowOff>
    </xdr:from>
    <xdr:to>
      <xdr:col>2</xdr:col>
      <xdr:colOff>629770</xdr:colOff>
      <xdr:row>45</xdr:row>
      <xdr:rowOff>6669</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29200</xdr:rowOff>
    </xdr:from>
    <xdr:to>
      <xdr:col>18</xdr:col>
      <xdr:colOff>447115</xdr:colOff>
      <xdr:row>72</xdr:row>
      <xdr:rowOff>48387</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317377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48</xdr:row>
      <xdr:rowOff>88672</xdr:rowOff>
    </xdr:from>
    <xdr:to>
      <xdr:col>2</xdr:col>
      <xdr:colOff>636120</xdr:colOff>
      <xdr:row>54</xdr:row>
      <xdr:rowOff>16913</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54</xdr:row>
      <xdr:rowOff>133416</xdr:rowOff>
    </xdr:from>
    <xdr:to>
      <xdr:col>19</xdr:col>
      <xdr:colOff>10086</xdr:colOff>
      <xdr:row>58</xdr:row>
      <xdr:rowOff>8808</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81</xdr:row>
      <xdr:rowOff>174306</xdr:rowOff>
    </xdr:from>
    <xdr:to>
      <xdr:col>40</xdr:col>
      <xdr:colOff>437533</xdr:colOff>
      <xdr:row>86</xdr:row>
      <xdr:rowOff>106375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85</xdr:row>
      <xdr:rowOff>1790</xdr:rowOff>
    </xdr:from>
    <xdr:to>
      <xdr:col>40</xdr:col>
      <xdr:colOff>296339</xdr:colOff>
      <xdr:row>114</xdr:row>
      <xdr:rowOff>174267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80</xdr:row>
      <xdr:rowOff>68290</xdr:rowOff>
    </xdr:from>
    <xdr:to>
      <xdr:col>37</xdr:col>
      <xdr:colOff>75163</xdr:colOff>
      <xdr:row>82</xdr:row>
      <xdr:rowOff>88565</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80</xdr:row>
      <xdr:rowOff>68290</xdr:rowOff>
    </xdr:from>
    <xdr:to>
      <xdr:col>37</xdr:col>
      <xdr:colOff>170413</xdr:colOff>
      <xdr:row>82</xdr:row>
      <xdr:rowOff>88565</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85</xdr:row>
      <xdr:rowOff>1790</xdr:rowOff>
    </xdr:from>
    <xdr:to>
      <xdr:col>40</xdr:col>
      <xdr:colOff>296339</xdr:colOff>
      <xdr:row>92</xdr:row>
      <xdr:rowOff>113518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41</xdr:row>
      <xdr:rowOff>69143</xdr:rowOff>
    </xdr:from>
    <xdr:to>
      <xdr:col>2</xdr:col>
      <xdr:colOff>629770</xdr:colOff>
      <xdr:row>45</xdr:row>
      <xdr:rowOff>6669</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20</xdr:row>
      <xdr:rowOff>126752</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47</xdr:row>
      <xdr:rowOff>29200</xdr:rowOff>
    </xdr:from>
    <xdr:to>
      <xdr:col>18</xdr:col>
      <xdr:colOff>447115</xdr:colOff>
      <xdr:row>72</xdr:row>
      <xdr:rowOff>50441</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140280</xdr:rowOff>
    </xdr:from>
    <xdr:to>
      <xdr:col>2</xdr:col>
      <xdr:colOff>629770</xdr:colOff>
      <xdr:row>27</xdr:row>
      <xdr:rowOff>123393</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131784</xdr:rowOff>
    </xdr:from>
    <xdr:to>
      <xdr:col>2</xdr:col>
      <xdr:colOff>629770</xdr:colOff>
      <xdr:row>28</xdr:row>
      <xdr:rowOff>317377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112811</xdr:rowOff>
    </xdr:from>
    <xdr:to>
      <xdr:col>40</xdr:col>
      <xdr:colOff>437533</xdr:colOff>
      <xdr:row>70</xdr:row>
      <xdr:rowOff>172385</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173780</xdr:rowOff>
    </xdr:from>
    <xdr:to>
      <xdr:col>40</xdr:col>
      <xdr:colOff>296339</xdr:colOff>
      <xdr:row>93</xdr:row>
      <xdr:rowOff>130945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173780</xdr:rowOff>
    </xdr:from>
    <xdr:to>
      <xdr:col>40</xdr:col>
      <xdr:colOff>296339</xdr:colOff>
      <xdr:row>70</xdr:row>
      <xdr:rowOff>56921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105916</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76657</xdr:rowOff>
    </xdr:from>
    <xdr:to>
      <xdr:col>40</xdr:col>
      <xdr:colOff>437533</xdr:colOff>
      <xdr:row>70</xdr:row>
      <xdr:rowOff>172385</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93</xdr:row>
      <xdr:rowOff>132850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70</xdr:row>
      <xdr:rowOff>48244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131288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76657</xdr:rowOff>
    </xdr:from>
    <xdr:to>
      <xdr:col>40</xdr:col>
      <xdr:colOff>437533</xdr:colOff>
      <xdr:row>70</xdr:row>
      <xdr:rowOff>172385</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93</xdr:row>
      <xdr:rowOff>132850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725</xdr:rowOff>
    </xdr:from>
    <xdr:to>
      <xdr:col>37</xdr:col>
      <xdr:colOff>56113</xdr:colOff>
      <xdr:row>64</xdr:row>
      <xdr:rowOff>107933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725</xdr:rowOff>
    </xdr:from>
    <xdr:to>
      <xdr:col>37</xdr:col>
      <xdr:colOff>170413</xdr:colOff>
      <xdr:row>64</xdr:row>
      <xdr:rowOff>107933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161758</xdr:rowOff>
    </xdr:from>
    <xdr:to>
      <xdr:col>40</xdr:col>
      <xdr:colOff>296339</xdr:colOff>
      <xdr:row>70</xdr:row>
      <xdr:rowOff>48244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131288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85881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21358</xdr:rowOff>
    </xdr:from>
    <xdr:to>
      <xdr:col>18</xdr:col>
      <xdr:colOff>476960</xdr:colOff>
      <xdr:row>45</xdr:row>
      <xdr:rowOff>21398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70</xdr:row>
      <xdr:rowOff>172619</xdr:rowOff>
    </xdr:from>
    <xdr:to>
      <xdr:col>40</xdr:col>
      <xdr:colOff>437533</xdr:colOff>
      <xdr:row>79</xdr:row>
      <xdr:rowOff>49134</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100</xdr:row>
      <xdr:rowOff>131542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69</xdr:row>
      <xdr:rowOff>113348</xdr:rowOff>
    </xdr:from>
    <xdr:to>
      <xdr:col>37</xdr:col>
      <xdr:colOff>56113</xdr:colOff>
      <xdr:row>72</xdr:row>
      <xdr:rowOff>48574</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69</xdr:row>
      <xdr:rowOff>113348</xdr:rowOff>
    </xdr:from>
    <xdr:to>
      <xdr:col>37</xdr:col>
      <xdr:colOff>170413</xdr:colOff>
      <xdr:row>72</xdr:row>
      <xdr:rowOff>48574</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71</xdr:row>
      <xdr:rowOff>63649</xdr:rowOff>
    </xdr:from>
    <xdr:to>
      <xdr:col>40</xdr:col>
      <xdr:colOff>296339</xdr:colOff>
      <xdr:row>78</xdr:row>
      <xdr:rowOff>68309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125499</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41</xdr:row>
      <xdr:rowOff>45276</xdr:rowOff>
    </xdr:from>
    <xdr:to>
      <xdr:col>18</xdr:col>
      <xdr:colOff>466165</xdr:colOff>
      <xdr:row>45</xdr:row>
      <xdr:rowOff>21398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71</xdr:row>
      <xdr:rowOff>25971</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55656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55656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7255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87632</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188388</xdr:colOff>
      <xdr:row>63</xdr:row>
      <xdr:rowOff>94026</xdr:rowOff>
    </xdr:from>
    <xdr:to>
      <xdr:col>40</xdr:col>
      <xdr:colOff>437533</xdr:colOff>
      <xdr:row>70</xdr:row>
      <xdr:rowOff>173132</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93</xdr:row>
      <xdr:rowOff>111559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688178</xdr:colOff>
      <xdr:row>62</xdr:row>
      <xdr:rowOff>131861</xdr:rowOff>
    </xdr:from>
    <xdr:to>
      <xdr:col>37</xdr:col>
      <xdr:colOff>56113</xdr:colOff>
      <xdr:row>65</xdr:row>
      <xdr:rowOff>26136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2378</xdr:colOff>
      <xdr:row>62</xdr:row>
      <xdr:rowOff>131861</xdr:rowOff>
    </xdr:from>
    <xdr:to>
      <xdr:col>37</xdr:col>
      <xdr:colOff>170413</xdr:colOff>
      <xdr:row>65</xdr:row>
      <xdr:rowOff>26136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150288</xdr:colOff>
      <xdr:row>63</xdr:row>
      <xdr:rowOff>160077</xdr:rowOff>
    </xdr:from>
    <xdr:to>
      <xdr:col>40</xdr:col>
      <xdr:colOff>296339</xdr:colOff>
      <xdr:row>70</xdr:row>
      <xdr:rowOff>28210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35</xdr:row>
      <xdr:rowOff>96546</xdr:rowOff>
    </xdr:from>
    <xdr:to>
      <xdr:col>2</xdr:col>
      <xdr:colOff>629770</xdr:colOff>
      <xdr:row>36</xdr:row>
      <xdr:rowOff>1008161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68874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38</xdr:row>
      <xdr:rowOff>133556</xdr:rowOff>
    </xdr:from>
    <xdr:to>
      <xdr:col>18</xdr:col>
      <xdr:colOff>428065</xdr:colOff>
      <xdr:row>65</xdr:row>
      <xdr:rowOff>92665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197767</xdr:rowOff>
    </xdr:from>
    <xdr:to>
      <xdr:col>2</xdr:col>
      <xdr:colOff>629770</xdr:colOff>
      <xdr:row>31</xdr:row>
      <xdr:rowOff>180484</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17</xdr:row>
      <xdr:rowOff>187982</xdr:rowOff>
    </xdr:from>
    <xdr:to>
      <xdr:col>2</xdr:col>
      <xdr:colOff>477370</xdr:colOff>
      <xdr:row>21</xdr:row>
      <xdr:rowOff>55237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30</xdr:row>
      <xdr:rowOff>201873</xdr:rowOff>
    </xdr:from>
    <xdr:to>
      <xdr:col>18</xdr:col>
      <xdr:colOff>428065</xdr:colOff>
      <xdr:row>56</xdr:row>
      <xdr:rowOff>48681</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29</xdr:row>
      <xdr:rowOff>88616</xdr:rowOff>
    </xdr:from>
    <xdr:to>
      <xdr:col>2</xdr:col>
      <xdr:colOff>496420</xdr:colOff>
      <xdr:row>31</xdr:row>
      <xdr:rowOff>145559</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1134</xdr:rowOff>
    </xdr:from>
    <xdr:to>
      <xdr:col>2</xdr:col>
      <xdr:colOff>629770</xdr:colOff>
      <xdr:row>30</xdr:row>
      <xdr:rowOff>95504</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20</xdr:row>
      <xdr:rowOff>30739</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512</xdr:rowOff>
    </xdr:from>
    <xdr:to>
      <xdr:col>2</xdr:col>
      <xdr:colOff>629770</xdr:colOff>
      <xdr:row>30</xdr:row>
      <xdr:rowOff>95504</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30</xdr:row>
      <xdr:rowOff>163400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180409</xdr:rowOff>
    </xdr:from>
    <xdr:to>
      <xdr:col>2</xdr:col>
      <xdr:colOff>629770</xdr:colOff>
      <xdr:row>39</xdr:row>
      <xdr:rowOff>50373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45200</xdr:rowOff>
    </xdr:from>
    <xdr:to>
      <xdr:col>21</xdr:col>
      <xdr:colOff>492498</xdr:colOff>
      <xdr:row>54</xdr:row>
      <xdr:rowOff>57021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180409</xdr:rowOff>
    </xdr:from>
    <xdr:to>
      <xdr:col>2</xdr:col>
      <xdr:colOff>629770</xdr:colOff>
      <xdr:row>39</xdr:row>
      <xdr:rowOff>18623</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45200</xdr:rowOff>
    </xdr:from>
    <xdr:to>
      <xdr:col>21</xdr:col>
      <xdr:colOff>492498</xdr:colOff>
      <xdr:row>54</xdr:row>
      <xdr:rowOff>57021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636120</xdr:colOff>
      <xdr:row>31</xdr:row>
      <xdr:rowOff>46434</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136379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30931</xdr:rowOff>
    </xdr:from>
    <xdr:to>
      <xdr:col>2</xdr:col>
      <xdr:colOff>629770</xdr:colOff>
      <xdr:row>31</xdr:row>
      <xdr:rowOff>46434</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74532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238094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135458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168932</xdr:rowOff>
    </xdr:from>
    <xdr:to>
      <xdr:col>24</xdr:col>
      <xdr:colOff>473449</xdr:colOff>
      <xdr:row>21</xdr:row>
      <xdr:rowOff>149259</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187982</xdr:rowOff>
    </xdr:from>
    <xdr:to>
      <xdr:col>30</xdr:col>
      <xdr:colOff>406669</xdr:colOff>
      <xdr:row>21</xdr:row>
      <xdr:rowOff>149259</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19</xdr:row>
      <xdr:rowOff>26248</xdr:rowOff>
    </xdr:from>
    <xdr:to>
      <xdr:col>33</xdr:col>
      <xdr:colOff>282845</xdr:colOff>
      <xdr:row>22</xdr:row>
      <xdr:rowOff>160738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131972</xdr:rowOff>
    </xdr:from>
    <xdr:to>
      <xdr:col>24</xdr:col>
      <xdr:colOff>473449</xdr:colOff>
      <xdr:row>36</xdr:row>
      <xdr:rowOff>55392</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199072</xdr:rowOff>
    </xdr:from>
    <xdr:to>
      <xdr:col>2</xdr:col>
      <xdr:colOff>639295</xdr:colOff>
      <xdr:row>34</xdr:row>
      <xdr:rowOff>45637</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393</xdr:rowOff>
    </xdr:from>
    <xdr:to>
      <xdr:col>2</xdr:col>
      <xdr:colOff>629770</xdr:colOff>
      <xdr:row>31</xdr:row>
      <xdr:rowOff>26886</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86619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554892</xdr:rowOff>
    </xdr:from>
    <xdr:to>
      <xdr:col>2</xdr:col>
      <xdr:colOff>629770</xdr:colOff>
      <xdr:row>38</xdr:row>
      <xdr:rowOff>8395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30</xdr:row>
      <xdr:rowOff>199072</xdr:rowOff>
    </xdr:from>
    <xdr:to>
      <xdr:col>2</xdr:col>
      <xdr:colOff>629770</xdr:colOff>
      <xdr:row>34</xdr:row>
      <xdr:rowOff>45637</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2</xdr:col>
      <xdr:colOff>629770</xdr:colOff>
      <xdr:row>32</xdr:row>
      <xdr:rowOff>27562</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19</xdr:row>
      <xdr:rowOff>103926</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2</xdr:col>
      <xdr:colOff>477370</xdr:colOff>
      <xdr:row>19</xdr:row>
      <xdr:rowOff>216121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33</xdr:col>
      <xdr:colOff>282845</xdr:colOff>
      <xdr:row>21</xdr:row>
      <xdr:rowOff>106386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774035</xdr:rowOff>
    </xdr:from>
    <xdr:to>
      <xdr:col>2</xdr:col>
      <xdr:colOff>629770</xdr:colOff>
      <xdr:row>40</xdr:row>
      <xdr:rowOff>106556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124803</xdr:rowOff>
    </xdr:from>
    <xdr:to>
      <xdr:col>2</xdr:col>
      <xdr:colOff>629770</xdr:colOff>
      <xdr:row>35</xdr:row>
      <xdr:rowOff>96546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45</xdr:row>
      <xdr:rowOff>190157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86147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217561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349758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742715</xdr:rowOff>
    </xdr:from>
    <xdr:to>
      <xdr:col>6</xdr:col>
      <xdr:colOff>69476</xdr:colOff>
      <xdr:row>60</xdr:row>
      <xdr:rowOff>126710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35237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296538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456210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296538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456210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172125</xdr:rowOff>
    </xdr:from>
    <xdr:to>
      <xdr:col>6</xdr:col>
      <xdr:colOff>69476</xdr:colOff>
      <xdr:row>44</xdr:row>
      <xdr:rowOff>189007</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36</xdr:row>
      <xdr:rowOff>74008</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16</xdr:row>
      <xdr:rowOff>126057</xdr:rowOff>
    </xdr:from>
    <xdr:to>
      <xdr:col>5</xdr:col>
      <xdr:colOff>619312</xdr:colOff>
      <xdr:row>36</xdr:row>
      <xdr:rowOff>122746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468489</xdr:colOff>
      <xdr:row>17</xdr:row>
      <xdr:rowOff>187982</xdr:rowOff>
    </xdr:from>
    <xdr:to>
      <xdr:col>37</xdr:col>
      <xdr:colOff>504908</xdr:colOff>
      <xdr:row>36</xdr:row>
      <xdr:rowOff>296538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36</xdr:row>
      <xdr:rowOff>706794</xdr:rowOff>
    </xdr:from>
    <xdr:to>
      <xdr:col>6</xdr:col>
      <xdr:colOff>69476</xdr:colOff>
      <xdr:row>60</xdr:row>
      <xdr:rowOff>68534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105753</xdr:rowOff>
    </xdr:from>
    <xdr:to>
      <xdr:col>6</xdr:col>
      <xdr:colOff>69476</xdr:colOff>
      <xdr:row>53</xdr:row>
      <xdr:rowOff>115423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25</xdr:row>
      <xdr:rowOff>172125</xdr:rowOff>
    </xdr:from>
    <xdr:to>
      <xdr:col>6</xdr:col>
      <xdr:colOff>513976</xdr:colOff>
      <xdr:row>44</xdr:row>
      <xdr:rowOff>189007</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36</xdr:row>
      <xdr:rowOff>74008</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36</xdr:row>
      <xdr:rowOff>122746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296538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706794</xdr:rowOff>
    </xdr:from>
    <xdr:to>
      <xdr:col>6</xdr:col>
      <xdr:colOff>513976</xdr:colOff>
      <xdr:row>60</xdr:row>
      <xdr:rowOff>68534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105753</xdr:rowOff>
    </xdr:from>
    <xdr:to>
      <xdr:col>6</xdr:col>
      <xdr:colOff>513976</xdr:colOff>
      <xdr:row>53</xdr:row>
      <xdr:rowOff>115423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12245</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104244</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122235</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143228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68929</xdr:rowOff>
    </xdr:from>
    <xdr:to>
      <xdr:col>6</xdr:col>
      <xdr:colOff>513976</xdr:colOff>
      <xdr:row>65</xdr:row>
      <xdr:rowOff>46965</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159103</xdr:rowOff>
    </xdr:from>
    <xdr:to>
      <xdr:col>6</xdr:col>
      <xdr:colOff>513976</xdr:colOff>
      <xdr:row>59</xdr:row>
      <xdr:rowOff>48126</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126516</xdr:rowOff>
    </xdr:from>
    <xdr:to>
      <xdr:col>6</xdr:col>
      <xdr:colOff>513976</xdr:colOff>
      <xdr:row>50</xdr:row>
      <xdr:rowOff>12245</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34</xdr:row>
      <xdr:rowOff>104244</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16</xdr:row>
      <xdr:rowOff>126057</xdr:rowOff>
    </xdr:from>
    <xdr:to>
      <xdr:col>6</xdr:col>
      <xdr:colOff>361576</xdr:colOff>
      <xdr:row>34</xdr:row>
      <xdr:rowOff>122235</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154723</xdr:colOff>
      <xdr:row>17</xdr:row>
      <xdr:rowOff>187982</xdr:rowOff>
    </xdr:from>
    <xdr:to>
      <xdr:col>37</xdr:col>
      <xdr:colOff>935773</xdr:colOff>
      <xdr:row>36</xdr:row>
      <xdr:rowOff>143228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68929</xdr:rowOff>
    </xdr:from>
    <xdr:to>
      <xdr:col>6</xdr:col>
      <xdr:colOff>513976</xdr:colOff>
      <xdr:row>65</xdr:row>
      <xdr:rowOff>46965</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36</xdr:row>
      <xdr:rowOff>159103</xdr:rowOff>
    </xdr:from>
    <xdr:to>
      <xdr:col>6</xdr:col>
      <xdr:colOff>513976</xdr:colOff>
      <xdr:row>59</xdr:row>
      <xdr:rowOff>48126</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199036</xdr:rowOff>
    </xdr:from>
    <xdr:to>
      <xdr:col>7</xdr:col>
      <xdr:colOff>304800</xdr:colOff>
      <xdr:row>54</xdr:row>
      <xdr:rowOff>114787</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7227</xdr:rowOff>
    </xdr:from>
    <xdr:to>
      <xdr:col>7</xdr:col>
      <xdr:colOff>152400</xdr:colOff>
      <xdr:row>36</xdr:row>
      <xdr:rowOff>778330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21</xdr:row>
      <xdr:rowOff>55225</xdr:rowOff>
    </xdr:from>
    <xdr:to>
      <xdr:col>38</xdr:col>
      <xdr:colOff>438232</xdr:colOff>
      <xdr:row>36</xdr:row>
      <xdr:rowOff>1067775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30547</xdr:rowOff>
    </xdr:from>
    <xdr:to>
      <xdr:col>7</xdr:col>
      <xdr:colOff>304800</xdr:colOff>
      <xdr:row>68</xdr:row>
      <xdr:rowOff>174453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36</xdr:row>
      <xdr:rowOff>877583</xdr:rowOff>
    </xdr:from>
    <xdr:to>
      <xdr:col>7</xdr:col>
      <xdr:colOff>304800</xdr:colOff>
      <xdr:row>62</xdr:row>
      <xdr:rowOff>450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101784</xdr:rowOff>
    </xdr:from>
    <xdr:to>
      <xdr:col>7</xdr:col>
      <xdr:colOff>304800</xdr:colOff>
      <xdr:row>58</xdr:row>
      <xdr:rowOff>49807</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75753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55225</xdr:rowOff>
    </xdr:from>
    <xdr:to>
      <xdr:col>7</xdr:col>
      <xdr:colOff>152400</xdr:colOff>
      <xdr:row>36</xdr:row>
      <xdr:rowOff>1067775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647783</xdr:colOff>
      <xdr:row>22</xdr:row>
      <xdr:rowOff>87350</xdr:rowOff>
    </xdr:from>
    <xdr:to>
      <xdr:col>38</xdr:col>
      <xdr:colOff>438232</xdr:colOff>
      <xdr:row>38</xdr:row>
      <xdr:rowOff>21008</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139860</xdr:rowOff>
    </xdr:from>
    <xdr:to>
      <xdr:col>7</xdr:col>
      <xdr:colOff>304800</xdr:colOff>
      <xdr:row>74</xdr:row>
      <xdr:rowOff>39901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134947</xdr:rowOff>
    </xdr:from>
    <xdr:to>
      <xdr:col>7</xdr:col>
      <xdr:colOff>304800</xdr:colOff>
      <xdr:row>67</xdr:row>
      <xdr:rowOff>150815</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190233</xdr:rowOff>
    </xdr:from>
    <xdr:to>
      <xdr:col>7</xdr:col>
      <xdr:colOff>247650</xdr:colOff>
      <xdr:row>72</xdr:row>
      <xdr:rowOff>150767</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43</xdr:row>
      <xdr:rowOff>190233</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36</xdr:row>
      <xdr:rowOff>408179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227536</xdr:rowOff>
    </xdr:from>
    <xdr:to>
      <xdr:col>38</xdr:col>
      <xdr:colOff>428625</xdr:colOff>
      <xdr:row>54</xdr:row>
      <xdr:rowOff>154942</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7333</xdr:rowOff>
    </xdr:from>
    <xdr:to>
      <xdr:col>7</xdr:col>
      <xdr:colOff>266700</xdr:colOff>
      <xdr:row>86</xdr:row>
      <xdr:rowOff>92124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xdr:row>
      <xdr:rowOff>40894</xdr:rowOff>
    </xdr:from>
    <xdr:to>
      <xdr:col>7</xdr:col>
      <xdr:colOff>266700</xdr:colOff>
      <xdr:row>81</xdr:row>
      <xdr:rowOff>76249</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29371</xdr:rowOff>
    </xdr:from>
    <xdr:to>
      <xdr:col>7</xdr:col>
      <xdr:colOff>152400</xdr:colOff>
      <xdr:row>37</xdr:row>
      <xdr:rowOff>131441</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172433</xdr:rowOff>
    </xdr:from>
    <xdr:to>
      <xdr:col>7</xdr:col>
      <xdr:colOff>152400</xdr:colOff>
      <xdr:row>86</xdr:row>
      <xdr:rowOff>54024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190233</xdr:rowOff>
    </xdr:from>
    <xdr:to>
      <xdr:col>7</xdr:col>
      <xdr:colOff>247650</xdr:colOff>
      <xdr:row>72</xdr:row>
      <xdr:rowOff>150767</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29</xdr:row>
      <xdr:rowOff>92092</xdr:rowOff>
    </xdr:from>
    <xdr:to>
      <xdr:col>7</xdr:col>
      <xdr:colOff>152400</xdr:colOff>
      <xdr:row>43</xdr:row>
      <xdr:rowOff>191914</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36</xdr:row>
      <xdr:rowOff>408179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638175</xdr:colOff>
      <xdr:row>36</xdr:row>
      <xdr:rowOff>227536</xdr:rowOff>
    </xdr:from>
    <xdr:to>
      <xdr:col>38</xdr:col>
      <xdr:colOff>428625</xdr:colOff>
      <xdr:row>54</xdr:row>
      <xdr:rowOff>154942</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7333</xdr:rowOff>
    </xdr:from>
    <xdr:to>
      <xdr:col>7</xdr:col>
      <xdr:colOff>266700</xdr:colOff>
      <xdr:row>86</xdr:row>
      <xdr:rowOff>92124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xdr:row>
      <xdr:rowOff>40894</xdr:rowOff>
    </xdr:from>
    <xdr:to>
      <xdr:col>7</xdr:col>
      <xdr:colOff>266700</xdr:colOff>
      <xdr:row>81</xdr:row>
      <xdr:rowOff>76249</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29371</xdr:rowOff>
    </xdr:from>
    <xdr:to>
      <xdr:col>7</xdr:col>
      <xdr:colOff>152400</xdr:colOff>
      <xdr:row>37</xdr:row>
      <xdr:rowOff>131441</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172433</xdr:rowOff>
    </xdr:from>
    <xdr:to>
      <xdr:col>7</xdr:col>
      <xdr:colOff>152400</xdr:colOff>
      <xdr:row>86</xdr:row>
      <xdr:rowOff>54024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139700</xdr:rowOff>
    </xdr:from>
    <xdr:to>
      <xdr:col>7</xdr:col>
      <xdr:colOff>247650</xdr:colOff>
      <xdr:row>45</xdr:row>
      <xdr:rowOff>85725</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19</xdr:row>
      <xdr:rowOff>152400</xdr:rowOff>
    </xdr:from>
    <xdr:to>
      <xdr:col>7</xdr:col>
      <xdr:colOff>152400</xdr:colOff>
      <xdr:row>39</xdr:row>
      <xdr:rowOff>177800</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xdr:row>
      <xdr:rowOff>0</xdr:rowOff>
    </xdr:from>
    <xdr:to>
      <xdr:col>7</xdr:col>
      <xdr:colOff>133350</xdr:colOff>
      <xdr:row>23</xdr:row>
      <xdr:rowOff>139700</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xdr:row>
      <xdr:rowOff>177800</xdr:rowOff>
    </xdr:from>
    <xdr:to>
      <xdr:col>7</xdr:col>
      <xdr:colOff>266700</xdr:colOff>
      <xdr:row>60</xdr:row>
      <xdr:rowOff>9525</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177800</xdr:rowOff>
    </xdr:from>
    <xdr:to>
      <xdr:col>7</xdr:col>
      <xdr:colOff>266700</xdr:colOff>
      <xdr:row>49</xdr:row>
      <xdr:rowOff>225425</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xdr:row>
      <xdr:rowOff>0</xdr:rowOff>
    </xdr:from>
    <xdr:to>
      <xdr:col>7</xdr:col>
      <xdr:colOff>152400</xdr:colOff>
      <xdr:row>61</xdr:row>
      <xdr:rowOff>76200</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292100</xdr:colOff>
      <xdr:row>0</xdr:row>
      <xdr:rowOff>9525</xdr:rowOff>
    </xdr:from>
    <xdr:to>
      <xdr:col>20</xdr:col>
      <xdr:colOff>345134</xdr:colOff>
      <xdr:row>17</xdr:row>
      <xdr:rowOff>158750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8102600" y="9525"/>
          <a:ext cx="5539434" cy="3733800"/>
        </a:xfrm>
        <a:prstGeom prst="rect">
          <a:avLst/>
        </a:prstGeom>
      </xdr:spPr>
    </xdr:pic>
    <xdr:clientData/>
  </xdr:twoCellAnchor>
  <xdr:twoCellAnchor editAs="oneCell">
    <xdr:from>
      <xdr:col>11</xdr:col>
      <xdr:colOff>339725</xdr:colOff>
      <xdr:row>17</xdr:row>
      <xdr:rowOff>130175</xdr:rowOff>
    </xdr:from>
    <xdr:to>
      <xdr:col>19</xdr:col>
      <xdr:colOff>273297</xdr:colOff>
      <xdr:row>39</xdr:row>
      <xdr:rowOff>6548</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8150225" y="3711575"/>
          <a:ext cx="4813547" cy="386099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1742984</xdr:colOff>
      <xdr:row>27</xdr:row>
      <xdr:rowOff>105359</xdr:rowOff>
    </xdr:from>
    <xdr:to>
      <xdr:col>3</xdr:col>
      <xdr:colOff>161562</xdr:colOff>
      <xdr:row>30</xdr:row>
      <xdr:rowOff>162692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27</xdr:row>
      <xdr:rowOff>105359</xdr:rowOff>
    </xdr:from>
    <xdr:to>
      <xdr:col>3</xdr:col>
      <xdr:colOff>161562</xdr:colOff>
      <xdr:row>30</xdr:row>
      <xdr:rowOff>162692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28755</xdr:rowOff>
    </xdr:from>
    <xdr:to>
      <xdr:col>3</xdr:col>
      <xdr:colOff>438150</xdr:colOff>
      <xdr:row>45</xdr:row>
      <xdr:rowOff>48684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59237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142254</xdr:rowOff>
    </xdr:from>
    <xdr:to>
      <xdr:col>3</xdr:col>
      <xdr:colOff>438150</xdr:colOff>
      <xdr:row>41</xdr:row>
      <xdr:rowOff>40187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32</xdr:row>
      <xdr:rowOff>173404</xdr:rowOff>
    </xdr:from>
    <xdr:to>
      <xdr:col>3</xdr:col>
      <xdr:colOff>285750</xdr:colOff>
      <xdr:row>35</xdr:row>
      <xdr:rowOff>182346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16597</xdr:rowOff>
    </xdr:from>
    <xdr:to>
      <xdr:col>3</xdr:col>
      <xdr:colOff>438150</xdr:colOff>
      <xdr:row>34</xdr:row>
      <xdr:rowOff>216818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22031</xdr:rowOff>
    </xdr:from>
    <xdr:to>
      <xdr:col>3</xdr:col>
      <xdr:colOff>438150</xdr:colOff>
      <xdr:row>34</xdr:row>
      <xdr:rowOff>216818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201341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162971</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216818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34</xdr:row>
      <xdr:rowOff>216818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609600</xdr:colOff>
      <xdr:row>43</xdr:row>
      <xdr:rowOff>162971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117220</xdr:rowOff>
    </xdr:from>
    <xdr:to>
      <xdr:col>23</xdr:col>
      <xdr:colOff>606425</xdr:colOff>
      <xdr:row>43</xdr:row>
      <xdr:rowOff>162971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151477</xdr:rowOff>
    </xdr:from>
    <xdr:to>
      <xdr:col>24</xdr:col>
      <xdr:colOff>473075</xdr:colOff>
      <xdr:row>42</xdr:row>
      <xdr:rowOff>192091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103117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103117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115019</xdr:rowOff>
    </xdr:from>
    <xdr:to>
      <xdr:col>23</xdr:col>
      <xdr:colOff>606425</xdr:colOff>
      <xdr:row>51</xdr:row>
      <xdr:rowOff>68884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122327</xdr:rowOff>
    </xdr:from>
    <xdr:to>
      <xdr:col>24</xdr:col>
      <xdr:colOff>473075</xdr:colOff>
      <xdr:row>51</xdr:row>
      <xdr:rowOff>142523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39</xdr:row>
      <xdr:rowOff>74654</xdr:rowOff>
    </xdr:from>
    <xdr:to>
      <xdr:col>3</xdr:col>
      <xdr:colOff>323850</xdr:colOff>
      <xdr:row>42</xdr:row>
      <xdr:rowOff>131952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44</xdr:row>
      <xdr:rowOff>121137</xdr:rowOff>
    </xdr:from>
    <xdr:to>
      <xdr:col>9</xdr:col>
      <xdr:colOff>47625</xdr:colOff>
      <xdr:row>48</xdr:row>
      <xdr:rowOff>134069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121137</xdr:rowOff>
    </xdr:from>
    <xdr:to>
      <xdr:col>10</xdr:col>
      <xdr:colOff>44450</xdr:colOff>
      <xdr:row>48</xdr:row>
      <xdr:rowOff>134069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94650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60039</xdr:rowOff>
    </xdr:from>
    <xdr:to>
      <xdr:col>9</xdr:col>
      <xdr:colOff>47625</xdr:colOff>
      <xdr:row>37</xdr:row>
      <xdr:rowOff>94650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219993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10</xdr:col>
      <xdr:colOff>44450</xdr:colOff>
      <xdr:row>37</xdr:row>
      <xdr:rowOff>116875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62</xdr:row>
      <xdr:rowOff>132231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66677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54</xdr:row>
      <xdr:rowOff>46592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123033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132231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104178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177894</xdr:rowOff>
    </xdr:from>
    <xdr:to>
      <xdr:col>26</xdr:col>
      <xdr:colOff>606425</xdr:colOff>
      <xdr:row>63</xdr:row>
      <xdr:rowOff>88108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116162</xdr:rowOff>
    </xdr:from>
    <xdr:to>
      <xdr:col>27</xdr:col>
      <xdr:colOff>742950</xdr:colOff>
      <xdr:row>62</xdr:row>
      <xdr:rowOff>140262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60039</xdr:rowOff>
    </xdr:from>
    <xdr:to>
      <xdr:col>13</xdr:col>
      <xdr:colOff>44450</xdr:colOff>
      <xdr:row>55</xdr:row>
      <xdr:rowOff>47490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104869</xdr:rowOff>
    </xdr:from>
    <xdr:to>
      <xdr:col>44</xdr:col>
      <xdr:colOff>520700</xdr:colOff>
      <xdr:row>63</xdr:row>
      <xdr:rowOff>69058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37</xdr:row>
      <xdr:rowOff>76200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37</xdr:row>
      <xdr:rowOff>76200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20</xdr:row>
      <xdr:rowOff>0</xdr:rowOff>
    </xdr:from>
    <xdr:to>
      <xdr:col>6</xdr:col>
      <xdr:colOff>390525</xdr:colOff>
      <xdr:row>41</xdr:row>
      <xdr:rowOff>73025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21</xdr:row>
      <xdr:rowOff>57150</xdr:rowOff>
    </xdr:from>
    <xdr:to>
      <xdr:col>6</xdr:col>
      <xdr:colOff>390525</xdr:colOff>
      <xdr:row>41</xdr:row>
      <xdr:rowOff>177800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33</xdr:row>
      <xdr:rowOff>793</xdr:rowOff>
    </xdr:from>
    <xdr:to>
      <xdr:col>27</xdr:col>
      <xdr:colOff>714375</xdr:colOff>
      <xdr:row>53</xdr:row>
      <xdr:rowOff>106363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106363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33</xdr:row>
      <xdr:rowOff>220662</xdr:rowOff>
    </xdr:from>
    <xdr:to>
      <xdr:col>26</xdr:col>
      <xdr:colOff>447675</xdr:colOff>
      <xdr:row>54</xdr:row>
      <xdr:rowOff>120650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85725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85725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149225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73025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73025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101600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101600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149225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101600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123825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228600</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228600</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219075</xdr:rowOff>
    </xdr:from>
    <xdr:to>
      <xdr:col>28</xdr:col>
      <xdr:colOff>133350</xdr:colOff>
      <xdr:row>55</xdr:row>
      <xdr:rowOff>161925</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219075</xdr:rowOff>
    </xdr:from>
    <xdr:to>
      <xdr:col>45</xdr:col>
      <xdr:colOff>647700</xdr:colOff>
      <xdr:row>55</xdr:row>
      <xdr:rowOff>161925</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209550</xdr:rowOff>
    </xdr:from>
    <xdr:to>
      <xdr:col>27</xdr:col>
      <xdr:colOff>133350</xdr:colOff>
      <xdr:row>57</xdr:row>
      <xdr:rowOff>292100</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6350</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47625</xdr:rowOff>
    </xdr:from>
    <xdr:to>
      <xdr:col>46</xdr:col>
      <xdr:colOff>647700</xdr:colOff>
      <xdr:row>57</xdr:row>
      <xdr:rowOff>292100</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353382</xdr:colOff>
      <xdr:row>87</xdr:row>
      <xdr:rowOff>330629</xdr:rowOff>
    </xdr:from>
    <xdr:to>
      <xdr:col>7</xdr:col>
      <xdr:colOff>370163</xdr:colOff>
      <xdr:row>87</xdr:row>
      <xdr:rowOff>330629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2008868</xdr:colOff>
      <xdr:row>47</xdr:row>
      <xdr:rowOff>9749</xdr:rowOff>
    </xdr:from>
    <xdr:to>
      <xdr:col>1</xdr:col>
      <xdr:colOff>3589094</xdr:colOff>
      <xdr:row>49</xdr:row>
      <xdr:rowOff>504087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87</xdr:row>
      <xdr:rowOff>330629</xdr:rowOff>
    </xdr:from>
    <xdr:to>
      <xdr:col>7</xdr:col>
      <xdr:colOff>370163</xdr:colOff>
      <xdr:row>87</xdr:row>
      <xdr:rowOff>330629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87</xdr:row>
      <xdr:rowOff>330629</xdr:rowOff>
    </xdr:from>
    <xdr:to>
      <xdr:col>10</xdr:col>
      <xdr:colOff>330579</xdr:colOff>
      <xdr:row>87</xdr:row>
      <xdr:rowOff>330629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46</xdr:row>
      <xdr:rowOff>112579</xdr:rowOff>
    </xdr:from>
    <xdr:to>
      <xdr:col>7</xdr:col>
      <xdr:colOff>370163</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46</xdr:row>
      <xdr:rowOff>112579</xdr:rowOff>
    </xdr:from>
    <xdr:to>
      <xdr:col>10</xdr:col>
      <xdr:colOff>330579</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29546</xdr:rowOff>
    </xdr:from>
    <xdr:to>
      <xdr:col>7</xdr:col>
      <xdr:colOff>370163</xdr:colOff>
      <xdr:row>70</xdr:row>
      <xdr:rowOff>29546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29546</xdr:rowOff>
    </xdr:from>
    <xdr:to>
      <xdr:col>10</xdr:col>
      <xdr:colOff>330579</xdr:colOff>
      <xdr:row>70</xdr:row>
      <xdr:rowOff>29546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353382</xdr:colOff>
      <xdr:row>70</xdr:row>
      <xdr:rowOff>191147</xdr:rowOff>
    </xdr:from>
    <xdr:to>
      <xdr:col>7</xdr:col>
      <xdr:colOff>370163</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330579</xdr:colOff>
      <xdr:row>70</xdr:row>
      <xdr:rowOff>191147</xdr:rowOff>
    </xdr:from>
    <xdr:to>
      <xdr:col>10</xdr:col>
      <xdr:colOff>330579</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1970768</xdr:colOff>
      <xdr:row>31</xdr:row>
      <xdr:rowOff>190313</xdr:rowOff>
    </xdr:from>
    <xdr:to>
      <xdr:col>1</xdr:col>
      <xdr:colOff>3564329</xdr:colOff>
      <xdr:row>32</xdr:row>
      <xdr:rowOff>372470</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349571</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3530674</xdr:colOff>
      <xdr:row>32</xdr:row>
      <xdr:rowOff>372470</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583514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66447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257845</xdr:rowOff>
    </xdr:from>
    <xdr:to>
      <xdr:col>7</xdr:col>
      <xdr:colOff>345126</xdr:colOff>
      <xdr:row>70</xdr:row>
      <xdr:rowOff>257845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257845</xdr:rowOff>
    </xdr:from>
    <xdr:to>
      <xdr:col>10</xdr:col>
      <xdr:colOff>305542</xdr:colOff>
      <xdr:row>70</xdr:row>
      <xdr:rowOff>257845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372470</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331747</xdr:rowOff>
    </xdr:from>
    <xdr:to>
      <xdr:col>18</xdr:col>
      <xdr:colOff>686542</xdr:colOff>
      <xdr:row>70</xdr:row>
      <xdr:rowOff>68352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87310</xdr:rowOff>
    </xdr:from>
    <xdr:to>
      <xdr:col>7</xdr:col>
      <xdr:colOff>345126</xdr:colOff>
      <xdr:row>60</xdr:row>
      <xdr:rowOff>87310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87310</xdr:rowOff>
    </xdr:from>
    <xdr:to>
      <xdr:col>10</xdr:col>
      <xdr:colOff>305542</xdr:colOff>
      <xdr:row>60</xdr:row>
      <xdr:rowOff>87310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315944</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124914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374619</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311892</xdr:colOff>
      <xdr:row>60</xdr:row>
      <xdr:rowOff>123912</xdr:rowOff>
    </xdr:from>
    <xdr:to>
      <xdr:col>7</xdr:col>
      <xdr:colOff>335024</xdr:colOff>
      <xdr:row>60</xdr:row>
      <xdr:rowOff>123912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295440</xdr:colOff>
      <xdr:row>60</xdr:row>
      <xdr:rowOff>123912</xdr:rowOff>
    </xdr:from>
    <xdr:to>
      <xdr:col>10</xdr:col>
      <xdr:colOff>295440</xdr:colOff>
      <xdr:row>60</xdr:row>
      <xdr:rowOff>123912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638340</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315944</xdr:rowOff>
    </xdr:from>
    <xdr:to>
      <xdr:col>16</xdr:col>
      <xdr:colOff>638340</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181140</xdr:colOff>
      <xdr:row>21</xdr:row>
      <xdr:rowOff>77258</xdr:rowOff>
    </xdr:from>
    <xdr:to>
      <xdr:col>18</xdr:col>
      <xdr:colOff>714540</xdr:colOff>
      <xdr:row>24</xdr:row>
      <xdr:rowOff>124914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4049527</xdr:colOff>
      <xdr:row>31</xdr:row>
      <xdr:rowOff>374619</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4312393</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219240</xdr:colOff>
      <xdr:row>56</xdr:row>
      <xdr:rowOff>191399</xdr:rowOff>
    </xdr:from>
    <xdr:to>
      <xdr:col>19</xdr:col>
      <xdr:colOff>752640</xdr:colOff>
      <xdr:row>58</xdr:row>
      <xdr:rowOff>258742</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219240</xdr:colOff>
      <xdr:row>56</xdr:row>
      <xdr:rowOff>191399</xdr:rowOff>
    </xdr:from>
    <xdr:to>
      <xdr:col>23</xdr:col>
      <xdr:colOff>752640</xdr:colOff>
      <xdr:row>58</xdr:row>
      <xdr:rowOff>258742</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219240</xdr:colOff>
      <xdr:row>56</xdr:row>
      <xdr:rowOff>191399</xdr:rowOff>
    </xdr:from>
    <xdr:to>
      <xdr:col>27</xdr:col>
      <xdr:colOff>752640</xdr:colOff>
      <xdr:row>58</xdr:row>
      <xdr:rowOff>258742</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276390</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315944</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124914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374619</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66127</xdr:rowOff>
    </xdr:from>
    <xdr:to>
      <xdr:col>1</xdr:col>
      <xdr:colOff>4057650</xdr:colOff>
      <xdr:row>170</xdr:row>
      <xdr:rowOff>106375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142366</xdr:rowOff>
    </xdr:from>
    <xdr:to>
      <xdr:col>19</xdr:col>
      <xdr:colOff>742950</xdr:colOff>
      <xdr:row>85</xdr:row>
      <xdr:rowOff>65667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142366</xdr:rowOff>
    </xdr:from>
    <xdr:to>
      <xdr:col>23</xdr:col>
      <xdr:colOff>742950</xdr:colOff>
      <xdr:row>85</xdr:row>
      <xdr:rowOff>65667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142366</xdr:rowOff>
    </xdr:from>
    <xdr:to>
      <xdr:col>27</xdr:col>
      <xdr:colOff>742950</xdr:colOff>
      <xdr:row>85</xdr:row>
      <xdr:rowOff>65667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68263</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601285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601285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601285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315944</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425979</xdr:rowOff>
    </xdr:from>
    <xdr:to>
      <xdr:col>16</xdr:col>
      <xdr:colOff>628650</xdr:colOff>
      <xdr:row>32</xdr:row>
      <xdr:rowOff>425979</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425979</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45869</xdr:rowOff>
    </xdr:from>
    <xdr:to>
      <xdr:col>1</xdr:col>
      <xdr:colOff>4057650</xdr:colOff>
      <xdr:row>179</xdr:row>
      <xdr:rowOff>83217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467900</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467900</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467900</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102658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162983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86391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86391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86391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12252</xdr:rowOff>
    </xdr:from>
    <xdr:to>
      <xdr:col>32</xdr:col>
      <xdr:colOff>0</xdr:colOff>
      <xdr:row>87</xdr:row>
      <xdr:rowOff>12563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369069</xdr:rowOff>
    </xdr:from>
    <xdr:to>
      <xdr:col>19</xdr:col>
      <xdr:colOff>742950</xdr:colOff>
      <xdr:row>65</xdr:row>
      <xdr:rowOff>104638</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369069</xdr:rowOff>
    </xdr:from>
    <xdr:to>
      <xdr:col>23</xdr:col>
      <xdr:colOff>742950</xdr:colOff>
      <xdr:row>65</xdr:row>
      <xdr:rowOff>104638</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369069</xdr:rowOff>
    </xdr:from>
    <xdr:to>
      <xdr:col>27</xdr:col>
      <xdr:colOff>742950</xdr:colOff>
      <xdr:row>65</xdr:row>
      <xdr:rowOff>104638</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295117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295117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295117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16</xdr:col>
      <xdr:colOff>628650</xdr:colOff>
      <xdr:row>32</xdr:row>
      <xdr:rowOff>425979</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425979</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521229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1</xdr:col>
      <xdr:colOff>4057650</xdr:colOff>
      <xdr:row>152</xdr:row>
      <xdr:rowOff>84275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104638</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104638</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104638</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22</xdr:col>
      <xdr:colOff>105833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295117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295117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295117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425979</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180975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34</xdr:col>
      <xdr:colOff>171450</xdr:colOff>
      <xdr:row>25</xdr:row>
      <xdr:rowOff>353483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32</xdr:col>
      <xdr:colOff>0</xdr:colOff>
      <xdr:row>61</xdr:row>
      <xdr:rowOff>46423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425979</xdr:rowOff>
    </xdr:from>
    <xdr:to>
      <xdr:col>19</xdr:col>
      <xdr:colOff>628650</xdr:colOff>
      <xdr:row>49</xdr:row>
      <xdr:rowOff>201706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19</xdr:col>
      <xdr:colOff>628650</xdr:colOff>
      <xdr:row>48</xdr:row>
      <xdr:rowOff>11206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76200</xdr:colOff>
      <xdr:row>172</xdr:row>
      <xdr:rowOff>84275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105833</xdr:colOff>
      <xdr:row>33</xdr:row>
      <xdr:rowOff>333903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6</xdr:col>
      <xdr:colOff>65227</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6</xdr:col>
      <xdr:colOff>65227</xdr:colOff>
      <xdr:row>172</xdr:row>
      <xdr:rowOff>84275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196850</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196850</xdr:colOff>
      <xdr:row>59</xdr:row>
      <xdr:rowOff>104401</xdr:rowOff>
    </xdr:from>
    <xdr:to>
      <xdr:col>36</xdr:col>
      <xdr:colOff>6350</xdr:colOff>
      <xdr:row>76</xdr:row>
      <xdr:rowOff>260192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425979</xdr:rowOff>
    </xdr:from>
    <xdr:to>
      <xdr:col>19</xdr:col>
      <xdr:colOff>628650</xdr:colOff>
      <xdr:row>49</xdr:row>
      <xdr:rowOff>201706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11206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46927</xdr:rowOff>
    </xdr:from>
    <xdr:to>
      <xdr:col>5</xdr:col>
      <xdr:colOff>177800</xdr:colOff>
      <xdr:row>172</xdr:row>
      <xdr:rowOff>84275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95250</xdr:colOff>
      <xdr:row>33</xdr:row>
      <xdr:rowOff>333903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104401</xdr:rowOff>
    </xdr:from>
    <xdr:to>
      <xdr:col>36</xdr:col>
      <xdr:colOff>0</xdr:colOff>
      <xdr:row>76</xdr:row>
      <xdr:rowOff>260192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67</xdr:row>
      <xdr:rowOff>288862</xdr:rowOff>
    </xdr:from>
    <xdr:to>
      <xdr:col>10</xdr:col>
      <xdr:colOff>323850</xdr:colOff>
      <xdr:row>86</xdr:row>
      <xdr:rowOff>255486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255486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201706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11206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177800</xdr:colOff>
      <xdr:row>174</xdr:row>
      <xdr:rowOff>8420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11206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292100</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425979</xdr:rowOff>
    </xdr:from>
    <xdr:to>
      <xdr:col>19</xdr:col>
      <xdr:colOff>628650</xdr:colOff>
      <xdr:row>49</xdr:row>
      <xdr:rowOff>6350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425979</xdr:rowOff>
    </xdr:from>
    <xdr:to>
      <xdr:col>5</xdr:col>
      <xdr:colOff>177800</xdr:colOff>
      <xdr:row>47</xdr:row>
      <xdr:rowOff>158750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177800</xdr:colOff>
      <xdr:row>175</xdr:row>
      <xdr:rowOff>162063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45394</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45394</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45394</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47625</xdr:rowOff>
    </xdr:from>
    <xdr:to>
      <xdr:col>26</xdr:col>
      <xdr:colOff>57150</xdr:colOff>
      <xdr:row>33</xdr:row>
      <xdr:rowOff>333903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7408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201613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139700</xdr:rowOff>
    </xdr:from>
    <xdr:to>
      <xdr:col>37</xdr:col>
      <xdr:colOff>171450</xdr:colOff>
      <xdr:row>36</xdr:row>
      <xdr:rowOff>255588</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752475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752475</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752475</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752475</xdr:colOff>
      <xdr:row>25</xdr:row>
      <xdr:rowOff>7938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752475</xdr:colOff>
      <xdr:row>25</xdr:row>
      <xdr:rowOff>295275</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752475</xdr:colOff>
      <xdr:row>27</xdr:row>
      <xdr:rowOff>84137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752475</xdr:colOff>
      <xdr:row>27</xdr:row>
      <xdr:rowOff>84137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752475</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752475</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752475</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752475</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196850</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196850</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219075</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30162</xdr:rowOff>
    </xdr:from>
    <xdr:to>
      <xdr:col>23</xdr:col>
      <xdr:colOff>742950</xdr:colOff>
      <xdr:row>25</xdr:row>
      <xdr:rowOff>295275</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236538</xdr:rowOff>
    </xdr:from>
    <xdr:to>
      <xdr:col>19</xdr:col>
      <xdr:colOff>742950</xdr:colOff>
      <xdr:row>27</xdr:row>
      <xdr:rowOff>84137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236538</xdr:rowOff>
    </xdr:from>
    <xdr:to>
      <xdr:col>21</xdr:col>
      <xdr:colOff>742950</xdr:colOff>
      <xdr:row>27</xdr:row>
      <xdr:rowOff>84137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447675</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26987</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219075</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292100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101600</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101600</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196850</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25400</xdr:rowOff>
    </xdr:from>
    <xdr:to>
      <xdr:col>6</xdr:col>
      <xdr:colOff>711200</xdr:colOff>
      <xdr:row>53</xdr:row>
      <xdr:rowOff>63500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44450</xdr:rowOff>
    </xdr:from>
    <xdr:to>
      <xdr:col>27</xdr:col>
      <xdr:colOff>742950</xdr:colOff>
      <xdr:row>62</xdr:row>
      <xdr:rowOff>257175</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711200</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161925</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711200</xdr:colOff>
      <xdr:row>50</xdr:row>
      <xdr:rowOff>158750</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44450</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711200</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752475</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2273860</xdr:colOff>
      <xdr:row>85</xdr:row>
      <xdr:rowOff>85190</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12463</xdr:rowOff>
    </xdr:from>
    <xdr:to>
      <xdr:col>3</xdr:col>
      <xdr:colOff>3620247</xdr:colOff>
      <xdr:row>91</xdr:row>
      <xdr:rowOff>139759</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87</xdr:row>
      <xdr:rowOff>276252</xdr:rowOff>
    </xdr:from>
    <xdr:to>
      <xdr:col>3</xdr:col>
      <xdr:colOff>3620247</xdr:colOff>
      <xdr:row>92</xdr:row>
      <xdr:rowOff>65466</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88</xdr:row>
      <xdr:rowOff>77912</xdr:rowOff>
    </xdr:from>
    <xdr:to>
      <xdr:col>3</xdr:col>
      <xdr:colOff>3620247</xdr:colOff>
      <xdr:row>94</xdr:row>
      <xdr:rowOff>31226</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112</xdr:row>
      <xdr:rowOff>174190</xdr:rowOff>
    </xdr:from>
    <xdr:to>
      <xdr:col>3</xdr:col>
      <xdr:colOff>3620247</xdr:colOff>
      <xdr:row>140</xdr:row>
      <xdr:rowOff>68603</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113</xdr:row>
      <xdr:rowOff>68205</xdr:rowOff>
    </xdr:from>
    <xdr:to>
      <xdr:col>3</xdr:col>
      <xdr:colOff>3620247</xdr:colOff>
      <xdr:row>124</xdr:row>
      <xdr:rowOff>104642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80</xdr:row>
      <xdr:rowOff>55432</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67516</xdr:rowOff>
    </xdr:from>
    <xdr:to>
      <xdr:col>3</xdr:col>
      <xdr:colOff>3620247</xdr:colOff>
      <xdr:row>74</xdr:row>
      <xdr:rowOff>104446</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162162</xdr:rowOff>
    </xdr:from>
    <xdr:to>
      <xdr:col>3</xdr:col>
      <xdr:colOff>3620247</xdr:colOff>
      <xdr:row>74</xdr:row>
      <xdr:rowOff>26874</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123737</xdr:rowOff>
    </xdr:from>
    <xdr:to>
      <xdr:col>4</xdr:col>
      <xdr:colOff>459254</xdr:colOff>
      <xdr:row>122</xdr:row>
      <xdr:rowOff>28662</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87941</xdr:rowOff>
    </xdr:from>
    <xdr:to>
      <xdr:col>17</xdr:col>
      <xdr:colOff>488053</xdr:colOff>
      <xdr:row>27</xdr:row>
      <xdr:rowOff>83387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145934</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68</xdr:row>
      <xdr:rowOff>101901</xdr:rowOff>
    </xdr:from>
    <xdr:to>
      <xdr:col>3</xdr:col>
      <xdr:colOff>3620247</xdr:colOff>
      <xdr:row>73</xdr:row>
      <xdr:rowOff>60181</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69</xdr:row>
      <xdr:rowOff>142660</xdr:rowOff>
    </xdr:from>
    <xdr:to>
      <xdr:col>3</xdr:col>
      <xdr:colOff>3620247</xdr:colOff>
      <xdr:row>74</xdr:row>
      <xdr:rowOff>121138</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70</xdr:row>
      <xdr:rowOff>142095</xdr:rowOff>
    </xdr:from>
    <xdr:to>
      <xdr:col>3</xdr:col>
      <xdr:colOff>3620247</xdr:colOff>
      <xdr:row>75</xdr:row>
      <xdr:rowOff>103229</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94</xdr:row>
      <xdr:rowOff>48823</xdr:rowOff>
    </xdr:from>
    <xdr:to>
      <xdr:col>3</xdr:col>
      <xdr:colOff>3620247</xdr:colOff>
      <xdr:row>119</xdr:row>
      <xdr:rowOff>83268</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95</xdr:row>
      <xdr:rowOff>64271</xdr:rowOff>
    </xdr:from>
    <xdr:to>
      <xdr:col>3</xdr:col>
      <xdr:colOff>3620247</xdr:colOff>
      <xdr:row>105</xdr:row>
      <xdr:rowOff>143003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106472</xdr:rowOff>
    </xdr:from>
    <xdr:to>
      <xdr:col>3</xdr:col>
      <xdr:colOff>3620247</xdr:colOff>
      <xdr:row>68</xdr:row>
      <xdr:rowOff>7330</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53</xdr:row>
      <xdr:rowOff>123469</xdr:rowOff>
    </xdr:from>
    <xdr:to>
      <xdr:col>3</xdr:col>
      <xdr:colOff>3620247</xdr:colOff>
      <xdr:row>59</xdr:row>
      <xdr:rowOff>155373</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164123</xdr:rowOff>
    </xdr:from>
    <xdr:to>
      <xdr:col>3</xdr:col>
      <xdr:colOff>3620247</xdr:colOff>
      <xdr:row>58</xdr:row>
      <xdr:rowOff>484454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122946</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162035</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29733</xdr:rowOff>
    </xdr:from>
    <xdr:to>
      <xdr:col>16</xdr:col>
      <xdr:colOff>420416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23</xdr:row>
      <xdr:rowOff>49841</xdr:rowOff>
    </xdr:from>
    <xdr:to>
      <xdr:col>17</xdr:col>
      <xdr:colOff>408612</xdr:colOff>
      <xdr:row>27</xdr:row>
      <xdr:rowOff>83387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355396</xdr:rowOff>
    </xdr:from>
    <xdr:to>
      <xdr:col>3</xdr:col>
      <xdr:colOff>3620247</xdr:colOff>
      <xdr:row>93</xdr:row>
      <xdr:rowOff>87734</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27447</xdr:rowOff>
    </xdr:from>
    <xdr:to>
      <xdr:col>3</xdr:col>
      <xdr:colOff>3620247</xdr:colOff>
      <xdr:row>94</xdr:row>
      <xdr:rowOff>48973</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68632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65307</xdr:rowOff>
    </xdr:from>
    <xdr:to>
      <xdr:col>3</xdr:col>
      <xdr:colOff>3620247</xdr:colOff>
      <xdr:row>95</xdr:row>
      <xdr:rowOff>161944</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50461</xdr:rowOff>
    </xdr:from>
    <xdr:to>
      <xdr:col>3</xdr:col>
      <xdr:colOff>3620247</xdr:colOff>
      <xdr:row>131</xdr:row>
      <xdr:rowOff>67388</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66744</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141145</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143192</xdr:rowOff>
    </xdr:from>
    <xdr:to>
      <xdr:col>3</xdr:col>
      <xdr:colOff>3620247</xdr:colOff>
      <xdr:row>77</xdr:row>
      <xdr:rowOff>143192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50461</xdr:rowOff>
    </xdr:from>
    <xdr:to>
      <xdr:col>4</xdr:col>
      <xdr:colOff>459254</xdr:colOff>
      <xdr:row>129</xdr:row>
      <xdr:rowOff>140956</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121691</xdr:rowOff>
    </xdr:from>
    <xdr:to>
      <xdr:col>16</xdr:col>
      <xdr:colOff>534716</xdr:colOff>
      <xdr:row>45</xdr:row>
      <xdr:rowOff>30565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712517</xdr:colOff>
      <xdr:row>45</xdr:row>
      <xdr:rowOff>57</xdr:rowOff>
    </xdr:from>
    <xdr:to>
      <xdr:col>17</xdr:col>
      <xdr:colOff>560954</xdr:colOff>
      <xdr:row>49</xdr:row>
      <xdr:rowOff>48027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24</xdr:rowOff>
    </xdr:from>
    <xdr:to>
      <xdr:col>3</xdr:col>
      <xdr:colOff>3620247</xdr:colOff>
      <xdr:row>105</xdr:row>
      <xdr:rowOff>144105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24</xdr:rowOff>
    </xdr:from>
    <xdr:to>
      <xdr:col>3</xdr:col>
      <xdr:colOff>3620247</xdr:colOff>
      <xdr:row>105</xdr:row>
      <xdr:rowOff>144105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144105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24</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93863</xdr:rowOff>
    </xdr:from>
    <xdr:to>
      <xdr:col>3</xdr:col>
      <xdr:colOff>3620247</xdr:colOff>
      <xdr:row>70</xdr:row>
      <xdr:rowOff>75038</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121231</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140340</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87837</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144105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48238</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122649</xdr:rowOff>
    </xdr:from>
    <xdr:to>
      <xdr:col>3</xdr:col>
      <xdr:colOff>3620247</xdr:colOff>
      <xdr:row>58</xdr:row>
      <xdr:rowOff>235492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58</xdr:row>
      <xdr:rowOff>197392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164237</xdr:rowOff>
    </xdr:from>
    <xdr:to>
      <xdr:col>3</xdr:col>
      <xdr:colOff>3620247</xdr:colOff>
      <xdr:row>57</xdr:row>
      <xdr:rowOff>164237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383901</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26278</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21933</xdr:rowOff>
    </xdr:from>
    <xdr:to>
      <xdr:col>4</xdr:col>
      <xdr:colOff>304725</xdr:colOff>
      <xdr:row>77</xdr:row>
      <xdr:rowOff>161817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120895</xdr:rowOff>
    </xdr:from>
    <xdr:to>
      <xdr:col>4</xdr:col>
      <xdr:colOff>304725</xdr:colOff>
      <xdr:row>78</xdr:row>
      <xdr:rowOff>140839</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31104</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107802</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383901</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26278</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21933</xdr:rowOff>
    </xdr:from>
    <xdr:to>
      <xdr:col>4</xdr:col>
      <xdr:colOff>304725</xdr:colOff>
      <xdr:row>77</xdr:row>
      <xdr:rowOff>161817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120895</xdr:rowOff>
    </xdr:from>
    <xdr:to>
      <xdr:col>4</xdr:col>
      <xdr:colOff>304725</xdr:colOff>
      <xdr:row>78</xdr:row>
      <xdr:rowOff>140839</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31104</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304725</xdr:colOff>
      <xdr:row>59</xdr:row>
      <xdr:rowOff>155070</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304725</xdr:colOff>
      <xdr:row>76</xdr:row>
      <xdr:rowOff>26278</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304725</xdr:colOff>
      <xdr:row>77</xdr:row>
      <xdr:rowOff>161817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304725</xdr:colOff>
      <xdr:row>78</xdr:row>
      <xdr:rowOff>140839</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304725</xdr:colOff>
      <xdr:row>99</xdr:row>
      <xdr:rowOff>125803</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304725</xdr:colOff>
      <xdr:row>101</xdr:row>
      <xdr:rowOff>125418</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142886</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9503</xdr:rowOff>
    </xdr:from>
    <xdr:to>
      <xdr:col>4</xdr:col>
      <xdr:colOff>273610</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9504</xdr:rowOff>
    </xdr:from>
    <xdr:to>
      <xdr:col>4</xdr:col>
      <xdr:colOff>273610</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46967</xdr:rowOff>
    </xdr:from>
    <xdr:to>
      <xdr:col>4</xdr:col>
      <xdr:colOff>273610</xdr:colOff>
      <xdr:row>59</xdr:row>
      <xdr:rowOff>155070</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48168</xdr:rowOff>
    </xdr:from>
    <xdr:to>
      <xdr:col>4</xdr:col>
      <xdr:colOff>273610</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273610</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114467</xdr:rowOff>
    </xdr:from>
    <xdr:to>
      <xdr:col>4</xdr:col>
      <xdr:colOff>273610</xdr:colOff>
      <xdr:row>76</xdr:row>
      <xdr:rowOff>26278</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273610</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35748</xdr:rowOff>
    </xdr:from>
    <xdr:to>
      <xdr:col>4</xdr:col>
      <xdr:colOff>273610</xdr:colOff>
      <xdr:row>77</xdr:row>
      <xdr:rowOff>161817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82795</xdr:rowOff>
    </xdr:from>
    <xdr:to>
      <xdr:col>4</xdr:col>
      <xdr:colOff>273610</xdr:colOff>
      <xdr:row>78</xdr:row>
      <xdr:rowOff>140839</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87734</xdr:rowOff>
    </xdr:from>
    <xdr:to>
      <xdr:col>4</xdr:col>
      <xdr:colOff>273610</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84288</xdr:rowOff>
    </xdr:from>
    <xdr:to>
      <xdr:col>4</xdr:col>
      <xdr:colOff>273610</xdr:colOff>
      <xdr:row>99</xdr:row>
      <xdr:rowOff>125803</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67974</xdr:rowOff>
    </xdr:from>
    <xdr:to>
      <xdr:col>4</xdr:col>
      <xdr:colOff>273610</xdr:colOff>
      <xdr:row>101</xdr:row>
      <xdr:rowOff>125418</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68846</xdr:rowOff>
    </xdr:from>
    <xdr:to>
      <xdr:col>4</xdr:col>
      <xdr:colOff>459254</xdr:colOff>
      <xdr:row>106</xdr:row>
      <xdr:rowOff>85374</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162708</xdr:rowOff>
    </xdr:from>
    <xdr:to>
      <xdr:col>4</xdr:col>
      <xdr:colOff>273610</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101691</xdr:rowOff>
    </xdr:from>
    <xdr:to>
      <xdr:col>4</xdr:col>
      <xdr:colOff>273610</xdr:colOff>
      <xdr:row>62</xdr:row>
      <xdr:rowOff>153930</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400131</xdr:rowOff>
    </xdr:from>
    <xdr:to>
      <xdr:col>4</xdr:col>
      <xdr:colOff>273610</xdr:colOff>
      <xdr:row>61</xdr:row>
      <xdr:rowOff>50522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273610</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273610</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273610</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26759</xdr:rowOff>
    </xdr:from>
    <xdr:to>
      <xdr:col>4</xdr:col>
      <xdr:colOff>273610</xdr:colOff>
      <xdr:row>79</xdr:row>
      <xdr:rowOff>294248</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67719</xdr:rowOff>
    </xdr:from>
    <xdr:to>
      <xdr:col>4</xdr:col>
      <xdr:colOff>273610</xdr:colOff>
      <xdr:row>80</xdr:row>
      <xdr:rowOff>40993</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106724</xdr:rowOff>
    </xdr:from>
    <xdr:to>
      <xdr:col>4</xdr:col>
      <xdr:colOff>273610</xdr:colOff>
      <xdr:row>81</xdr:row>
      <xdr:rowOff>38246</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161265</xdr:rowOff>
    </xdr:from>
    <xdr:to>
      <xdr:col>4</xdr:col>
      <xdr:colOff>273610</xdr:colOff>
      <xdr:row>101</xdr:row>
      <xdr:rowOff>139893</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107</xdr:row>
      <xdr:rowOff>168624</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139893</xdr:rowOff>
    </xdr:from>
    <xdr:to>
      <xdr:col>4</xdr:col>
      <xdr:colOff>273610</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28994</xdr:rowOff>
    </xdr:from>
    <xdr:to>
      <xdr:col>4</xdr:col>
      <xdr:colOff>484019</xdr:colOff>
      <xdr:row>130</xdr:row>
      <xdr:rowOff>124772</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126950</xdr:rowOff>
    </xdr:from>
    <xdr:to>
      <xdr:col>4</xdr:col>
      <xdr:colOff>273610</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141878</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198652</xdr:rowOff>
    </xdr:from>
    <xdr:to>
      <xdr:col>4</xdr:col>
      <xdr:colOff>273610</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39015</xdr:rowOff>
    </xdr:from>
    <xdr:to>
      <xdr:col>4</xdr:col>
      <xdr:colOff>273610</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172133</xdr:rowOff>
    </xdr:from>
    <xdr:to>
      <xdr:col>4</xdr:col>
      <xdr:colOff>273610</xdr:colOff>
      <xdr:row>83</xdr:row>
      <xdr:rowOff>68300</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142452</xdr:rowOff>
    </xdr:from>
    <xdr:to>
      <xdr:col>4</xdr:col>
      <xdr:colOff>273610</xdr:colOff>
      <xdr:row>101</xdr:row>
      <xdr:rowOff>145166</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273610</xdr:colOff>
      <xdr:row>102</xdr:row>
      <xdr:rowOff>126163</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9378</xdr:rowOff>
    </xdr:from>
    <xdr:to>
      <xdr:col>4</xdr:col>
      <xdr:colOff>273610</xdr:colOff>
      <xdr:row>103</xdr:row>
      <xdr:rowOff>125930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69679</xdr:rowOff>
    </xdr:from>
    <xdr:to>
      <xdr:col>4</xdr:col>
      <xdr:colOff>273610</xdr:colOff>
      <xdr:row>104</xdr:row>
      <xdr:rowOff>49860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273610</xdr:colOff>
      <xdr:row>124</xdr:row>
      <xdr:rowOff>34</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162548</xdr:rowOff>
    </xdr:from>
    <xdr:to>
      <xdr:col>4</xdr:col>
      <xdr:colOff>273610</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162548</xdr:rowOff>
    </xdr:from>
    <xdr:to>
      <xdr:col>4</xdr:col>
      <xdr:colOff>273610</xdr:colOff>
      <xdr:row>146</xdr:row>
      <xdr:rowOff>86844</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104582</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140578</xdr:rowOff>
    </xdr:from>
    <xdr:to>
      <xdr:col>4</xdr:col>
      <xdr:colOff>292660</xdr:colOff>
      <xdr:row>93</xdr:row>
      <xdr:rowOff>46384</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198652</xdr:rowOff>
    </xdr:from>
    <xdr:to>
      <xdr:col>4</xdr:col>
      <xdr:colOff>292660</xdr:colOff>
      <xdr:row>93</xdr:row>
      <xdr:rowOff>26299</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9018</xdr:rowOff>
    </xdr:from>
    <xdr:to>
      <xdr:col>4</xdr:col>
      <xdr:colOff>292660</xdr:colOff>
      <xdr:row>84</xdr:row>
      <xdr:rowOff>141782</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153031</xdr:rowOff>
    </xdr:from>
    <xdr:to>
      <xdr:col>4</xdr:col>
      <xdr:colOff>292660</xdr:colOff>
      <xdr:row>83</xdr:row>
      <xdr:rowOff>163098</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273610</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87185</xdr:rowOff>
    </xdr:from>
    <xdr:to>
      <xdr:col>4</xdr:col>
      <xdr:colOff>273610</xdr:colOff>
      <xdr:row>105</xdr:row>
      <xdr:rowOff>133235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68405</xdr:rowOff>
    </xdr:from>
    <xdr:to>
      <xdr:col>4</xdr:col>
      <xdr:colOff>273610</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273610</xdr:colOff>
      <xdr:row>107</xdr:row>
      <xdr:rowOff>29570</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273610</xdr:colOff>
      <xdr:row>107</xdr:row>
      <xdr:rowOff>169657</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273610</xdr:colOff>
      <xdr:row>129</xdr:row>
      <xdr:rowOff>48434</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197</xdr:row>
      <xdr:rowOff>49337</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125147</xdr:rowOff>
    </xdr:from>
    <xdr:to>
      <xdr:col>4</xdr:col>
      <xdr:colOff>273610</xdr:colOff>
      <xdr:row>195</xdr:row>
      <xdr:rowOff>163599</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28456</xdr:rowOff>
    </xdr:from>
    <xdr:to>
      <xdr:col>4</xdr:col>
      <xdr:colOff>478304</xdr:colOff>
      <xdr:row>112</xdr:row>
      <xdr:rowOff>87567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292660</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197002</xdr:rowOff>
    </xdr:from>
    <xdr:to>
      <xdr:col>4</xdr:col>
      <xdr:colOff>292660</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292660</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292660</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45987</xdr:rowOff>
    </xdr:from>
    <xdr:to>
      <xdr:col>4</xdr:col>
      <xdr:colOff>273610</xdr:colOff>
      <xdr:row>68</xdr:row>
      <xdr:rowOff>206588</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116849</xdr:rowOff>
    </xdr:from>
    <xdr:to>
      <xdr:col>4</xdr:col>
      <xdr:colOff>273610</xdr:colOff>
      <xdr:row>84</xdr:row>
      <xdr:rowOff>141549</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115695</xdr:rowOff>
    </xdr:from>
    <xdr:to>
      <xdr:col>4</xdr:col>
      <xdr:colOff>273610</xdr:colOff>
      <xdr:row>85</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273610</xdr:colOff>
      <xdr:row>87</xdr:row>
      <xdr:rowOff>12610</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10828</xdr:rowOff>
    </xdr:from>
    <xdr:to>
      <xdr:col>4</xdr:col>
      <xdr:colOff>273610</xdr:colOff>
      <xdr:row>87</xdr:row>
      <xdr:rowOff>143910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84950</xdr:rowOff>
    </xdr:from>
    <xdr:to>
      <xdr:col>4</xdr:col>
      <xdr:colOff>273610</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28147</xdr:rowOff>
    </xdr:from>
    <xdr:to>
      <xdr:col>4</xdr:col>
      <xdr:colOff>273610</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28147</xdr:rowOff>
    </xdr:from>
    <xdr:to>
      <xdr:col>4</xdr:col>
      <xdr:colOff>273610</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381219</xdr:rowOff>
    </xdr:from>
    <xdr:to>
      <xdr:col>4</xdr:col>
      <xdr:colOff>273610</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117131</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126407</xdr:rowOff>
    </xdr:from>
    <xdr:to>
      <xdr:col>4</xdr:col>
      <xdr:colOff>273610</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273610</xdr:colOff>
      <xdr:row>130</xdr:row>
      <xdr:rowOff>66952</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273610</xdr:colOff>
      <xdr:row>130</xdr:row>
      <xdr:rowOff>66952</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67035</xdr:rowOff>
    </xdr:from>
    <xdr:to>
      <xdr:col>4</xdr:col>
      <xdr:colOff>459254</xdr:colOff>
      <xdr:row>105</xdr:row>
      <xdr:rowOff>1124</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87597</xdr:rowOff>
    </xdr:from>
    <xdr:to>
      <xdr:col>4</xdr:col>
      <xdr:colOff>273610</xdr:colOff>
      <xdr:row>103</xdr:row>
      <xdr:rowOff>140153</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9146</xdr:rowOff>
    </xdr:from>
    <xdr:to>
      <xdr:col>4</xdr:col>
      <xdr:colOff>273610</xdr:colOff>
      <xdr:row>130</xdr:row>
      <xdr:rowOff>66952</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49408</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86144</xdr:rowOff>
    </xdr:from>
    <xdr:to>
      <xdr:col>4</xdr:col>
      <xdr:colOff>273610</xdr:colOff>
      <xdr:row>202</xdr:row>
      <xdr:rowOff>104641</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139797</xdr:rowOff>
    </xdr:from>
    <xdr:to>
      <xdr:col>17</xdr:col>
      <xdr:colOff>387446</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67517</xdr:rowOff>
    </xdr:from>
    <xdr:to>
      <xdr:col>4</xdr:col>
      <xdr:colOff>285675</xdr:colOff>
      <xdr:row>109</xdr:row>
      <xdr:rowOff>144983</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108</xdr:row>
      <xdr:rowOff>172089</xdr:rowOff>
    </xdr:from>
    <xdr:to>
      <xdr:col>4</xdr:col>
      <xdr:colOff>285675</xdr:colOff>
      <xdr:row>111</xdr:row>
      <xdr:rowOff>86709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110</xdr:row>
      <xdr:rowOff>29447</xdr:rowOff>
    </xdr:from>
    <xdr:to>
      <xdr:col>4</xdr:col>
      <xdr:colOff>285675</xdr:colOff>
      <xdr:row>114</xdr:row>
      <xdr:rowOff>143474</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111</xdr:row>
      <xdr:rowOff>86617</xdr:rowOff>
    </xdr:from>
    <xdr:to>
      <xdr:col>4</xdr:col>
      <xdr:colOff>285675</xdr:colOff>
      <xdr:row>115</xdr:row>
      <xdr:rowOff>124157</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67308</xdr:rowOff>
    </xdr:from>
    <xdr:to>
      <xdr:col>4</xdr:col>
      <xdr:colOff>285675</xdr:colOff>
      <xdr:row>104</xdr:row>
      <xdr:rowOff>49861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86528</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87930</xdr:rowOff>
    </xdr:from>
    <xdr:to>
      <xdr:col>4</xdr:col>
      <xdr:colOff>285675</xdr:colOff>
      <xdr:row>105</xdr:row>
      <xdr:rowOff>170775</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103</xdr:row>
      <xdr:rowOff>67513</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86623</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284405</xdr:colOff>
      <xdr:row>109</xdr:row>
      <xdr:rowOff>144983</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106077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284405</xdr:colOff>
      <xdr:row>114</xdr:row>
      <xdr:rowOff>143474</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284405</xdr:colOff>
      <xdr:row>115</xdr:row>
      <xdr:rowOff>124157</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284405</xdr:colOff>
      <xdr:row>104</xdr:row>
      <xdr:rowOff>49861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284405</xdr:colOff>
      <xdr:row>105</xdr:row>
      <xdr:rowOff>170775</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31235</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49949</xdr:rowOff>
    </xdr:from>
    <xdr:to>
      <xdr:col>4</xdr:col>
      <xdr:colOff>273610</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140116</xdr:rowOff>
    </xdr:from>
    <xdr:to>
      <xdr:col>4</xdr:col>
      <xdr:colOff>273610</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674417</xdr:colOff>
      <xdr:row>39</xdr:row>
      <xdr:rowOff>124024</xdr:rowOff>
    </xdr:from>
    <xdr:to>
      <xdr:col>17</xdr:col>
      <xdr:colOff>387446</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9081</xdr:rowOff>
    </xdr:from>
    <xdr:to>
      <xdr:col>4</xdr:col>
      <xdr:colOff>273610</xdr:colOff>
      <xdr:row>109</xdr:row>
      <xdr:rowOff>144983</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273610</xdr:colOff>
      <xdr:row>111</xdr:row>
      <xdr:rowOff>106077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29447</xdr:rowOff>
    </xdr:from>
    <xdr:to>
      <xdr:col>4</xdr:col>
      <xdr:colOff>273610</xdr:colOff>
      <xdr:row>114</xdr:row>
      <xdr:rowOff>143474</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86617</xdr:rowOff>
    </xdr:from>
    <xdr:to>
      <xdr:col>4</xdr:col>
      <xdr:colOff>273610</xdr:colOff>
      <xdr:row>115</xdr:row>
      <xdr:rowOff>124157</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67308</xdr:rowOff>
    </xdr:from>
    <xdr:to>
      <xdr:col>4</xdr:col>
      <xdr:colOff>273610</xdr:colOff>
      <xdr:row>104</xdr:row>
      <xdr:rowOff>49861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86528</xdr:rowOff>
    </xdr:from>
    <xdr:to>
      <xdr:col>4</xdr:col>
      <xdr:colOff>273610</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87930</xdr:rowOff>
    </xdr:from>
    <xdr:to>
      <xdr:col>4</xdr:col>
      <xdr:colOff>273610</xdr:colOff>
      <xdr:row>105</xdr:row>
      <xdr:rowOff>170775</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67513</xdr:rowOff>
    </xdr:from>
    <xdr:to>
      <xdr:col>4</xdr:col>
      <xdr:colOff>273610</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140088</xdr:rowOff>
    </xdr:from>
    <xdr:to>
      <xdr:col>4</xdr:col>
      <xdr:colOff>273610</xdr:colOff>
      <xdr:row>102</xdr:row>
      <xdr:rowOff>87295</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125314</xdr:rowOff>
    </xdr:from>
    <xdr:to>
      <xdr:col>4</xdr:col>
      <xdr:colOff>273610</xdr:colOff>
      <xdr:row>204</xdr:row>
      <xdr:rowOff>68977</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50161</xdr:rowOff>
    </xdr:from>
    <xdr:to>
      <xdr:col>4</xdr:col>
      <xdr:colOff>273610</xdr:colOff>
      <xdr:row>204</xdr:row>
      <xdr:rowOff>125790</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68827</xdr:rowOff>
    </xdr:from>
    <xdr:to>
      <xdr:col>4</xdr:col>
      <xdr:colOff>273610</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68342</xdr:rowOff>
    </xdr:from>
    <xdr:to>
      <xdr:col>4</xdr:col>
      <xdr:colOff>273610</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273610</xdr:colOff>
      <xdr:row>150</xdr:row>
      <xdr:rowOff>83432</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87363</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273610</xdr:colOff>
      <xdr:row>195</xdr:row>
      <xdr:rowOff>142049</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273610</xdr:colOff>
      <xdr:row>197</xdr:row>
      <xdr:rowOff>30056</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106264</xdr:rowOff>
    </xdr:from>
    <xdr:to>
      <xdr:col>4</xdr:col>
      <xdr:colOff>459254</xdr:colOff>
      <xdr:row>104</xdr:row>
      <xdr:rowOff>163305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382562</xdr:rowOff>
    </xdr:from>
    <xdr:to>
      <xdr:col>4</xdr:col>
      <xdr:colOff>273610</xdr:colOff>
      <xdr:row>69</xdr:row>
      <xdr:rowOff>135742</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273610</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359472</xdr:rowOff>
    </xdr:from>
    <xdr:to>
      <xdr:col>4</xdr:col>
      <xdr:colOff>273610</xdr:colOff>
      <xdr:row>62</xdr:row>
      <xdr:rowOff>69794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126534</xdr:rowOff>
    </xdr:from>
    <xdr:to>
      <xdr:col>4</xdr:col>
      <xdr:colOff>273610</xdr:colOff>
      <xdr:row>65</xdr:row>
      <xdr:rowOff>153961</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45191</xdr:rowOff>
    </xdr:from>
    <xdr:to>
      <xdr:col>4</xdr:col>
      <xdr:colOff>273610</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145168</xdr:rowOff>
    </xdr:from>
    <xdr:to>
      <xdr:col>4</xdr:col>
      <xdr:colOff>273610</xdr:colOff>
      <xdr:row>102</xdr:row>
      <xdr:rowOff>30465</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67513</xdr:rowOff>
    </xdr:from>
    <xdr:to>
      <xdr:col>4</xdr:col>
      <xdr:colOff>273610</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86673</xdr:rowOff>
    </xdr:from>
    <xdr:to>
      <xdr:col>4</xdr:col>
      <xdr:colOff>273610</xdr:colOff>
      <xdr:row>204</xdr:row>
      <xdr:rowOff>68977</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204</xdr:row>
      <xdr:rowOff>124641</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207</xdr:row>
      <xdr:rowOff>145389</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30880</xdr:rowOff>
    </xdr:from>
    <xdr:to>
      <xdr:col>4</xdr:col>
      <xdr:colOff>273610</xdr:colOff>
      <xdr:row>208</xdr:row>
      <xdr:rowOff>161745</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273610</xdr:colOff>
      <xdr:row>150</xdr:row>
      <xdr:rowOff>83432</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273610</xdr:colOff>
      <xdr:row>195</xdr:row>
      <xdr:rowOff>107048</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195</xdr:row>
      <xdr:rowOff>163638</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197</xdr:row>
      <xdr:rowOff>30056</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133235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273610</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273610</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273610</xdr:colOff>
      <xdr:row>66</xdr:row>
      <xdr:rowOff>121230</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80</xdr:row>
      <xdr:rowOff>73295</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6595</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84</xdr:row>
      <xdr:rowOff>26128</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66677</xdr:rowOff>
    </xdr:from>
    <xdr:to>
      <xdr:col>4</xdr:col>
      <xdr:colOff>273610</xdr:colOff>
      <xdr:row>84</xdr:row>
      <xdr:rowOff>26128</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105</xdr:row>
      <xdr:rowOff>133235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235101</xdr:rowOff>
    </xdr:from>
    <xdr:to>
      <xdr:col>4</xdr:col>
      <xdr:colOff>273610</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273610</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273610</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273610</xdr:colOff>
      <xdr:row>66</xdr:row>
      <xdr:rowOff>121230</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83715</xdr:rowOff>
    </xdr:from>
    <xdr:to>
      <xdr:col>4</xdr:col>
      <xdr:colOff>273610</xdr:colOff>
      <xdr:row>80</xdr:row>
      <xdr:rowOff>73295</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48091</xdr:rowOff>
    </xdr:from>
    <xdr:to>
      <xdr:col>4</xdr:col>
      <xdr:colOff>273610</xdr:colOff>
      <xdr:row>83</xdr:row>
      <xdr:rowOff>6595</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106246</xdr:rowOff>
    </xdr:from>
    <xdr:to>
      <xdr:col>4</xdr:col>
      <xdr:colOff>273610</xdr:colOff>
      <xdr:row>84</xdr:row>
      <xdr:rowOff>26128</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66677</xdr:rowOff>
    </xdr:from>
    <xdr:to>
      <xdr:col>4</xdr:col>
      <xdr:colOff>273610</xdr:colOff>
      <xdr:row>84</xdr:row>
      <xdr:rowOff>26128</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124745</xdr:rowOff>
    </xdr:from>
    <xdr:to>
      <xdr:col>4</xdr:col>
      <xdr:colOff>273610</xdr:colOff>
      <xdr:row>102</xdr:row>
      <xdr:rowOff>144714</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273610</xdr:colOff>
      <xdr:row>128</xdr:row>
      <xdr:rowOff>141084</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68566</xdr:rowOff>
    </xdr:from>
    <xdr:to>
      <xdr:col>4</xdr:col>
      <xdr:colOff>273610</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68564</xdr:rowOff>
    </xdr:from>
    <xdr:to>
      <xdr:col>4</xdr:col>
      <xdr:colOff>273610</xdr:colOff>
      <xdr:row>205</xdr:row>
      <xdr:rowOff>140485</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68977</xdr:rowOff>
    </xdr:from>
    <xdr:to>
      <xdr:col>4</xdr:col>
      <xdr:colOff>273610</xdr:colOff>
      <xdr:row>208</xdr:row>
      <xdr:rowOff>145390</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273610</xdr:colOff>
      <xdr:row>209</xdr:row>
      <xdr:rowOff>145392</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141464</xdr:rowOff>
    </xdr:from>
    <xdr:to>
      <xdr:col>4</xdr:col>
      <xdr:colOff>273610</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273610</xdr:colOff>
      <xdr:row>196</xdr:row>
      <xdr:rowOff>47520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273610</xdr:colOff>
      <xdr:row>196</xdr:row>
      <xdr:rowOff>123159</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161784</xdr:rowOff>
    </xdr:from>
    <xdr:to>
      <xdr:col>4</xdr:col>
      <xdr:colOff>273610</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69361</xdr:rowOff>
    </xdr:from>
    <xdr:to>
      <xdr:col>4</xdr:col>
      <xdr:colOff>273610</xdr:colOff>
      <xdr:row>247</xdr:row>
      <xdr:rowOff>105080</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30973</xdr:rowOff>
    </xdr:from>
    <xdr:to>
      <xdr:col>4</xdr:col>
      <xdr:colOff>273610</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273610</xdr:colOff>
      <xdr:row>248</xdr:row>
      <xdr:rowOff>105078</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273610</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273610</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67943</xdr:rowOff>
    </xdr:from>
    <xdr:to>
      <xdr:col>4</xdr:col>
      <xdr:colOff>273610</xdr:colOff>
      <xdr:row>214</xdr:row>
      <xdr:rowOff>29915</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49518</xdr:rowOff>
    </xdr:from>
    <xdr:to>
      <xdr:col>4</xdr:col>
      <xdr:colOff>273610</xdr:colOff>
      <xdr:row>215</xdr:row>
      <xdr:rowOff>105078</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273610</xdr:colOff>
      <xdr:row>222</xdr:row>
      <xdr:rowOff>30973</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383737</xdr:rowOff>
    </xdr:from>
    <xdr:to>
      <xdr:col>4</xdr:col>
      <xdr:colOff>292660</xdr:colOff>
      <xdr:row>65</xdr:row>
      <xdr:rowOff>117146</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292660</xdr:colOff>
      <xdr:row>63</xdr:row>
      <xdr:rowOff>208554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192469</xdr:rowOff>
    </xdr:from>
    <xdr:to>
      <xdr:col>4</xdr:col>
      <xdr:colOff>292660</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292660</xdr:colOff>
      <xdr:row>67</xdr:row>
      <xdr:rowOff>8247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6713</xdr:rowOff>
    </xdr:from>
    <xdr:to>
      <xdr:col>4</xdr:col>
      <xdr:colOff>292660</xdr:colOff>
      <xdr:row>70</xdr:row>
      <xdr:rowOff>75601</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174322</xdr:rowOff>
    </xdr:from>
    <xdr:to>
      <xdr:col>4</xdr:col>
      <xdr:colOff>292660</xdr:colOff>
      <xdr:row>69</xdr:row>
      <xdr:rowOff>131770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192781</xdr:rowOff>
    </xdr:from>
    <xdr:to>
      <xdr:col>4</xdr:col>
      <xdr:colOff>292660</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6386</xdr:rowOff>
    </xdr:from>
    <xdr:to>
      <xdr:col>4</xdr:col>
      <xdr:colOff>292660</xdr:colOff>
      <xdr:row>71</xdr:row>
      <xdr:rowOff>19067</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292660</xdr:colOff>
      <xdr:row>74</xdr:row>
      <xdr:rowOff>46202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292660</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181017</xdr:rowOff>
    </xdr:from>
    <xdr:to>
      <xdr:col>4</xdr:col>
      <xdr:colOff>292660</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29914</xdr:rowOff>
    </xdr:from>
    <xdr:to>
      <xdr:col>4</xdr:col>
      <xdr:colOff>292660</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171780</xdr:rowOff>
    </xdr:from>
    <xdr:to>
      <xdr:col>4</xdr:col>
      <xdr:colOff>292660</xdr:colOff>
      <xdr:row>92</xdr:row>
      <xdr:rowOff>163293</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355390</xdr:rowOff>
    </xdr:from>
    <xdr:to>
      <xdr:col>4</xdr:col>
      <xdr:colOff>292660</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292660</xdr:colOff>
      <xdr:row>94</xdr:row>
      <xdr:rowOff>144639</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172192</xdr:rowOff>
    </xdr:from>
    <xdr:to>
      <xdr:col>4</xdr:col>
      <xdr:colOff>292660</xdr:colOff>
      <xdr:row>94</xdr:row>
      <xdr:rowOff>6904</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292660</xdr:colOff>
      <xdr:row>96</xdr:row>
      <xdr:rowOff>143925</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125301</xdr:rowOff>
    </xdr:from>
    <xdr:to>
      <xdr:col>4</xdr:col>
      <xdr:colOff>292660</xdr:colOff>
      <xdr:row>95</xdr:row>
      <xdr:rowOff>144391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48903</xdr:rowOff>
    </xdr:from>
    <xdr:to>
      <xdr:col>4</xdr:col>
      <xdr:colOff>292660</xdr:colOff>
      <xdr:row>119</xdr:row>
      <xdr:rowOff>10013</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105026</xdr:rowOff>
    </xdr:from>
    <xdr:to>
      <xdr:col>4</xdr:col>
      <xdr:colOff>292660</xdr:colOff>
      <xdr:row>117</xdr:row>
      <xdr:rowOff>151834</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102637</xdr:rowOff>
    </xdr:from>
    <xdr:to>
      <xdr:col>4</xdr:col>
      <xdr:colOff>292660</xdr:colOff>
      <xdr:row>120</xdr:row>
      <xdr:rowOff>123367</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86574</xdr:rowOff>
    </xdr:from>
    <xdr:to>
      <xdr:col>4</xdr:col>
      <xdr:colOff>292660</xdr:colOff>
      <xdr:row>119</xdr:row>
      <xdr:rowOff>124746</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68322</xdr:rowOff>
    </xdr:from>
    <xdr:to>
      <xdr:col>4</xdr:col>
      <xdr:colOff>292660</xdr:colOff>
      <xdr:row>122</xdr:row>
      <xdr:rowOff>86195</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88198</xdr:rowOff>
    </xdr:from>
    <xdr:to>
      <xdr:col>4</xdr:col>
      <xdr:colOff>292660</xdr:colOff>
      <xdr:row>121</xdr:row>
      <xdr:rowOff>67163</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67976</xdr:rowOff>
    </xdr:from>
    <xdr:to>
      <xdr:col>4</xdr:col>
      <xdr:colOff>292660</xdr:colOff>
      <xdr:row>124</xdr:row>
      <xdr:rowOff>106310</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83203</xdr:rowOff>
    </xdr:from>
    <xdr:to>
      <xdr:col>4</xdr:col>
      <xdr:colOff>292660</xdr:colOff>
      <xdr:row>123</xdr:row>
      <xdr:rowOff>69617</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105023</xdr:rowOff>
    </xdr:from>
    <xdr:to>
      <xdr:col>4</xdr:col>
      <xdr:colOff>273610</xdr:colOff>
      <xdr:row>234</xdr:row>
      <xdr:rowOff>86767</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273610</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273610</xdr:colOff>
      <xdr:row>235</xdr:row>
      <xdr:rowOff>86767</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273610</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273610</xdr:colOff>
      <xdr:row>200</xdr:row>
      <xdr:rowOff>125102</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49560</xdr:rowOff>
    </xdr:from>
    <xdr:to>
      <xdr:col>4</xdr:col>
      <xdr:colOff>273610</xdr:colOff>
      <xdr:row>201</xdr:row>
      <xdr:rowOff>124306</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273610</xdr:colOff>
      <xdr:row>202</xdr:row>
      <xdr:rowOff>123514</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139774</xdr:rowOff>
    </xdr:from>
    <xdr:to>
      <xdr:col>4</xdr:col>
      <xdr:colOff>273610</xdr:colOff>
      <xdr:row>209</xdr:row>
      <xdr:rowOff>68515</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292660</xdr:colOff>
      <xdr:row>63</xdr:row>
      <xdr:rowOff>208554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292660</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208554</xdr:rowOff>
    </xdr:from>
    <xdr:to>
      <xdr:col>4</xdr:col>
      <xdr:colOff>292660</xdr:colOff>
      <xdr:row>67</xdr:row>
      <xdr:rowOff>121847</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292660</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172180</xdr:rowOff>
    </xdr:from>
    <xdr:to>
      <xdr:col>4</xdr:col>
      <xdr:colOff>292660</xdr:colOff>
      <xdr:row>69</xdr:row>
      <xdr:rowOff>95824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25875</xdr:rowOff>
    </xdr:from>
    <xdr:to>
      <xdr:col>4</xdr:col>
      <xdr:colOff>292660</xdr:colOff>
      <xdr:row>86</xdr:row>
      <xdr:rowOff>87172</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292660</xdr:colOff>
      <xdr:row>87</xdr:row>
      <xdr:rowOff>87240</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8989</xdr:rowOff>
    </xdr:from>
    <xdr:to>
      <xdr:col>4</xdr:col>
      <xdr:colOff>292660</xdr:colOff>
      <xdr:row>87</xdr:row>
      <xdr:rowOff>235402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10662</xdr:rowOff>
    </xdr:from>
    <xdr:to>
      <xdr:col>4</xdr:col>
      <xdr:colOff>292660</xdr:colOff>
      <xdr:row>88</xdr:row>
      <xdr:rowOff>27543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292660</xdr:colOff>
      <xdr:row>108</xdr:row>
      <xdr:rowOff>107043</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131915</xdr:rowOff>
    </xdr:from>
    <xdr:to>
      <xdr:col>4</xdr:col>
      <xdr:colOff>292660</xdr:colOff>
      <xdr:row>109</xdr:row>
      <xdr:rowOff>30348</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292660</xdr:colOff>
      <xdr:row>110</xdr:row>
      <xdr:rowOff>28391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292660</xdr:colOff>
      <xdr:row>110</xdr:row>
      <xdr:rowOff>66778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234</xdr:row>
      <xdr:rowOff>28979</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273610</xdr:colOff>
      <xdr:row>233</xdr:row>
      <xdr:rowOff>145526</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273610</xdr:colOff>
      <xdr:row>235</xdr:row>
      <xdr:rowOff>28979</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222</xdr:row>
      <xdr:rowOff>145524</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145523</xdr:rowOff>
    </xdr:from>
    <xdr:to>
      <xdr:col>4</xdr:col>
      <xdr:colOff>273610</xdr:colOff>
      <xdr:row>200</xdr:row>
      <xdr:rowOff>125103</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86768</xdr:rowOff>
    </xdr:from>
    <xdr:to>
      <xdr:col>4</xdr:col>
      <xdr:colOff>273610</xdr:colOff>
      <xdr:row>201</xdr:row>
      <xdr:rowOff>124306</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123514</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144946</xdr:rowOff>
    </xdr:from>
    <xdr:to>
      <xdr:col>4</xdr:col>
      <xdr:colOff>273610</xdr:colOff>
      <xdr:row>209</xdr:row>
      <xdr:rowOff>48287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273610</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273610</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208554</xdr:rowOff>
    </xdr:from>
    <xdr:to>
      <xdr:col>4</xdr:col>
      <xdr:colOff>273610</xdr:colOff>
      <xdr:row>68</xdr:row>
      <xdr:rowOff>106548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160310</xdr:rowOff>
    </xdr:from>
    <xdr:to>
      <xdr:col>4</xdr:col>
      <xdr:colOff>273610</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172180</xdr:rowOff>
    </xdr:from>
    <xdr:to>
      <xdr:col>4</xdr:col>
      <xdr:colOff>273610</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273610</xdr:colOff>
      <xdr:row>86</xdr:row>
      <xdr:rowOff>87172</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159298</xdr:rowOff>
    </xdr:from>
    <xdr:to>
      <xdr:col>4</xdr:col>
      <xdr:colOff>273610</xdr:colOff>
      <xdr:row>87</xdr:row>
      <xdr:rowOff>87240</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159191</xdr:rowOff>
    </xdr:from>
    <xdr:to>
      <xdr:col>4</xdr:col>
      <xdr:colOff>273610</xdr:colOff>
      <xdr:row>87</xdr:row>
      <xdr:rowOff>235402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141317</xdr:rowOff>
    </xdr:from>
    <xdr:to>
      <xdr:col>4</xdr:col>
      <xdr:colOff>273610</xdr:colOff>
      <xdr:row>88</xdr:row>
      <xdr:rowOff>27543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163190</xdr:rowOff>
    </xdr:from>
    <xdr:to>
      <xdr:col>4</xdr:col>
      <xdr:colOff>273610</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143821</xdr:rowOff>
    </xdr:from>
    <xdr:to>
      <xdr:col>4</xdr:col>
      <xdr:colOff>273610</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273610</xdr:colOff>
      <xdr:row>109</xdr:row>
      <xdr:rowOff>88479</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273610</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66925</xdr:rowOff>
    </xdr:from>
    <xdr:to>
      <xdr:col>4</xdr:col>
      <xdr:colOff>273610</xdr:colOff>
      <xdr:row>235</xdr:row>
      <xdr:rowOff>28979</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273610</xdr:colOff>
      <xdr:row>234</xdr:row>
      <xdr:rowOff>145523</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273610</xdr:colOff>
      <xdr:row>236</xdr:row>
      <xdr:rowOff>28979</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145524</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145443</xdr:rowOff>
    </xdr:from>
    <xdr:to>
      <xdr:col>4</xdr:col>
      <xdr:colOff>273610</xdr:colOff>
      <xdr:row>201</xdr:row>
      <xdr:rowOff>66922</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202</xdr:row>
      <xdr:rowOff>105025</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203</xdr:row>
      <xdr:rowOff>86768</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124306</xdr:rowOff>
    </xdr:from>
    <xdr:to>
      <xdr:col>4</xdr:col>
      <xdr:colOff>273610</xdr:colOff>
      <xdr:row>210</xdr:row>
      <xdr:rowOff>48285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273610</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273610</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160310</xdr:rowOff>
    </xdr:from>
    <xdr:to>
      <xdr:col>4</xdr:col>
      <xdr:colOff>273610</xdr:colOff>
      <xdr:row>69</xdr:row>
      <xdr:rowOff>76629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172762</xdr:rowOff>
    </xdr:from>
    <xdr:to>
      <xdr:col>4</xdr:col>
      <xdr:colOff>273610</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140835</xdr:rowOff>
    </xdr:from>
    <xdr:to>
      <xdr:col>4</xdr:col>
      <xdr:colOff>273610</xdr:colOff>
      <xdr:row>73</xdr:row>
      <xdr:rowOff>115160</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159298</xdr:rowOff>
    </xdr:from>
    <xdr:to>
      <xdr:col>4</xdr:col>
      <xdr:colOff>273610</xdr:colOff>
      <xdr:row>87</xdr:row>
      <xdr:rowOff>87240</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159191</xdr:rowOff>
    </xdr:from>
    <xdr:to>
      <xdr:col>4</xdr:col>
      <xdr:colOff>273610</xdr:colOff>
      <xdr:row>87</xdr:row>
      <xdr:rowOff>235402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141317</xdr:rowOff>
    </xdr:from>
    <xdr:to>
      <xdr:col>4</xdr:col>
      <xdr:colOff>273610</xdr:colOff>
      <xdr:row>88</xdr:row>
      <xdr:rowOff>27543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144072</xdr:rowOff>
    </xdr:from>
    <xdr:to>
      <xdr:col>4</xdr:col>
      <xdr:colOff>273610</xdr:colOff>
      <xdr:row>89</xdr:row>
      <xdr:rowOff>85299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143821</xdr:rowOff>
    </xdr:from>
    <xdr:to>
      <xdr:col>4</xdr:col>
      <xdr:colOff>273610</xdr:colOff>
      <xdr:row>110</xdr:row>
      <xdr:rowOff>29238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273610</xdr:colOff>
      <xdr:row>110</xdr:row>
      <xdr:rowOff>29238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9045</xdr:rowOff>
    </xdr:from>
    <xdr:to>
      <xdr:col>4</xdr:col>
      <xdr:colOff>273610</xdr:colOff>
      <xdr:row>110</xdr:row>
      <xdr:rowOff>27651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273610</xdr:colOff>
      <xdr:row>110</xdr:row>
      <xdr:rowOff>161698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750615</xdr:colOff>
      <xdr:row>20</xdr:row>
      <xdr:rowOff>624</xdr:rowOff>
    </xdr:from>
    <xdr:to>
      <xdr:col>20</xdr:col>
      <xdr:colOff>598216</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25</xdr:row>
      <xdr:rowOff>58878</xdr:rowOff>
    </xdr:from>
    <xdr:to>
      <xdr:col>20</xdr:col>
      <xdr:colOff>426766</xdr:colOff>
      <xdr:row>29</xdr:row>
      <xdr:rowOff>69601</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37</xdr:row>
      <xdr:rowOff>125502</xdr:rowOff>
    </xdr:from>
    <xdr:to>
      <xdr:col>20</xdr:col>
      <xdr:colOff>426766</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712515</xdr:colOff>
      <xdr:row>130</xdr:row>
      <xdr:rowOff>123249</xdr:rowOff>
    </xdr:from>
    <xdr:to>
      <xdr:col>20</xdr:col>
      <xdr:colOff>426766</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28981</xdr:rowOff>
    </xdr:from>
    <xdr:to>
      <xdr:col>4</xdr:col>
      <xdr:colOff>273610</xdr:colOff>
      <xdr:row>260</xdr:row>
      <xdr:rowOff>28982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259</xdr:row>
      <xdr:rowOff>145523</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273610</xdr:colOff>
      <xdr:row>261</xdr:row>
      <xdr:rowOff>28979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273610</xdr:colOff>
      <xdr:row>248</xdr:row>
      <xdr:rowOff>145524</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125102</xdr:rowOff>
    </xdr:from>
    <xdr:to>
      <xdr:col>4</xdr:col>
      <xdr:colOff>273610</xdr:colOff>
      <xdr:row>225</xdr:row>
      <xdr:rowOff>145523</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273610</xdr:colOff>
      <xdr:row>228</xdr:row>
      <xdr:rowOff>28979</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273610</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31003</xdr:rowOff>
    </xdr:from>
    <xdr:to>
      <xdr:col>4</xdr:col>
      <xdr:colOff>273610</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11456</xdr:rowOff>
    </xdr:from>
    <xdr:to>
      <xdr:col>4</xdr:col>
      <xdr:colOff>273610</xdr:colOff>
      <xdr:row>87</xdr:row>
      <xdr:rowOff>314673</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11456</xdr:rowOff>
    </xdr:from>
    <xdr:to>
      <xdr:col>4</xdr:col>
      <xdr:colOff>273610</xdr:colOff>
      <xdr:row>89</xdr:row>
      <xdr:rowOff>46292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145980</xdr:rowOff>
    </xdr:from>
    <xdr:to>
      <xdr:col>4</xdr:col>
      <xdr:colOff>273610</xdr:colOff>
      <xdr:row>89</xdr:row>
      <xdr:rowOff>134110</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273610</xdr:colOff>
      <xdr:row>92</xdr:row>
      <xdr:rowOff>84076</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96518</xdr:rowOff>
    </xdr:from>
    <xdr:to>
      <xdr:col>4</xdr:col>
      <xdr:colOff>273610</xdr:colOff>
      <xdr:row>98</xdr:row>
      <xdr:rowOff>44635</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64778</xdr:rowOff>
    </xdr:from>
    <xdr:to>
      <xdr:col>4</xdr:col>
      <xdr:colOff>273610</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1179</xdr:rowOff>
    </xdr:from>
    <xdr:to>
      <xdr:col>4</xdr:col>
      <xdr:colOff>273610</xdr:colOff>
      <xdr:row>109</xdr:row>
      <xdr:rowOff>144857</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168682</xdr:rowOff>
    </xdr:from>
    <xdr:to>
      <xdr:col>4</xdr:col>
      <xdr:colOff>273610</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273610</xdr:colOff>
      <xdr:row>112</xdr:row>
      <xdr:rowOff>28670</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273610</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123249</xdr:rowOff>
    </xdr:from>
    <xdr:to>
      <xdr:col>4</xdr:col>
      <xdr:colOff>273610</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106083</xdr:rowOff>
    </xdr:from>
    <xdr:to>
      <xdr:col>4</xdr:col>
      <xdr:colOff>273610</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50520</xdr:rowOff>
    </xdr:from>
    <xdr:to>
      <xdr:col>4</xdr:col>
      <xdr:colOff>273610</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37</xdr:row>
      <xdr:rowOff>125502</xdr:rowOff>
    </xdr:from>
    <xdr:to>
      <xdr:col>20</xdr:col>
      <xdr:colOff>426766</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155</xdr:row>
      <xdr:rowOff>67746</xdr:rowOff>
    </xdr:from>
    <xdr:to>
      <xdr:col>20</xdr:col>
      <xdr:colOff>426766</xdr:colOff>
      <xdr:row>159</xdr:row>
      <xdr:rowOff>124335</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43</xdr:row>
      <xdr:rowOff>151989</xdr:rowOff>
    </xdr:from>
    <xdr:to>
      <xdr:col>20</xdr:col>
      <xdr:colOff>350933</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162524</xdr:rowOff>
    </xdr:from>
    <xdr:to>
      <xdr:col>15</xdr:col>
      <xdr:colOff>369984</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31451</xdr:rowOff>
    </xdr:from>
    <xdr:to>
      <xdr:col>4</xdr:col>
      <xdr:colOff>273610</xdr:colOff>
      <xdr:row>256</xdr:row>
      <xdr:rowOff>31451</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273610</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273610</xdr:colOff>
      <xdr:row>257</xdr:row>
      <xdr:rowOff>31450</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273610</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125102</xdr:rowOff>
    </xdr:from>
    <xdr:to>
      <xdr:col>4</xdr:col>
      <xdr:colOff>273610</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273610</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273610</xdr:colOff>
      <xdr:row>224</xdr:row>
      <xdr:rowOff>31451</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273610</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1321</xdr:rowOff>
    </xdr:from>
    <xdr:to>
      <xdr:col>4</xdr:col>
      <xdr:colOff>273610</xdr:colOff>
      <xdr:row>84</xdr:row>
      <xdr:rowOff>139760</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1321</xdr:rowOff>
    </xdr:from>
    <xdr:to>
      <xdr:col>4</xdr:col>
      <xdr:colOff>273610</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104290</xdr:rowOff>
    </xdr:from>
    <xdr:to>
      <xdr:col>4</xdr:col>
      <xdr:colOff>273610</xdr:colOff>
      <xdr:row>87</xdr:row>
      <xdr:rowOff>10958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273610</xdr:colOff>
      <xdr:row>89</xdr:row>
      <xdr:rowOff>39391</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273610</xdr:colOff>
      <xdr:row>94</xdr:row>
      <xdr:rowOff>49610</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30902</xdr:rowOff>
    </xdr:from>
    <xdr:to>
      <xdr:col>4</xdr:col>
      <xdr:colOff>273610</xdr:colOff>
      <xdr:row>105</xdr:row>
      <xdr:rowOff>143821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273610</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273610</xdr:colOff>
      <xdr:row>107</xdr:row>
      <xdr:rowOff>9045</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88754</xdr:rowOff>
    </xdr:from>
    <xdr:to>
      <xdr:col>4</xdr:col>
      <xdr:colOff>273610</xdr:colOff>
      <xdr:row>108</xdr:row>
      <xdr:rowOff>9169</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273610</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273610</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141948</xdr:rowOff>
    </xdr:from>
    <xdr:to>
      <xdr:col>4</xdr:col>
      <xdr:colOff>273610</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83366</xdr:rowOff>
    </xdr:from>
    <xdr:to>
      <xdr:col>4</xdr:col>
      <xdr:colOff>273610</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33</xdr:row>
      <xdr:rowOff>144378</xdr:rowOff>
    </xdr:from>
    <xdr:to>
      <xdr:col>20</xdr:col>
      <xdr:colOff>426766</xdr:colOff>
      <xdr:row>37</xdr:row>
      <xdr:rowOff>141377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151</xdr:row>
      <xdr:rowOff>28852</xdr:rowOff>
    </xdr:from>
    <xdr:to>
      <xdr:col>20</xdr:col>
      <xdr:colOff>426766</xdr:colOff>
      <xdr:row>155</xdr:row>
      <xdr:rowOff>86796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731565</xdr:colOff>
      <xdr:row>39</xdr:row>
      <xdr:rowOff>124024</xdr:rowOff>
    </xdr:from>
    <xdr:to>
      <xdr:col>20</xdr:col>
      <xdr:colOff>350933</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122232</xdr:rowOff>
    </xdr:from>
    <xdr:to>
      <xdr:col>15</xdr:col>
      <xdr:colOff>369984</xdr:colOff>
      <xdr:row>45</xdr:row>
      <xdr:rowOff>31107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86769</xdr:rowOff>
    </xdr:from>
    <xdr:to>
      <xdr:col>4</xdr:col>
      <xdr:colOff>273610</xdr:colOff>
      <xdr:row>233</xdr:row>
      <xdr:rowOff>69308</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28981</xdr:rowOff>
    </xdr:from>
    <xdr:to>
      <xdr:col>4</xdr:col>
      <xdr:colOff>273610</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48118</xdr:rowOff>
    </xdr:from>
    <xdr:to>
      <xdr:col>4</xdr:col>
      <xdr:colOff>273610</xdr:colOff>
      <xdr:row>234</xdr:row>
      <xdr:rowOff>69305</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125101</xdr:rowOff>
    </xdr:from>
    <xdr:to>
      <xdr:col>4</xdr:col>
      <xdr:colOff>273610</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273610</xdr:colOff>
      <xdr:row>200</xdr:row>
      <xdr:rowOff>145525</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49407</xdr:rowOff>
    </xdr:from>
    <xdr:to>
      <xdr:col>4</xdr:col>
      <xdr:colOff>273610</xdr:colOff>
      <xdr:row>201</xdr:row>
      <xdr:rowOff>163781</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273610</xdr:colOff>
      <xdr:row>208</xdr:row>
      <xdr:rowOff>105024</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384133</xdr:rowOff>
    </xdr:from>
    <xdr:to>
      <xdr:col>4</xdr:col>
      <xdr:colOff>273610</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384133</xdr:rowOff>
    </xdr:from>
    <xdr:to>
      <xdr:col>4</xdr:col>
      <xdr:colOff>273610</xdr:colOff>
      <xdr:row>62</xdr:row>
      <xdr:rowOff>149705</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273610</xdr:colOff>
      <xdr:row>64</xdr:row>
      <xdr:rowOff>74449</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273610</xdr:colOff>
      <xdr:row>68</xdr:row>
      <xdr:rowOff>102210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36685</xdr:rowOff>
    </xdr:from>
    <xdr:to>
      <xdr:col>4</xdr:col>
      <xdr:colOff>273610</xdr:colOff>
      <xdr:row>73</xdr:row>
      <xdr:rowOff>35344</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16423</xdr:rowOff>
    </xdr:from>
    <xdr:to>
      <xdr:col>4</xdr:col>
      <xdr:colOff>273610</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273610</xdr:colOff>
      <xdr:row>108</xdr:row>
      <xdr:rowOff>9729</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9729</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9729</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273610</xdr:colOff>
      <xdr:row>108</xdr:row>
      <xdr:rowOff>9729</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128</xdr:row>
      <xdr:rowOff>142029</xdr:rowOff>
    </xdr:from>
    <xdr:to>
      <xdr:col>20</xdr:col>
      <xdr:colOff>426766</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35</xdr:row>
      <xdr:rowOff>101605</xdr:rowOff>
    </xdr:from>
    <xdr:to>
      <xdr:col>21</xdr:col>
      <xdr:colOff>598215</xdr:colOff>
      <xdr:row>39</xdr:row>
      <xdr:rowOff>141702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132</xdr:row>
      <xdr:rowOff>172730</xdr:rowOff>
    </xdr:from>
    <xdr:to>
      <xdr:col>21</xdr:col>
      <xdr:colOff>598215</xdr:colOff>
      <xdr:row>136</xdr:row>
      <xdr:rowOff>106344</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636317</xdr:colOff>
      <xdr:row>18</xdr:row>
      <xdr:rowOff>31004</xdr:rowOff>
    </xdr:from>
    <xdr:to>
      <xdr:col>17</xdr:col>
      <xdr:colOff>387446</xdr:colOff>
      <xdr:row>22</xdr:row>
      <xdr:rowOff>69103</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68510</xdr:rowOff>
    </xdr:from>
    <xdr:to>
      <xdr:col>4</xdr:col>
      <xdr:colOff>273610</xdr:colOff>
      <xdr:row>234</xdr:row>
      <xdr:rowOff>69305</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48118</xdr:rowOff>
    </xdr:from>
    <xdr:to>
      <xdr:col>4</xdr:col>
      <xdr:colOff>273610</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235</xdr:row>
      <xdr:rowOff>69305</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48119</xdr:rowOff>
    </xdr:from>
    <xdr:to>
      <xdr:col>4</xdr:col>
      <xdr:colOff>273610</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125101</xdr:rowOff>
    </xdr:from>
    <xdr:to>
      <xdr:col>4</xdr:col>
      <xdr:colOff>273610</xdr:colOff>
      <xdr:row>200</xdr:row>
      <xdr:rowOff>87563</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48911</xdr:rowOff>
    </xdr:from>
    <xdr:to>
      <xdr:col>4</xdr:col>
      <xdr:colOff>273610</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273610</xdr:colOff>
      <xdr:row>202</xdr:row>
      <xdr:rowOff>140977</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140978</xdr:rowOff>
    </xdr:from>
    <xdr:to>
      <xdr:col>4</xdr:col>
      <xdr:colOff>273610</xdr:colOff>
      <xdr:row>209</xdr:row>
      <xdr:rowOff>105027</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62</xdr:row>
      <xdr:rowOff>173151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273610</xdr:colOff>
      <xdr:row>65</xdr:row>
      <xdr:rowOff>172974</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273610</xdr:colOff>
      <xdr:row>67</xdr:row>
      <xdr:rowOff>121079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154054</xdr:rowOff>
    </xdr:from>
    <xdr:to>
      <xdr:col>4</xdr:col>
      <xdr:colOff>273610</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6631</xdr:rowOff>
    </xdr:from>
    <xdr:to>
      <xdr:col>4</xdr:col>
      <xdr:colOff>273610</xdr:colOff>
      <xdr:row>74</xdr:row>
      <xdr:rowOff>65619</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273610</xdr:colOff>
      <xdr:row>85</xdr:row>
      <xdr:rowOff>8822</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122546</xdr:rowOff>
    </xdr:from>
    <xdr:to>
      <xdr:col>4</xdr:col>
      <xdr:colOff>273610</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273610</xdr:colOff>
      <xdr:row>87</xdr:row>
      <xdr:rowOff>27485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273610</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152221</xdr:rowOff>
    </xdr:from>
    <xdr:to>
      <xdr:col>4</xdr:col>
      <xdr:colOff>273610</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273610</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25793</xdr:rowOff>
    </xdr:from>
    <xdr:to>
      <xdr:col>4</xdr:col>
      <xdr:colOff>273610</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197235</xdr:rowOff>
    </xdr:from>
    <xdr:to>
      <xdr:col>4</xdr:col>
      <xdr:colOff>273610</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693465</xdr:colOff>
      <xdr:row>129</xdr:row>
      <xdr:rowOff>124369</xdr:rowOff>
    </xdr:from>
    <xdr:to>
      <xdr:col>20</xdr:col>
      <xdr:colOff>426766</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25</xdr:row>
      <xdr:rowOff>170119</xdr:rowOff>
    </xdr:from>
    <xdr:to>
      <xdr:col>21</xdr:col>
      <xdr:colOff>598215</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36</xdr:row>
      <xdr:rowOff>105573</xdr:rowOff>
    </xdr:from>
    <xdr:to>
      <xdr:col>21</xdr:col>
      <xdr:colOff>598215</xdr:colOff>
      <xdr:row>40</xdr:row>
      <xdr:rowOff>141282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674415</xdr:colOff>
      <xdr:row>133</xdr:row>
      <xdr:rowOff>172728</xdr:rowOff>
    </xdr:from>
    <xdr:to>
      <xdr:col>21</xdr:col>
      <xdr:colOff>598215</xdr:colOff>
      <xdr:row>137</xdr:row>
      <xdr:rowOff>106345</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68129</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139973</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198648</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89</xdr:row>
      <xdr:rowOff>172231</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45717</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635522</xdr:colOff>
      <xdr:row>30</xdr:row>
      <xdr:rowOff>88120</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635522</xdr:colOff>
      <xdr:row>42</xdr:row>
      <xdr:rowOff>27139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635522</xdr:colOff>
      <xdr:row>143</xdr:row>
      <xdr:rowOff>68507</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69307</xdr:rowOff>
    </xdr:from>
    <xdr:to>
      <xdr:col>4</xdr:col>
      <xdr:colOff>273610</xdr:colOff>
      <xdr:row>239</xdr:row>
      <xdr:rowOff>69305</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48117</xdr:rowOff>
    </xdr:from>
    <xdr:to>
      <xdr:col>4</xdr:col>
      <xdr:colOff>273610</xdr:colOff>
      <xdr:row>240</xdr:row>
      <xdr:rowOff>69308</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48118</xdr:rowOff>
    </xdr:from>
    <xdr:to>
      <xdr:col>4</xdr:col>
      <xdr:colOff>273610</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123516</xdr:rowOff>
    </xdr:from>
    <xdr:to>
      <xdr:col>4</xdr:col>
      <xdr:colOff>273610</xdr:colOff>
      <xdr:row>205</xdr:row>
      <xdr:rowOff>48912</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163995</xdr:rowOff>
    </xdr:from>
    <xdr:to>
      <xdr:col>4</xdr:col>
      <xdr:colOff>273610</xdr:colOff>
      <xdr:row>206</xdr:row>
      <xdr:rowOff>105026</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87562</xdr:rowOff>
    </xdr:from>
    <xdr:to>
      <xdr:col>4</xdr:col>
      <xdr:colOff>273610</xdr:colOff>
      <xdr:row>207</xdr:row>
      <xdr:rowOff>123515</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69306</xdr:rowOff>
    </xdr:from>
    <xdr:to>
      <xdr:col>4</xdr:col>
      <xdr:colOff>273610</xdr:colOff>
      <xdr:row>214</xdr:row>
      <xdr:rowOff>48285</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273610</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273610</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273610</xdr:colOff>
      <xdr:row>79</xdr:row>
      <xdr:rowOff>202889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273610</xdr:colOff>
      <xdr:row>79</xdr:row>
      <xdr:rowOff>139973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104294</xdr:rowOff>
    </xdr:from>
    <xdr:to>
      <xdr:col>4</xdr:col>
      <xdr:colOff>273610</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273610</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8156</xdr:rowOff>
    </xdr:from>
    <xdr:to>
      <xdr:col>4</xdr:col>
      <xdr:colOff>273610</xdr:colOff>
      <xdr:row>92</xdr:row>
      <xdr:rowOff>27060</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143940</xdr:rowOff>
    </xdr:from>
    <xdr:to>
      <xdr:col>4</xdr:col>
      <xdr:colOff>273610</xdr:colOff>
      <xdr:row>93</xdr:row>
      <xdr:rowOff>8211</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107043</xdr:rowOff>
    </xdr:from>
    <xdr:to>
      <xdr:col>4</xdr:col>
      <xdr:colOff>273610</xdr:colOff>
      <xdr:row>115</xdr:row>
      <xdr:rowOff>145223</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144184</xdr:rowOff>
    </xdr:from>
    <xdr:to>
      <xdr:col>4</xdr:col>
      <xdr:colOff>273610</xdr:colOff>
      <xdr:row>115</xdr:row>
      <xdr:rowOff>68014</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273610</xdr:colOff>
      <xdr:row>115</xdr:row>
      <xdr:rowOff>48089</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86238</xdr:rowOff>
    </xdr:from>
    <xdr:to>
      <xdr:col>4</xdr:col>
      <xdr:colOff>273610</xdr:colOff>
      <xdr:row>115</xdr:row>
      <xdr:rowOff>48089</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83328</xdr:rowOff>
    </xdr:from>
    <xdr:to>
      <xdr:col>20</xdr:col>
      <xdr:colOff>406922</xdr:colOff>
      <xdr:row>139</xdr:row>
      <xdr:rowOff>9434</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37</xdr:row>
      <xdr:rowOff>103277</xdr:rowOff>
    </xdr:from>
    <xdr:to>
      <xdr:col>21</xdr:col>
      <xdr:colOff>578371</xdr:colOff>
      <xdr:row>41</xdr:row>
      <xdr:rowOff>163273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164073</xdr:rowOff>
    </xdr:from>
    <xdr:to>
      <xdr:col>21</xdr:col>
      <xdr:colOff>578371</xdr:colOff>
      <xdr:row>142</xdr:row>
      <xdr:rowOff>106344</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48</xdr:row>
      <xdr:rowOff>7293</xdr:rowOff>
    </xdr:from>
    <xdr:to>
      <xdr:col>11</xdr:col>
      <xdr:colOff>30076</xdr:colOff>
      <xdr:row>52</xdr:row>
      <xdr:rowOff>124209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616472</xdr:colOff>
      <xdr:row>42</xdr:row>
      <xdr:rowOff>27139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164073</xdr:rowOff>
    </xdr:from>
    <xdr:to>
      <xdr:col>23</xdr:col>
      <xdr:colOff>616472</xdr:colOff>
      <xdr:row>143</xdr:row>
      <xdr:rowOff>68507</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635522</xdr:colOff>
      <xdr:row>30</xdr:row>
      <xdr:rowOff>49226</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123700</xdr:rowOff>
    </xdr:from>
    <xdr:to>
      <xdr:col>24</xdr:col>
      <xdr:colOff>635522</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9434</xdr:rowOff>
    </xdr:from>
    <xdr:to>
      <xdr:col>24</xdr:col>
      <xdr:colOff>635522</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254</xdr:row>
      <xdr:rowOff>69305</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48120</xdr:rowOff>
    </xdr:from>
    <xdr:to>
      <xdr:col>4</xdr:col>
      <xdr:colOff>273610</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48118</xdr:rowOff>
    </xdr:from>
    <xdr:to>
      <xdr:col>4</xdr:col>
      <xdr:colOff>273610</xdr:colOff>
      <xdr:row>255</xdr:row>
      <xdr:rowOff>69305</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48119</xdr:rowOff>
    </xdr:from>
    <xdr:to>
      <xdr:col>4</xdr:col>
      <xdr:colOff>273610</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163994</xdr:rowOff>
    </xdr:from>
    <xdr:to>
      <xdr:col>4</xdr:col>
      <xdr:colOff>273610</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48119</xdr:rowOff>
    </xdr:from>
    <xdr:to>
      <xdr:col>4</xdr:col>
      <xdr:colOff>273610</xdr:colOff>
      <xdr:row>221</xdr:row>
      <xdr:rowOff>48284</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48117</xdr:rowOff>
    </xdr:from>
    <xdr:to>
      <xdr:col>4</xdr:col>
      <xdr:colOff>273610</xdr:colOff>
      <xdr:row>222</xdr:row>
      <xdr:rowOff>69306</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48120</xdr:rowOff>
    </xdr:from>
    <xdr:to>
      <xdr:col>4</xdr:col>
      <xdr:colOff>273610</xdr:colOff>
      <xdr:row>229</xdr:row>
      <xdr:rowOff>48285</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79</xdr:row>
      <xdr:rowOff>378521</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292660</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378521</xdr:rowOff>
    </xdr:from>
    <xdr:to>
      <xdr:col>4</xdr:col>
      <xdr:colOff>273610</xdr:colOff>
      <xdr:row>96</xdr:row>
      <xdr:rowOff>86434</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2667</xdr:rowOff>
    </xdr:from>
    <xdr:to>
      <xdr:col>4</xdr:col>
      <xdr:colOff>273610</xdr:colOff>
      <xdr:row>96</xdr:row>
      <xdr:rowOff>123973</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31019</xdr:rowOff>
    </xdr:from>
    <xdr:to>
      <xdr:col>4</xdr:col>
      <xdr:colOff>273610</xdr:colOff>
      <xdr:row>99</xdr:row>
      <xdr:rowOff>49951</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49951</xdr:rowOff>
    </xdr:from>
    <xdr:to>
      <xdr:col>4</xdr:col>
      <xdr:colOff>273610</xdr:colOff>
      <xdr:row>105</xdr:row>
      <xdr:rowOff>217157</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123377</xdr:rowOff>
    </xdr:from>
    <xdr:to>
      <xdr:col>4</xdr:col>
      <xdr:colOff>273610</xdr:colOff>
      <xdr:row>105</xdr:row>
      <xdr:rowOff>83904</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47738</xdr:rowOff>
    </xdr:from>
    <xdr:to>
      <xdr:col>4</xdr:col>
      <xdr:colOff>273610</xdr:colOff>
      <xdr:row>105</xdr:row>
      <xdr:rowOff>182233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67584</xdr:rowOff>
    </xdr:from>
    <xdr:to>
      <xdr:col>4</xdr:col>
      <xdr:colOff>273610</xdr:colOff>
      <xdr:row>106</xdr:row>
      <xdr:rowOff>132223</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27714</xdr:rowOff>
    </xdr:from>
    <xdr:to>
      <xdr:col>4</xdr:col>
      <xdr:colOff>273610</xdr:colOff>
      <xdr:row>132</xdr:row>
      <xdr:rowOff>67457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87265</xdr:rowOff>
    </xdr:from>
    <xdr:to>
      <xdr:col>4</xdr:col>
      <xdr:colOff>273610</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68720</xdr:rowOff>
    </xdr:from>
    <xdr:to>
      <xdr:col>4</xdr:col>
      <xdr:colOff>273610</xdr:colOff>
      <xdr:row>130</xdr:row>
      <xdr:rowOff>87827</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31014</xdr:rowOff>
    </xdr:from>
    <xdr:to>
      <xdr:col>4</xdr:col>
      <xdr:colOff>273610</xdr:colOff>
      <xdr:row>130</xdr:row>
      <xdr:rowOff>123250</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149</xdr:row>
      <xdr:rowOff>124334</xdr:rowOff>
    </xdr:from>
    <xdr:to>
      <xdr:col>20</xdr:col>
      <xdr:colOff>406922</xdr:colOff>
      <xdr:row>153</xdr:row>
      <xdr:rowOff>163807</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45</xdr:row>
      <xdr:rowOff>162974</xdr:rowOff>
    </xdr:from>
    <xdr:to>
      <xdr:col>21</xdr:col>
      <xdr:colOff>578371</xdr:colOff>
      <xdr:row>51</xdr:row>
      <xdr:rowOff>164112</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153</xdr:row>
      <xdr:rowOff>140210</xdr:rowOff>
    </xdr:from>
    <xdr:to>
      <xdr:col>21</xdr:col>
      <xdr:colOff>578371</xdr:colOff>
      <xdr:row>157</xdr:row>
      <xdr:rowOff>87588</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60</xdr:row>
      <xdr:rowOff>7550</xdr:rowOff>
    </xdr:from>
    <xdr:to>
      <xdr:col>11</xdr:col>
      <xdr:colOff>30076</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88120</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162974</xdr:rowOff>
    </xdr:from>
    <xdr:to>
      <xdr:col>23</xdr:col>
      <xdr:colOff>616472</xdr:colOff>
      <xdr:row>52</xdr:row>
      <xdr:rowOff>64445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140210</xdr:rowOff>
    </xdr:from>
    <xdr:to>
      <xdr:col>23</xdr:col>
      <xdr:colOff>616472</xdr:colOff>
      <xdr:row>158</xdr:row>
      <xdr:rowOff>29976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49226</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616472</xdr:colOff>
      <xdr:row>52</xdr:row>
      <xdr:rowOff>26345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163807</xdr:rowOff>
    </xdr:from>
    <xdr:to>
      <xdr:col>24</xdr:col>
      <xdr:colOff>616472</xdr:colOff>
      <xdr:row>157</xdr:row>
      <xdr:rowOff>161907</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125895</xdr:rowOff>
    </xdr:from>
    <xdr:to>
      <xdr:col>4</xdr:col>
      <xdr:colOff>273610</xdr:colOff>
      <xdr:row>248</xdr:row>
      <xdr:rowOff>125896</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69306</xdr:rowOff>
    </xdr:from>
    <xdr:to>
      <xdr:col>4</xdr:col>
      <xdr:colOff>273610</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69307</xdr:rowOff>
    </xdr:from>
    <xdr:to>
      <xdr:col>4</xdr:col>
      <xdr:colOff>273610</xdr:colOff>
      <xdr:row>249</xdr:row>
      <xdr:rowOff>125896</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273610</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69306</xdr:rowOff>
    </xdr:from>
    <xdr:to>
      <xdr:col>4</xdr:col>
      <xdr:colOff>273610</xdr:colOff>
      <xdr:row>215</xdr:row>
      <xdr:rowOff>125896</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69307</xdr:rowOff>
    </xdr:from>
    <xdr:to>
      <xdr:col>4</xdr:col>
      <xdr:colOff>273610</xdr:colOff>
      <xdr:row>216</xdr:row>
      <xdr:rowOff>125896</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69305</xdr:rowOff>
    </xdr:from>
    <xdr:to>
      <xdr:col>4</xdr:col>
      <xdr:colOff>273610</xdr:colOff>
      <xdr:row>223</xdr:row>
      <xdr:rowOff>125895</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73</xdr:row>
      <xdr:rowOff>97999</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65477</xdr:rowOff>
    </xdr:from>
    <xdr:to>
      <xdr:col>4</xdr:col>
      <xdr:colOff>292660</xdr:colOff>
      <xdr:row>95</xdr:row>
      <xdr:rowOff>44831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97999</xdr:rowOff>
    </xdr:from>
    <xdr:to>
      <xdr:col>4</xdr:col>
      <xdr:colOff>273610</xdr:colOff>
      <xdr:row>93</xdr:row>
      <xdr:rowOff>144154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117049</xdr:rowOff>
    </xdr:from>
    <xdr:to>
      <xdr:col>4</xdr:col>
      <xdr:colOff>273610</xdr:colOff>
      <xdr:row>94</xdr:row>
      <xdr:rowOff>11559</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140755</xdr:rowOff>
    </xdr:from>
    <xdr:to>
      <xdr:col>4</xdr:col>
      <xdr:colOff>273610</xdr:colOff>
      <xdr:row>97</xdr:row>
      <xdr:rowOff>47185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7342</xdr:rowOff>
    </xdr:from>
    <xdr:to>
      <xdr:col>4</xdr:col>
      <xdr:colOff>273610</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144154</xdr:rowOff>
    </xdr:from>
    <xdr:to>
      <xdr:col>4</xdr:col>
      <xdr:colOff>273610</xdr:colOff>
      <xdr:row>104</xdr:row>
      <xdr:rowOff>144517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68659</xdr:rowOff>
    </xdr:from>
    <xdr:to>
      <xdr:col>4</xdr:col>
      <xdr:colOff>273610</xdr:colOff>
      <xdr:row>105</xdr:row>
      <xdr:rowOff>9459</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131165</xdr:rowOff>
    </xdr:from>
    <xdr:to>
      <xdr:col>4</xdr:col>
      <xdr:colOff>273610</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273610</xdr:colOff>
      <xdr:row>126</xdr:row>
      <xdr:rowOff>28929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125</xdr:row>
      <xdr:rowOff>28742</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273610</xdr:colOff>
      <xdr:row>125</xdr:row>
      <xdr:rowOff>84883</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143</xdr:row>
      <xdr:rowOff>142065</xdr:rowOff>
    </xdr:from>
    <xdr:to>
      <xdr:col>20</xdr:col>
      <xdr:colOff>406922</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147</xdr:row>
      <xdr:rowOff>172490</xdr:rowOff>
    </xdr:from>
    <xdr:to>
      <xdr:col>21</xdr:col>
      <xdr:colOff>578371</xdr:colOff>
      <xdr:row>151</xdr:row>
      <xdr:rowOff>141004</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45</xdr:row>
      <xdr:rowOff>162974</xdr:rowOff>
    </xdr:from>
    <xdr:to>
      <xdr:col>11</xdr:col>
      <xdr:colOff>30076</xdr:colOff>
      <xdr:row>50</xdr:row>
      <xdr:rowOff>123200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616472</xdr:colOff>
      <xdr:row>152</xdr:row>
      <xdr:rowOff>49490</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616472</xdr:colOff>
      <xdr:row>152</xdr:row>
      <xdr:rowOff>29975</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49</xdr:row>
      <xdr:rowOff>163103</xdr:rowOff>
    </xdr:from>
    <xdr:to>
      <xdr:col>11</xdr:col>
      <xdr:colOff>125326</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49</xdr:row>
      <xdr:rowOff>163103</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31004</xdr:rowOff>
    </xdr:from>
    <xdr:to>
      <xdr:col>17</xdr:col>
      <xdr:colOff>381889</xdr:colOff>
      <xdr:row>22</xdr:row>
      <xdr:rowOff>69103</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125895</xdr:rowOff>
    </xdr:from>
    <xdr:to>
      <xdr:col>4</xdr:col>
      <xdr:colOff>273610</xdr:colOff>
      <xdr:row>249</xdr:row>
      <xdr:rowOff>104231</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69306</xdr:rowOff>
    </xdr:from>
    <xdr:to>
      <xdr:col>4</xdr:col>
      <xdr:colOff>273610</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69304</xdr:rowOff>
    </xdr:from>
    <xdr:to>
      <xdr:col>4</xdr:col>
      <xdr:colOff>273610</xdr:colOff>
      <xdr:row>250</xdr:row>
      <xdr:rowOff>104232</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69307</xdr:rowOff>
    </xdr:from>
    <xdr:to>
      <xdr:col>4</xdr:col>
      <xdr:colOff>273610</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273610</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69304</xdr:rowOff>
    </xdr:from>
    <xdr:to>
      <xdr:col>4</xdr:col>
      <xdr:colOff>273610</xdr:colOff>
      <xdr:row>216</xdr:row>
      <xdr:rowOff>104232</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69306</xdr:rowOff>
    </xdr:from>
    <xdr:to>
      <xdr:col>4</xdr:col>
      <xdr:colOff>273610</xdr:colOff>
      <xdr:row>217</xdr:row>
      <xdr:rowOff>104232</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69306</xdr:rowOff>
    </xdr:from>
    <xdr:to>
      <xdr:col>4</xdr:col>
      <xdr:colOff>273610</xdr:colOff>
      <xdr:row>224</xdr:row>
      <xdr:rowOff>104232</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63674</xdr:rowOff>
    </xdr:from>
    <xdr:to>
      <xdr:col>4</xdr:col>
      <xdr:colOff>273610</xdr:colOff>
      <xdr:row>75</xdr:row>
      <xdr:rowOff>63674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292660</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63674</xdr:rowOff>
    </xdr:from>
    <xdr:to>
      <xdr:col>4</xdr:col>
      <xdr:colOff>273610</xdr:colOff>
      <xdr:row>96</xdr:row>
      <xdr:rowOff>28692</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83787</xdr:rowOff>
    </xdr:from>
    <xdr:to>
      <xdr:col>4</xdr:col>
      <xdr:colOff>273610</xdr:colOff>
      <xdr:row>96</xdr:row>
      <xdr:rowOff>28730</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294706</xdr:rowOff>
    </xdr:from>
    <xdr:to>
      <xdr:col>4</xdr:col>
      <xdr:colOff>273610</xdr:colOff>
      <xdr:row>98</xdr:row>
      <xdr:rowOff>64478</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273610</xdr:colOff>
      <xdr:row>106</xdr:row>
      <xdr:rowOff>49058</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162788</xdr:rowOff>
    </xdr:from>
    <xdr:to>
      <xdr:col>4</xdr:col>
      <xdr:colOff>273610</xdr:colOff>
      <xdr:row>105</xdr:row>
      <xdr:rowOff>83904</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88721</xdr:rowOff>
    </xdr:from>
    <xdr:to>
      <xdr:col>4</xdr:col>
      <xdr:colOff>273610</xdr:colOff>
      <xdr:row>105</xdr:row>
      <xdr:rowOff>182233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68178</xdr:rowOff>
    </xdr:from>
    <xdr:to>
      <xdr:col>4</xdr:col>
      <xdr:colOff>273610</xdr:colOff>
      <xdr:row>107</xdr:row>
      <xdr:rowOff>28966</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273610</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251</xdr:rowOff>
    </xdr:from>
    <xdr:to>
      <xdr:col>4</xdr:col>
      <xdr:colOff>273610</xdr:colOff>
      <xdr:row>126</xdr:row>
      <xdr:rowOff>69513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9038</xdr:rowOff>
    </xdr:from>
    <xdr:to>
      <xdr:col>4</xdr:col>
      <xdr:colOff>273610</xdr:colOff>
      <xdr:row>126</xdr:row>
      <xdr:rowOff>31510</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163226</xdr:rowOff>
    </xdr:from>
    <xdr:to>
      <xdr:col>4</xdr:col>
      <xdr:colOff>273610</xdr:colOff>
      <xdr:row>126</xdr:row>
      <xdr:rowOff>31510</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144</xdr:row>
      <xdr:rowOff>142064</xdr:rowOff>
    </xdr:from>
    <xdr:to>
      <xdr:col>20</xdr:col>
      <xdr:colOff>406922</xdr:colOff>
      <xdr:row>148</xdr:row>
      <xdr:rowOff>145553</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148</xdr:row>
      <xdr:rowOff>145553</xdr:rowOff>
    </xdr:from>
    <xdr:to>
      <xdr:col>21</xdr:col>
      <xdr:colOff>578371</xdr:colOff>
      <xdr:row>152</xdr:row>
      <xdr:rowOff>141005</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145553</xdr:rowOff>
    </xdr:from>
    <xdr:to>
      <xdr:col>23</xdr:col>
      <xdr:colOff>616472</xdr:colOff>
      <xdr:row>153</xdr:row>
      <xdr:rowOff>49322</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616472</xdr:colOff>
      <xdr:row>30</xdr:row>
      <xdr:rowOff>48433</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616472</xdr:colOff>
      <xdr:row>42</xdr:row>
      <xdr:rowOff>162972</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161908</xdr:rowOff>
    </xdr:from>
    <xdr:to>
      <xdr:col>24</xdr:col>
      <xdr:colOff>616472</xdr:colOff>
      <xdr:row>153</xdr:row>
      <xdr:rowOff>29974</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562864</xdr:colOff>
      <xdr:row>37</xdr:row>
      <xdr:rowOff>86903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63</xdr:row>
      <xdr:rowOff>208487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41110</xdr:rowOff>
    </xdr:from>
    <xdr:to>
      <xdr:col>4</xdr:col>
      <xdr:colOff>292660</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85</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76414</xdr:rowOff>
    </xdr:from>
    <xdr:to>
      <xdr:col>4</xdr:col>
      <xdr:colOff>273610</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122857</xdr:rowOff>
    </xdr:from>
    <xdr:to>
      <xdr:col>4</xdr:col>
      <xdr:colOff>273610</xdr:colOff>
      <xdr:row>99</xdr:row>
      <xdr:rowOff>68210</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273610</xdr:colOff>
      <xdr:row>98</xdr:row>
      <xdr:rowOff>27801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161727</xdr:rowOff>
    </xdr:from>
    <xdr:to>
      <xdr:col>4</xdr:col>
      <xdr:colOff>273610</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10254</xdr:rowOff>
    </xdr:from>
    <xdr:to>
      <xdr:col>4</xdr:col>
      <xdr:colOff>273610</xdr:colOff>
      <xdr:row>100</xdr:row>
      <xdr:rowOff>124802</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48923</xdr:rowOff>
    </xdr:from>
    <xdr:to>
      <xdr:col>4</xdr:col>
      <xdr:colOff>273610</xdr:colOff>
      <xdr:row>118</xdr:row>
      <xdr:rowOff>161653</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65811</xdr:rowOff>
    </xdr:from>
    <xdr:to>
      <xdr:col>4</xdr:col>
      <xdr:colOff>273610</xdr:colOff>
      <xdr:row>116</xdr:row>
      <xdr:rowOff>101634</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66828</xdr:rowOff>
    </xdr:from>
    <xdr:to>
      <xdr:col>4</xdr:col>
      <xdr:colOff>273610</xdr:colOff>
      <xdr:row>116</xdr:row>
      <xdr:rowOff>101634</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27671</xdr:rowOff>
    </xdr:from>
    <xdr:to>
      <xdr:col>4</xdr:col>
      <xdr:colOff>273610</xdr:colOff>
      <xdr:row>116</xdr:row>
      <xdr:rowOff>101634</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40</xdr:row>
      <xdr:rowOff>120707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162973</xdr:rowOff>
    </xdr:from>
    <xdr:to>
      <xdr:col>26</xdr:col>
      <xdr:colOff>616471</xdr:colOff>
      <xdr:row>41</xdr:row>
      <xdr:rowOff>86701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74169</xdr:rowOff>
    </xdr:from>
    <xdr:to>
      <xdr:col>13</xdr:col>
      <xdr:colOff>696214</xdr:colOff>
      <xdr:row>68</xdr:row>
      <xdr:rowOff>7173</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198048</xdr:rowOff>
    </xdr:from>
    <xdr:to>
      <xdr:col>13</xdr:col>
      <xdr:colOff>784200</xdr:colOff>
      <xdr:row>73</xdr:row>
      <xdr:rowOff>96412</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101740</xdr:rowOff>
    </xdr:from>
    <xdr:to>
      <xdr:col>4</xdr:col>
      <xdr:colOff>465604</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63</xdr:row>
      <xdr:rowOff>208487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41110</xdr:rowOff>
    </xdr:from>
    <xdr:to>
      <xdr:col>4</xdr:col>
      <xdr:colOff>292660</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208487</xdr:rowOff>
    </xdr:from>
    <xdr:to>
      <xdr:col>4</xdr:col>
      <xdr:colOff>273610</xdr:colOff>
      <xdr:row>87</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76414</xdr:rowOff>
    </xdr:from>
    <xdr:to>
      <xdr:col>4</xdr:col>
      <xdr:colOff>273610</xdr:colOff>
      <xdr:row>89</xdr:row>
      <xdr:rowOff>142505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122857</xdr:rowOff>
    </xdr:from>
    <xdr:to>
      <xdr:col>4</xdr:col>
      <xdr:colOff>273610</xdr:colOff>
      <xdr:row>99</xdr:row>
      <xdr:rowOff>68210</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273610</xdr:colOff>
      <xdr:row>98</xdr:row>
      <xdr:rowOff>27801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161727</xdr:rowOff>
    </xdr:from>
    <xdr:to>
      <xdr:col>4</xdr:col>
      <xdr:colOff>273610</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10254</xdr:rowOff>
    </xdr:from>
    <xdr:to>
      <xdr:col>4</xdr:col>
      <xdr:colOff>273610</xdr:colOff>
      <xdr:row>100</xdr:row>
      <xdr:rowOff>124802</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48923</xdr:rowOff>
    </xdr:from>
    <xdr:to>
      <xdr:col>4</xdr:col>
      <xdr:colOff>273610</xdr:colOff>
      <xdr:row>118</xdr:row>
      <xdr:rowOff>161653</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65811</xdr:rowOff>
    </xdr:from>
    <xdr:to>
      <xdr:col>4</xdr:col>
      <xdr:colOff>273610</xdr:colOff>
      <xdr:row>116</xdr:row>
      <xdr:rowOff>101634</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66828</xdr:rowOff>
    </xdr:from>
    <xdr:to>
      <xdr:col>4</xdr:col>
      <xdr:colOff>273610</xdr:colOff>
      <xdr:row>116</xdr:row>
      <xdr:rowOff>101634</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27671</xdr:rowOff>
    </xdr:from>
    <xdr:to>
      <xdr:col>4</xdr:col>
      <xdr:colOff>273610</xdr:colOff>
      <xdr:row>116</xdr:row>
      <xdr:rowOff>101634</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134</xdr:row>
      <xdr:rowOff>31403</xdr:rowOff>
    </xdr:from>
    <xdr:to>
      <xdr:col>20</xdr:col>
      <xdr:colOff>406922</xdr:colOff>
      <xdr:row>138</xdr:row>
      <xdr:rowOff>48798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138</xdr:row>
      <xdr:rowOff>48798</xdr:rowOff>
    </xdr:from>
    <xdr:to>
      <xdr:col>21</xdr:col>
      <xdr:colOff>578371</xdr:colOff>
      <xdr:row>142</xdr:row>
      <xdr:rowOff>48629</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46</xdr:row>
      <xdr:rowOff>162971</xdr:rowOff>
    </xdr:from>
    <xdr:to>
      <xdr:col>11</xdr:col>
      <xdr:colOff>30076</xdr:colOff>
      <xdr:row>51</xdr:row>
      <xdr:rowOff>105951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48798</xdr:rowOff>
    </xdr:from>
    <xdr:to>
      <xdr:col>23</xdr:col>
      <xdr:colOff>616472</xdr:colOff>
      <xdr:row>142</xdr:row>
      <xdr:rowOff>140312</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105948</xdr:rowOff>
    </xdr:from>
    <xdr:to>
      <xdr:col>24</xdr:col>
      <xdr:colOff>616472</xdr:colOff>
      <xdr:row>142</xdr:row>
      <xdr:rowOff>140312</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50</xdr:row>
      <xdr:rowOff>163102</xdr:rowOff>
    </xdr:from>
    <xdr:to>
      <xdr:col>11</xdr:col>
      <xdr:colOff>106276</xdr:colOff>
      <xdr:row>54</xdr:row>
      <xdr:rowOff>162972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50</xdr:row>
      <xdr:rowOff>163102</xdr:rowOff>
    </xdr:from>
    <xdr:to>
      <xdr:col>12</xdr:col>
      <xdr:colOff>765150</xdr:colOff>
      <xdr:row>54</xdr:row>
      <xdr:rowOff>162972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74169</xdr:rowOff>
    </xdr:from>
    <xdr:to>
      <xdr:col>13</xdr:col>
      <xdr:colOff>696214</xdr:colOff>
      <xdr:row>68</xdr:row>
      <xdr:rowOff>106875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198048</xdr:rowOff>
    </xdr:from>
    <xdr:to>
      <xdr:col>13</xdr:col>
      <xdr:colOff>784200</xdr:colOff>
      <xdr:row>73</xdr:row>
      <xdr:rowOff>78566</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163102</xdr:rowOff>
    </xdr:from>
    <xdr:to>
      <xdr:col>13</xdr:col>
      <xdr:colOff>784200</xdr:colOff>
      <xdr:row>54</xdr:row>
      <xdr:rowOff>162972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101740</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635523</xdr:colOff>
      <xdr:row>30</xdr:row>
      <xdr:rowOff>67483</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635523</xdr:colOff>
      <xdr:row>41</xdr:row>
      <xdr:rowOff>49363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635523</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143037</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273610</xdr:colOff>
      <xdr:row>106</xdr:row>
      <xdr:rowOff>25620</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94892</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635521</xdr:colOff>
      <xdr:row>30</xdr:row>
      <xdr:rowOff>67483</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635521</xdr:colOff>
      <xdr:row>41</xdr:row>
      <xdr:rowOff>49363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635521</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140876</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273610</xdr:colOff>
      <xdr:row>106</xdr:row>
      <xdr:rowOff>31431</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19060</xdr:rowOff>
    </xdr:from>
    <xdr:to>
      <xdr:col>4</xdr:col>
      <xdr:colOff>440204</xdr:colOff>
      <xdr:row>80</xdr:row>
      <xdr:rowOff>94892</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69</xdr:row>
      <xdr:rowOff>55390</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55390</xdr:rowOff>
    </xdr:from>
    <xdr:to>
      <xdr:col>4</xdr:col>
      <xdr:colOff>292660</xdr:colOff>
      <xdr:row>94</xdr:row>
      <xdr:rowOff>44682</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31157</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55390</xdr:rowOff>
    </xdr:from>
    <xdr:to>
      <xdr:col>4</xdr:col>
      <xdr:colOff>273610</xdr:colOff>
      <xdr:row>93</xdr:row>
      <xdr:rowOff>69257</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104603</xdr:rowOff>
    </xdr:from>
    <xdr:to>
      <xdr:col>4</xdr:col>
      <xdr:colOff>273610</xdr:colOff>
      <xdr:row>96</xdr:row>
      <xdr:rowOff>140876</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273610</xdr:colOff>
      <xdr:row>105</xdr:row>
      <xdr:rowOff>1357</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85358</xdr:rowOff>
    </xdr:from>
    <xdr:to>
      <xdr:col>4</xdr:col>
      <xdr:colOff>273610</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273610</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273610</xdr:colOff>
      <xdr:row>106</xdr:row>
      <xdr:rowOff>31431</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273610</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29831</xdr:rowOff>
    </xdr:from>
    <xdr:to>
      <xdr:col>4</xdr:col>
      <xdr:colOff>273610</xdr:colOff>
      <xdr:row>121</xdr:row>
      <xdr:rowOff>162700</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106976</xdr:rowOff>
    </xdr:from>
    <xdr:to>
      <xdr:col>4</xdr:col>
      <xdr:colOff>273610</xdr:colOff>
      <xdr:row>121</xdr:row>
      <xdr:rowOff>84528</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26887</xdr:rowOff>
    </xdr:from>
    <xdr:to>
      <xdr:col>4</xdr:col>
      <xdr:colOff>273610</xdr:colOff>
      <xdr:row>121</xdr:row>
      <xdr:rowOff>84528</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138</xdr:row>
      <xdr:rowOff>48631</xdr:rowOff>
    </xdr:from>
    <xdr:to>
      <xdr:col>20</xdr:col>
      <xdr:colOff>406922</xdr:colOff>
      <xdr:row>142</xdr:row>
      <xdr:rowOff>48797</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142</xdr:row>
      <xdr:rowOff>48797</xdr:rowOff>
    </xdr:from>
    <xdr:to>
      <xdr:col>21</xdr:col>
      <xdr:colOff>578371</xdr:colOff>
      <xdr:row>146</xdr:row>
      <xdr:rowOff>48629</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50</xdr:row>
      <xdr:rowOff>162971</xdr:rowOff>
    </xdr:from>
    <xdr:to>
      <xdr:col>11</xdr:col>
      <xdr:colOff>30076</xdr:colOff>
      <xdr:row>55</xdr:row>
      <xdr:rowOff>105953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48797</xdr:rowOff>
    </xdr:from>
    <xdr:to>
      <xdr:col>23</xdr:col>
      <xdr:colOff>616472</xdr:colOff>
      <xdr:row>146</xdr:row>
      <xdr:rowOff>140311</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105947</xdr:rowOff>
    </xdr:from>
    <xdr:to>
      <xdr:col>24</xdr:col>
      <xdr:colOff>616472</xdr:colOff>
      <xdr:row>146</xdr:row>
      <xdr:rowOff>140311</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54</xdr:row>
      <xdr:rowOff>163103</xdr:rowOff>
    </xdr:from>
    <xdr:to>
      <xdr:col>11</xdr:col>
      <xdr:colOff>106276</xdr:colOff>
      <xdr:row>58</xdr:row>
      <xdr:rowOff>162975</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54</xdr:row>
      <xdr:rowOff>163103</xdr:rowOff>
    </xdr:from>
    <xdr:to>
      <xdr:col>12</xdr:col>
      <xdr:colOff>765150</xdr:colOff>
      <xdr:row>58</xdr:row>
      <xdr:rowOff>162975</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55390</xdr:rowOff>
    </xdr:from>
    <xdr:to>
      <xdr:col>13</xdr:col>
      <xdr:colOff>696214</xdr:colOff>
      <xdr:row>69</xdr:row>
      <xdr:rowOff>113928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9331</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163103</xdr:rowOff>
    </xdr:from>
    <xdr:to>
      <xdr:col>13</xdr:col>
      <xdr:colOff>784200</xdr:colOff>
      <xdr:row>58</xdr:row>
      <xdr:rowOff>162975</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19060</xdr:rowOff>
    </xdr:from>
    <xdr:to>
      <xdr:col>4</xdr:col>
      <xdr:colOff>440204</xdr:colOff>
      <xdr:row>80</xdr:row>
      <xdr:rowOff>94892</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163910</xdr:rowOff>
    </xdr:from>
    <xdr:to>
      <xdr:col>25</xdr:col>
      <xdr:colOff>635523</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163910</xdr:rowOff>
    </xdr:from>
    <xdr:to>
      <xdr:col>26</xdr:col>
      <xdr:colOff>635521</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17</xdr:col>
      <xdr:colOff>381889</xdr:colOff>
      <xdr:row>22</xdr:row>
      <xdr:rowOff>69103</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292660</xdr:colOff>
      <xdr:row>99</xdr:row>
      <xdr:rowOff>30310</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273610</xdr:colOff>
      <xdr:row>98</xdr:row>
      <xdr:rowOff>27634</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102517</xdr:rowOff>
    </xdr:from>
    <xdr:to>
      <xdr:col>4</xdr:col>
      <xdr:colOff>273610</xdr:colOff>
      <xdr:row>99</xdr:row>
      <xdr:rowOff>142047</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83008</xdr:rowOff>
    </xdr:from>
    <xdr:to>
      <xdr:col>4</xdr:col>
      <xdr:colOff>273610</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12645</xdr:rowOff>
    </xdr:from>
    <xdr:to>
      <xdr:col>4</xdr:col>
      <xdr:colOff>273610</xdr:colOff>
      <xdr:row>106</xdr:row>
      <xdr:rowOff>31264</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273610</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10569</xdr:rowOff>
    </xdr:from>
    <xdr:to>
      <xdr:col>4</xdr:col>
      <xdr:colOff>273610</xdr:colOff>
      <xdr:row>109</xdr:row>
      <xdr:rowOff>163545</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49053</xdr:rowOff>
    </xdr:from>
    <xdr:to>
      <xdr:col>4</xdr:col>
      <xdr:colOff>273610</xdr:colOff>
      <xdr:row>128</xdr:row>
      <xdr:rowOff>49398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4</xdr:col>
      <xdr:colOff>273610</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49137</xdr:rowOff>
    </xdr:from>
    <xdr:to>
      <xdr:col>4</xdr:col>
      <xdr:colOff>273610</xdr:colOff>
      <xdr:row>124</xdr:row>
      <xdr:rowOff>30010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11037</xdr:rowOff>
    </xdr:from>
    <xdr:to>
      <xdr:col>4</xdr:col>
      <xdr:colOff>273610</xdr:colOff>
      <xdr:row>124</xdr:row>
      <xdr:rowOff>30010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29581</xdr:rowOff>
    </xdr:from>
    <xdr:to>
      <xdr:col>20</xdr:col>
      <xdr:colOff>406922</xdr:colOff>
      <xdr:row>145</xdr:row>
      <xdr:rowOff>68387</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21</xdr:col>
      <xdr:colOff>578371</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21</xdr:col>
      <xdr:colOff>578371</xdr:colOff>
      <xdr:row>42</xdr:row>
      <xdr:rowOff>163103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68387</xdr:rowOff>
    </xdr:from>
    <xdr:to>
      <xdr:col>21</xdr:col>
      <xdr:colOff>578371</xdr:colOff>
      <xdr:row>149</xdr:row>
      <xdr:rowOff>28520</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11</xdr:col>
      <xdr:colOff>30076</xdr:colOff>
      <xdr:row>58</xdr:row>
      <xdr:rowOff>105953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616472</xdr:colOff>
      <xdr:row>30</xdr:row>
      <xdr:rowOff>86533</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23</xdr:col>
      <xdr:colOff>616472</xdr:colOff>
      <xdr:row>43</xdr:row>
      <xdr:rowOff>46187</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68387</xdr:rowOff>
    </xdr:from>
    <xdr:to>
      <xdr:col>23</xdr:col>
      <xdr:colOff>616472</xdr:colOff>
      <xdr:row>149</xdr:row>
      <xdr:rowOff>123377</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616472</xdr:colOff>
      <xdr:row>30</xdr:row>
      <xdr:rowOff>48433</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24</xdr:col>
      <xdr:colOff>616472</xdr:colOff>
      <xdr:row>42</xdr:row>
      <xdr:rowOff>162972</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86898</xdr:rowOff>
    </xdr:from>
    <xdr:to>
      <xdr:col>24</xdr:col>
      <xdr:colOff>616472</xdr:colOff>
      <xdr:row>149</xdr:row>
      <xdr:rowOff>123377</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11</xdr:col>
      <xdr:colOff>106276</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562864</xdr:colOff>
      <xdr:row>42</xdr:row>
      <xdr:rowOff>82608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696214</xdr:colOff>
      <xdr:row>73</xdr:row>
      <xdr:rowOff>21518</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31681</xdr:rowOff>
    </xdr:from>
    <xdr:to>
      <xdr:col>13</xdr:col>
      <xdr:colOff>784200</xdr:colOff>
      <xdr:row>87</xdr:row>
      <xdr:rowOff>10254</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44885</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635523</xdr:colOff>
      <xdr:row>30</xdr:row>
      <xdr:rowOff>67483</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25</xdr:col>
      <xdr:colOff>635523</xdr:colOff>
      <xdr:row>41</xdr:row>
      <xdr:rowOff>49363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635523</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635521</xdr:colOff>
      <xdr:row>30</xdr:row>
      <xdr:rowOff>67483</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635521</xdr:colOff>
      <xdr:row>41</xdr:row>
      <xdr:rowOff>49363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635521</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754857</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162973</xdr:rowOff>
    </xdr:from>
    <xdr:to>
      <xdr:col>27</xdr:col>
      <xdr:colOff>754857</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616473</xdr:colOff>
      <xdr:row>18</xdr:row>
      <xdr:rowOff>497</xdr:rowOff>
    </xdr:from>
    <xdr:to>
      <xdr:col>20</xdr:col>
      <xdr:colOff>406922</xdr:colOff>
      <xdr:row>40</xdr:row>
      <xdr:rowOff>47308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8260</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276785</xdr:colOff>
      <xdr:row>92</xdr:row>
      <xdr:rowOff>8260</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257735</xdr:colOff>
      <xdr:row>92</xdr:row>
      <xdr:rowOff>7368</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8</xdr:col>
      <xdr:colOff>257735</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257735</xdr:colOff>
      <xdr:row>113</xdr:row>
      <xdr:rowOff>496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31157</xdr:rowOff>
    </xdr:from>
    <xdr:to>
      <xdr:col>8</xdr:col>
      <xdr:colOff>257735</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257735</xdr:colOff>
      <xdr:row>114</xdr:row>
      <xdr:rowOff>106976</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164211</xdr:rowOff>
    </xdr:from>
    <xdr:to>
      <xdr:col>8</xdr:col>
      <xdr:colOff>257735</xdr:colOff>
      <xdr:row>114</xdr:row>
      <xdr:rowOff>163034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49053</xdr:rowOff>
    </xdr:from>
    <xdr:to>
      <xdr:col>8</xdr:col>
      <xdr:colOff>257735</xdr:colOff>
      <xdr:row>135</xdr:row>
      <xdr:rowOff>48630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31563</xdr:rowOff>
    </xdr:from>
    <xdr:to>
      <xdr:col>8</xdr:col>
      <xdr:colOff>257735</xdr:colOff>
      <xdr:row>136</xdr:row>
      <xdr:rowOff>163909</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49137</xdr:rowOff>
    </xdr:from>
    <xdr:to>
      <xdr:col>8</xdr:col>
      <xdr:colOff>257735</xdr:colOff>
      <xdr:row>137</xdr:row>
      <xdr:rowOff>48797</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8619</xdr:rowOff>
    </xdr:from>
    <xdr:to>
      <xdr:col>8</xdr:col>
      <xdr:colOff>257735</xdr:colOff>
      <xdr:row>137</xdr:row>
      <xdr:rowOff>48797</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673621</xdr:colOff>
      <xdr:row>141</xdr:row>
      <xdr:rowOff>48631</xdr:rowOff>
    </xdr:from>
    <xdr:to>
      <xdr:col>23</xdr:col>
      <xdr:colOff>406922</xdr:colOff>
      <xdr:row>161</xdr:row>
      <xdr:rowOff>48797</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25</xdr:row>
      <xdr:rowOff>170119</xdr:rowOff>
    </xdr:from>
    <xdr:to>
      <xdr:col>24</xdr:col>
      <xdr:colOff>578372</xdr:colOff>
      <xdr:row>47</xdr:row>
      <xdr:rowOff>163103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36</xdr:row>
      <xdr:rowOff>162973</xdr:rowOff>
    </xdr:from>
    <xdr:to>
      <xdr:col>24</xdr:col>
      <xdr:colOff>578372</xdr:colOff>
      <xdr:row>56</xdr:row>
      <xdr:rowOff>163101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654571</xdr:colOff>
      <xdr:row>145</xdr:row>
      <xdr:rowOff>48798</xdr:rowOff>
    </xdr:from>
    <xdr:to>
      <xdr:col>24</xdr:col>
      <xdr:colOff>578372</xdr:colOff>
      <xdr:row>165</xdr:row>
      <xdr:rowOff>48629</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465971</xdr:colOff>
      <xdr:row>53</xdr:row>
      <xdr:rowOff>162973</xdr:rowOff>
    </xdr:from>
    <xdr:to>
      <xdr:col>15</xdr:col>
      <xdr:colOff>711723</xdr:colOff>
      <xdr:row>69</xdr:row>
      <xdr:rowOff>73198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65237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162973</xdr:rowOff>
    </xdr:from>
    <xdr:to>
      <xdr:col>27</xdr:col>
      <xdr:colOff>606946</xdr:colOff>
      <xdr:row>57</xdr:row>
      <xdr:rowOff>46187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48798</xdr:rowOff>
    </xdr:from>
    <xdr:to>
      <xdr:col>27</xdr:col>
      <xdr:colOff>606946</xdr:colOff>
      <xdr:row>165</xdr:row>
      <xdr:rowOff>140310</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597421</xdr:colOff>
      <xdr:row>48</xdr:row>
      <xdr:rowOff>27137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162973</xdr:rowOff>
    </xdr:from>
    <xdr:to>
      <xdr:col>28</xdr:col>
      <xdr:colOff>597421</xdr:colOff>
      <xdr:row>56</xdr:row>
      <xdr:rowOff>162972</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105948</xdr:rowOff>
    </xdr:from>
    <xdr:to>
      <xdr:col>28</xdr:col>
      <xdr:colOff>597421</xdr:colOff>
      <xdr:row>165</xdr:row>
      <xdr:rowOff>140310</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504071</xdr:colOff>
      <xdr:row>57</xdr:row>
      <xdr:rowOff>163103</xdr:rowOff>
    </xdr:from>
    <xdr:to>
      <xdr:col>15</xdr:col>
      <xdr:colOff>711723</xdr:colOff>
      <xdr:row>75</xdr:row>
      <xdr:rowOff>103494</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406916</xdr:colOff>
      <xdr:row>57</xdr:row>
      <xdr:rowOff>163103</xdr:rowOff>
    </xdr:from>
    <xdr:to>
      <xdr:col>16</xdr:col>
      <xdr:colOff>635522</xdr:colOff>
      <xdr:row>75</xdr:row>
      <xdr:rowOff>103494</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105953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559631</xdr:colOff>
      <xdr:row>92</xdr:row>
      <xdr:rowOff>45468</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597731</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163103</xdr:rowOff>
    </xdr:from>
    <xdr:to>
      <xdr:col>17</xdr:col>
      <xdr:colOff>597731</xdr:colOff>
      <xdr:row>75</xdr:row>
      <xdr:rowOff>103494</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9330</xdr:rowOff>
    </xdr:from>
    <xdr:to>
      <xdr:col>7</xdr:col>
      <xdr:colOff>421154</xdr:colOff>
      <xdr:row>92</xdr:row>
      <xdr:rowOff>64518</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581914</xdr:colOff>
      <xdr:row>48</xdr:row>
      <xdr:rowOff>46187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162973</xdr:rowOff>
    </xdr:from>
    <xdr:to>
      <xdr:col>29</xdr:col>
      <xdr:colOff>581914</xdr:colOff>
      <xdr:row>57</xdr:row>
      <xdr:rowOff>46187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163909</xdr:rowOff>
    </xdr:from>
    <xdr:to>
      <xdr:col>29</xdr:col>
      <xdr:colOff>581914</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978422</xdr:colOff>
      <xdr:row>48</xdr:row>
      <xdr:rowOff>46187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978422</xdr:colOff>
      <xdr:row>57</xdr:row>
      <xdr:rowOff>46187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163909</xdr:rowOff>
    </xdr:from>
    <xdr:to>
      <xdr:col>30</xdr:col>
      <xdr:colOff>978422</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162972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162973</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370683</xdr:colOff>
      <xdr:row>41</xdr:row>
      <xdr:rowOff>162973</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171621</xdr:rowOff>
    </xdr:from>
    <xdr:to>
      <xdr:col>8</xdr:col>
      <xdr:colOff>276785</xdr:colOff>
      <xdr:row>87</xdr:row>
      <xdr:rowOff>314837</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35836</xdr:rowOff>
    </xdr:from>
    <xdr:to>
      <xdr:col>8</xdr:col>
      <xdr:colOff>257735</xdr:colOff>
      <xdr:row>93</xdr:row>
      <xdr:rowOff>26523</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76295</xdr:rowOff>
    </xdr:from>
    <xdr:to>
      <xdr:col>8</xdr:col>
      <xdr:colOff>257735</xdr:colOff>
      <xdr:row>109</xdr:row>
      <xdr:rowOff>47905</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20823</xdr:rowOff>
    </xdr:from>
    <xdr:to>
      <xdr:col>8</xdr:col>
      <xdr:colOff>257735</xdr:colOff>
      <xdr:row>109</xdr:row>
      <xdr:rowOff>163566</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123056</xdr:rowOff>
    </xdr:from>
    <xdr:to>
      <xdr:col>8</xdr:col>
      <xdr:colOff>257735</xdr:colOff>
      <xdr:row>109</xdr:row>
      <xdr:rowOff>163399</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257735</xdr:colOff>
      <xdr:row>110</xdr:row>
      <xdr:rowOff>27392</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139836</xdr:rowOff>
    </xdr:from>
    <xdr:to>
      <xdr:col>8</xdr:col>
      <xdr:colOff>257735</xdr:colOff>
      <xdr:row>131</xdr:row>
      <xdr:rowOff>87955</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163730</xdr:rowOff>
    </xdr:from>
    <xdr:to>
      <xdr:col>8</xdr:col>
      <xdr:colOff>257735</xdr:colOff>
      <xdr:row>132</xdr:row>
      <xdr:rowOff>49856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46071</xdr:rowOff>
    </xdr:from>
    <xdr:to>
      <xdr:col>8</xdr:col>
      <xdr:colOff>257735</xdr:colOff>
      <xdr:row>133</xdr:row>
      <xdr:rowOff>49855</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257735</xdr:colOff>
      <xdr:row>133</xdr:row>
      <xdr:rowOff>49855</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26363</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171621</xdr:rowOff>
    </xdr:from>
    <xdr:to>
      <xdr:col>17</xdr:col>
      <xdr:colOff>219636</xdr:colOff>
      <xdr:row>87</xdr:row>
      <xdr:rowOff>314837</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142002</xdr:rowOff>
    </xdr:from>
    <xdr:to>
      <xdr:col>17</xdr:col>
      <xdr:colOff>257736</xdr:colOff>
      <xdr:row>93</xdr:row>
      <xdr:rowOff>144119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171621</xdr:rowOff>
    </xdr:from>
    <xdr:to>
      <xdr:col>8</xdr:col>
      <xdr:colOff>276785</xdr:colOff>
      <xdr:row>87</xdr:row>
      <xdr:rowOff>314837</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171621</xdr:rowOff>
    </xdr:from>
    <xdr:to>
      <xdr:col>8</xdr:col>
      <xdr:colOff>257735</xdr:colOff>
      <xdr:row>87</xdr:row>
      <xdr:rowOff>314837</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35836</xdr:rowOff>
    </xdr:from>
    <xdr:to>
      <xdr:col>8</xdr:col>
      <xdr:colOff>257735</xdr:colOff>
      <xdr:row>93</xdr:row>
      <xdr:rowOff>26523</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76295</xdr:rowOff>
    </xdr:from>
    <xdr:to>
      <xdr:col>8</xdr:col>
      <xdr:colOff>257735</xdr:colOff>
      <xdr:row>109</xdr:row>
      <xdr:rowOff>47905</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20823</xdr:rowOff>
    </xdr:from>
    <xdr:to>
      <xdr:col>8</xdr:col>
      <xdr:colOff>257735</xdr:colOff>
      <xdr:row>109</xdr:row>
      <xdr:rowOff>163566</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123056</xdr:rowOff>
    </xdr:from>
    <xdr:to>
      <xdr:col>8</xdr:col>
      <xdr:colOff>257735</xdr:colOff>
      <xdr:row>109</xdr:row>
      <xdr:rowOff>163399</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257735</xdr:colOff>
      <xdr:row>110</xdr:row>
      <xdr:rowOff>27392</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139836</xdr:rowOff>
    </xdr:from>
    <xdr:to>
      <xdr:col>8</xdr:col>
      <xdr:colOff>257735</xdr:colOff>
      <xdr:row>131</xdr:row>
      <xdr:rowOff>87955</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163730</xdr:rowOff>
    </xdr:from>
    <xdr:to>
      <xdr:col>8</xdr:col>
      <xdr:colOff>257735</xdr:colOff>
      <xdr:row>132</xdr:row>
      <xdr:rowOff>49856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46071</xdr:rowOff>
    </xdr:from>
    <xdr:to>
      <xdr:col>8</xdr:col>
      <xdr:colOff>257735</xdr:colOff>
      <xdr:row>133</xdr:row>
      <xdr:rowOff>49855</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257735</xdr:colOff>
      <xdr:row>133</xdr:row>
      <xdr:rowOff>49855</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136</xdr:row>
      <xdr:rowOff>173913</xdr:rowOff>
    </xdr:from>
    <xdr:to>
      <xdr:col>23</xdr:col>
      <xdr:colOff>78255</xdr:colOff>
      <xdr:row>156</xdr:row>
      <xdr:rowOff>142163</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26</xdr:row>
      <xdr:rowOff>169747</xdr:rowOff>
    </xdr:from>
    <xdr:to>
      <xdr:col>24</xdr:col>
      <xdr:colOff>257736</xdr:colOff>
      <xdr:row>48</xdr:row>
      <xdr:rowOff>163102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37</xdr:row>
      <xdr:rowOff>162972</xdr:rowOff>
    </xdr:from>
    <xdr:to>
      <xdr:col>24</xdr:col>
      <xdr:colOff>257736</xdr:colOff>
      <xdr:row>57</xdr:row>
      <xdr:rowOff>163103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141</xdr:row>
      <xdr:rowOff>30639</xdr:rowOff>
    </xdr:from>
    <xdr:to>
      <xdr:col>24</xdr:col>
      <xdr:colOff>257736</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48</xdr:row>
      <xdr:rowOff>162974</xdr:rowOff>
    </xdr:from>
    <xdr:to>
      <xdr:col>14</xdr:col>
      <xdr:colOff>610348</xdr:colOff>
      <xdr:row>66</xdr:row>
      <xdr:rowOff>26363</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65239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162972</xdr:rowOff>
    </xdr:from>
    <xdr:to>
      <xdr:col>27</xdr:col>
      <xdr:colOff>283135</xdr:colOff>
      <xdr:row>58</xdr:row>
      <xdr:rowOff>46188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30639</xdr:rowOff>
    </xdr:from>
    <xdr:to>
      <xdr:col>27</xdr:col>
      <xdr:colOff>283135</xdr:colOff>
      <xdr:row>161</xdr:row>
      <xdr:rowOff>87956</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273610</xdr:colOff>
      <xdr:row>49</xdr:row>
      <xdr:rowOff>27139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162972</xdr:rowOff>
    </xdr:from>
    <xdr:to>
      <xdr:col>28</xdr:col>
      <xdr:colOff>273610</xdr:colOff>
      <xdr:row>57</xdr:row>
      <xdr:rowOff>162972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49856</xdr:rowOff>
    </xdr:from>
    <xdr:to>
      <xdr:col>28</xdr:col>
      <xdr:colOff>273610</xdr:colOff>
      <xdr:row>161</xdr:row>
      <xdr:rowOff>87956</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52</xdr:row>
      <xdr:rowOff>163103</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163103</xdr:rowOff>
    </xdr:from>
    <xdr:to>
      <xdr:col>16</xdr:col>
      <xdr:colOff>311711</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34</xdr:row>
      <xdr:rowOff>86903</xdr:rowOff>
    </xdr:from>
    <xdr:to>
      <xdr:col>32</xdr:col>
      <xdr:colOff>800661</xdr:colOff>
      <xdr:row>54</xdr:row>
      <xdr:rowOff>86902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171621</xdr:rowOff>
    </xdr:from>
    <xdr:to>
      <xdr:col>17</xdr:col>
      <xdr:colOff>219636</xdr:colOff>
      <xdr:row>87</xdr:row>
      <xdr:rowOff>314837</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72</xdr:row>
      <xdr:rowOff>142002</xdr:rowOff>
    </xdr:from>
    <xdr:to>
      <xdr:col>17</xdr:col>
      <xdr:colOff>257736</xdr:colOff>
      <xdr:row>93</xdr:row>
      <xdr:rowOff>144119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52</xdr:row>
      <xdr:rowOff>163103</xdr:rowOff>
    </xdr:from>
    <xdr:to>
      <xdr:col>17</xdr:col>
      <xdr:colOff>257736</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46189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162972</xdr:rowOff>
    </xdr:from>
    <xdr:to>
      <xdr:col>29</xdr:col>
      <xdr:colOff>283135</xdr:colOff>
      <xdr:row>58</xdr:row>
      <xdr:rowOff>46188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125495</xdr:rowOff>
    </xdr:from>
    <xdr:to>
      <xdr:col>29</xdr:col>
      <xdr:colOff>283135</xdr:colOff>
      <xdr:row>163</xdr:row>
      <xdr:rowOff>163595</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657785</xdr:colOff>
      <xdr:row>49</xdr:row>
      <xdr:rowOff>46189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657785</xdr:colOff>
      <xdr:row>58</xdr:row>
      <xdr:rowOff>46188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125495</xdr:rowOff>
    </xdr:from>
    <xdr:to>
      <xdr:col>30</xdr:col>
      <xdr:colOff>657785</xdr:colOff>
      <xdr:row>163</xdr:row>
      <xdr:rowOff>163595</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162974</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162972</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21</xdr:row>
      <xdr:rowOff>626</xdr:rowOff>
    </xdr:from>
    <xdr:to>
      <xdr:col>39</xdr:col>
      <xdr:colOff>87779</xdr:colOff>
      <xdr:row>42</xdr:row>
      <xdr:rowOff>162972</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107005</xdr:rowOff>
    </xdr:from>
    <xdr:to>
      <xdr:col>27</xdr:col>
      <xdr:colOff>305360</xdr:colOff>
      <xdr:row>147</xdr:row>
      <xdr:rowOff>142163</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292661</xdr:colOff>
      <xdr:row>18</xdr:row>
      <xdr:rowOff>497</xdr:rowOff>
    </xdr:from>
    <xdr:to>
      <xdr:col>20</xdr:col>
      <xdr:colOff>78254</xdr:colOff>
      <xdr:row>40</xdr:row>
      <xdr:rowOff>47308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8169</xdr:rowOff>
    </xdr:from>
    <xdr:to>
      <xdr:col>8</xdr:col>
      <xdr:colOff>257735</xdr:colOff>
      <xdr:row>88</xdr:row>
      <xdr:rowOff>153290</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193465</xdr:rowOff>
    </xdr:from>
    <xdr:to>
      <xdr:col>8</xdr:col>
      <xdr:colOff>276785</xdr:colOff>
      <xdr:row>89</xdr:row>
      <xdr:rowOff>28432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193465</xdr:rowOff>
    </xdr:from>
    <xdr:to>
      <xdr:col>8</xdr:col>
      <xdr:colOff>257735</xdr:colOff>
      <xdr:row>89</xdr:row>
      <xdr:rowOff>28432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193465</xdr:rowOff>
    </xdr:from>
    <xdr:to>
      <xdr:col>8</xdr:col>
      <xdr:colOff>257735</xdr:colOff>
      <xdr:row>89</xdr:row>
      <xdr:rowOff>28432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47364</xdr:rowOff>
    </xdr:from>
    <xdr:to>
      <xdr:col>8</xdr:col>
      <xdr:colOff>257735</xdr:colOff>
      <xdr:row>94</xdr:row>
      <xdr:rowOff>106811</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95275</xdr:rowOff>
    </xdr:from>
    <xdr:to>
      <xdr:col>8</xdr:col>
      <xdr:colOff>257735</xdr:colOff>
      <xdr:row>110</xdr:row>
      <xdr:rowOff>67576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257735</xdr:colOff>
      <xdr:row>111</xdr:row>
      <xdr:rowOff>10040</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257735</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125065</xdr:rowOff>
    </xdr:from>
    <xdr:to>
      <xdr:col>8</xdr:col>
      <xdr:colOff>257735</xdr:colOff>
      <xdr:row>111</xdr:row>
      <xdr:rowOff>65717</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65877</xdr:rowOff>
    </xdr:from>
    <xdr:to>
      <xdr:col>8</xdr:col>
      <xdr:colOff>257735</xdr:colOff>
      <xdr:row>132</xdr:row>
      <xdr:rowOff>126289</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46865</xdr:rowOff>
    </xdr:from>
    <xdr:to>
      <xdr:col>8</xdr:col>
      <xdr:colOff>257735</xdr:colOff>
      <xdr:row>133</xdr:row>
      <xdr:rowOff>104624</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104194</xdr:rowOff>
    </xdr:from>
    <xdr:to>
      <xdr:col>8</xdr:col>
      <xdr:colOff>257735</xdr:colOff>
      <xdr:row>134</xdr:row>
      <xdr:rowOff>104623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27280</xdr:rowOff>
    </xdr:from>
    <xdr:to>
      <xdr:col>8</xdr:col>
      <xdr:colOff>257735</xdr:colOff>
      <xdr:row>134</xdr:row>
      <xdr:rowOff>104623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349810</xdr:colOff>
      <xdr:row>138</xdr:row>
      <xdr:rowOff>48366</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25</xdr:row>
      <xdr:rowOff>170119</xdr:rowOff>
    </xdr:from>
    <xdr:to>
      <xdr:col>24</xdr:col>
      <xdr:colOff>257736</xdr:colOff>
      <xdr:row>47</xdr:row>
      <xdr:rowOff>163103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36</xdr:row>
      <xdr:rowOff>162973</xdr:rowOff>
    </xdr:from>
    <xdr:to>
      <xdr:col>24</xdr:col>
      <xdr:colOff>257736</xdr:colOff>
      <xdr:row>56</xdr:row>
      <xdr:rowOff>163101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330760</xdr:colOff>
      <xdr:row>142</xdr:row>
      <xdr:rowOff>50649</xdr:rowOff>
    </xdr:from>
    <xdr:to>
      <xdr:col>24</xdr:col>
      <xdr:colOff>257736</xdr:colOff>
      <xdr:row>162</xdr:row>
      <xdr:rowOff>48366</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63500</xdr:colOff>
      <xdr:row>47</xdr:row>
      <xdr:rowOff>162972</xdr:rowOff>
    </xdr:from>
    <xdr:to>
      <xdr:col>14</xdr:col>
      <xdr:colOff>610348</xdr:colOff>
      <xdr:row>64</xdr:row>
      <xdr:rowOff>60253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65237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162973</xdr:rowOff>
    </xdr:from>
    <xdr:to>
      <xdr:col>27</xdr:col>
      <xdr:colOff>283135</xdr:colOff>
      <xdr:row>57</xdr:row>
      <xdr:rowOff>46187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50649</xdr:rowOff>
    </xdr:from>
    <xdr:to>
      <xdr:col>27</xdr:col>
      <xdr:colOff>283135</xdr:colOff>
      <xdr:row>162</xdr:row>
      <xdr:rowOff>126289</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273610</xdr:colOff>
      <xdr:row>48</xdr:row>
      <xdr:rowOff>27137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162973</xdr:rowOff>
    </xdr:from>
    <xdr:to>
      <xdr:col>28</xdr:col>
      <xdr:colOff>273610</xdr:colOff>
      <xdr:row>56</xdr:row>
      <xdr:rowOff>162972</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104624</xdr:rowOff>
    </xdr:from>
    <xdr:to>
      <xdr:col>28</xdr:col>
      <xdr:colOff>273610</xdr:colOff>
      <xdr:row>162</xdr:row>
      <xdr:rowOff>126289</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101600</xdr:colOff>
      <xdr:row>51</xdr:row>
      <xdr:rowOff>163102</xdr:rowOff>
    </xdr:from>
    <xdr:to>
      <xdr:col>14</xdr:col>
      <xdr:colOff>610348</xdr:colOff>
      <xdr:row>71</xdr:row>
      <xdr:rowOff>76478</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163102</xdr:rowOff>
    </xdr:from>
    <xdr:to>
      <xdr:col>16</xdr:col>
      <xdr:colOff>311711</xdr:colOff>
      <xdr:row>71</xdr:row>
      <xdr:rowOff>76478</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487829</xdr:colOff>
      <xdr:row>33</xdr:row>
      <xdr:rowOff>66001</xdr:rowOff>
    </xdr:from>
    <xdr:to>
      <xdr:col>32</xdr:col>
      <xdr:colOff>800661</xdr:colOff>
      <xdr:row>53</xdr:row>
      <xdr:rowOff>86903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942789</xdr:colOff>
      <xdr:row>68</xdr:row>
      <xdr:rowOff>8169</xdr:rowOff>
    </xdr:from>
    <xdr:to>
      <xdr:col>17</xdr:col>
      <xdr:colOff>219636</xdr:colOff>
      <xdr:row>88</xdr:row>
      <xdr:rowOff>153290</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73</xdr:row>
      <xdr:rowOff>171986</xdr:rowOff>
    </xdr:from>
    <xdr:to>
      <xdr:col>17</xdr:col>
      <xdr:colOff>257736</xdr:colOff>
      <xdr:row>94</xdr:row>
      <xdr:rowOff>164826</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980889</xdr:colOff>
      <xdr:row>51</xdr:row>
      <xdr:rowOff>163102</xdr:rowOff>
    </xdr:from>
    <xdr:to>
      <xdr:col>17</xdr:col>
      <xdr:colOff>257736</xdr:colOff>
      <xdr:row>71</xdr:row>
      <xdr:rowOff>76478</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46187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162973</xdr:rowOff>
    </xdr:from>
    <xdr:to>
      <xdr:col>29</xdr:col>
      <xdr:colOff>283135</xdr:colOff>
      <xdr:row>57</xdr:row>
      <xdr:rowOff>46187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142163</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657785</xdr:colOff>
      <xdr:row>48</xdr:row>
      <xdr:rowOff>46187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657785</xdr:colOff>
      <xdr:row>57</xdr:row>
      <xdr:rowOff>46187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142163</xdr:rowOff>
    </xdr:from>
    <xdr:to>
      <xdr:col>30</xdr:col>
      <xdr:colOff>657785</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162972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162973</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811680</xdr:colOff>
      <xdr:row>20</xdr:row>
      <xdr:rowOff>624</xdr:rowOff>
    </xdr:from>
    <xdr:to>
      <xdr:col>39</xdr:col>
      <xdr:colOff>87779</xdr:colOff>
      <xdr:row>41</xdr:row>
      <xdr:rowOff>162973</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126288</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193465</xdr:rowOff>
    </xdr:from>
    <xdr:to>
      <xdr:col>9</xdr:col>
      <xdr:colOff>19050</xdr:colOff>
      <xdr:row>89</xdr:row>
      <xdr:rowOff>28432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60253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76478</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8169</xdr:rowOff>
    </xdr:from>
    <xdr:to>
      <xdr:col>17</xdr:col>
      <xdr:colOff>723900</xdr:colOff>
      <xdr:row>88</xdr:row>
      <xdr:rowOff>153290</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47308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193465</xdr:rowOff>
    </xdr:from>
    <xdr:to>
      <xdr:col>9</xdr:col>
      <xdr:colOff>19050</xdr:colOff>
      <xdr:row>89</xdr:row>
      <xdr:rowOff>28432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162973</xdr:rowOff>
    </xdr:from>
    <xdr:to>
      <xdr:col>25</xdr:col>
      <xdr:colOff>0</xdr:colOff>
      <xdr:row>56</xdr:row>
      <xdr:rowOff>163101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47</xdr:row>
      <xdr:rowOff>162972</xdr:rowOff>
    </xdr:from>
    <xdr:to>
      <xdr:col>15</xdr:col>
      <xdr:colOff>171450</xdr:colOff>
      <xdr:row>64</xdr:row>
      <xdr:rowOff>60253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65237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162973</xdr:rowOff>
    </xdr:from>
    <xdr:to>
      <xdr:col>28</xdr:col>
      <xdr:colOff>19050</xdr:colOff>
      <xdr:row>57</xdr:row>
      <xdr:rowOff>46187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50649</xdr:rowOff>
    </xdr:from>
    <xdr:to>
      <xdr:col>28</xdr:col>
      <xdr:colOff>19050</xdr:colOff>
      <xdr:row>162</xdr:row>
      <xdr:rowOff>126289</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162973</xdr:rowOff>
    </xdr:from>
    <xdr:to>
      <xdr:col>29</xdr:col>
      <xdr:colOff>9525</xdr:colOff>
      <xdr:row>56</xdr:row>
      <xdr:rowOff>162972</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104624</xdr:rowOff>
    </xdr:from>
    <xdr:to>
      <xdr:col>29</xdr:col>
      <xdr:colOff>9525</xdr:colOff>
      <xdr:row>162</xdr:row>
      <xdr:rowOff>126289</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57150</xdr:colOff>
      <xdr:row>71</xdr:row>
      <xdr:rowOff>76478</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66001</xdr:rowOff>
    </xdr:from>
    <xdr:to>
      <xdr:col>33</xdr:col>
      <xdr:colOff>428625</xdr:colOff>
      <xdr:row>53</xdr:row>
      <xdr:rowOff>86903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68</xdr:row>
      <xdr:rowOff>8169</xdr:rowOff>
    </xdr:from>
    <xdr:to>
      <xdr:col>17</xdr:col>
      <xdr:colOff>723900</xdr:colOff>
      <xdr:row>88</xdr:row>
      <xdr:rowOff>153290</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46187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162973</xdr:rowOff>
    </xdr:from>
    <xdr:to>
      <xdr:col>29</xdr:col>
      <xdr:colOff>790575</xdr:colOff>
      <xdr:row>57</xdr:row>
      <xdr:rowOff>46187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142163</xdr:rowOff>
    </xdr:from>
    <xdr:to>
      <xdr:col>29</xdr:col>
      <xdr:colOff>790575</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46187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46187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142163</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47</xdr:row>
      <xdr:rowOff>162972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162973</xdr:rowOff>
    </xdr:from>
    <xdr:to>
      <xdr:col>31</xdr:col>
      <xdr:colOff>66675</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162973</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126288</xdr:rowOff>
    </xdr:from>
    <xdr:to>
      <xdr:col>31</xdr:col>
      <xdr:colOff>676275</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193465</xdr:rowOff>
    </xdr:from>
    <xdr:to>
      <xdr:col>9</xdr:col>
      <xdr:colOff>19050</xdr:colOff>
      <xdr:row>89</xdr:row>
      <xdr:rowOff>28432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60253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76478</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8169</xdr:rowOff>
    </xdr:from>
    <xdr:to>
      <xdr:col>17</xdr:col>
      <xdr:colOff>723900</xdr:colOff>
      <xdr:row>88</xdr:row>
      <xdr:rowOff>153290</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47308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8169</xdr:rowOff>
    </xdr:from>
    <xdr:to>
      <xdr:col>9</xdr:col>
      <xdr:colOff>0</xdr:colOff>
      <xdr:row>88</xdr:row>
      <xdr:rowOff>153290</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193465</xdr:rowOff>
    </xdr:from>
    <xdr:to>
      <xdr:col>9</xdr:col>
      <xdr:colOff>19050</xdr:colOff>
      <xdr:row>89</xdr:row>
      <xdr:rowOff>28432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69</xdr:row>
      <xdr:rowOff>193465</xdr:rowOff>
    </xdr:from>
    <xdr:to>
      <xdr:col>9</xdr:col>
      <xdr:colOff>0</xdr:colOff>
      <xdr:row>89</xdr:row>
      <xdr:rowOff>28432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74</xdr:row>
      <xdr:rowOff>47364</xdr:rowOff>
    </xdr:from>
    <xdr:to>
      <xdr:col>9</xdr:col>
      <xdr:colOff>0</xdr:colOff>
      <xdr:row>94</xdr:row>
      <xdr:rowOff>106811</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95275</xdr:rowOff>
    </xdr:from>
    <xdr:to>
      <xdr:col>9</xdr:col>
      <xdr:colOff>0</xdr:colOff>
      <xdr:row>110</xdr:row>
      <xdr:rowOff>67576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1287</xdr:rowOff>
    </xdr:from>
    <xdr:to>
      <xdr:col>9</xdr:col>
      <xdr:colOff>0</xdr:colOff>
      <xdr:row>111</xdr:row>
      <xdr:rowOff>10040</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125065</xdr:rowOff>
    </xdr:from>
    <xdr:to>
      <xdr:col>9</xdr:col>
      <xdr:colOff>0</xdr:colOff>
      <xdr:row>111</xdr:row>
      <xdr:rowOff>65717</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65877</xdr:rowOff>
    </xdr:from>
    <xdr:to>
      <xdr:col>9</xdr:col>
      <xdr:colOff>0</xdr:colOff>
      <xdr:row>132</xdr:row>
      <xdr:rowOff>126289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46865</xdr:rowOff>
    </xdr:from>
    <xdr:to>
      <xdr:col>9</xdr:col>
      <xdr:colOff>0</xdr:colOff>
      <xdr:row>133</xdr:row>
      <xdr:rowOff>104624</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104194</xdr:rowOff>
    </xdr:from>
    <xdr:to>
      <xdr:col>9</xdr:col>
      <xdr:colOff>0</xdr:colOff>
      <xdr:row>134</xdr:row>
      <xdr:rowOff>104623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114</xdr:row>
      <xdr:rowOff>27280</xdr:rowOff>
    </xdr:from>
    <xdr:to>
      <xdr:col>9</xdr:col>
      <xdr:colOff>0</xdr:colOff>
      <xdr:row>134</xdr:row>
      <xdr:rowOff>104623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48366</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163103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163101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50649</xdr:rowOff>
    </xdr:from>
    <xdr:to>
      <xdr:col>25</xdr:col>
      <xdr:colOff>0</xdr:colOff>
      <xdr:row>162</xdr:row>
      <xdr:rowOff>48366</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60253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26</xdr:row>
      <xdr:rowOff>17903</xdr:rowOff>
    </xdr:from>
    <xdr:to>
      <xdr:col>28</xdr:col>
      <xdr:colOff>19050</xdr:colOff>
      <xdr:row>48</xdr:row>
      <xdr:rowOff>65237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36</xdr:row>
      <xdr:rowOff>174431</xdr:rowOff>
    </xdr:from>
    <xdr:to>
      <xdr:col>28</xdr:col>
      <xdr:colOff>19050</xdr:colOff>
      <xdr:row>57</xdr:row>
      <xdr:rowOff>46187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142</xdr:row>
      <xdr:rowOff>50649</xdr:rowOff>
    </xdr:from>
    <xdr:to>
      <xdr:col>28</xdr:col>
      <xdr:colOff>19050</xdr:colOff>
      <xdr:row>162</xdr:row>
      <xdr:rowOff>126289</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26</xdr:row>
      <xdr:rowOff>17903</xdr:rowOff>
    </xdr:from>
    <xdr:to>
      <xdr:col>29</xdr:col>
      <xdr:colOff>9525</xdr:colOff>
      <xdr:row>48</xdr:row>
      <xdr:rowOff>27137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36</xdr:row>
      <xdr:rowOff>174431</xdr:rowOff>
    </xdr:from>
    <xdr:to>
      <xdr:col>29</xdr:col>
      <xdr:colOff>9525</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142</xdr:row>
      <xdr:rowOff>104624</xdr:rowOff>
    </xdr:from>
    <xdr:to>
      <xdr:col>29</xdr:col>
      <xdr:colOff>9525</xdr:colOff>
      <xdr:row>162</xdr:row>
      <xdr:rowOff>126289</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51</xdr:row>
      <xdr:rowOff>163102</xdr:rowOff>
    </xdr:from>
    <xdr:to>
      <xdr:col>15</xdr:col>
      <xdr:colOff>171450</xdr:colOff>
      <xdr:row>71</xdr:row>
      <xdr:rowOff>76478</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51</xdr:row>
      <xdr:rowOff>163102</xdr:rowOff>
    </xdr:from>
    <xdr:to>
      <xdr:col>17</xdr:col>
      <xdr:colOff>66675</xdr:colOff>
      <xdr:row>71</xdr:row>
      <xdr:rowOff>76478</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33</xdr:row>
      <xdr:rowOff>66001</xdr:rowOff>
    </xdr:from>
    <xdr:to>
      <xdr:col>33</xdr:col>
      <xdr:colOff>428625</xdr:colOff>
      <xdr:row>53</xdr:row>
      <xdr:rowOff>86903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8169</xdr:rowOff>
    </xdr:from>
    <xdr:to>
      <xdr:col>17</xdr:col>
      <xdr:colOff>723900</xdr:colOff>
      <xdr:row>88</xdr:row>
      <xdr:rowOff>153290</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73</xdr:row>
      <xdr:rowOff>171986</xdr:rowOff>
    </xdr:from>
    <xdr:to>
      <xdr:col>18</xdr:col>
      <xdr:colOff>0</xdr:colOff>
      <xdr:row>94</xdr:row>
      <xdr:rowOff>164826</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51</xdr:row>
      <xdr:rowOff>163102</xdr:rowOff>
    </xdr:from>
    <xdr:to>
      <xdr:col>18</xdr:col>
      <xdr:colOff>0</xdr:colOff>
      <xdr:row>71</xdr:row>
      <xdr:rowOff>76478</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26</xdr:row>
      <xdr:rowOff>17903</xdr:rowOff>
    </xdr:from>
    <xdr:to>
      <xdr:col>29</xdr:col>
      <xdr:colOff>800100</xdr:colOff>
      <xdr:row>48</xdr:row>
      <xdr:rowOff>46187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36</xdr:row>
      <xdr:rowOff>174431</xdr:rowOff>
    </xdr:from>
    <xdr:to>
      <xdr:col>29</xdr:col>
      <xdr:colOff>800100</xdr:colOff>
      <xdr:row>57</xdr:row>
      <xdr:rowOff>46187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144</xdr:row>
      <xdr:rowOff>142163</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26</xdr:row>
      <xdr:rowOff>17903</xdr:rowOff>
    </xdr:from>
    <xdr:to>
      <xdr:col>30</xdr:col>
      <xdr:colOff>1171575</xdr:colOff>
      <xdr:row>48</xdr:row>
      <xdr:rowOff>46187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37</xdr:row>
      <xdr:rowOff>8089</xdr:rowOff>
    </xdr:from>
    <xdr:to>
      <xdr:col>30</xdr:col>
      <xdr:colOff>1171575</xdr:colOff>
      <xdr:row>57</xdr:row>
      <xdr:rowOff>46187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144</xdr:row>
      <xdr:rowOff>142163</xdr:rowOff>
    </xdr:from>
    <xdr:to>
      <xdr:col>30</xdr:col>
      <xdr:colOff>1171575</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66675</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66675</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600075</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144</xdr:row>
      <xdr:rowOff>126288</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46187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83727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25963</xdr:rowOff>
    </xdr:from>
    <xdr:to>
      <xdr:col>9</xdr:col>
      <xdr:colOff>0</xdr:colOff>
      <xdr:row>87</xdr:row>
      <xdr:rowOff>330712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56983</xdr:rowOff>
    </xdr:from>
    <xdr:to>
      <xdr:col>9</xdr:col>
      <xdr:colOff>19050</xdr:colOff>
      <xdr:row>88</xdr:row>
      <xdr:rowOff>58930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68321</xdr:rowOff>
    </xdr:from>
    <xdr:to>
      <xdr:col>9</xdr:col>
      <xdr:colOff>0</xdr:colOff>
      <xdr:row>92</xdr:row>
      <xdr:rowOff>142898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295787</xdr:rowOff>
    </xdr:from>
    <xdr:to>
      <xdr:col>9</xdr:col>
      <xdr:colOff>0</xdr:colOff>
      <xdr:row>107</xdr:row>
      <xdr:rowOff>46680</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77089</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20823</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810</xdr:rowOff>
    </xdr:from>
    <xdr:to>
      <xdr:col>9</xdr:col>
      <xdr:colOff>0</xdr:colOff>
      <xdr:row>109</xdr:row>
      <xdr:rowOff>125460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49086</xdr:rowOff>
    </xdr:from>
    <xdr:to>
      <xdr:col>9</xdr:col>
      <xdr:colOff>0</xdr:colOff>
      <xdr:row>130</xdr:row>
      <xdr:rowOff>142164</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86517</xdr:rowOff>
    </xdr:from>
    <xdr:to>
      <xdr:col>9</xdr:col>
      <xdr:colOff>0</xdr:colOff>
      <xdr:row>131</xdr:row>
      <xdr:rowOff>126288</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116101</xdr:rowOff>
    </xdr:from>
    <xdr:to>
      <xdr:col>9</xdr:col>
      <xdr:colOff>0</xdr:colOff>
      <xdr:row>132</xdr:row>
      <xdr:rowOff>126289</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84927</xdr:rowOff>
    </xdr:from>
    <xdr:to>
      <xdr:col>9</xdr:col>
      <xdr:colOff>0</xdr:colOff>
      <xdr:row>132</xdr:row>
      <xdr:rowOff>126289</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95870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95870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25963</xdr:rowOff>
    </xdr:from>
    <xdr:to>
      <xdr:col>17</xdr:col>
      <xdr:colOff>723900</xdr:colOff>
      <xdr:row>87</xdr:row>
      <xdr:rowOff>330712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38557</xdr:rowOff>
    </xdr:from>
    <xdr:to>
      <xdr:col>18</xdr:col>
      <xdr:colOff>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95870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26</xdr:row>
      <xdr:rowOff>17903</xdr:rowOff>
    </xdr:from>
    <xdr:to>
      <xdr:col>29</xdr:col>
      <xdr:colOff>796925</xdr:colOff>
      <xdr:row>30</xdr:row>
      <xdr:rowOff>105023</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37</xdr:row>
      <xdr:rowOff>8089</xdr:rowOff>
    </xdr:from>
    <xdr:to>
      <xdr:col>29</xdr:col>
      <xdr:colOff>796925</xdr:colOff>
      <xdr:row>41</xdr:row>
      <xdr:rowOff>83727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144</xdr:row>
      <xdr:rowOff>126288</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66358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66</xdr:row>
      <xdr:rowOff>25963</xdr:rowOff>
    </xdr:from>
    <xdr:to>
      <xdr:col>9</xdr:col>
      <xdr:colOff>0</xdr:colOff>
      <xdr:row>87</xdr:row>
      <xdr:rowOff>330712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56983</xdr:rowOff>
    </xdr:from>
    <xdr:to>
      <xdr:col>9</xdr:col>
      <xdr:colOff>19050</xdr:colOff>
      <xdr:row>88</xdr:row>
      <xdr:rowOff>58930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56983</xdr:rowOff>
    </xdr:from>
    <xdr:to>
      <xdr:col>9</xdr:col>
      <xdr:colOff>0</xdr:colOff>
      <xdr:row>88</xdr:row>
      <xdr:rowOff>58930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68321</xdr:rowOff>
    </xdr:from>
    <xdr:to>
      <xdr:col>9</xdr:col>
      <xdr:colOff>0</xdr:colOff>
      <xdr:row>92</xdr:row>
      <xdr:rowOff>142898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87</xdr:row>
      <xdr:rowOff>295787</xdr:rowOff>
    </xdr:from>
    <xdr:to>
      <xdr:col>9</xdr:col>
      <xdr:colOff>0</xdr:colOff>
      <xdr:row>107</xdr:row>
      <xdr:rowOff>46680</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88</xdr:row>
      <xdr:rowOff>77089</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89</xdr:row>
      <xdr:rowOff>20823</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810</xdr:rowOff>
    </xdr:from>
    <xdr:to>
      <xdr:col>9</xdr:col>
      <xdr:colOff>0</xdr:colOff>
      <xdr:row>109</xdr:row>
      <xdr:rowOff>125460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110</xdr:row>
      <xdr:rowOff>49086</xdr:rowOff>
    </xdr:from>
    <xdr:to>
      <xdr:col>9</xdr:col>
      <xdr:colOff>0</xdr:colOff>
      <xdr:row>130</xdr:row>
      <xdr:rowOff>142164</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111</xdr:row>
      <xdr:rowOff>86517</xdr:rowOff>
    </xdr:from>
    <xdr:to>
      <xdr:col>9</xdr:col>
      <xdr:colOff>0</xdr:colOff>
      <xdr:row>131</xdr:row>
      <xdr:rowOff>126288</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116101</xdr:rowOff>
    </xdr:from>
    <xdr:to>
      <xdr:col>9</xdr:col>
      <xdr:colOff>0</xdr:colOff>
      <xdr:row>132</xdr:row>
      <xdr:rowOff>126289</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84927</xdr:rowOff>
    </xdr:from>
    <xdr:to>
      <xdr:col>9</xdr:col>
      <xdr:colOff>0</xdr:colOff>
      <xdr:row>132</xdr:row>
      <xdr:rowOff>126289</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69697</xdr:rowOff>
    </xdr:from>
    <xdr:to>
      <xdr:col>23</xdr:col>
      <xdr:colOff>590550</xdr:colOff>
      <xdr:row>156</xdr:row>
      <xdr:rowOff>50649</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163103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29436</xdr:rowOff>
    </xdr:from>
    <xdr:to>
      <xdr:col>25</xdr:col>
      <xdr:colOff>0</xdr:colOff>
      <xdr:row>54</xdr:row>
      <xdr:rowOff>163103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69698</xdr:rowOff>
    </xdr:from>
    <xdr:to>
      <xdr:col>25</xdr:col>
      <xdr:colOff>0</xdr:colOff>
      <xdr:row>160</xdr:row>
      <xdr:rowOff>69698</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8088</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86902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29436</xdr:rowOff>
    </xdr:from>
    <xdr:to>
      <xdr:col>28</xdr:col>
      <xdr:colOff>19050</xdr:colOff>
      <xdr:row>55</xdr:row>
      <xdr:rowOff>65238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69698</xdr:rowOff>
    </xdr:from>
    <xdr:to>
      <xdr:col>28</xdr:col>
      <xdr:colOff>19050</xdr:colOff>
      <xdr:row>160</xdr:row>
      <xdr:rowOff>142164</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9525</xdr:colOff>
      <xdr:row>48</xdr:row>
      <xdr:rowOff>27137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29436</xdr:rowOff>
    </xdr:from>
    <xdr:to>
      <xdr:col>29</xdr:col>
      <xdr:colOff>9525</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126288</xdr:rowOff>
    </xdr:from>
    <xdr:to>
      <xdr:col>29</xdr:col>
      <xdr:colOff>9525</xdr:colOff>
      <xdr:row>160</xdr:row>
      <xdr:rowOff>142164</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49</xdr:row>
      <xdr:rowOff>163103</xdr:rowOff>
    </xdr:from>
    <xdr:to>
      <xdr:col>15</xdr:col>
      <xdr:colOff>171450</xdr:colOff>
      <xdr:row>69</xdr:row>
      <xdr:rowOff>95870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49</xdr:row>
      <xdr:rowOff>163103</xdr:rowOff>
    </xdr:from>
    <xdr:to>
      <xdr:col>17</xdr:col>
      <xdr:colOff>57150</xdr:colOff>
      <xdr:row>69</xdr:row>
      <xdr:rowOff>95870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123077</xdr:rowOff>
    </xdr:from>
    <xdr:to>
      <xdr:col>33</xdr:col>
      <xdr:colOff>428625</xdr:colOff>
      <xdr:row>52</xdr:row>
      <xdr:rowOff>86903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66</xdr:row>
      <xdr:rowOff>25963</xdr:rowOff>
    </xdr:from>
    <xdr:to>
      <xdr:col>17</xdr:col>
      <xdr:colOff>723900</xdr:colOff>
      <xdr:row>87</xdr:row>
      <xdr:rowOff>330712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38557</xdr:rowOff>
    </xdr:from>
    <xdr:to>
      <xdr:col>18</xdr:col>
      <xdr:colOff>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49</xdr:row>
      <xdr:rowOff>163103</xdr:rowOff>
    </xdr:from>
    <xdr:to>
      <xdr:col>18</xdr:col>
      <xdr:colOff>0</xdr:colOff>
      <xdr:row>69</xdr:row>
      <xdr:rowOff>95870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790575</xdr:colOff>
      <xdr:row>48</xdr:row>
      <xdr:rowOff>65237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29436</xdr:rowOff>
    </xdr:from>
    <xdr:to>
      <xdr:col>29</xdr:col>
      <xdr:colOff>790575</xdr:colOff>
      <xdr:row>55</xdr:row>
      <xdr:rowOff>65238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790575</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65237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29436</xdr:rowOff>
    </xdr:from>
    <xdr:to>
      <xdr:col>30</xdr:col>
      <xdr:colOff>1162050</xdr:colOff>
      <xdr:row>55</xdr:row>
      <xdr:rowOff>65238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66675</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29436</xdr:rowOff>
    </xdr:from>
    <xdr:to>
      <xdr:col>31</xdr:col>
      <xdr:colOff>66675</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142163</xdr:rowOff>
    </xdr:from>
    <xdr:to>
      <xdr:col>31</xdr:col>
      <xdr:colOff>676275</xdr:colOff>
      <xdr:row>162</xdr:row>
      <xdr:rowOff>50650</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26</xdr:row>
      <xdr:rowOff>17903</xdr:rowOff>
    </xdr:from>
    <xdr:to>
      <xdr:col>32</xdr:col>
      <xdr:colOff>542925</xdr:colOff>
      <xdr:row>48</xdr:row>
      <xdr:rowOff>65237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35</xdr:row>
      <xdr:rowOff>29436</xdr:rowOff>
    </xdr:from>
    <xdr:to>
      <xdr:col>32</xdr:col>
      <xdr:colOff>542925</xdr:colOff>
      <xdr:row>54</xdr:row>
      <xdr:rowOff>86902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447675</xdr:colOff>
      <xdr:row>47</xdr:row>
      <xdr:rowOff>86902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447675</xdr:colOff>
      <xdr:row>56</xdr:row>
      <xdr:rowOff>86902</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126288</xdr:rowOff>
    </xdr:from>
    <xdr:to>
      <xdr:col>33</xdr:col>
      <xdr:colOff>447675</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47252</xdr:rowOff>
    </xdr:from>
    <xdr:to>
      <xdr:col>20</xdr:col>
      <xdr:colOff>590550</xdr:colOff>
      <xdr:row>34</xdr:row>
      <xdr:rowOff>106887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62</xdr:row>
      <xdr:rowOff>125188</xdr:rowOff>
    </xdr:from>
    <xdr:to>
      <xdr:col>9</xdr:col>
      <xdr:colOff>0</xdr:colOff>
      <xdr:row>86</xdr:row>
      <xdr:rowOff>162737</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87241</xdr:rowOff>
    </xdr:from>
    <xdr:to>
      <xdr:col>9</xdr:col>
      <xdr:colOff>19050</xdr:colOff>
      <xdr:row>89</xdr:row>
      <xdr:rowOff>27694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87241</xdr:rowOff>
    </xdr:from>
    <xdr:to>
      <xdr:col>9</xdr:col>
      <xdr:colOff>0</xdr:colOff>
      <xdr:row>89</xdr:row>
      <xdr:rowOff>27694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68</xdr:row>
      <xdr:rowOff>87241</xdr:rowOff>
    </xdr:from>
    <xdr:to>
      <xdr:col>9</xdr:col>
      <xdr:colOff>0</xdr:colOff>
      <xdr:row>89</xdr:row>
      <xdr:rowOff>27694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72</xdr:row>
      <xdr:rowOff>141461</xdr:rowOff>
    </xdr:from>
    <xdr:to>
      <xdr:col>9</xdr:col>
      <xdr:colOff>0</xdr:colOff>
      <xdr:row>92</xdr:row>
      <xdr:rowOff>122379</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78306</xdr:rowOff>
    </xdr:from>
    <xdr:to>
      <xdr:col>9</xdr:col>
      <xdr:colOff>0</xdr:colOff>
      <xdr:row>110</xdr:row>
      <xdr:rowOff>124931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90</xdr:row>
      <xdr:rowOff>172860</xdr:rowOff>
    </xdr:from>
    <xdr:to>
      <xdr:col>9</xdr:col>
      <xdr:colOff>0</xdr:colOff>
      <xdr:row>111</xdr:row>
      <xdr:rowOff>49014</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91</xdr:row>
      <xdr:rowOff>120818</xdr:rowOff>
    </xdr:from>
    <xdr:to>
      <xdr:col>9</xdr:col>
      <xdr:colOff>0</xdr:colOff>
      <xdr:row>111</xdr:row>
      <xdr:rowOff>49014</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92</xdr:row>
      <xdr:rowOff>122379</xdr:rowOff>
    </xdr:from>
    <xdr:to>
      <xdr:col>9</xdr:col>
      <xdr:colOff>0</xdr:colOff>
      <xdr:row>113</xdr:row>
      <xdr:rowOff>30342</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112</xdr:row>
      <xdr:rowOff>162911</xdr:rowOff>
    </xdr:from>
    <xdr:to>
      <xdr:col>9</xdr:col>
      <xdr:colOff>0</xdr:colOff>
      <xdr:row>133</xdr:row>
      <xdr:rowOff>30134</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45179</xdr:rowOff>
    </xdr:from>
    <xdr:to>
      <xdr:col>9</xdr:col>
      <xdr:colOff>0</xdr:colOff>
      <xdr:row>135</xdr:row>
      <xdr:rowOff>87285</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3228975</xdr:colOff>
      <xdr:row>115</xdr:row>
      <xdr:rowOff>253</xdr:rowOff>
    </xdr:from>
    <xdr:to>
      <xdr:col>9</xdr:col>
      <xdr:colOff>0</xdr:colOff>
      <xdr:row>135</xdr:row>
      <xdr:rowOff>87285</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30134</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47251</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48059</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30134</xdr:rowOff>
    </xdr:from>
    <xdr:to>
      <xdr:col>25</xdr:col>
      <xdr:colOff>0</xdr:colOff>
      <xdr:row>163</xdr:row>
      <xdr:rowOff>30134</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42</xdr:row>
      <xdr:rowOff>45442</xdr:rowOff>
    </xdr:from>
    <xdr:to>
      <xdr:col>15</xdr:col>
      <xdr:colOff>171450</xdr:colOff>
      <xdr:row>59</xdr:row>
      <xdr:rowOff>254257</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47251</xdr:rowOff>
    </xdr:from>
    <xdr:to>
      <xdr:col>28</xdr:col>
      <xdr:colOff>19050</xdr:colOff>
      <xdr:row>42</xdr:row>
      <xdr:rowOff>122202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48059</xdr:rowOff>
    </xdr:from>
    <xdr:to>
      <xdr:col>28</xdr:col>
      <xdr:colOff>19050</xdr:colOff>
      <xdr:row>51</xdr:row>
      <xdr:rowOff>106885</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30134</xdr:rowOff>
    </xdr:from>
    <xdr:to>
      <xdr:col>28</xdr:col>
      <xdr:colOff>19050</xdr:colOff>
      <xdr:row>163</xdr:row>
      <xdr:rowOff>87284</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47251</xdr:rowOff>
    </xdr:from>
    <xdr:to>
      <xdr:col>29</xdr:col>
      <xdr:colOff>9525</xdr:colOff>
      <xdr:row>43</xdr:row>
      <xdr:rowOff>68786</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48059</xdr:rowOff>
    </xdr:from>
    <xdr:to>
      <xdr:col>29</xdr:col>
      <xdr:colOff>9525</xdr:colOff>
      <xdr:row>51</xdr:row>
      <xdr:rowOff>49735</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87284</xdr:rowOff>
    </xdr:from>
    <xdr:to>
      <xdr:col>29</xdr:col>
      <xdr:colOff>9525</xdr:colOff>
      <xdr:row>163</xdr:row>
      <xdr:rowOff>87284</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600075</xdr:colOff>
      <xdr:row>46</xdr:row>
      <xdr:rowOff>11637</xdr:rowOff>
    </xdr:from>
    <xdr:to>
      <xdr:col>15</xdr:col>
      <xdr:colOff>171450</xdr:colOff>
      <xdr:row>65</xdr:row>
      <xdr:rowOff>172628</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619125</xdr:colOff>
      <xdr:row>46</xdr:row>
      <xdr:rowOff>11637</xdr:rowOff>
    </xdr:from>
    <xdr:to>
      <xdr:col>17</xdr:col>
      <xdr:colOff>57150</xdr:colOff>
      <xdr:row>65</xdr:row>
      <xdr:rowOff>172628</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120878</xdr:rowOff>
    </xdr:from>
    <xdr:to>
      <xdr:col>33</xdr:col>
      <xdr:colOff>428625</xdr:colOff>
      <xdr:row>48</xdr:row>
      <xdr:rowOff>141250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62</xdr:row>
      <xdr:rowOff>125188</xdr:rowOff>
    </xdr:from>
    <xdr:to>
      <xdr:col>17</xdr:col>
      <xdr:colOff>723900</xdr:colOff>
      <xdr:row>86</xdr:row>
      <xdr:rowOff>162737</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72</xdr:row>
      <xdr:rowOff>115238</xdr:rowOff>
    </xdr:from>
    <xdr:to>
      <xdr:col>18</xdr:col>
      <xdr:colOff>0</xdr:colOff>
      <xdr:row>92</xdr:row>
      <xdr:rowOff>122379</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390525</xdr:colOff>
      <xdr:row>46</xdr:row>
      <xdr:rowOff>11637</xdr:rowOff>
    </xdr:from>
    <xdr:to>
      <xdr:col>18</xdr:col>
      <xdr:colOff>0</xdr:colOff>
      <xdr:row>65</xdr:row>
      <xdr:rowOff>172628</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47251</xdr:rowOff>
    </xdr:from>
    <xdr:to>
      <xdr:col>29</xdr:col>
      <xdr:colOff>790575</xdr:colOff>
      <xdr:row>43</xdr:row>
      <xdr:rowOff>106886</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48059</xdr:rowOff>
    </xdr:from>
    <xdr:to>
      <xdr:col>29</xdr:col>
      <xdr:colOff>790575</xdr:colOff>
      <xdr:row>51</xdr:row>
      <xdr:rowOff>106885</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141260</xdr:rowOff>
    </xdr:from>
    <xdr:to>
      <xdr:col>29</xdr:col>
      <xdr:colOff>790575</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66301</xdr:rowOff>
    </xdr:from>
    <xdr:to>
      <xdr:col>30</xdr:col>
      <xdr:colOff>1162050</xdr:colOff>
      <xdr:row>43</xdr:row>
      <xdr:rowOff>106886</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48059</xdr:rowOff>
    </xdr:from>
    <xdr:to>
      <xdr:col>30</xdr:col>
      <xdr:colOff>1162050</xdr:colOff>
      <xdr:row>51</xdr:row>
      <xdr:rowOff>106885</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141260</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47251</xdr:rowOff>
    </xdr:from>
    <xdr:to>
      <xdr:col>31</xdr:col>
      <xdr:colOff>66675</xdr:colOff>
      <xdr:row>43</xdr:row>
      <xdr:rowOff>49736</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48059</xdr:rowOff>
    </xdr:from>
    <xdr:to>
      <xdr:col>31</xdr:col>
      <xdr:colOff>66675</xdr:colOff>
      <xdr:row>51</xdr:row>
      <xdr:rowOff>49735</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87285</xdr:rowOff>
    </xdr:from>
    <xdr:to>
      <xdr:col>31</xdr:col>
      <xdr:colOff>676275</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21</xdr:row>
      <xdr:rowOff>66301</xdr:rowOff>
    </xdr:from>
    <xdr:to>
      <xdr:col>32</xdr:col>
      <xdr:colOff>542925</xdr:colOff>
      <xdr:row>43</xdr:row>
      <xdr:rowOff>106886</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234950</xdr:colOff>
      <xdr:row>31</xdr:row>
      <xdr:rowOff>48059</xdr:rowOff>
    </xdr:from>
    <xdr:to>
      <xdr:col>32</xdr:col>
      <xdr:colOff>542925</xdr:colOff>
      <xdr:row>50</xdr:row>
      <xdr:rowOff>122201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66301</xdr:rowOff>
    </xdr:from>
    <xdr:to>
      <xdr:col>33</xdr:col>
      <xdr:colOff>447675</xdr:colOff>
      <xdr:row>42</xdr:row>
      <xdr:rowOff>122202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47884</xdr:rowOff>
    </xdr:from>
    <xdr:to>
      <xdr:col>33</xdr:col>
      <xdr:colOff>447675</xdr:colOff>
      <xdr:row>52</xdr:row>
      <xdr:rowOff>122202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87283</xdr:rowOff>
    </xdr:from>
    <xdr:to>
      <xdr:col>33</xdr:col>
      <xdr:colOff>447675</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866775</xdr:colOff>
      <xdr:row>29</xdr:row>
      <xdr:rowOff>48871</xdr:rowOff>
    </xdr:from>
    <xdr:to>
      <xdr:col>33</xdr:col>
      <xdr:colOff>438150</xdr:colOff>
      <xdr:row>33</xdr:row>
      <xdr:rowOff>124002</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22</xdr:col>
      <xdr:colOff>723900</xdr:colOff>
      <xdr:row>33</xdr:row>
      <xdr:rowOff>124002</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27</xdr:col>
      <xdr:colOff>38100</xdr:colOff>
      <xdr:row>45</xdr:row>
      <xdr:rowOff>106886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28</xdr:col>
      <xdr:colOff>38100</xdr:colOff>
      <xdr:row>45</xdr:row>
      <xdr:rowOff>106886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29</xdr:col>
      <xdr:colOff>38100</xdr:colOff>
      <xdr:row>45</xdr:row>
      <xdr:rowOff>106886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30</xdr:col>
      <xdr:colOff>38100</xdr:colOff>
      <xdr:row>45</xdr:row>
      <xdr:rowOff>106886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31</xdr:col>
      <xdr:colOff>38100</xdr:colOff>
      <xdr:row>45</xdr:row>
      <xdr:rowOff>106886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32</xdr:col>
      <xdr:colOff>38100</xdr:colOff>
      <xdr:row>45</xdr:row>
      <xdr:rowOff>106886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33</xdr:col>
      <xdr:colOff>38100</xdr:colOff>
      <xdr:row>45</xdr:row>
      <xdr:rowOff>106886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34</xdr:col>
      <xdr:colOff>38100</xdr:colOff>
      <xdr:row>45</xdr:row>
      <xdr:rowOff>106886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75683</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75683</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75683</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150626</xdr:rowOff>
    </xdr:from>
    <xdr:to>
      <xdr:col>9</xdr:col>
      <xdr:colOff>19050</xdr:colOff>
      <xdr:row>86</xdr:row>
      <xdr:rowOff>162737</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150626</xdr:rowOff>
    </xdr:from>
    <xdr:to>
      <xdr:col>17</xdr:col>
      <xdr:colOff>628650</xdr:colOff>
      <xdr:row>86</xdr:row>
      <xdr:rowOff>162737</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115195</xdr:rowOff>
    </xdr:from>
    <xdr:to>
      <xdr:col>9</xdr:col>
      <xdr:colOff>19050</xdr:colOff>
      <xdr:row>91</xdr:row>
      <xdr:rowOff>125114</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122369</xdr:rowOff>
    </xdr:from>
    <xdr:to>
      <xdr:col>9</xdr:col>
      <xdr:colOff>19050</xdr:colOff>
      <xdr:row>93</xdr:row>
      <xdr:rowOff>145355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120730</xdr:rowOff>
    </xdr:from>
    <xdr:to>
      <xdr:col>9</xdr:col>
      <xdr:colOff>19050</xdr:colOff>
      <xdr:row>94</xdr:row>
      <xdr:rowOff>164403</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188</xdr:rowOff>
    </xdr:from>
    <xdr:to>
      <xdr:col>9</xdr:col>
      <xdr:colOff>19050</xdr:colOff>
      <xdr:row>96</xdr:row>
      <xdr:rowOff>48301</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188</xdr:rowOff>
    </xdr:from>
    <xdr:to>
      <xdr:col>17</xdr:col>
      <xdr:colOff>628650</xdr:colOff>
      <xdr:row>96</xdr:row>
      <xdr:rowOff>48301</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86401</xdr:rowOff>
    </xdr:from>
    <xdr:to>
      <xdr:col>9</xdr:col>
      <xdr:colOff>19050</xdr:colOff>
      <xdr:row>116</xdr:row>
      <xdr:rowOff>48421</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67406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67406</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28834</xdr:rowOff>
    </xdr:from>
    <xdr:to>
      <xdr:col>9</xdr:col>
      <xdr:colOff>19050</xdr:colOff>
      <xdr:row>140</xdr:row>
      <xdr:rowOff>141259</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6607</xdr:rowOff>
    </xdr:from>
    <xdr:to>
      <xdr:col>9</xdr:col>
      <xdr:colOff>19050</xdr:colOff>
      <xdr:row>141</xdr:row>
      <xdr:rowOff>141260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29846</xdr:rowOff>
    </xdr:from>
    <xdr:to>
      <xdr:col>9</xdr:col>
      <xdr:colOff>19050</xdr:colOff>
      <xdr:row>142</xdr:row>
      <xdr:rowOff>30134</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29846</xdr:rowOff>
    </xdr:from>
    <xdr:to>
      <xdr:col>9</xdr:col>
      <xdr:colOff>19050</xdr:colOff>
      <xdr:row>143</xdr:row>
      <xdr:rowOff>30134</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29009</xdr:rowOff>
    </xdr:from>
    <xdr:to>
      <xdr:col>34</xdr:col>
      <xdr:colOff>38100</xdr:colOff>
      <xdr:row>51</xdr:row>
      <xdr:rowOff>106885</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368300</xdr:colOff>
      <xdr:row>31</xdr:row>
      <xdr:rowOff>29009</xdr:rowOff>
    </xdr:from>
    <xdr:to>
      <xdr:col>38</xdr:col>
      <xdr:colOff>38100</xdr:colOff>
      <xdr:row>51</xdr:row>
      <xdr:rowOff>106885</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35</xdr:row>
      <xdr:rowOff>48860</xdr:rowOff>
    </xdr:from>
    <xdr:to>
      <xdr:col>27</xdr:col>
      <xdr:colOff>38100</xdr:colOff>
      <xdr:row>55</xdr:row>
      <xdr:rowOff>106886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35</xdr:row>
      <xdr:rowOff>48860</xdr:rowOff>
    </xdr:from>
    <xdr:to>
      <xdr:col>28</xdr:col>
      <xdr:colOff>38100</xdr:colOff>
      <xdr:row>55</xdr:row>
      <xdr:rowOff>106886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35</xdr:row>
      <xdr:rowOff>48860</xdr:rowOff>
    </xdr:from>
    <xdr:to>
      <xdr:col>29</xdr:col>
      <xdr:colOff>38100</xdr:colOff>
      <xdr:row>55</xdr:row>
      <xdr:rowOff>106886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35</xdr:row>
      <xdr:rowOff>48860</xdr:rowOff>
    </xdr:from>
    <xdr:to>
      <xdr:col>30</xdr:col>
      <xdr:colOff>38100</xdr:colOff>
      <xdr:row>55</xdr:row>
      <xdr:rowOff>106886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35</xdr:row>
      <xdr:rowOff>48860</xdr:rowOff>
    </xdr:from>
    <xdr:to>
      <xdr:col>31</xdr:col>
      <xdr:colOff>38100</xdr:colOff>
      <xdr:row>55</xdr:row>
      <xdr:rowOff>106886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48860</xdr:rowOff>
    </xdr:from>
    <xdr:to>
      <xdr:col>32</xdr:col>
      <xdr:colOff>38100</xdr:colOff>
      <xdr:row>55</xdr:row>
      <xdr:rowOff>106886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48860</xdr:rowOff>
    </xdr:from>
    <xdr:to>
      <xdr:col>33</xdr:col>
      <xdr:colOff>38100</xdr:colOff>
      <xdr:row>55</xdr:row>
      <xdr:rowOff>106886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48860</xdr:rowOff>
    </xdr:from>
    <xdr:to>
      <xdr:col>34</xdr:col>
      <xdr:colOff>38100</xdr:colOff>
      <xdr:row>55</xdr:row>
      <xdr:rowOff>106886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49737</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49737</xdr:rowOff>
    </xdr:from>
    <xdr:to>
      <xdr:col>15</xdr:col>
      <xdr:colOff>495300</xdr:colOff>
      <xdr:row>70</xdr:row>
      <xdr:rowOff>75683</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49737</xdr:rowOff>
    </xdr:from>
    <xdr:to>
      <xdr:col>16</xdr:col>
      <xdr:colOff>704850</xdr:colOff>
      <xdr:row>70</xdr:row>
      <xdr:rowOff>75683</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49737</xdr:rowOff>
    </xdr:from>
    <xdr:to>
      <xdr:col>17</xdr:col>
      <xdr:colOff>635000</xdr:colOff>
      <xdr:row>70</xdr:row>
      <xdr:rowOff>75683</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162737</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635000</xdr:colOff>
      <xdr:row>86</xdr:row>
      <xdr:rowOff>162737</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115195</xdr:rowOff>
    </xdr:from>
    <xdr:to>
      <xdr:col>9</xdr:col>
      <xdr:colOff>19050</xdr:colOff>
      <xdr:row>91</xdr:row>
      <xdr:rowOff>145658</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120730</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76</xdr:row>
      <xdr:rowOff>188</xdr:rowOff>
    </xdr:from>
    <xdr:to>
      <xdr:col>9</xdr:col>
      <xdr:colOff>19050</xdr:colOff>
      <xdr:row>96</xdr:row>
      <xdr:rowOff>48301</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76</xdr:row>
      <xdr:rowOff>188</xdr:rowOff>
    </xdr:from>
    <xdr:to>
      <xdr:col>17</xdr:col>
      <xdr:colOff>635000</xdr:colOff>
      <xdr:row>96</xdr:row>
      <xdr:rowOff>48301</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86401</xdr:rowOff>
    </xdr:from>
    <xdr:to>
      <xdr:col>9</xdr:col>
      <xdr:colOff>19050</xdr:colOff>
      <xdr:row>116</xdr:row>
      <xdr:rowOff>48421</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86960</xdr:rowOff>
    </xdr:from>
    <xdr:to>
      <xdr:col>9</xdr:col>
      <xdr:colOff>19050</xdr:colOff>
      <xdr:row>116</xdr:row>
      <xdr:rowOff>121106</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66485</xdr:rowOff>
    </xdr:from>
    <xdr:to>
      <xdr:col>9</xdr:col>
      <xdr:colOff>19050</xdr:colOff>
      <xdr:row>118</xdr:row>
      <xdr:rowOff>67406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87284</xdr:rowOff>
    </xdr:from>
    <xdr:to>
      <xdr:col>9</xdr:col>
      <xdr:colOff>19050</xdr:colOff>
      <xdr:row>119</xdr:row>
      <xdr:rowOff>67406</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28834</xdr:rowOff>
    </xdr:from>
    <xdr:to>
      <xdr:col>9</xdr:col>
      <xdr:colOff>19050</xdr:colOff>
      <xdr:row>140</xdr:row>
      <xdr:rowOff>141259</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6607</xdr:rowOff>
    </xdr:from>
    <xdr:to>
      <xdr:col>9</xdr:col>
      <xdr:colOff>19050</xdr:colOff>
      <xdr:row>141</xdr:row>
      <xdr:rowOff>141260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29846</xdr:rowOff>
    </xdr:from>
    <xdr:to>
      <xdr:col>9</xdr:col>
      <xdr:colOff>19050</xdr:colOff>
      <xdr:row>142</xdr:row>
      <xdr:rowOff>30134</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29846</xdr:rowOff>
    </xdr:from>
    <xdr:to>
      <xdr:col>9</xdr:col>
      <xdr:colOff>19050</xdr:colOff>
      <xdr:row>143</xdr:row>
      <xdr:rowOff>30134</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254000</xdr:colOff>
      <xdr:row>146</xdr:row>
      <xdr:rowOff>87284</xdr:rowOff>
    </xdr:from>
    <xdr:to>
      <xdr:col>26</xdr:col>
      <xdr:colOff>38100</xdr:colOff>
      <xdr:row>166</xdr:row>
      <xdr:rowOff>141260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149</xdr:row>
      <xdr:rowOff>87284</xdr:rowOff>
    </xdr:from>
    <xdr:to>
      <xdr:col>27</xdr:col>
      <xdr:colOff>38100</xdr:colOff>
      <xdr:row>169</xdr:row>
      <xdr:rowOff>141260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149</xdr:row>
      <xdr:rowOff>87284</xdr:rowOff>
    </xdr:from>
    <xdr:to>
      <xdr:col>28</xdr:col>
      <xdr:colOff>38100</xdr:colOff>
      <xdr:row>169</xdr:row>
      <xdr:rowOff>141260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149</xdr:row>
      <xdr:rowOff>87284</xdr:rowOff>
    </xdr:from>
    <xdr:to>
      <xdr:col>29</xdr:col>
      <xdr:colOff>38100</xdr:colOff>
      <xdr:row>169</xdr:row>
      <xdr:rowOff>141260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149</xdr:row>
      <xdr:rowOff>87284</xdr:rowOff>
    </xdr:from>
    <xdr:to>
      <xdr:col>30</xdr:col>
      <xdr:colOff>38100</xdr:colOff>
      <xdr:row>169</xdr:row>
      <xdr:rowOff>141260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149</xdr:row>
      <xdr:rowOff>87284</xdr:rowOff>
    </xdr:from>
    <xdr:to>
      <xdr:col>31</xdr:col>
      <xdr:colOff>38100</xdr:colOff>
      <xdr:row>169</xdr:row>
      <xdr:rowOff>141260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87284</xdr:rowOff>
    </xdr:from>
    <xdr:to>
      <xdr:col>32</xdr:col>
      <xdr:colOff>38100</xdr:colOff>
      <xdr:row>169</xdr:row>
      <xdr:rowOff>141260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87284</xdr:rowOff>
    </xdr:from>
    <xdr:to>
      <xdr:col>34</xdr:col>
      <xdr:colOff>38100</xdr:colOff>
      <xdr:row>169</xdr:row>
      <xdr:rowOff>141260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35</xdr:row>
      <xdr:rowOff>48860</xdr:rowOff>
    </xdr:from>
    <xdr:to>
      <xdr:col>30</xdr:col>
      <xdr:colOff>819150</xdr:colOff>
      <xdr:row>39</xdr:row>
      <xdr:rowOff>122201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149</xdr:row>
      <xdr:rowOff>87284</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254000</xdr:colOff>
      <xdr:row>12</xdr:row>
      <xdr:rowOff>66302</xdr:rowOff>
    </xdr:from>
    <xdr:to>
      <xdr:col>18</xdr:col>
      <xdr:colOff>806450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20</xdr:row>
      <xdr:rowOff>66301</xdr:rowOff>
    </xdr:from>
    <xdr:to>
      <xdr:col>30</xdr:col>
      <xdr:colOff>819150</xdr:colOff>
      <xdr:row>24</xdr:row>
      <xdr:rowOff>143178</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254000</xdr:colOff>
      <xdr:row>23</xdr:row>
      <xdr:rowOff>66301</xdr:rowOff>
    </xdr:from>
    <xdr:to>
      <xdr:col>23</xdr:col>
      <xdr:colOff>44450</xdr:colOff>
      <xdr:row>27</xdr:row>
      <xdr:rowOff>120878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23</xdr:row>
      <xdr:rowOff>66301</xdr:rowOff>
    </xdr:from>
    <xdr:to>
      <xdr:col>24</xdr:col>
      <xdr:colOff>44450</xdr:colOff>
      <xdr:row>27</xdr:row>
      <xdr:rowOff>120878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23</xdr:row>
      <xdr:rowOff>66301</xdr:rowOff>
    </xdr:from>
    <xdr:to>
      <xdr:col>25</xdr:col>
      <xdr:colOff>44450</xdr:colOff>
      <xdr:row>27</xdr:row>
      <xdr:rowOff>120878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23</xdr:row>
      <xdr:rowOff>66301</xdr:rowOff>
    </xdr:from>
    <xdr:to>
      <xdr:col>26</xdr:col>
      <xdr:colOff>44450</xdr:colOff>
      <xdr:row>27</xdr:row>
      <xdr:rowOff>120878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23</xdr:row>
      <xdr:rowOff>66301</xdr:rowOff>
    </xdr:from>
    <xdr:to>
      <xdr:col>27</xdr:col>
      <xdr:colOff>38100</xdr:colOff>
      <xdr:row>27</xdr:row>
      <xdr:rowOff>120878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66301</xdr:rowOff>
    </xdr:from>
    <xdr:to>
      <xdr:col>28</xdr:col>
      <xdr:colOff>38100</xdr:colOff>
      <xdr:row>27</xdr:row>
      <xdr:rowOff>120878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66301</xdr:rowOff>
    </xdr:from>
    <xdr:to>
      <xdr:col>29</xdr:col>
      <xdr:colOff>38100</xdr:colOff>
      <xdr:row>27</xdr:row>
      <xdr:rowOff>120878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66301</xdr:rowOff>
    </xdr:from>
    <xdr:to>
      <xdr:col>29</xdr:col>
      <xdr:colOff>819150</xdr:colOff>
      <xdr:row>27</xdr:row>
      <xdr:rowOff>120878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368300</xdr:colOff>
      <xdr:row>23</xdr:row>
      <xdr:rowOff>66301</xdr:rowOff>
    </xdr:from>
    <xdr:to>
      <xdr:col>30</xdr:col>
      <xdr:colOff>819150</xdr:colOff>
      <xdr:row>27</xdr:row>
      <xdr:rowOff>120878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31</xdr:row>
      <xdr:rowOff>29009</xdr:rowOff>
    </xdr:from>
    <xdr:to>
      <xdr:col>34</xdr:col>
      <xdr:colOff>38100</xdr:colOff>
      <xdr:row>51</xdr:row>
      <xdr:rowOff>106885</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29009</xdr:rowOff>
    </xdr:from>
    <xdr:to>
      <xdr:col>38</xdr:col>
      <xdr:colOff>38100</xdr:colOff>
      <xdr:row>51</xdr:row>
      <xdr:rowOff>106885</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48860</xdr:rowOff>
    </xdr:from>
    <xdr:to>
      <xdr:col>27</xdr:col>
      <xdr:colOff>38100</xdr:colOff>
      <xdr:row>55</xdr:row>
      <xdr:rowOff>106886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48860</xdr:rowOff>
    </xdr:from>
    <xdr:to>
      <xdr:col>28</xdr:col>
      <xdr:colOff>38100</xdr:colOff>
      <xdr:row>55</xdr:row>
      <xdr:rowOff>106886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48860</xdr:rowOff>
    </xdr:from>
    <xdr:to>
      <xdr:col>29</xdr:col>
      <xdr:colOff>38100</xdr:colOff>
      <xdr:row>55</xdr:row>
      <xdr:rowOff>106886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48860</xdr:rowOff>
    </xdr:from>
    <xdr:to>
      <xdr:col>30</xdr:col>
      <xdr:colOff>38100</xdr:colOff>
      <xdr:row>55</xdr:row>
      <xdr:rowOff>106886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48860</xdr:rowOff>
    </xdr:from>
    <xdr:to>
      <xdr:col>31</xdr:col>
      <xdr:colOff>38100</xdr:colOff>
      <xdr:row>55</xdr:row>
      <xdr:rowOff>106886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48860</xdr:rowOff>
    </xdr:from>
    <xdr:to>
      <xdr:col>32</xdr:col>
      <xdr:colOff>38100</xdr:colOff>
      <xdr:row>55</xdr:row>
      <xdr:rowOff>106886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48860</xdr:rowOff>
    </xdr:from>
    <xdr:to>
      <xdr:col>33</xdr:col>
      <xdr:colOff>38100</xdr:colOff>
      <xdr:row>55</xdr:row>
      <xdr:rowOff>106886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48860</xdr:rowOff>
    </xdr:from>
    <xdr:to>
      <xdr:col>34</xdr:col>
      <xdr:colOff>38100</xdr:colOff>
      <xdr:row>55</xdr:row>
      <xdr:rowOff>106886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46</xdr:row>
      <xdr:rowOff>49737</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49737</xdr:rowOff>
    </xdr:from>
    <xdr:to>
      <xdr:col>15</xdr:col>
      <xdr:colOff>495300</xdr:colOff>
      <xdr:row>70</xdr:row>
      <xdr:rowOff>75683</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49737</xdr:rowOff>
    </xdr:from>
    <xdr:to>
      <xdr:col>16</xdr:col>
      <xdr:colOff>704850</xdr:colOff>
      <xdr:row>70</xdr:row>
      <xdr:rowOff>75683</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49737</xdr:rowOff>
    </xdr:from>
    <xdr:to>
      <xdr:col>17</xdr:col>
      <xdr:colOff>628650</xdr:colOff>
      <xdr:row>70</xdr:row>
      <xdr:rowOff>75683</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63</xdr:row>
      <xdr:rowOff>150626</xdr:rowOff>
    </xdr:from>
    <xdr:to>
      <xdr:col>9</xdr:col>
      <xdr:colOff>19050</xdr:colOff>
      <xdr:row>86</xdr:row>
      <xdr:rowOff>162737</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63</xdr:row>
      <xdr:rowOff>150626</xdr:rowOff>
    </xdr:from>
    <xdr:to>
      <xdr:col>17</xdr:col>
      <xdr:colOff>628650</xdr:colOff>
      <xdr:row>86</xdr:row>
      <xdr:rowOff>162737</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71</xdr:row>
      <xdr:rowOff>115195</xdr:rowOff>
    </xdr:from>
    <xdr:to>
      <xdr:col>9</xdr:col>
      <xdr:colOff>19050</xdr:colOff>
      <xdr:row>91</xdr:row>
      <xdr:rowOff>145658</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74</xdr:row>
      <xdr:rowOff>120730</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188</xdr:rowOff>
    </xdr:from>
    <xdr:to>
      <xdr:col>9</xdr:col>
      <xdr:colOff>19050</xdr:colOff>
      <xdr:row>96</xdr:row>
      <xdr:rowOff>48301</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188</xdr:rowOff>
    </xdr:from>
    <xdr:to>
      <xdr:col>17</xdr:col>
      <xdr:colOff>628650</xdr:colOff>
      <xdr:row>96</xdr:row>
      <xdr:rowOff>48301</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86401</xdr:rowOff>
    </xdr:from>
    <xdr:to>
      <xdr:col>9</xdr:col>
      <xdr:colOff>19050</xdr:colOff>
      <xdr:row>116</xdr:row>
      <xdr:rowOff>48421</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86960</xdr:rowOff>
    </xdr:from>
    <xdr:to>
      <xdr:col>9</xdr:col>
      <xdr:colOff>19050</xdr:colOff>
      <xdr:row>116</xdr:row>
      <xdr:rowOff>121106</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66485</xdr:rowOff>
    </xdr:from>
    <xdr:to>
      <xdr:col>9</xdr:col>
      <xdr:colOff>19050</xdr:colOff>
      <xdr:row>118</xdr:row>
      <xdr:rowOff>67406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87284</xdr:rowOff>
    </xdr:from>
    <xdr:to>
      <xdr:col>9</xdr:col>
      <xdr:colOff>19050</xdr:colOff>
      <xdr:row>119</xdr:row>
      <xdr:rowOff>67406</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120</xdr:row>
      <xdr:rowOff>28834</xdr:rowOff>
    </xdr:from>
    <xdr:to>
      <xdr:col>9</xdr:col>
      <xdr:colOff>19050</xdr:colOff>
      <xdr:row>140</xdr:row>
      <xdr:rowOff>141259</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6607</xdr:rowOff>
    </xdr:from>
    <xdr:to>
      <xdr:col>9</xdr:col>
      <xdr:colOff>19050</xdr:colOff>
      <xdr:row>141</xdr:row>
      <xdr:rowOff>141260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29846</xdr:rowOff>
    </xdr:from>
    <xdr:to>
      <xdr:col>9</xdr:col>
      <xdr:colOff>19050</xdr:colOff>
      <xdr:row>142</xdr:row>
      <xdr:rowOff>30134</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29846</xdr:rowOff>
    </xdr:from>
    <xdr:to>
      <xdr:col>9</xdr:col>
      <xdr:colOff>19050</xdr:colOff>
      <xdr:row>143</xdr:row>
      <xdr:rowOff>30134</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87284</xdr:rowOff>
    </xdr:from>
    <xdr:to>
      <xdr:col>26</xdr:col>
      <xdr:colOff>38100</xdr:colOff>
      <xdr:row>166</xdr:row>
      <xdr:rowOff>141260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87284</xdr:rowOff>
    </xdr:from>
    <xdr:to>
      <xdr:col>27</xdr:col>
      <xdr:colOff>38100</xdr:colOff>
      <xdr:row>169</xdr:row>
      <xdr:rowOff>141260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87284</xdr:rowOff>
    </xdr:from>
    <xdr:to>
      <xdr:col>28</xdr:col>
      <xdr:colOff>38100</xdr:colOff>
      <xdr:row>169</xdr:row>
      <xdr:rowOff>141260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87284</xdr:rowOff>
    </xdr:from>
    <xdr:to>
      <xdr:col>29</xdr:col>
      <xdr:colOff>38100</xdr:colOff>
      <xdr:row>169</xdr:row>
      <xdr:rowOff>141260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87284</xdr:rowOff>
    </xdr:from>
    <xdr:to>
      <xdr:col>30</xdr:col>
      <xdr:colOff>38100</xdr:colOff>
      <xdr:row>169</xdr:row>
      <xdr:rowOff>141260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87284</xdr:rowOff>
    </xdr:from>
    <xdr:to>
      <xdr:col>31</xdr:col>
      <xdr:colOff>38100</xdr:colOff>
      <xdr:row>169</xdr:row>
      <xdr:rowOff>141260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87284</xdr:rowOff>
    </xdr:from>
    <xdr:to>
      <xdr:col>32</xdr:col>
      <xdr:colOff>38100</xdr:colOff>
      <xdr:row>169</xdr:row>
      <xdr:rowOff>141260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87284</xdr:rowOff>
    </xdr:from>
    <xdr:to>
      <xdr:col>34</xdr:col>
      <xdr:colOff>38100</xdr:colOff>
      <xdr:row>169</xdr:row>
      <xdr:rowOff>141260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48860</xdr:rowOff>
    </xdr:from>
    <xdr:to>
      <xdr:col>30</xdr:col>
      <xdr:colOff>806450</xdr:colOff>
      <xdr:row>39</xdr:row>
      <xdr:rowOff>122201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87284</xdr:rowOff>
    </xdr:from>
    <xdr:to>
      <xdr:col>30</xdr:col>
      <xdr:colOff>806450</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66302</xdr:rowOff>
    </xdr:from>
    <xdr:to>
      <xdr:col>18</xdr:col>
      <xdr:colOff>800100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66301</xdr:rowOff>
    </xdr:from>
    <xdr:to>
      <xdr:col>30</xdr:col>
      <xdr:colOff>806450</xdr:colOff>
      <xdr:row>24</xdr:row>
      <xdr:rowOff>143178</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66301</xdr:rowOff>
    </xdr:from>
    <xdr:to>
      <xdr:col>23</xdr:col>
      <xdr:colOff>38100</xdr:colOff>
      <xdr:row>27</xdr:row>
      <xdr:rowOff>120878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66301</xdr:rowOff>
    </xdr:from>
    <xdr:to>
      <xdr:col>24</xdr:col>
      <xdr:colOff>38100</xdr:colOff>
      <xdr:row>27</xdr:row>
      <xdr:rowOff>120878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66301</xdr:rowOff>
    </xdr:from>
    <xdr:to>
      <xdr:col>25</xdr:col>
      <xdr:colOff>38100</xdr:colOff>
      <xdr:row>27</xdr:row>
      <xdr:rowOff>120878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66301</xdr:rowOff>
    </xdr:from>
    <xdr:to>
      <xdr:col>26</xdr:col>
      <xdr:colOff>38100</xdr:colOff>
      <xdr:row>27</xdr:row>
      <xdr:rowOff>120878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66301</xdr:rowOff>
    </xdr:from>
    <xdr:to>
      <xdr:col>27</xdr:col>
      <xdr:colOff>38100</xdr:colOff>
      <xdr:row>27</xdr:row>
      <xdr:rowOff>120878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23</xdr:row>
      <xdr:rowOff>66301</xdr:rowOff>
    </xdr:from>
    <xdr:to>
      <xdr:col>28</xdr:col>
      <xdr:colOff>38100</xdr:colOff>
      <xdr:row>27</xdr:row>
      <xdr:rowOff>120878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23</xdr:row>
      <xdr:rowOff>66301</xdr:rowOff>
    </xdr:from>
    <xdr:to>
      <xdr:col>29</xdr:col>
      <xdr:colOff>38100</xdr:colOff>
      <xdr:row>27</xdr:row>
      <xdr:rowOff>120878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23</xdr:row>
      <xdr:rowOff>66301</xdr:rowOff>
    </xdr:from>
    <xdr:to>
      <xdr:col>29</xdr:col>
      <xdr:colOff>819150</xdr:colOff>
      <xdr:row>27</xdr:row>
      <xdr:rowOff>120878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66301</xdr:rowOff>
    </xdr:from>
    <xdr:to>
      <xdr:col>30</xdr:col>
      <xdr:colOff>806450</xdr:colOff>
      <xdr:row>27</xdr:row>
      <xdr:rowOff>120878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378377</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50</xdr:row>
      <xdr:rowOff>40585</xdr:rowOff>
    </xdr:from>
    <xdr:to>
      <xdr:col>15</xdr:col>
      <xdr:colOff>495300</xdr:colOff>
      <xdr:row>72</xdr:row>
      <xdr:rowOff>19464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50</xdr:row>
      <xdr:rowOff>40585</xdr:rowOff>
    </xdr:from>
    <xdr:to>
      <xdr:col>16</xdr:col>
      <xdr:colOff>704850</xdr:colOff>
      <xdr:row>72</xdr:row>
      <xdr:rowOff>19464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50</xdr:row>
      <xdr:rowOff>40585</xdr:rowOff>
    </xdr:from>
    <xdr:to>
      <xdr:col>17</xdr:col>
      <xdr:colOff>628650</xdr:colOff>
      <xdr:row>72</xdr:row>
      <xdr:rowOff>19464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106570</xdr:rowOff>
    </xdr:from>
    <xdr:to>
      <xdr:col>9</xdr:col>
      <xdr:colOff>0</xdr:colOff>
      <xdr:row>81</xdr:row>
      <xdr:rowOff>172692</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106570</xdr:rowOff>
    </xdr:from>
    <xdr:to>
      <xdr:col>17</xdr:col>
      <xdr:colOff>628650</xdr:colOff>
      <xdr:row>81</xdr:row>
      <xdr:rowOff>172692</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67</xdr:row>
      <xdr:rowOff>27194</xdr:rowOff>
    </xdr:from>
    <xdr:to>
      <xdr:col>9</xdr:col>
      <xdr:colOff>19050</xdr:colOff>
      <xdr:row>87</xdr:row>
      <xdr:rowOff>25400</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64052</xdr:rowOff>
    </xdr:from>
    <xdr:to>
      <xdr:col>9</xdr:col>
      <xdr:colOff>19050</xdr:colOff>
      <xdr:row>87</xdr:row>
      <xdr:rowOff>273050</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69</xdr:row>
      <xdr:rowOff>37272</xdr:rowOff>
    </xdr:from>
    <xdr:to>
      <xdr:col>9</xdr:col>
      <xdr:colOff>0</xdr:colOff>
      <xdr:row>88</xdr:row>
      <xdr:rowOff>153643</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126310</xdr:rowOff>
    </xdr:from>
    <xdr:to>
      <xdr:col>9</xdr:col>
      <xdr:colOff>19050</xdr:colOff>
      <xdr:row>96</xdr:row>
      <xdr:rowOff>49558</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126310</xdr:rowOff>
    </xdr:from>
    <xdr:to>
      <xdr:col>17</xdr:col>
      <xdr:colOff>628650</xdr:colOff>
      <xdr:row>96</xdr:row>
      <xdr:rowOff>49558</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163858</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10629</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10630</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99</xdr:row>
      <xdr:rowOff>68607</xdr:rowOff>
    </xdr:from>
    <xdr:to>
      <xdr:col>9</xdr:col>
      <xdr:colOff>19050</xdr:colOff>
      <xdr:row>119</xdr:row>
      <xdr:rowOff>10629</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124929</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30507</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30508</xdr:rowOff>
    </xdr:from>
    <xdr:to>
      <xdr:col>9</xdr:col>
      <xdr:colOff>19050</xdr:colOff>
      <xdr:row>142</xdr:row>
      <xdr:rowOff>68607</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30508</xdr:rowOff>
    </xdr:from>
    <xdr:to>
      <xdr:col>9</xdr:col>
      <xdr:colOff>19050</xdr:colOff>
      <xdr:row>143</xdr:row>
      <xdr:rowOff>30508</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25</xdr:row>
      <xdr:rowOff>172002</xdr:rowOff>
    </xdr:from>
    <xdr:to>
      <xdr:col>34</xdr:col>
      <xdr:colOff>19050</xdr:colOff>
      <xdr:row>46</xdr:row>
      <xdr:rowOff>162477</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162477</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31060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31060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31060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31060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31060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35</xdr:row>
      <xdr:rowOff>31060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35</xdr:row>
      <xdr:rowOff>31060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35</xdr:row>
      <xdr:rowOff>31060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40</xdr:row>
      <xdr:rowOff>97735</xdr:rowOff>
    </xdr:from>
    <xdr:to>
      <xdr:col>15</xdr:col>
      <xdr:colOff>495300</xdr:colOff>
      <xdr:row>59</xdr:row>
      <xdr:rowOff>378377</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561975</xdr:colOff>
      <xdr:row>45</xdr:row>
      <xdr:rowOff>2485</xdr:rowOff>
    </xdr:from>
    <xdr:to>
      <xdr:col>15</xdr:col>
      <xdr:colOff>495300</xdr:colOff>
      <xdr:row>67</xdr:row>
      <xdr:rowOff>102152</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581025</xdr:colOff>
      <xdr:row>45</xdr:row>
      <xdr:rowOff>2485</xdr:rowOff>
    </xdr:from>
    <xdr:to>
      <xdr:col>16</xdr:col>
      <xdr:colOff>704850</xdr:colOff>
      <xdr:row>67</xdr:row>
      <xdr:rowOff>102152</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45</xdr:row>
      <xdr:rowOff>2485</xdr:rowOff>
    </xdr:from>
    <xdr:to>
      <xdr:col>17</xdr:col>
      <xdr:colOff>628650</xdr:colOff>
      <xdr:row>67</xdr:row>
      <xdr:rowOff>102152</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60</xdr:row>
      <xdr:rowOff>106570</xdr:rowOff>
    </xdr:from>
    <xdr:to>
      <xdr:col>9</xdr:col>
      <xdr:colOff>0</xdr:colOff>
      <xdr:row>81</xdr:row>
      <xdr:rowOff>134592</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60</xdr:row>
      <xdr:rowOff>106570</xdr:rowOff>
    </xdr:from>
    <xdr:to>
      <xdr:col>17</xdr:col>
      <xdr:colOff>628650</xdr:colOff>
      <xdr:row>81</xdr:row>
      <xdr:rowOff>134592</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65</xdr:row>
      <xdr:rowOff>74129</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83102</xdr:rowOff>
    </xdr:from>
    <xdr:to>
      <xdr:col>9</xdr:col>
      <xdr:colOff>19050</xdr:colOff>
      <xdr:row>88</xdr:row>
      <xdr:rowOff>19050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68</xdr:row>
      <xdr:rowOff>208722</xdr:rowOff>
    </xdr:from>
    <xdr:to>
      <xdr:col>9</xdr:col>
      <xdr:colOff>0</xdr:colOff>
      <xdr:row>88</xdr:row>
      <xdr:rowOff>134593</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76</xdr:row>
      <xdr:rowOff>126310</xdr:rowOff>
    </xdr:from>
    <xdr:to>
      <xdr:col>9</xdr:col>
      <xdr:colOff>19050</xdr:colOff>
      <xdr:row>96</xdr:row>
      <xdr:rowOff>49558</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352425</xdr:colOff>
      <xdr:row>76</xdr:row>
      <xdr:rowOff>126310</xdr:rowOff>
    </xdr:from>
    <xdr:to>
      <xdr:col>17</xdr:col>
      <xdr:colOff>628650</xdr:colOff>
      <xdr:row>96</xdr:row>
      <xdr:rowOff>49558</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96</xdr:row>
      <xdr:rowOff>163858</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97</xdr:row>
      <xdr:rowOff>65432</xdr:rowOff>
    </xdr:from>
    <xdr:to>
      <xdr:col>9</xdr:col>
      <xdr:colOff>19050</xdr:colOff>
      <xdr:row>117</xdr:row>
      <xdr:rowOff>10629</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98</xdr:row>
      <xdr:rowOff>65433</xdr:rowOff>
    </xdr:from>
    <xdr:to>
      <xdr:col>9</xdr:col>
      <xdr:colOff>19050</xdr:colOff>
      <xdr:row>118</xdr:row>
      <xdr:rowOff>10630</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93</xdr:row>
      <xdr:rowOff>125758</xdr:rowOff>
    </xdr:from>
    <xdr:to>
      <xdr:col>9</xdr:col>
      <xdr:colOff>19050</xdr:colOff>
      <xdr:row>113</xdr:row>
      <xdr:rowOff>105880</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114</xdr:row>
      <xdr:rowOff>124929</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121</xdr:row>
      <xdr:rowOff>30507</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122</xdr:row>
      <xdr:rowOff>30508</xdr:rowOff>
    </xdr:from>
    <xdr:to>
      <xdr:col>9</xdr:col>
      <xdr:colOff>19050</xdr:colOff>
      <xdr:row>142</xdr:row>
      <xdr:rowOff>68607</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3248025</xdr:colOff>
      <xdr:row>123</xdr:row>
      <xdr:rowOff>30508</xdr:rowOff>
    </xdr:from>
    <xdr:to>
      <xdr:col>9</xdr:col>
      <xdr:colOff>19050</xdr:colOff>
      <xdr:row>143</xdr:row>
      <xdr:rowOff>30508</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68608</xdr:rowOff>
    </xdr:from>
    <xdr:to>
      <xdr:col>26</xdr:col>
      <xdr:colOff>19050</xdr:colOff>
      <xdr:row>166</xdr:row>
      <xdr:rowOff>144808</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68607</xdr:rowOff>
    </xdr:from>
    <xdr:to>
      <xdr:col>27</xdr:col>
      <xdr:colOff>19050</xdr:colOff>
      <xdr:row>169</xdr:row>
      <xdr:rowOff>144808</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68607</xdr:rowOff>
    </xdr:from>
    <xdr:to>
      <xdr:col>28</xdr:col>
      <xdr:colOff>19050</xdr:colOff>
      <xdr:row>169</xdr:row>
      <xdr:rowOff>144808</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68607</xdr:rowOff>
    </xdr:from>
    <xdr:to>
      <xdr:col>29</xdr:col>
      <xdr:colOff>19050</xdr:colOff>
      <xdr:row>169</xdr:row>
      <xdr:rowOff>144808</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68607</xdr:rowOff>
    </xdr:from>
    <xdr:to>
      <xdr:col>30</xdr:col>
      <xdr:colOff>19050</xdr:colOff>
      <xdr:row>169</xdr:row>
      <xdr:rowOff>144808</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68607</xdr:rowOff>
    </xdr:from>
    <xdr:to>
      <xdr:col>31</xdr:col>
      <xdr:colOff>19050</xdr:colOff>
      <xdr:row>169</xdr:row>
      <xdr:rowOff>144808</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149</xdr:row>
      <xdr:rowOff>68607</xdr:rowOff>
    </xdr:from>
    <xdr:to>
      <xdr:col>32</xdr:col>
      <xdr:colOff>19050</xdr:colOff>
      <xdr:row>169</xdr:row>
      <xdr:rowOff>144808</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149</xdr:row>
      <xdr:rowOff>68607</xdr:rowOff>
    </xdr:from>
    <xdr:to>
      <xdr:col>34</xdr:col>
      <xdr:colOff>19050</xdr:colOff>
      <xdr:row>169</xdr:row>
      <xdr:rowOff>144808</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31060</xdr:rowOff>
    </xdr:from>
    <xdr:to>
      <xdr:col>34</xdr:col>
      <xdr:colOff>596900</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68607</xdr:rowOff>
    </xdr:from>
    <xdr:to>
      <xdr:col>34</xdr:col>
      <xdr:colOff>596900</xdr:colOff>
      <xdr:row>169</xdr:row>
      <xdr:rowOff>163858</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126310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254000</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254000</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254000</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596900</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162477</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596900</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714375</xdr:colOff>
      <xdr:row>32</xdr:row>
      <xdr:rowOff>143565</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730250</xdr:colOff>
      <xdr:row>17</xdr:row>
      <xdr:rowOff>114300</xdr:rowOff>
    </xdr:from>
    <xdr:to>
      <xdr:col>35</xdr:col>
      <xdr:colOff>800100</xdr:colOff>
      <xdr:row>39</xdr:row>
      <xdr:rowOff>162477</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152400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61</xdr:row>
      <xdr:rowOff>92075</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61</xdr:row>
      <xdr:rowOff>92075</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61</xdr:row>
      <xdr:rowOff>92075</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133350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323850</xdr:rowOff>
    </xdr:from>
    <xdr:to>
      <xdr:col>9</xdr:col>
      <xdr:colOff>628650</xdr:colOff>
      <xdr:row>81</xdr:row>
      <xdr:rowOff>0</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111125</xdr:rowOff>
    </xdr:from>
    <xdr:to>
      <xdr:col>9</xdr:col>
      <xdr:colOff>628650</xdr:colOff>
      <xdr:row>85</xdr:row>
      <xdr:rowOff>0</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190500</xdr:rowOff>
    </xdr:from>
    <xdr:to>
      <xdr:col>9</xdr:col>
      <xdr:colOff>609600</xdr:colOff>
      <xdr:row>82</xdr:row>
      <xdr:rowOff>133350</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133350</xdr:rowOff>
    </xdr:from>
    <xdr:to>
      <xdr:col>9</xdr:col>
      <xdr:colOff>628650</xdr:colOff>
      <xdr:row>89</xdr:row>
      <xdr:rowOff>0</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149225</xdr:rowOff>
    </xdr:from>
    <xdr:to>
      <xdr:col>9</xdr:col>
      <xdr:colOff>628650</xdr:colOff>
      <xdr:row>108</xdr:row>
      <xdr:rowOff>76200</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53975</xdr:rowOff>
    </xdr:from>
    <xdr:to>
      <xdr:col>9</xdr:col>
      <xdr:colOff>628650</xdr:colOff>
      <xdr:row>109</xdr:row>
      <xdr:rowOff>114300</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57150</xdr:rowOff>
    </xdr:from>
    <xdr:to>
      <xdr:col>9</xdr:col>
      <xdr:colOff>628650</xdr:colOff>
      <xdr:row>110</xdr:row>
      <xdr:rowOff>114300</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15875</xdr:rowOff>
    </xdr:from>
    <xdr:to>
      <xdr:col>9</xdr:col>
      <xdr:colOff>628650</xdr:colOff>
      <xdr:row>109</xdr:row>
      <xdr:rowOff>114300</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106</xdr:row>
      <xdr:rowOff>190500</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108</xdr:row>
      <xdr:rowOff>152400</xdr:rowOff>
    </xdr:from>
    <xdr:to>
      <xdr:col>9</xdr:col>
      <xdr:colOff>628650</xdr:colOff>
      <xdr:row>128</xdr:row>
      <xdr:rowOff>19050</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76200</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76200</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19050</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34</xdr:row>
      <xdr:rowOff>0</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19050</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30</xdr:row>
      <xdr:rowOff>0</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38100</xdr:rowOff>
    </xdr:from>
    <xdr:to>
      <xdr:col>9</xdr:col>
      <xdr:colOff>647700</xdr:colOff>
      <xdr:row>86</xdr:row>
      <xdr:rowOff>0</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152400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2"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29"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0"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7" dT="2023-11-30T15:39:21.04" personId="{2C68A5A1-706F-4A3E-93A3-741BBABEC4EA}" id="{C146291D-B06B-4D46-A30C-B289BA81D51C}">
    <text>Start updating this chart again</text>
  </threadedComment>
  <threadedComment ref="B43"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 (-15)</text>
  </threadedComment>
  <threadedComment ref="AG12" dT="2026-02-20T21:00:51.73" personId="{B61C96CF-201E-4FBB-AE0C-863888EC2CC5}" id="{FD816064-C71D-418B-8227-1CD2FD4BBAC0}" parentId="{E29308D5-32BD-4C8D-A510-8963668B7349}">
    <text>And weaker taxes from Advance Estimate of Q4 data (-30)</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AH18" dT="2026-02-20T21:07:16.20" personId="{B61C96CF-201E-4FBB-AE0C-863888EC2CC5}" id="{24F94836-2C70-4D99-A431-04968E6EED39}">
    <text>5% decrease (half of 10% of IEEPA tariffs, which is 50% of total tariffs) - following the SC decision</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0.xml"/><Relationship Id="rId4" Type="http://schemas.microsoft.com/office/2017/10/relationships/threadedComment" Target="../threadedComments/threadedComment7.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1.xml"/><Relationship Id="rId4" Type="http://schemas.microsoft.com/office/2017/10/relationships/threadedComment" Target="../threadedComments/threadedComment8.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2.xml"/><Relationship Id="rId4" Type="http://schemas.microsoft.com/office/2017/10/relationships/threadedComment" Target="../threadedComments/threadedComment9.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4.xml"/><Relationship Id="rId4" Type="http://schemas.microsoft.com/office/2017/10/relationships/threadedComment" Target="../threadedComments/threadedComment11.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5.xml"/><Relationship Id="rId4" Type="http://schemas.microsoft.com/office/2017/10/relationships/threadedComment" Target="../threadedComments/threadedComment12.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6.xml"/><Relationship Id="rId4" Type="http://schemas.microsoft.com/office/2017/10/relationships/threadedComment" Target="../threadedComments/threadedComment13.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0.xml"/><Relationship Id="rId4" Type="http://schemas.microsoft.com/office/2017/10/relationships/threadedComment" Target="../threadedComments/threadedComment17.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2.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1950</v>
      </c>
    </row>
    <row r="3" spans="2:17" x14ac:dyDescent="0.35">
      <c r="B3" s="1349" t="s">
        <v>0</v>
      </c>
      <c r="C3" s="1350"/>
      <c r="D3" s="1350"/>
      <c r="E3" s="1350"/>
      <c r="F3" s="1350"/>
      <c r="G3" s="1350"/>
      <c r="H3" s="1350"/>
      <c r="I3" s="1350"/>
      <c r="J3" s="1350"/>
      <c r="K3" s="1350"/>
      <c r="L3" s="1350"/>
      <c r="M3" s="1350"/>
      <c r="N3" s="1350"/>
      <c r="O3" s="1350"/>
      <c r="P3" s="1350"/>
      <c r="Q3" s="1351"/>
    </row>
    <row r="4" spans="2:17" x14ac:dyDescent="0.35">
      <c r="B4" s="1352"/>
      <c r="C4" s="1353"/>
      <c r="D4" s="1353"/>
      <c r="E4" s="1353"/>
      <c r="F4" s="1353"/>
      <c r="G4" s="1353"/>
      <c r="H4" s="1353"/>
      <c r="I4" s="1353"/>
      <c r="J4" s="1353"/>
      <c r="K4" s="1353"/>
      <c r="L4" s="1353"/>
      <c r="M4" s="1353"/>
      <c r="N4" s="1353"/>
      <c r="O4" s="1353"/>
      <c r="P4" s="1353"/>
      <c r="Q4" s="1354"/>
    </row>
    <row r="5" spans="2:17" x14ac:dyDescent="0.35">
      <c r="B5" s="4" t="s">
        <v>1</v>
      </c>
      <c r="C5" s="17"/>
      <c r="D5" s="17"/>
      <c r="E5" s="17"/>
      <c r="F5" s="17"/>
      <c r="G5" s="17"/>
      <c r="H5" s="17"/>
      <c r="I5" s="17"/>
      <c r="J5" s="17"/>
      <c r="K5" s="17"/>
      <c r="L5" s="17"/>
      <c r="M5" s="17"/>
      <c r="N5" s="17"/>
      <c r="O5" s="17"/>
      <c r="P5" s="17"/>
      <c r="Q5" s="13"/>
    </row>
    <row r="6" spans="2:17" x14ac:dyDescent="0.35">
      <c r="B6" s="21" t="s">
        <v>2</v>
      </c>
      <c r="C6" s="1355" t="s">
        <v>1951</v>
      </c>
      <c r="D6" s="1355"/>
      <c r="E6" s="1355"/>
      <c r="F6" s="1355"/>
      <c r="G6" s="1355"/>
      <c r="H6" s="1355"/>
      <c r="I6" s="1355"/>
      <c r="J6" s="1355"/>
      <c r="K6" s="1355"/>
      <c r="L6" s="1355"/>
      <c r="M6" s="1355"/>
      <c r="N6" s="1355"/>
      <c r="O6" s="1355"/>
      <c r="P6" s="1355"/>
      <c r="Q6" s="1356"/>
    </row>
    <row r="7" spans="2:17" x14ac:dyDescent="0.35">
      <c r="B7" s="21" t="s">
        <v>3</v>
      </c>
      <c r="C7" s="14" t="s">
        <v>1952</v>
      </c>
      <c r="D7" s="14"/>
      <c r="E7" s="14"/>
      <c r="F7" s="14"/>
      <c r="G7" s="14"/>
      <c r="H7" s="14"/>
      <c r="I7" s="14"/>
      <c r="J7" s="14"/>
      <c r="K7" s="14"/>
      <c r="L7" s="14"/>
      <c r="M7" s="14"/>
      <c r="N7" s="14"/>
      <c r="O7" s="14"/>
      <c r="P7" s="14"/>
      <c r="Q7" s="18"/>
    </row>
    <row r="8" spans="2:17" x14ac:dyDescent="0.35">
      <c r="B8" s="21" t="s">
        <v>4</v>
      </c>
      <c r="C8" s="14" t="s">
        <v>1953</v>
      </c>
      <c r="D8" s="14"/>
      <c r="E8" s="14"/>
      <c r="F8" s="14"/>
      <c r="G8" s="14"/>
      <c r="H8" s="14"/>
      <c r="I8" s="14"/>
      <c r="J8" s="14"/>
      <c r="K8" s="14"/>
      <c r="L8" s="14"/>
      <c r="M8" s="14"/>
      <c r="N8" s="14"/>
      <c r="O8" s="14"/>
      <c r="P8" s="14"/>
      <c r="Q8" s="18"/>
    </row>
    <row r="9" spans="2:17" x14ac:dyDescent="0.35">
      <c r="B9" s="16" t="s">
        <v>9</v>
      </c>
      <c r="C9" s="1344" t="s">
        <v>1954</v>
      </c>
      <c r="D9" s="1344"/>
      <c r="E9" s="1344"/>
      <c r="F9" s="1344"/>
      <c r="G9" s="1344"/>
      <c r="H9" s="1344"/>
      <c r="I9" s="1344"/>
      <c r="J9" s="1344"/>
      <c r="K9" s="1344"/>
      <c r="L9" s="1344"/>
      <c r="M9" s="1344"/>
      <c r="N9" s="1344"/>
      <c r="O9" s="1344"/>
      <c r="P9" s="1344"/>
      <c r="Q9" s="1345"/>
    </row>
    <row r="10" spans="2:17" x14ac:dyDescent="0.35">
      <c r="B10" s="19" t="s">
        <v>1955</v>
      </c>
      <c r="C10" s="1344" t="s">
        <v>8</v>
      </c>
      <c r="D10" s="1344"/>
      <c r="E10" s="1344"/>
      <c r="F10" s="1344"/>
      <c r="G10" s="1344"/>
      <c r="H10" s="1344"/>
      <c r="I10" s="1344"/>
      <c r="J10" s="1344"/>
      <c r="K10" s="1344"/>
      <c r="L10" s="1344"/>
      <c r="M10" s="1344"/>
      <c r="N10" s="1344"/>
      <c r="O10" s="1344"/>
      <c r="P10" s="1344"/>
      <c r="Q10" s="1345"/>
    </row>
    <row r="11" spans="2:17" x14ac:dyDescent="0.35">
      <c r="B11" s="19" t="s">
        <v>1956</v>
      </c>
      <c r="C11" s="6" t="s">
        <v>1957</v>
      </c>
      <c r="D11" s="6"/>
      <c r="E11" s="6"/>
      <c r="F11" s="6"/>
      <c r="G11" s="6"/>
      <c r="H11" s="6"/>
      <c r="I11" s="6"/>
      <c r="J11" s="6"/>
      <c r="K11" s="6"/>
      <c r="L11" s="6"/>
      <c r="M11" s="6"/>
      <c r="N11" s="6"/>
      <c r="O11" s="6"/>
      <c r="P11" s="6"/>
      <c r="Q11" s="7"/>
    </row>
    <row r="12" spans="2:17" x14ac:dyDescent="0.35">
      <c r="B12" s="21" t="s">
        <v>1958</v>
      </c>
      <c r="C12" s="14" t="s">
        <v>6</v>
      </c>
      <c r="D12" s="14"/>
      <c r="E12" s="14"/>
      <c r="F12" s="14"/>
      <c r="G12" s="14"/>
      <c r="H12" s="14"/>
      <c r="I12" s="14"/>
      <c r="J12" s="14"/>
      <c r="K12" s="14"/>
      <c r="L12" s="14"/>
      <c r="M12" s="14"/>
      <c r="N12" s="14"/>
      <c r="O12" s="14"/>
      <c r="P12" s="14"/>
      <c r="Q12" s="18"/>
    </row>
    <row r="13" spans="2:17" x14ac:dyDescent="0.35">
      <c r="B13" s="21" t="s">
        <v>1959</v>
      </c>
      <c r="C13" s="14" t="s">
        <v>7</v>
      </c>
      <c r="D13" s="14"/>
      <c r="E13" s="14"/>
      <c r="F13" s="14"/>
      <c r="G13" s="14"/>
      <c r="H13" s="14"/>
      <c r="I13" s="14"/>
      <c r="J13" s="14"/>
      <c r="K13" s="14"/>
      <c r="L13" s="14"/>
      <c r="M13" s="14"/>
      <c r="N13" s="14"/>
      <c r="O13" s="14"/>
      <c r="P13" s="14"/>
      <c r="Q13" s="18"/>
    </row>
    <row r="14" spans="2:17" x14ac:dyDescent="0.35">
      <c r="B14" s="5" t="s">
        <v>1960</v>
      </c>
      <c r="C14" s="14" t="s">
        <v>795</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1961</v>
      </c>
      <c r="C16" s="22" t="s">
        <v>1962</v>
      </c>
      <c r="D16" s="14"/>
      <c r="E16" s="14"/>
      <c r="F16" s="14"/>
      <c r="G16" s="14"/>
      <c r="H16" s="14"/>
      <c r="I16" s="14"/>
      <c r="J16" s="14"/>
      <c r="K16" s="14"/>
      <c r="L16" s="14"/>
      <c r="M16" s="14"/>
      <c r="N16" s="14"/>
      <c r="O16" s="14"/>
      <c r="P16" s="14"/>
      <c r="Q16" s="18"/>
    </row>
    <row r="17" spans="2:17" ht="72.5" customHeight="1" x14ac:dyDescent="0.35">
      <c r="B17" s="1" t="s">
        <v>1963</v>
      </c>
      <c r="C17" s="1344" t="s">
        <v>796</v>
      </c>
      <c r="D17" s="1344"/>
      <c r="E17" s="1344"/>
      <c r="F17" s="1344"/>
      <c r="G17" s="1344"/>
      <c r="H17" s="1344"/>
      <c r="I17" s="1344"/>
      <c r="J17" s="1344"/>
      <c r="K17" s="1344"/>
      <c r="L17" s="1344"/>
      <c r="M17" s="1344"/>
      <c r="N17" s="1344"/>
      <c r="O17" s="1344"/>
      <c r="P17" s="1344"/>
      <c r="Q17" s="1345"/>
    </row>
    <row r="18" spans="2:17" ht="116" customHeight="1" x14ac:dyDescent="0.35">
      <c r="B18" s="1" t="s">
        <v>1964</v>
      </c>
      <c r="C18" s="1344" t="s">
        <v>1965</v>
      </c>
      <c r="D18" s="1344"/>
      <c r="E18" s="1344"/>
      <c r="F18" s="1344"/>
      <c r="G18" s="1344"/>
      <c r="H18" s="1344"/>
      <c r="I18" s="1344"/>
      <c r="J18" s="1344"/>
      <c r="K18" s="1344"/>
      <c r="L18" s="1344"/>
      <c r="M18" s="1344"/>
      <c r="N18" s="1344"/>
      <c r="O18" s="1344"/>
      <c r="P18" s="1344"/>
      <c r="Q18" s="1345"/>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797</v>
      </c>
      <c r="D22" s="8"/>
      <c r="E22" s="8"/>
      <c r="F22" s="8"/>
      <c r="G22" s="8"/>
      <c r="H22" s="8"/>
      <c r="I22" s="8"/>
      <c r="J22" s="8"/>
      <c r="K22" s="8"/>
      <c r="L22" s="8"/>
      <c r="M22" s="8"/>
      <c r="N22" s="8"/>
      <c r="O22" s="8"/>
      <c r="P22" s="8"/>
      <c r="Q22" s="2"/>
    </row>
    <row r="23" spans="2:17" ht="31.4" customHeight="1" x14ac:dyDescent="0.35">
      <c r="B23" s="21" t="s">
        <v>17</v>
      </c>
      <c r="C23" s="8" t="s">
        <v>798</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46" t="s">
        <v>799</v>
      </c>
      <c r="C27" s="1347"/>
      <c r="D27" s="1347"/>
      <c r="E27" s="1347"/>
      <c r="F27" s="1347"/>
      <c r="G27" s="1347"/>
      <c r="H27" s="1347"/>
      <c r="I27" s="1347"/>
      <c r="J27" s="1347"/>
      <c r="K27" s="1347"/>
      <c r="L27" s="1347"/>
      <c r="M27" s="1347"/>
      <c r="N27" s="1347"/>
      <c r="O27" s="1347"/>
      <c r="P27" s="1347"/>
      <c r="Q27" s="1348"/>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1933</v>
      </c>
      <c r="E1" s="26"/>
    </row>
    <row r="2" spans="1:6" ht="16.5" customHeight="1" x14ac:dyDescent="0.35">
      <c r="A2" s="1359" t="s">
        <v>29</v>
      </c>
      <c r="B2" s="1360"/>
      <c r="C2" s="1360"/>
      <c r="D2" s="1361"/>
      <c r="E2" s="26"/>
    </row>
    <row r="3" spans="1:6" ht="148.4" customHeight="1" x14ac:dyDescent="0.35">
      <c r="A3" s="31" t="s">
        <v>810</v>
      </c>
      <c r="B3" s="24" t="s">
        <v>1697</v>
      </c>
      <c r="C3" s="24" t="s">
        <v>809</v>
      </c>
      <c r="D3" s="35" t="s">
        <v>873</v>
      </c>
      <c r="E3" s="23" t="s">
        <v>2088</v>
      </c>
    </row>
    <row r="4" spans="1:6" ht="85.5" customHeight="1" x14ac:dyDescent="0.35">
      <c r="A4" s="31" t="s">
        <v>1773</v>
      </c>
      <c r="B4" s="24" t="s">
        <v>1774</v>
      </c>
      <c r="C4" s="24" t="s">
        <v>875</v>
      </c>
      <c r="D4" s="35" t="s">
        <v>873</v>
      </c>
      <c r="E4" s="24"/>
    </row>
    <row r="5" spans="1:6" ht="168" customHeight="1" x14ac:dyDescent="0.35">
      <c r="A5" s="31" t="s">
        <v>800</v>
      </c>
      <c r="B5" s="24" t="s">
        <v>801</v>
      </c>
      <c r="C5" s="24" t="s">
        <v>821</v>
      </c>
      <c r="D5" s="35" t="s">
        <v>873</v>
      </c>
      <c r="E5" s="24"/>
    </row>
    <row r="6" spans="1:6" ht="101.5" customHeight="1" x14ac:dyDescent="0.35">
      <c r="A6" s="31" t="s">
        <v>802</v>
      </c>
      <c r="B6" s="24" t="s">
        <v>30</v>
      </c>
      <c r="C6" s="24" t="s">
        <v>31</v>
      </c>
      <c r="D6" s="35" t="s">
        <v>873</v>
      </c>
      <c r="E6" s="23" t="s">
        <v>2088</v>
      </c>
    </row>
    <row r="7" spans="1:6" ht="88" customHeight="1" x14ac:dyDescent="0.35">
      <c r="A7" s="31" t="s">
        <v>1775</v>
      </c>
      <c r="B7" s="24" t="s">
        <v>1776</v>
      </c>
      <c r="C7" s="24" t="s">
        <v>1780</v>
      </c>
      <c r="D7" s="35" t="s">
        <v>873</v>
      </c>
      <c r="E7" s="24"/>
    </row>
    <row r="8" spans="1:6" ht="100.4" customHeight="1" x14ac:dyDescent="0.35">
      <c r="A8" s="31" t="s">
        <v>34</v>
      </c>
      <c r="B8" s="24" t="s">
        <v>35</v>
      </c>
      <c r="C8" s="37" t="s">
        <v>36</v>
      </c>
      <c r="D8" s="35" t="s">
        <v>873</v>
      </c>
      <c r="E8" s="24"/>
      <c r="F8" s="38"/>
    </row>
    <row r="9" spans="1:6" ht="78" customHeight="1" x14ac:dyDescent="0.35">
      <c r="A9" s="31" t="s">
        <v>37</v>
      </c>
      <c r="B9" s="24" t="s">
        <v>38</v>
      </c>
      <c r="C9" s="24" t="s">
        <v>827</v>
      </c>
      <c r="D9" s="35" t="s">
        <v>873</v>
      </c>
      <c r="E9" s="24"/>
    </row>
    <row r="10" spans="1:6" ht="67.5" customHeight="1" x14ac:dyDescent="0.35">
      <c r="A10" s="31" t="s">
        <v>781</v>
      </c>
      <c r="B10" s="24" t="s">
        <v>791</v>
      </c>
      <c r="C10" s="24" t="s">
        <v>839</v>
      </c>
      <c r="D10" s="35" t="s">
        <v>873</v>
      </c>
      <c r="E10" s="24"/>
    </row>
    <row r="11" spans="1:6" ht="88" customHeight="1" x14ac:dyDescent="0.35">
      <c r="A11" s="31" t="s">
        <v>39</v>
      </c>
      <c r="B11" s="24" t="s">
        <v>1966</v>
      </c>
      <c r="C11" s="24" t="s">
        <v>1967</v>
      </c>
      <c r="D11" s="35" t="s">
        <v>873</v>
      </c>
      <c r="E11" s="24"/>
    </row>
    <row r="12" spans="1:6" ht="15" customHeight="1" x14ac:dyDescent="0.35">
      <c r="A12" s="1359" t="s">
        <v>803</v>
      </c>
      <c r="B12" s="1360"/>
      <c r="C12" s="1360"/>
      <c r="D12" s="1361"/>
      <c r="E12" s="24"/>
    </row>
    <row r="13" spans="1:6" ht="29.9" customHeight="1" x14ac:dyDescent="0.35">
      <c r="A13" s="32" t="s">
        <v>5</v>
      </c>
      <c r="B13" s="1365" t="s">
        <v>805</v>
      </c>
      <c r="C13" s="1365"/>
      <c r="D13" s="36"/>
      <c r="E13" s="24"/>
    </row>
    <row r="14" spans="1:6" ht="48.65" customHeight="1" x14ac:dyDescent="0.35">
      <c r="A14" s="30" t="s">
        <v>804</v>
      </c>
      <c r="B14" s="1365" t="s">
        <v>814</v>
      </c>
      <c r="C14" s="1365"/>
      <c r="D14" s="35"/>
      <c r="E14" s="24"/>
    </row>
    <row r="15" spans="1:6" ht="48.65" customHeight="1" x14ac:dyDescent="0.35">
      <c r="A15" s="30" t="s">
        <v>806</v>
      </c>
      <c r="B15" s="1365" t="s">
        <v>807</v>
      </c>
      <c r="C15" s="1365"/>
      <c r="D15" s="25"/>
      <c r="E15" s="24"/>
    </row>
    <row r="16" spans="1:6" x14ac:dyDescent="0.35">
      <c r="A16" s="1362" t="s">
        <v>50</v>
      </c>
      <c r="B16" s="1363"/>
      <c r="C16" s="1363"/>
      <c r="D16" s="1364"/>
      <c r="E16" s="24"/>
    </row>
    <row r="17" spans="1:5" ht="36.65" customHeight="1" x14ac:dyDescent="0.35">
      <c r="A17" s="1357" t="s">
        <v>808</v>
      </c>
      <c r="B17" s="1358"/>
      <c r="C17" s="1358"/>
      <c r="D17" s="36"/>
      <c r="E17" s="24"/>
    </row>
    <row r="18" spans="1:5" ht="145.5" customHeight="1" x14ac:dyDescent="0.35">
      <c r="A18" s="31" t="s">
        <v>51</v>
      </c>
      <c r="B18" s="24" t="s">
        <v>1968</v>
      </c>
      <c r="C18" s="24" t="s">
        <v>834</v>
      </c>
      <c r="D18" s="35"/>
      <c r="E18" s="24"/>
    </row>
    <row r="19" spans="1:5" ht="63.65" customHeight="1" x14ac:dyDescent="0.35">
      <c r="A19" s="31" t="s">
        <v>52</v>
      </c>
      <c r="B19" s="24" t="s">
        <v>1969</v>
      </c>
      <c r="C19" s="24" t="s">
        <v>830</v>
      </c>
      <c r="D19" s="35"/>
      <c r="E19" s="24"/>
    </row>
    <row r="20" spans="1:5" ht="63.65" customHeight="1" x14ac:dyDescent="0.35">
      <c r="A20" s="31" t="s">
        <v>831</v>
      </c>
      <c r="B20" s="24" t="s">
        <v>832</v>
      </c>
      <c r="C20" s="24" t="s">
        <v>833</v>
      </c>
      <c r="D20" s="35"/>
      <c r="E20" s="24"/>
    </row>
    <row r="21" spans="1:5" ht="34.4" customHeight="1" x14ac:dyDescent="0.35">
      <c r="A21" s="1357" t="s">
        <v>788</v>
      </c>
      <c r="B21" s="1358"/>
      <c r="C21" s="1358"/>
      <c r="D21" s="25"/>
      <c r="E21" s="24"/>
    </row>
    <row r="22" spans="1:5" x14ac:dyDescent="0.35">
      <c r="A22" s="1362" t="s">
        <v>53</v>
      </c>
      <c r="B22" s="1363"/>
      <c r="C22" s="1363"/>
      <c r="D22" s="1364"/>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820</v>
      </c>
      <c r="D25" s="35"/>
      <c r="E25" s="24"/>
    </row>
    <row r="26" spans="1:5" ht="72" customHeight="1" x14ac:dyDescent="0.35">
      <c r="A26" s="33" t="s">
        <v>61</v>
      </c>
      <c r="B26" s="34" t="s">
        <v>62</v>
      </c>
      <c r="C26" s="34" t="s">
        <v>1970</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59" t="s">
        <v>29</v>
      </c>
      <c r="B2" s="1360"/>
      <c r="C2" s="1360"/>
      <c r="D2" s="1361"/>
      <c r="E2" s="40"/>
      <c r="F2" s="40"/>
    </row>
    <row r="3" spans="1:7" ht="148.4" customHeight="1" x14ac:dyDescent="0.35">
      <c r="A3" s="31" t="s">
        <v>67</v>
      </c>
      <c r="B3" s="24" t="s">
        <v>32</v>
      </c>
      <c r="C3" s="24" t="s">
        <v>2028</v>
      </c>
      <c r="D3" s="35" t="s">
        <v>2023</v>
      </c>
      <c r="E3" s="24"/>
      <c r="F3" s="24"/>
    </row>
    <row r="4" spans="1:7" ht="75" customHeight="1" x14ac:dyDescent="0.35">
      <c r="A4" s="31"/>
      <c r="B4" s="24"/>
      <c r="C4" s="24" t="s">
        <v>1918</v>
      </c>
      <c r="D4" s="35" t="s">
        <v>2023</v>
      </c>
      <c r="E4" s="24"/>
      <c r="F4" s="24"/>
    </row>
    <row r="5" spans="1:7" ht="86.5" customHeight="1" x14ac:dyDescent="0.35">
      <c r="A5" s="31" t="s">
        <v>63</v>
      </c>
      <c r="B5" s="24" t="s">
        <v>64</v>
      </c>
      <c r="C5" s="39" t="s">
        <v>36</v>
      </c>
      <c r="D5" s="35" t="s">
        <v>2023</v>
      </c>
      <c r="E5" s="24"/>
    </row>
    <row r="6" spans="1:7" ht="113.5" customHeight="1" x14ac:dyDescent="0.35">
      <c r="A6" s="31" t="s">
        <v>37</v>
      </c>
      <c r="B6" s="24" t="s">
        <v>1971</v>
      </c>
      <c r="C6" s="24" t="s">
        <v>1908</v>
      </c>
      <c r="D6" s="35" t="s">
        <v>2023</v>
      </c>
      <c r="E6" s="24"/>
      <c r="F6" s="24"/>
    </row>
    <row r="7" spans="1:7" ht="77" customHeight="1" x14ac:dyDescent="0.35">
      <c r="A7" s="31" t="s">
        <v>781</v>
      </c>
      <c r="B7" s="24" t="s">
        <v>791</v>
      </c>
      <c r="C7" s="24" t="s">
        <v>1972</v>
      </c>
      <c r="D7" s="35" t="s">
        <v>873</v>
      </c>
      <c r="E7" s="26"/>
      <c r="F7" s="24"/>
    </row>
    <row r="8" spans="1:7" ht="96.65" customHeight="1" x14ac:dyDescent="0.35">
      <c r="A8" s="31" t="s">
        <v>39</v>
      </c>
      <c r="B8" s="24" t="s">
        <v>1973</v>
      </c>
      <c r="C8" s="24" t="s">
        <v>2024</v>
      </c>
      <c r="D8" s="35" t="s">
        <v>2023</v>
      </c>
      <c r="E8" s="26"/>
      <c r="F8" s="24"/>
    </row>
    <row r="9" spans="1:7" ht="22.5" customHeight="1" x14ac:dyDescent="0.35">
      <c r="A9" s="1359" t="s">
        <v>803</v>
      </c>
      <c r="B9" s="1360"/>
      <c r="C9" s="1360"/>
      <c r="D9" s="1361"/>
      <c r="E9" s="26"/>
      <c r="F9" s="24"/>
    </row>
    <row r="10" spans="1:7" ht="44.5" customHeight="1" x14ac:dyDescent="0.35">
      <c r="A10" s="32" t="s">
        <v>65</v>
      </c>
      <c r="B10" s="1372" t="s">
        <v>812</v>
      </c>
      <c r="C10" s="1373"/>
      <c r="D10" s="35" t="s">
        <v>2023</v>
      </c>
      <c r="E10" s="26"/>
      <c r="F10" s="24"/>
    </row>
    <row r="11" spans="1:7" ht="33" customHeight="1" x14ac:dyDescent="0.35">
      <c r="A11" s="32" t="s">
        <v>811</v>
      </c>
      <c r="B11" s="1365" t="s">
        <v>813</v>
      </c>
      <c r="C11" s="1365"/>
      <c r="D11" s="35" t="s">
        <v>2023</v>
      </c>
      <c r="E11" s="24"/>
      <c r="F11" s="24"/>
    </row>
    <row r="12" spans="1:7" ht="51.5" customHeight="1" x14ac:dyDescent="0.35">
      <c r="A12" s="30" t="s">
        <v>804</v>
      </c>
      <c r="B12" s="1365" t="s">
        <v>814</v>
      </c>
      <c r="C12" s="1365"/>
      <c r="D12" s="35" t="s">
        <v>2023</v>
      </c>
    </row>
    <row r="13" spans="1:7" ht="38.9" customHeight="1" x14ac:dyDescent="0.35">
      <c r="A13" s="30" t="s">
        <v>806</v>
      </c>
      <c r="B13" s="1365" t="s">
        <v>807</v>
      </c>
      <c r="C13" s="1365"/>
      <c r="D13" s="35" t="s">
        <v>2023</v>
      </c>
    </row>
    <row r="14" spans="1:7" ht="20.149999999999999" customHeight="1" x14ac:dyDescent="0.35">
      <c r="A14" s="1362" t="s">
        <v>50</v>
      </c>
      <c r="B14" s="1363"/>
      <c r="C14" s="1363"/>
      <c r="D14" s="1364"/>
    </row>
    <row r="15" spans="1:7" ht="24.65" customHeight="1" x14ac:dyDescent="0.35">
      <c r="A15" s="1366" t="s">
        <v>789</v>
      </c>
      <c r="B15" s="1367"/>
      <c r="C15" s="1368"/>
      <c r="D15" s="35"/>
    </row>
    <row r="16" spans="1:7" ht="185" customHeight="1" x14ac:dyDescent="0.35">
      <c r="A16" s="30" t="s">
        <v>51</v>
      </c>
      <c r="B16" s="41" t="s">
        <v>828</v>
      </c>
      <c r="C16" s="41" t="s">
        <v>834</v>
      </c>
      <c r="D16" s="42"/>
      <c r="E16" s="41"/>
      <c r="F16" s="41"/>
      <c r="G16" s="41"/>
    </row>
    <row r="17" spans="1:7" ht="101.15" customHeight="1" x14ac:dyDescent="0.35">
      <c r="A17" s="30" t="s">
        <v>52</v>
      </c>
      <c r="B17" s="41" t="s">
        <v>829</v>
      </c>
      <c r="C17" s="41" t="s">
        <v>830</v>
      </c>
      <c r="D17" s="42"/>
      <c r="E17" s="41"/>
      <c r="F17" s="41"/>
      <c r="G17" s="41"/>
    </row>
    <row r="18" spans="1:7" ht="57.65" customHeight="1" x14ac:dyDescent="0.35">
      <c r="A18" s="30" t="s">
        <v>831</v>
      </c>
      <c r="B18" s="41" t="s">
        <v>832</v>
      </c>
      <c r="C18" s="41" t="s">
        <v>833</v>
      </c>
      <c r="D18" s="42"/>
      <c r="E18" s="41"/>
      <c r="F18" s="41"/>
      <c r="G18" s="41"/>
    </row>
    <row r="19" spans="1:7" ht="37.5" customHeight="1" x14ac:dyDescent="0.35">
      <c r="A19" s="1369" t="s">
        <v>788</v>
      </c>
      <c r="B19" s="1370"/>
      <c r="C19" s="1371"/>
      <c r="D19" s="35"/>
    </row>
    <row r="20" spans="1:7" x14ac:dyDescent="0.35">
      <c r="A20" s="1362" t="s">
        <v>53</v>
      </c>
      <c r="B20" s="1363"/>
      <c r="C20" s="1363"/>
      <c r="D20" s="1364"/>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820</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1911</v>
      </c>
      <c r="B2" s="48" t="s">
        <v>859</v>
      </c>
      <c r="C2" s="48" t="s">
        <v>860</v>
      </c>
      <c r="D2" s="46" t="s">
        <v>873</v>
      </c>
    </row>
    <row r="3" spans="1:4" ht="63.75" customHeight="1" x14ac:dyDescent="0.35">
      <c r="A3" s="31" t="s">
        <v>67</v>
      </c>
      <c r="B3" s="45" t="s">
        <v>32</v>
      </c>
      <c r="C3" s="45" t="s">
        <v>33</v>
      </c>
      <c r="D3" s="46" t="s">
        <v>873</v>
      </c>
    </row>
    <row r="4" spans="1:4" ht="170.25" customHeight="1" x14ac:dyDescent="0.35">
      <c r="A4" s="53" t="s">
        <v>68</v>
      </c>
      <c r="B4" s="45" t="s">
        <v>858</v>
      </c>
      <c r="C4" s="24" t="s">
        <v>1912</v>
      </c>
      <c r="D4" s="46" t="s">
        <v>873</v>
      </c>
    </row>
    <row r="5" spans="1:4" ht="29.25" customHeight="1" x14ac:dyDescent="0.35">
      <c r="A5" s="53" t="s">
        <v>69</v>
      </c>
      <c r="B5" s="54" t="s">
        <v>70</v>
      </c>
      <c r="C5" s="44" t="s">
        <v>71</v>
      </c>
      <c r="D5" s="46" t="s">
        <v>873</v>
      </c>
    </row>
    <row r="6" spans="1:4" ht="43.4" customHeight="1" x14ac:dyDescent="0.35">
      <c r="A6" s="33" t="s">
        <v>72</v>
      </c>
      <c r="B6" s="49" t="s">
        <v>836</v>
      </c>
      <c r="C6" s="43" t="s">
        <v>835</v>
      </c>
      <c r="D6" s="46" t="s">
        <v>873</v>
      </c>
    </row>
    <row r="8" spans="1:4" x14ac:dyDescent="0.35">
      <c r="B8" s="38"/>
    </row>
    <row r="9" spans="1:4" x14ac:dyDescent="0.35">
      <c r="B9" s="3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1857</v>
      </c>
      <c r="E2" s="68" t="s">
        <v>1858</v>
      </c>
      <c r="F2" s="68" t="s">
        <v>1874</v>
      </c>
      <c r="G2" s="68" t="s">
        <v>1875</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GX60" activePane="bottomRight" state="frozen"/>
      <selection pane="topRight" activeCell="B1" sqref="B1"/>
      <selection pane="bottomLeft" activeCell="A2" sqref="A2"/>
      <selection pane="bottomRight" activeCell="HQ77" sqref="HQ77"/>
    </sheetView>
  </sheetViews>
  <sheetFormatPr defaultColWidth="10.90625" defaultRowHeight="14.5" x14ac:dyDescent="0.35"/>
  <cols>
    <col min="1" max="225" width="11.7265625" customWidth="1"/>
  </cols>
  <sheetData>
    <row r="1" spans="1:225" x14ac:dyDescent="0.35">
      <c r="A1" s="83" t="s">
        <v>2090</v>
      </c>
      <c r="B1" s="83" t="s">
        <v>2091</v>
      </c>
      <c r="C1" s="83" t="s">
        <v>2092</v>
      </c>
      <c r="D1" s="83" t="s">
        <v>2093</v>
      </c>
      <c r="E1" s="83" t="s">
        <v>2094</v>
      </c>
      <c r="F1" s="83" t="s">
        <v>2095</v>
      </c>
      <c r="G1" s="83" t="s">
        <v>2096</v>
      </c>
      <c r="H1" s="83" t="s">
        <v>2097</v>
      </c>
      <c r="I1" s="83" t="s">
        <v>2098</v>
      </c>
      <c r="J1" s="83" t="s">
        <v>2099</v>
      </c>
      <c r="K1" s="83" t="s">
        <v>2100</v>
      </c>
      <c r="L1" s="83" t="s">
        <v>2101</v>
      </c>
      <c r="M1" s="83" t="s">
        <v>2102</v>
      </c>
      <c r="N1" s="83" t="s">
        <v>2103</v>
      </c>
      <c r="O1" s="83" t="s">
        <v>2104</v>
      </c>
      <c r="P1" s="83" t="s">
        <v>2105</v>
      </c>
      <c r="Q1" s="83" t="s">
        <v>2106</v>
      </c>
      <c r="R1" s="83" t="s">
        <v>2107</v>
      </c>
      <c r="S1" s="83" t="s">
        <v>2108</v>
      </c>
      <c r="T1" s="83" t="s">
        <v>2109</v>
      </c>
      <c r="U1" s="83" t="s">
        <v>2110</v>
      </c>
      <c r="V1" s="83" t="s">
        <v>2111</v>
      </c>
      <c r="W1" s="83" t="s">
        <v>2112</v>
      </c>
      <c r="X1" s="83" t="s">
        <v>2113</v>
      </c>
      <c r="Y1" s="83" t="s">
        <v>2114</v>
      </c>
      <c r="Z1" s="83" t="s">
        <v>2115</v>
      </c>
      <c r="AA1" s="83" t="s">
        <v>2116</v>
      </c>
      <c r="AB1" s="83" t="s">
        <v>2117</v>
      </c>
      <c r="AC1" s="83" t="s">
        <v>2118</v>
      </c>
      <c r="AD1" s="83" t="s">
        <v>2119</v>
      </c>
      <c r="AE1" s="83" t="s">
        <v>2120</v>
      </c>
      <c r="AF1" s="83" t="s">
        <v>2121</v>
      </c>
      <c r="AG1" s="83" t="s">
        <v>2122</v>
      </c>
      <c r="AH1" s="83" t="s">
        <v>2123</v>
      </c>
      <c r="AI1" s="83" t="s">
        <v>2124</v>
      </c>
      <c r="AJ1" s="83" t="s">
        <v>2125</v>
      </c>
      <c r="AK1" s="83" t="s">
        <v>2126</v>
      </c>
      <c r="AL1" s="83" t="s">
        <v>2127</v>
      </c>
      <c r="AM1" s="83" t="s">
        <v>2128</v>
      </c>
      <c r="AN1" s="83" t="s">
        <v>2129</v>
      </c>
      <c r="AO1" s="83" t="s">
        <v>2130</v>
      </c>
      <c r="AP1" s="83" t="s">
        <v>2131</v>
      </c>
      <c r="AQ1" s="83" t="s">
        <v>2132</v>
      </c>
      <c r="AR1" s="83" t="s">
        <v>2133</v>
      </c>
      <c r="AS1" s="83" t="s">
        <v>2134</v>
      </c>
      <c r="AT1" s="83" t="s">
        <v>2135</v>
      </c>
      <c r="AU1" s="83" t="s">
        <v>2136</v>
      </c>
      <c r="AV1" s="83" t="s">
        <v>2137</v>
      </c>
      <c r="AW1" s="83" t="s">
        <v>2138</v>
      </c>
      <c r="AX1" s="83" t="s">
        <v>2139</v>
      </c>
      <c r="AY1" s="83" t="s">
        <v>2140</v>
      </c>
      <c r="AZ1" s="83" t="s">
        <v>2141</v>
      </c>
      <c r="BA1" s="83" t="s">
        <v>2142</v>
      </c>
      <c r="BB1" s="83" t="s">
        <v>2143</v>
      </c>
      <c r="BC1" s="83" t="s">
        <v>2144</v>
      </c>
      <c r="BD1" s="83" t="s">
        <v>2145</v>
      </c>
      <c r="BE1" s="83" t="s">
        <v>2146</v>
      </c>
      <c r="BF1" s="83" t="s">
        <v>2147</v>
      </c>
      <c r="BG1" s="83" t="s">
        <v>2148</v>
      </c>
      <c r="BH1" s="83" t="s">
        <v>2149</v>
      </c>
      <c r="BI1" s="83" t="s">
        <v>2150</v>
      </c>
      <c r="BJ1" s="83" t="s">
        <v>2151</v>
      </c>
      <c r="BK1" s="83" t="s">
        <v>2152</v>
      </c>
      <c r="BL1" s="83" t="s">
        <v>2153</v>
      </c>
      <c r="BM1" s="83" t="s">
        <v>2154</v>
      </c>
      <c r="BN1" s="83" t="s">
        <v>2155</v>
      </c>
      <c r="BO1" s="83" t="s">
        <v>2156</v>
      </c>
      <c r="BP1" s="83" t="s">
        <v>2157</v>
      </c>
      <c r="BQ1" s="83" t="s">
        <v>2158</v>
      </c>
      <c r="BR1" s="83" t="s">
        <v>2159</v>
      </c>
      <c r="BS1" s="83" t="s">
        <v>2160</v>
      </c>
      <c r="BT1" s="83" t="s">
        <v>2161</v>
      </c>
      <c r="BU1" s="83" t="s">
        <v>2162</v>
      </c>
      <c r="BV1" s="83" t="s">
        <v>2163</v>
      </c>
      <c r="BW1" s="83" t="s">
        <v>2164</v>
      </c>
      <c r="BX1" s="83" t="s">
        <v>2165</v>
      </c>
      <c r="BY1" s="83" t="s">
        <v>2166</v>
      </c>
      <c r="BZ1" s="83" t="s">
        <v>2167</v>
      </c>
      <c r="CA1" s="83" t="s">
        <v>2168</v>
      </c>
      <c r="CB1" s="83" t="s">
        <v>2169</v>
      </c>
      <c r="CC1" s="83" t="s">
        <v>2170</v>
      </c>
      <c r="CD1" s="83" t="s">
        <v>2171</v>
      </c>
      <c r="CE1" s="83" t="s">
        <v>2172</v>
      </c>
      <c r="CF1" s="83" t="s">
        <v>2173</v>
      </c>
      <c r="CG1" s="83" t="s">
        <v>2174</v>
      </c>
      <c r="CH1" s="83" t="s">
        <v>2175</v>
      </c>
      <c r="CI1" s="83" t="s">
        <v>2176</v>
      </c>
      <c r="CJ1" s="83" t="s">
        <v>2177</v>
      </c>
      <c r="CK1" s="83" t="s">
        <v>2178</v>
      </c>
      <c r="CL1" s="83" t="s">
        <v>2179</v>
      </c>
      <c r="CM1" s="83" t="s">
        <v>2180</v>
      </c>
      <c r="CN1" s="83" t="s">
        <v>2181</v>
      </c>
      <c r="CO1" s="83" t="s">
        <v>2182</v>
      </c>
      <c r="CP1" s="83" t="s">
        <v>2183</v>
      </c>
      <c r="CQ1" s="83" t="s">
        <v>2184</v>
      </c>
      <c r="CR1" s="83" t="s">
        <v>2185</v>
      </c>
      <c r="CS1" s="83" t="s">
        <v>2186</v>
      </c>
      <c r="CT1" s="83" t="s">
        <v>2187</v>
      </c>
      <c r="CU1" s="83" t="s">
        <v>2188</v>
      </c>
      <c r="CV1" s="83" t="s">
        <v>2189</v>
      </c>
      <c r="CW1" s="83" t="s">
        <v>2190</v>
      </c>
      <c r="CX1" s="83" t="s">
        <v>2191</v>
      </c>
      <c r="CY1" s="83" t="s">
        <v>2192</v>
      </c>
      <c r="CZ1" s="83" t="s">
        <v>2193</v>
      </c>
      <c r="DA1" s="83" t="s">
        <v>2194</v>
      </c>
      <c r="DB1" s="83" t="s">
        <v>2195</v>
      </c>
      <c r="DC1" s="83" t="s">
        <v>2196</v>
      </c>
      <c r="DD1" s="83" t="s">
        <v>2197</v>
      </c>
      <c r="DE1" s="83" t="s">
        <v>2198</v>
      </c>
      <c r="DF1" s="83" t="s">
        <v>2199</v>
      </c>
      <c r="DG1" s="83" t="s">
        <v>2200</v>
      </c>
      <c r="DH1" s="83" t="s">
        <v>2201</v>
      </c>
      <c r="DI1" s="83" t="s">
        <v>2202</v>
      </c>
      <c r="DJ1" s="83" t="s">
        <v>2203</v>
      </c>
      <c r="DK1" s="83" t="s">
        <v>2204</v>
      </c>
      <c r="DL1" s="83" t="s">
        <v>2205</v>
      </c>
      <c r="DM1" s="83" t="s">
        <v>2206</v>
      </c>
      <c r="DN1" s="83" t="s">
        <v>2207</v>
      </c>
      <c r="DO1" s="83" t="s">
        <v>2208</v>
      </c>
      <c r="DP1" s="83" t="s">
        <v>2209</v>
      </c>
      <c r="DQ1" s="83" t="s">
        <v>2210</v>
      </c>
      <c r="DR1" s="83" t="s">
        <v>2211</v>
      </c>
      <c r="DS1" s="83" t="s">
        <v>2212</v>
      </c>
      <c r="DT1" s="83" t="s">
        <v>2213</v>
      </c>
      <c r="DU1" s="83" t="s">
        <v>2214</v>
      </c>
      <c r="DV1" s="83" t="s">
        <v>2215</v>
      </c>
      <c r="DW1" s="83" t="s">
        <v>2216</v>
      </c>
      <c r="DX1" s="83" t="s">
        <v>2217</v>
      </c>
      <c r="DY1" s="83" t="s">
        <v>2218</v>
      </c>
      <c r="DZ1" s="83" t="s">
        <v>2219</v>
      </c>
      <c r="EA1" s="83" t="s">
        <v>2220</v>
      </c>
      <c r="EB1" s="83" t="s">
        <v>2221</v>
      </c>
      <c r="EC1" s="83" t="s">
        <v>2222</v>
      </c>
      <c r="ED1" s="83" t="s">
        <v>2223</v>
      </c>
      <c r="EE1" s="83" t="s">
        <v>2224</v>
      </c>
      <c r="EF1" s="83" t="s">
        <v>2225</v>
      </c>
      <c r="EG1" s="83" t="s">
        <v>2226</v>
      </c>
      <c r="EH1" s="83" t="s">
        <v>2227</v>
      </c>
      <c r="EI1" s="83" t="s">
        <v>2228</v>
      </c>
      <c r="EJ1" s="83" t="s">
        <v>2229</v>
      </c>
      <c r="EK1" s="83" t="s">
        <v>2230</v>
      </c>
      <c r="EL1" s="83" t="s">
        <v>2231</v>
      </c>
      <c r="EM1" s="83" t="s">
        <v>2232</v>
      </c>
      <c r="EN1" s="83" t="s">
        <v>2233</v>
      </c>
      <c r="EO1" s="83" t="s">
        <v>2234</v>
      </c>
      <c r="EP1" s="83" t="s">
        <v>2235</v>
      </c>
      <c r="EQ1" s="83" t="s">
        <v>2236</v>
      </c>
      <c r="ER1" s="83" t="s">
        <v>2237</v>
      </c>
      <c r="ES1" s="83" t="s">
        <v>2238</v>
      </c>
      <c r="ET1" s="83" t="s">
        <v>2239</v>
      </c>
      <c r="EU1" s="83" t="s">
        <v>2240</v>
      </c>
      <c r="EV1" s="83" t="s">
        <v>2241</v>
      </c>
      <c r="EW1" s="83" t="s">
        <v>2242</v>
      </c>
      <c r="EX1" s="83" t="s">
        <v>2243</v>
      </c>
      <c r="EY1" s="83" t="s">
        <v>2244</v>
      </c>
      <c r="EZ1" s="83" t="s">
        <v>2245</v>
      </c>
      <c r="FA1" s="83" t="s">
        <v>2246</v>
      </c>
      <c r="FB1" s="83" t="s">
        <v>2247</v>
      </c>
      <c r="FC1" s="83" t="s">
        <v>2248</v>
      </c>
      <c r="FD1" s="83" t="s">
        <v>2249</v>
      </c>
      <c r="FE1" s="83" t="s">
        <v>2250</v>
      </c>
      <c r="FF1" s="83" t="s">
        <v>2251</v>
      </c>
      <c r="FG1" s="83" t="s">
        <v>2252</v>
      </c>
      <c r="FH1" s="83" t="s">
        <v>2253</v>
      </c>
      <c r="FI1" s="83" t="s">
        <v>2254</v>
      </c>
      <c r="FJ1" s="83" t="s">
        <v>2255</v>
      </c>
      <c r="FK1" s="83" t="s">
        <v>2256</v>
      </c>
      <c r="FL1" s="83" t="s">
        <v>2257</v>
      </c>
      <c r="FM1" s="83" t="s">
        <v>2258</v>
      </c>
      <c r="FN1" s="83" t="s">
        <v>2259</v>
      </c>
      <c r="FO1" s="83" t="s">
        <v>2260</v>
      </c>
      <c r="FP1" s="83" t="s">
        <v>2261</v>
      </c>
      <c r="FQ1" s="83" t="s">
        <v>2262</v>
      </c>
      <c r="FR1" s="83" t="s">
        <v>2263</v>
      </c>
      <c r="FS1" s="83" t="s">
        <v>2264</v>
      </c>
      <c r="FT1" s="83" t="s">
        <v>2265</v>
      </c>
      <c r="FU1" s="83" t="s">
        <v>2266</v>
      </c>
      <c r="FV1" s="83" t="s">
        <v>2267</v>
      </c>
      <c r="FW1" s="83" t="s">
        <v>2268</v>
      </c>
      <c r="FX1" s="83" t="s">
        <v>2269</v>
      </c>
      <c r="FY1" s="83" t="s">
        <v>2270</v>
      </c>
      <c r="FZ1" s="83" t="s">
        <v>2271</v>
      </c>
      <c r="GA1" s="83" t="s">
        <v>2272</v>
      </c>
      <c r="GB1" s="83" t="s">
        <v>2273</v>
      </c>
      <c r="GC1" s="83" t="s">
        <v>2274</v>
      </c>
      <c r="GD1" s="83" t="s">
        <v>2275</v>
      </c>
      <c r="GE1" s="83" t="s">
        <v>2276</v>
      </c>
      <c r="GF1" s="83" t="s">
        <v>2277</v>
      </c>
      <c r="GG1" s="83" t="s">
        <v>2278</v>
      </c>
      <c r="GH1" s="83" t="s">
        <v>2279</v>
      </c>
      <c r="GI1" s="83" t="s">
        <v>2280</v>
      </c>
      <c r="GJ1" s="83" t="s">
        <v>2281</v>
      </c>
      <c r="GK1" s="83" t="s">
        <v>2282</v>
      </c>
      <c r="GL1" s="83" t="s">
        <v>2283</v>
      </c>
      <c r="GM1" s="83" t="s">
        <v>2284</v>
      </c>
      <c r="GN1" s="83" t="s">
        <v>2285</v>
      </c>
      <c r="GO1" s="83" t="s">
        <v>2286</v>
      </c>
      <c r="GP1" s="83" t="s">
        <v>2287</v>
      </c>
      <c r="GQ1" s="83" t="s">
        <v>2288</v>
      </c>
      <c r="GR1" s="83" t="s">
        <v>2289</v>
      </c>
      <c r="GS1" s="83" t="s">
        <v>2290</v>
      </c>
      <c r="GT1" s="83" t="s">
        <v>2291</v>
      </c>
      <c r="GU1" s="83" t="s">
        <v>2292</v>
      </c>
      <c r="GV1" s="83" t="s">
        <v>2293</v>
      </c>
      <c r="GW1" s="83" t="s">
        <v>2294</v>
      </c>
      <c r="GX1" s="83" t="s">
        <v>2295</v>
      </c>
      <c r="GY1" s="83" t="s">
        <v>2296</v>
      </c>
      <c r="GZ1" s="83" t="s">
        <v>2297</v>
      </c>
      <c r="HA1" s="83" t="s">
        <v>2298</v>
      </c>
      <c r="HB1" s="83" t="s">
        <v>2299</v>
      </c>
      <c r="HC1" s="83" t="s">
        <v>2300</v>
      </c>
      <c r="HD1" s="83" t="s">
        <v>2301</v>
      </c>
      <c r="HE1" s="83" t="s">
        <v>2302</v>
      </c>
      <c r="HF1" s="83" t="s">
        <v>2303</v>
      </c>
      <c r="HG1" s="83" t="s">
        <v>2304</v>
      </c>
      <c r="HH1" s="83" t="s">
        <v>2305</v>
      </c>
      <c r="HI1" s="83" t="s">
        <v>2306</v>
      </c>
      <c r="HJ1" s="83" t="s">
        <v>2307</v>
      </c>
      <c r="HK1" s="83" t="s">
        <v>2308</v>
      </c>
      <c r="HL1" s="83" t="s">
        <v>2309</v>
      </c>
      <c r="HM1" s="83" t="s">
        <v>2310</v>
      </c>
      <c r="HN1" s="83" t="s">
        <v>2311</v>
      </c>
      <c r="HO1" s="83" t="s">
        <v>2312</v>
      </c>
      <c r="HP1" s="83" t="s">
        <v>2313</v>
      </c>
      <c r="HQ1" s="1343" t="s">
        <v>2314</v>
      </c>
    </row>
    <row r="2" spans="1:225" x14ac:dyDescent="0.35">
      <c r="A2" s="44" t="s">
        <v>2315</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2316</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2317</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2318</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2319</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2320</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2321</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2322</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2323</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2324</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2325</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2326</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2327</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2328</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2329</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2330</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2331</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2332</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2333</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2334</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2335</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2336</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2337</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2338</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2339</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2340</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2341</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2342</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2343</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2344</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2345</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2346</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2347</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2348</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2349</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2350</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2351</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2352</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2353</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2354</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2355</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2356</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2357</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2358</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2359</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2360</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2361</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2362</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2363</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2364</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2365</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2366</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2367</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2368</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2369</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2370</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2371</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2372</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2373</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2374</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2375</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2376</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2377</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2378</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2379</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2380</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2381</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2382</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2383</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2384</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2385</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2386</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2387</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2388</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2389</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2390</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2391</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2392</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2393</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2394</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2395</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2396</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2397</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2398</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2399</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2400</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2401</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2402</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2403</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2404</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2405</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O2" activePane="bottomRight" state="frozen"/>
      <selection pane="topRight" activeCell="C1" sqref="C1"/>
      <selection pane="bottomLeft" activeCell="A2" sqref="A2"/>
      <selection pane="bottomRight" activeCell="Z9" sqref="Z9"/>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1086</v>
      </c>
      <c r="D1" s="84" t="s">
        <v>235</v>
      </c>
      <c r="E1" s="84" t="s">
        <v>236</v>
      </c>
      <c r="F1" s="84" t="s">
        <v>1876</v>
      </c>
      <c r="G1" s="84" t="s">
        <v>238</v>
      </c>
      <c r="H1" s="84" t="s">
        <v>168</v>
      </c>
      <c r="I1" s="84" t="s">
        <v>169</v>
      </c>
      <c r="J1" s="84" t="s">
        <v>1877</v>
      </c>
      <c r="K1" s="84" t="s">
        <v>171</v>
      </c>
      <c r="L1" s="84" t="s">
        <v>172</v>
      </c>
      <c r="M1" s="84" t="s">
        <v>173</v>
      </c>
      <c r="N1" s="84" t="s">
        <v>1878</v>
      </c>
      <c r="O1" s="84" t="s">
        <v>175</v>
      </c>
      <c r="P1" s="84" t="s">
        <v>176</v>
      </c>
      <c r="Q1" s="84" t="s">
        <v>177</v>
      </c>
      <c r="R1" s="84" t="s">
        <v>1850</v>
      </c>
      <c r="S1" s="84" t="s">
        <v>179</v>
      </c>
      <c r="T1" s="84" t="s">
        <v>163</v>
      </c>
      <c r="U1" s="84" t="s">
        <v>164</v>
      </c>
      <c r="V1" s="84" t="s">
        <v>165</v>
      </c>
      <c r="W1" s="84" t="s">
        <v>730</v>
      </c>
      <c r="X1" s="84" t="s">
        <v>731</v>
      </c>
      <c r="Y1" s="84" t="s">
        <v>732</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792</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825</v>
      </c>
      <c r="B7" t="s">
        <v>823</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826</v>
      </c>
      <c r="B8" t="s">
        <v>824</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876</v>
      </c>
      <c r="B9" t="s">
        <v>877</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1829</v>
      </c>
      <c r="B10" t="s">
        <v>1830</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1833</v>
      </c>
      <c r="B11" t="s">
        <v>1834</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-8.3069939999999995</v>
      </c>
      <c r="Y11" s="79">
        <f>'Student loans'!AF12</f>
        <v>-8.2824600000000004</v>
      </c>
    </row>
    <row r="12" spans="1:25" x14ac:dyDescent="0.35">
      <c r="A12" t="s">
        <v>2010</v>
      </c>
      <c r="B12" t="s">
        <v>2009</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1851</v>
      </c>
      <c r="D1" s="87" t="s">
        <v>1111</v>
      </c>
      <c r="E1" s="87" t="s">
        <v>1112</v>
      </c>
      <c r="F1" s="87" t="s">
        <v>1113</v>
      </c>
      <c r="G1" s="87" t="s">
        <v>1114</v>
      </c>
      <c r="H1" s="87" t="s">
        <v>1115</v>
      </c>
      <c r="I1" s="87" t="s">
        <v>1116</v>
      </c>
      <c r="J1" s="87" t="s">
        <v>1117</v>
      </c>
    </row>
    <row r="2" spans="1:10" x14ac:dyDescent="0.35">
      <c r="A2" s="86" t="s">
        <v>1657</v>
      </c>
      <c r="B2" t="s">
        <v>1675</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1671</v>
      </c>
      <c r="B3" t="s">
        <v>1676</v>
      </c>
      <c r="C3" s="85">
        <f>Deflators!AG24</f>
        <v>-2.8500432259082165E-2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1672</v>
      </c>
      <c r="B4" t="s">
        <v>1677</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1673</v>
      </c>
      <c r="B5" t="s">
        <v>1678</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1674</v>
      </c>
      <c r="B6" t="s">
        <v>1679</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topLeftCell="A70" zoomScaleNormal="100" workbookViewId="0">
      <selection activeCell="F95" sqref="F95"/>
    </sheetView>
  </sheetViews>
  <sheetFormatPr defaultColWidth="10.90625" defaultRowHeight="14.5" x14ac:dyDescent="0.35"/>
  <cols>
    <col min="2" max="2" width="39.453125" customWidth="1"/>
    <col min="3" max="3" width="20.1796875" customWidth="1"/>
  </cols>
  <sheetData>
    <row r="2" spans="2:12" x14ac:dyDescent="0.35">
      <c r="B2" s="1374" t="s">
        <v>2089</v>
      </c>
      <c r="C2" s="1374"/>
      <c r="D2" s="1374"/>
      <c r="E2" s="1374"/>
      <c r="F2" s="1374"/>
      <c r="G2" s="1374"/>
      <c r="H2" s="1374"/>
      <c r="I2" s="1374"/>
      <c r="J2" s="1374"/>
      <c r="K2" s="1374"/>
      <c r="L2" s="1374"/>
    </row>
    <row r="3" spans="2:12" x14ac:dyDescent="0.35">
      <c r="B3" t="str">
        <f>forecast!A1</f>
        <v>name</v>
      </c>
      <c r="C3" t="str">
        <f>forecast!B1</f>
        <v>variable</v>
      </c>
      <c r="D3" t="s">
        <v>732</v>
      </c>
      <c r="E3" t="s">
        <v>1110</v>
      </c>
      <c r="F3" t="s">
        <v>1111</v>
      </c>
      <c r="G3" t="s">
        <v>1112</v>
      </c>
      <c r="H3" t="s">
        <v>1113</v>
      </c>
      <c r="I3" t="s">
        <v>1114</v>
      </c>
      <c r="J3" t="s">
        <v>1115</v>
      </c>
      <c r="K3" t="s">
        <v>1116</v>
      </c>
      <c r="L3" t="s">
        <v>1117</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1972</v>
      </c>
      <c r="E6" s="94">
        <f>forecast!D4</f>
        <v>2074.8810907042657</v>
      </c>
      <c r="F6" s="94">
        <f>forecast!E4</f>
        <v>2068.0155438428637</v>
      </c>
      <c r="G6" s="94">
        <f>forecast!F4</f>
        <v>2084.188015819931</v>
      </c>
      <c r="H6" s="94">
        <f>forecast!G4</f>
        <v>2097.083591602016</v>
      </c>
      <c r="I6" s="94">
        <f>forecast!H4</f>
        <v>2108.8381568101686</v>
      </c>
      <c r="J6" s="94">
        <f>forecast!I4</f>
        <v>2119.7507511860654</v>
      </c>
      <c r="K6" s="94">
        <f>forecast!J4</f>
        <v>2131.2622748334688</v>
      </c>
      <c r="L6" s="94">
        <f>forecast!K4</f>
        <v>2137.2683112359928</v>
      </c>
    </row>
    <row r="7" spans="2:12" x14ac:dyDescent="0.35">
      <c r="B7" t="s">
        <v>2083</v>
      </c>
      <c r="D7" s="94">
        <f>'Federal and State Purchases'!AF16</f>
        <v>1459.1870552863147</v>
      </c>
      <c r="E7" s="94">
        <f>'Federal and State Purchases'!AG16</f>
        <v>1580.3550144285523</v>
      </c>
      <c r="F7" s="94">
        <f>'Federal and State Purchases'!AH16</f>
        <v>1562.8922168099984</v>
      </c>
      <c r="G7" s="94">
        <f>'Federal and State Purchases'!AI16</f>
        <v>1562.1310580958468</v>
      </c>
      <c r="H7" s="94">
        <f>'Federal and State Purchases'!AJ16</f>
        <v>1563.8063868641188</v>
      </c>
      <c r="I7" s="94">
        <f>'Federal and State Purchases'!AK16</f>
        <v>1564.9794862145188</v>
      </c>
      <c r="J7" s="94">
        <f>'Federal and State Purchases'!AL16</f>
        <v>1567.1100972208969</v>
      </c>
      <c r="K7" s="94">
        <f>'Federal and State Purchases'!AM16</f>
        <v>1568.7312366611015</v>
      </c>
      <c r="L7" s="94">
        <f>'Federal and State Purchases'!AN16</f>
        <v>1565.8701715056748</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2084</v>
      </c>
      <c r="D9" s="94">
        <f>'Federal and State Purchases'!AF34</f>
        <v>2500.5297067726765</v>
      </c>
      <c r="E9" s="94">
        <f>'Federal and State Purchases'!AG34</f>
        <v>2503.6843547175017</v>
      </c>
      <c r="F9" s="94">
        <f>'Federal and State Purchases'!AH34</f>
        <v>2506.603452763582</v>
      </c>
      <c r="G9" s="94">
        <f>'Federal and State Purchases'!AI34</f>
        <v>2509.8869905361612</v>
      </c>
      <c r="H9" s="94">
        <f>'Federal and State Purchases'!AJ34</f>
        <v>2511.7637131152487</v>
      </c>
      <c r="I9" s="94">
        <f>'Federal and State Purchases'!AK34</f>
        <v>2514.3766204730523</v>
      </c>
      <c r="J9" s="94">
        <f>'Federal and State Purchases'!AL34</f>
        <v>2517.2069927848638</v>
      </c>
      <c r="K9" s="94">
        <f>'Federal and State Purchases'!AM34</f>
        <v>2519.5142656280768</v>
      </c>
      <c r="L9" s="94">
        <f>'Federal and State Purchases'!AN34</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729.36284371386807</v>
      </c>
      <c r="I14" s="94">
        <f>forecast!H10</f>
        <v>732.71155875941372</v>
      </c>
      <c r="J14" s="94">
        <f>forecast!I10</f>
        <v>737.41400558680846</v>
      </c>
      <c r="K14" s="94">
        <f>forecast!J10</f>
        <v>742.50534901606557</v>
      </c>
      <c r="L14" s="94">
        <f>forecast!K10</f>
        <v>749.18991940498597</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1138.6910007857018</v>
      </c>
      <c r="I15" s="94">
        <f>forecast!H11</f>
        <v>1145.5730410275178</v>
      </c>
      <c r="J15" s="94">
        <f>forecast!I11</f>
        <v>1152.5268941483698</v>
      </c>
      <c r="K15" s="94">
        <f>forecast!J11</f>
        <v>1160.5533095030155</v>
      </c>
      <c r="L15" s="94">
        <f>forecast!K11</f>
        <v>1170.7284082425656</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2510.3156841391078</v>
      </c>
      <c r="I21" s="94">
        <f>forecast!H17</f>
        <v>2572.2803076107643</v>
      </c>
      <c r="J21" s="94">
        <f>forecast!I17</f>
        <v>2595.8498203077879</v>
      </c>
      <c r="K21" s="94">
        <f>forecast!J17</f>
        <v>2619.5367723080017</v>
      </c>
      <c r="L21" s="94">
        <f>forecast!K17</f>
        <v>2621.6976048540637</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5136.9000000000005</v>
      </c>
      <c r="E23" s="94">
        <f>forecast!D19</f>
        <v>5083.4035395912024</v>
      </c>
      <c r="F23" s="94">
        <f>forecast!E19</f>
        <v>5104.382523722551</v>
      </c>
      <c r="G23" s="94">
        <f>forecast!F19</f>
        <v>5143.5171824534737</v>
      </c>
      <c r="H23" s="94">
        <f>forecast!G19</f>
        <v>5172.4494522309542</v>
      </c>
      <c r="I23" s="94">
        <f>forecast!H19</f>
        <v>5414.3876569918202</v>
      </c>
      <c r="J23" s="94">
        <f>forecast!I19</f>
        <v>5444.6542243154609</v>
      </c>
      <c r="K23" s="94">
        <f>forecast!J19</f>
        <v>5475.1712566780307</v>
      </c>
      <c r="L23" s="94">
        <f>forecast!K19</f>
        <v>5505.1727179686422</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457.71681387337446</v>
      </c>
      <c r="E25" s="94">
        <f>forecast!D21</f>
        <v>445.02107513037333</v>
      </c>
      <c r="F25" s="94">
        <f>forecast!E21</f>
        <v>432.67747940975011</v>
      </c>
      <c r="G25" s="94">
        <f>forecast!F21</f>
        <v>420.67625928396706</v>
      </c>
      <c r="H25" s="94">
        <f>forecast!G21</f>
        <v>439.00791824563726</v>
      </c>
      <c r="I25" s="94">
        <f>forecast!H21</f>
        <v>443.11183920870417</v>
      </c>
      <c r="J25" s="94">
        <f>forecast!I21</f>
        <v>447.25412432551667</v>
      </c>
      <c r="K25" s="94">
        <f>forecast!J21</f>
        <v>451.43513223073313</v>
      </c>
      <c r="L25" s="94">
        <f>forecast!K21</f>
        <v>455.65522491158993</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-8.2824600000000004</v>
      </c>
      <c r="E27" s="94">
        <f>forecast!D23</f>
        <v>-8.2824600000000004</v>
      </c>
      <c r="F27" s="94">
        <f>forecast!E23</f>
        <v>-8.2824600000000004</v>
      </c>
      <c r="G27" s="94">
        <f>forecast!F23</f>
        <v>-11</v>
      </c>
      <c r="H27" s="94">
        <f>forecast!G23</f>
        <v>-11</v>
      </c>
      <c r="I27" s="94">
        <f>forecast!H23</f>
        <v>-11</v>
      </c>
      <c r="J27" s="94">
        <f>forecast!I23</f>
        <v>-11</v>
      </c>
      <c r="K27" s="94">
        <f>forecast!J23</f>
        <v>0</v>
      </c>
      <c r="L27" s="94">
        <f>forecast!K23</f>
        <v>0</v>
      </c>
    </row>
    <row r="28" spans="2:12" x14ac:dyDescent="0.35">
      <c r="B28" s="44"/>
      <c r="C28" s="44"/>
    </row>
    <row r="29" spans="2:12" x14ac:dyDescent="0.35">
      <c r="B29" s="83" t="s">
        <v>1842</v>
      </c>
      <c r="C29" s="44"/>
    </row>
    <row r="30" spans="2:12" x14ac:dyDescent="0.35">
      <c r="B30" s="44" t="s">
        <v>1659</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1660</v>
      </c>
      <c r="C31" s="44"/>
      <c r="D31" s="97">
        <f>Deflators!AF14</f>
        <v>0.15630868266795428</v>
      </c>
      <c r="E31" s="97">
        <f>Deflators!AG14</f>
        <v>-0.10922002212580535</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1661</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1662</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1663</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74" t="s">
        <v>2408</v>
      </c>
      <c r="C36" s="1374"/>
      <c r="D36" s="1374"/>
      <c r="E36" s="1374"/>
      <c r="F36" s="1374"/>
      <c r="G36" s="1374"/>
      <c r="H36" s="1374"/>
      <c r="I36" s="1374"/>
      <c r="J36" s="1374"/>
      <c r="K36" s="1374"/>
      <c r="L36" s="1374"/>
    </row>
    <row r="37" spans="2:12" x14ac:dyDescent="0.35">
      <c r="B37" t="s">
        <v>166</v>
      </c>
      <c r="C37" t="s">
        <v>167</v>
      </c>
      <c r="D37" t="s">
        <v>732</v>
      </c>
      <c r="E37" t="s">
        <v>1110</v>
      </c>
      <c r="F37" t="s">
        <v>1111</v>
      </c>
      <c r="G37" t="s">
        <v>1112</v>
      </c>
      <c r="H37" t="s">
        <v>1113</v>
      </c>
      <c r="I37" t="s">
        <v>1114</v>
      </c>
      <c r="J37" t="s">
        <v>1115</v>
      </c>
      <c r="K37" t="s">
        <v>1116</v>
      </c>
      <c r="L37" t="s">
        <v>1117</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2083</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2084</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762</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1338</v>
      </c>
      <c r="C61" s="44" t="s">
        <v>1337</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1842</v>
      </c>
      <c r="C63" s="44"/>
    </row>
    <row r="64" spans="2:12" x14ac:dyDescent="0.35">
      <c r="B64" s="44" t="s">
        <v>1659</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1660</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1661</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1662</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1663</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75" t="s">
        <v>220</v>
      </c>
      <c r="C70" s="1375"/>
      <c r="D70" s="1375"/>
      <c r="E70" s="1375"/>
      <c r="F70" s="1375"/>
      <c r="G70" s="1375"/>
      <c r="H70" s="1375"/>
      <c r="I70" s="1375"/>
      <c r="J70" s="1375"/>
      <c r="K70" s="1375"/>
      <c r="L70" s="1375"/>
    </row>
    <row r="71" spans="2:12" x14ac:dyDescent="0.35">
      <c r="B71" t="s">
        <v>166</v>
      </c>
      <c r="C71" t="s">
        <v>167</v>
      </c>
      <c r="D71" t="s">
        <v>732</v>
      </c>
      <c r="E71" t="s">
        <v>1110</v>
      </c>
      <c r="F71" t="s">
        <v>1111</v>
      </c>
      <c r="G71" t="s">
        <v>1112</v>
      </c>
      <c r="H71" t="s">
        <v>1113</v>
      </c>
      <c r="I71" t="s">
        <v>1114</v>
      </c>
      <c r="J71" t="s">
        <v>1115</v>
      </c>
      <c r="K71" t="s">
        <v>1116</v>
      </c>
      <c r="L71" t="s">
        <v>1117</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-45.085421463069906</v>
      </c>
      <c r="E74" s="94">
        <f t="shared" si="2"/>
        <v>13.227762240718221</v>
      </c>
      <c r="F74" s="94">
        <f t="shared" si="2"/>
        <v>-18.869625731576434</v>
      </c>
      <c r="G74" s="94">
        <f t="shared" si="2"/>
        <v>-23.317320146538805</v>
      </c>
      <c r="H74" s="94">
        <f t="shared" si="2"/>
        <v>-23.876770199974089</v>
      </c>
      <c r="I74" s="94">
        <f t="shared" si="2"/>
        <v>-30.521396599880518</v>
      </c>
      <c r="J74" s="94">
        <f t="shared" si="2"/>
        <v>-34.06888863201948</v>
      </c>
      <c r="K74" s="94">
        <f t="shared" si="2"/>
        <v>-37.571886697252012</v>
      </c>
    </row>
    <row r="75" spans="2:12" x14ac:dyDescent="0.35">
      <c r="B75" s="44" t="s">
        <v>2083</v>
      </c>
      <c r="C75" s="44"/>
      <c r="D75" s="94">
        <f t="shared" ref="D75:K75" si="3">D7-D41</f>
        <v>1459.1870552863147</v>
      </c>
      <c r="E75" s="94">
        <f t="shared" si="3"/>
        <v>1580.3550144285523</v>
      </c>
      <c r="F75" s="94">
        <f t="shared" si="3"/>
        <v>1562.8922168099984</v>
      </c>
      <c r="G75" s="94">
        <f t="shared" si="3"/>
        <v>1562.1310580958468</v>
      </c>
      <c r="H75" s="94">
        <f t="shared" si="3"/>
        <v>1563.8063868641188</v>
      </c>
      <c r="I75" s="94">
        <f t="shared" si="3"/>
        <v>1564.9794862145188</v>
      </c>
      <c r="J75" s="94">
        <f t="shared" si="3"/>
        <v>1567.1100972208969</v>
      </c>
      <c r="K75" s="94">
        <f t="shared" si="3"/>
        <v>1568.7312366611015</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2084</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-15.594824455876733</v>
      </c>
      <c r="I82" s="94">
        <f t="shared" si="10"/>
        <v>-23.499838176578919</v>
      </c>
      <c r="J82" s="94">
        <f t="shared" si="10"/>
        <v>-30.267838411656498</v>
      </c>
      <c r="K82" s="94">
        <f t="shared" si="10"/>
        <v>-36.592427831751479</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30.219177671214766</v>
      </c>
      <c r="I83" s="94">
        <f t="shared" si="11"/>
        <v>20.329473464898456</v>
      </c>
      <c r="J83" s="94">
        <f t="shared" si="11"/>
        <v>10.257817083813734</v>
      </c>
      <c r="K83" s="94">
        <f t="shared" si="11"/>
        <v>1.001118287932286</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787</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-23.122129172060795</v>
      </c>
      <c r="I89" s="94">
        <f t="shared" si="17"/>
        <v>-29.701191842627395</v>
      </c>
      <c r="J89" s="94">
        <f t="shared" si="17"/>
        <v>-36.45517818035205</v>
      </c>
      <c r="K89" s="94">
        <f t="shared" si="17"/>
        <v>-43.418195195581575</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-16.093542473840898</v>
      </c>
      <c r="E91" s="94">
        <f t="shared" si="19"/>
        <v>-12.966952741004206</v>
      </c>
      <c r="F91" s="94">
        <f t="shared" si="19"/>
        <v>-33.425518586254839</v>
      </c>
      <c r="G91" s="94">
        <f t="shared" si="19"/>
        <v>-36.123210357678545</v>
      </c>
      <c r="H91" s="94">
        <f t="shared" si="19"/>
        <v>-49.42232757101101</v>
      </c>
      <c r="I91" s="94">
        <f t="shared" si="19"/>
        <v>37.468807229206504</v>
      </c>
      <c r="J91" s="94">
        <f t="shared" si="19"/>
        <v>34.82676328506659</v>
      </c>
      <c r="K91" s="94">
        <f t="shared" si="19"/>
        <v>32.22154220781249</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124.37921240508433</v>
      </c>
      <c r="E93" s="94">
        <f t="shared" si="21"/>
        <v>113.74312486911049</v>
      </c>
      <c r="F93" s="94">
        <f t="shared" si="21"/>
        <v>103.44645402918377</v>
      </c>
      <c r="G93" s="94">
        <f t="shared" si="21"/>
        <v>93.479511092139717</v>
      </c>
      <c r="H93" s="94">
        <f t="shared" si="21"/>
        <v>113.83287769909282</v>
      </c>
      <c r="I93" s="94">
        <f t="shared" si="21"/>
        <v>109.94601442961812</v>
      </c>
      <c r="J93" s="94">
        <f t="shared" si="21"/>
        <v>116.14688936685258</v>
      </c>
      <c r="K93" s="94">
        <f t="shared" si="21"/>
        <v>122.37376732433484</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1338</v>
      </c>
      <c r="C95" s="44" t="s">
        <v>1337</v>
      </c>
      <c r="D95" s="94">
        <f t="shared" ref="D95:K95" si="23">D27-D61</f>
        <v>0</v>
      </c>
      <c r="E95" s="94">
        <f t="shared" si="23"/>
        <v>0</v>
      </c>
      <c r="F95" s="94">
        <f t="shared" si="23"/>
        <v>0</v>
      </c>
      <c r="G95" s="94">
        <f t="shared" si="23"/>
        <v>0</v>
      </c>
      <c r="H95" s="94">
        <f t="shared" si="23"/>
        <v>0</v>
      </c>
      <c r="I95" s="94">
        <f t="shared" si="23"/>
        <v>0</v>
      </c>
      <c r="J95" s="94">
        <f t="shared" si="23"/>
        <v>0</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1842</v>
      </c>
      <c r="C98" s="44"/>
      <c r="D98" s="94"/>
      <c r="E98" s="94"/>
      <c r="F98" s="94"/>
      <c r="G98" s="94"/>
      <c r="H98" s="94"/>
    </row>
    <row r="99" spans="2:12" x14ac:dyDescent="0.35">
      <c r="B99" s="44" t="s">
        <v>1659</v>
      </c>
      <c r="C99" s="44" t="s">
        <v>1843</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1660</v>
      </c>
      <c r="C100" s="44"/>
      <c r="D100" s="93">
        <f t="shared" ref="D100" si="29">D31-D65</f>
        <v>0.12918907905305455</v>
      </c>
      <c r="E100" s="93">
        <f t="shared" ref="E100:F100" si="30">E31-E65</f>
        <v>-0.13673562474309847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1661</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1662</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1663</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74" t="s">
        <v>221</v>
      </c>
      <c r="C105" s="1374"/>
      <c r="D105" s="1374"/>
      <c r="E105" s="1374"/>
      <c r="F105" s="1374"/>
      <c r="G105" s="1374"/>
      <c r="H105" s="1374"/>
      <c r="I105" s="1374"/>
      <c r="J105" s="1374"/>
      <c r="K105" s="1374"/>
      <c r="L105" s="1374"/>
    </row>
    <row r="106" spans="2:12" x14ac:dyDescent="0.35">
      <c r="B106" t="s">
        <v>166</v>
      </c>
      <c r="C106" t="s">
        <v>167</v>
      </c>
      <c r="D106" t="s">
        <v>732</v>
      </c>
      <c r="E106" t="s">
        <v>1110</v>
      </c>
      <c r="F106" t="s">
        <v>1111</v>
      </c>
      <c r="G106" t="s">
        <v>1112</v>
      </c>
      <c r="H106" t="s">
        <v>1113</v>
      </c>
      <c r="I106" t="s">
        <v>1114</v>
      </c>
      <c r="J106" t="s">
        <v>1115</v>
      </c>
      <c r="K106" t="s">
        <v>1116</v>
      </c>
      <c r="L106" t="s">
        <v>1117</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-2.2351766059747535E-2</v>
      </c>
      <c r="E109" s="96">
        <f t="shared" si="51"/>
        <v>6.41609433462631E-3</v>
      </c>
      <c r="F109" s="96">
        <f t="shared" si="51"/>
        <v>-9.0420048053838631E-3</v>
      </c>
      <c r="G109" s="96">
        <f t="shared" si="51"/>
        <v>-1.1063943587049541E-2</v>
      </c>
      <c r="H109" s="96">
        <f t="shared" si="51"/>
        <v>-1.1257527783163357E-2</v>
      </c>
      <c r="I109" s="96">
        <f t="shared" si="51"/>
        <v>-1.426660448508088E-2</v>
      </c>
      <c r="J109" s="96">
        <f t="shared" si="51"/>
        <v>-1.5817893013036599E-2</v>
      </c>
      <c r="K109" s="96">
        <f t="shared" si="51"/>
        <v>-1.7323540620890254E-2</v>
      </c>
    </row>
    <row r="110" spans="2:12" x14ac:dyDescent="0.35">
      <c r="B110" t="s">
        <v>2083</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2084</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-2.0933839763259354E-2</v>
      </c>
      <c r="I117" s="96">
        <f t="shared" si="59"/>
        <v>-3.1075752457309203E-2</v>
      </c>
      <c r="J117" s="96">
        <f t="shared" si="59"/>
        <v>-3.9427581423583935E-2</v>
      </c>
      <c r="K117" s="96">
        <f t="shared" si="59"/>
        <v>-4.6967696377985146E-2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2.7262016986870696E-2</v>
      </c>
      <c r="I118" s="96">
        <f t="shared" si="60"/>
        <v>1.8066731551226622E-2</v>
      </c>
      <c r="J118" s="96">
        <f t="shared" si="60"/>
        <v>8.9802107837626544E-3</v>
      </c>
      <c r="K118" s="96">
        <f t="shared" si="60"/>
        <v>8.6336630254058022E-4</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-9.1267798445940906E-3</v>
      </c>
      <c r="I124" s="96">
        <f t="shared" si="66"/>
        <v>-1.1414835904431597E-2</v>
      </c>
      <c r="J124" s="96">
        <f t="shared" si="66"/>
        <v>-1.3849146736905515E-2</v>
      </c>
      <c r="K124" s="96">
        <f t="shared" si="66"/>
        <v>-1.6304517246975569E-2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-3.1231443123669322E-3</v>
      </c>
      <c r="E126" s="96">
        <f t="shared" si="68"/>
        <v>-2.54435048639301E-3</v>
      </c>
      <c r="F126" s="96">
        <f t="shared" si="68"/>
        <v>-6.5057935818159107E-3</v>
      </c>
      <c r="G126" s="96">
        <f t="shared" si="68"/>
        <v>-6.9740768891628502E-3</v>
      </c>
      <c r="H126" s="96">
        <f t="shared" si="68"/>
        <v>-9.4644850840985839E-3</v>
      </c>
      <c r="I126" s="96">
        <f t="shared" si="68"/>
        <v>6.968453174788225E-3</v>
      </c>
      <c r="J126" s="96">
        <f t="shared" si="68"/>
        <v>6.4376846647957731E-3</v>
      </c>
      <c r="K126" s="96">
        <f t="shared" si="68"/>
        <v>5.9198677000726896E-3</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0.3731328594710499</v>
      </c>
      <c r="E128" s="96">
        <f t="shared" si="70"/>
        <v>0.343346500361424</v>
      </c>
      <c r="F128" s="96">
        <f t="shared" si="70"/>
        <v>0.31420627478715724</v>
      </c>
      <c r="G128" s="96">
        <f t="shared" si="70"/>
        <v>0.28569816664967274</v>
      </c>
      <c r="H128" s="96">
        <f t="shared" si="70"/>
        <v>0.35006646730255175</v>
      </c>
      <c r="I128" s="96">
        <f t="shared" si="70"/>
        <v>0.33000387870670878</v>
      </c>
      <c r="J128" s="96">
        <f t="shared" si="70"/>
        <v>0.35078330251935608</v>
      </c>
      <c r="K128" s="96">
        <f t="shared" si="70"/>
        <v>0.37188737535062533</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1338</v>
      </c>
      <c r="C130" s="44" t="s">
        <v>1337</v>
      </c>
      <c r="D130" s="96">
        <f t="shared" ref="D130:K130" si="72">(D27/D61-1)</f>
        <v>0</v>
      </c>
      <c r="E130" s="96">
        <f t="shared" si="72"/>
        <v>0</v>
      </c>
      <c r="F130" s="96">
        <f t="shared" si="72"/>
        <v>0</v>
      </c>
      <c r="G130" s="96">
        <f t="shared" si="72"/>
        <v>0</v>
      </c>
      <c r="H130" s="96">
        <f t="shared" si="72"/>
        <v>0</v>
      </c>
      <c r="I130" s="96">
        <f t="shared" si="72"/>
        <v>0</v>
      </c>
      <c r="J130" s="96">
        <f t="shared" si="72"/>
        <v>0</v>
      </c>
      <c r="K130" s="96" t="e">
        <f t="shared" si="72"/>
        <v>#DIV/0!</v>
      </c>
    </row>
    <row r="131" spans="2:11" x14ac:dyDescent="0.35">
      <c r="B131" s="44"/>
      <c r="D131" s="96"/>
      <c r="E131" s="96"/>
      <c r="F131" s="96"/>
      <c r="G131" s="96"/>
      <c r="H131" s="96"/>
      <c r="I131" s="96"/>
      <c r="J131" s="96"/>
      <c r="K131" s="96"/>
    </row>
    <row r="132" spans="2:11" x14ac:dyDescent="0.35">
      <c r="B132" s="83" t="s">
        <v>1842</v>
      </c>
      <c r="D132" s="96"/>
      <c r="E132" s="96"/>
      <c r="F132" s="96"/>
      <c r="G132" s="96"/>
      <c r="H132" s="96"/>
      <c r="I132" s="96"/>
      <c r="J132" s="96"/>
      <c r="K132" s="96"/>
    </row>
    <row r="133" spans="2:11" x14ac:dyDescent="0.35">
      <c r="B133" s="44" t="s">
        <v>1659</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1660</v>
      </c>
      <c r="D134" s="96">
        <f t="shared" ref="D134:K134" si="74">(D31/D65-1)</f>
        <v>4.7636787354103163</v>
      </c>
      <c r="E134" s="96">
        <f t="shared" si="74"/>
        <v>-4.9693850665353878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1661</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1662</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1663</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activeCell="AQ85" sqref="AQ85"/>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77" t="s">
        <v>1760</v>
      </c>
      <c r="B2" s="1377"/>
      <c r="C2" s="1377"/>
      <c r="D2" s="1377"/>
      <c r="E2" s="1377"/>
      <c r="F2" s="1377"/>
      <c r="G2" s="1377"/>
      <c r="H2" s="1377"/>
      <c r="I2" s="1377"/>
      <c r="J2" s="1377"/>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840</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78"/>
      <c r="B4" s="1378"/>
      <c r="C4" s="1378"/>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79" t="s">
        <v>780</v>
      </c>
      <c r="B5" s="1382"/>
      <c r="C5" s="1385" t="s">
        <v>851</v>
      </c>
      <c r="D5" s="1385" t="s">
        <v>851</v>
      </c>
      <c r="E5" s="1385" t="s">
        <v>851</v>
      </c>
      <c r="F5" s="1385" t="s">
        <v>851</v>
      </c>
      <c r="G5" s="1385" t="s">
        <v>851</v>
      </c>
      <c r="H5" s="1385" t="s">
        <v>851</v>
      </c>
      <c r="I5" s="1385" t="s">
        <v>851</v>
      </c>
      <c r="J5" s="1386" t="s">
        <v>851</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80" t="s">
        <v>780</v>
      </c>
      <c r="B6" s="1383"/>
      <c r="C6" s="1387">
        <v>2022</v>
      </c>
      <c r="D6" s="1388"/>
      <c r="E6" s="1388"/>
      <c r="F6" s="1388"/>
      <c r="G6" s="1388"/>
      <c r="H6" s="1389"/>
      <c r="I6" s="1387">
        <v>2023</v>
      </c>
      <c r="J6" s="1388">
        <v>2023</v>
      </c>
      <c r="K6" s="1389">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81" t="s">
        <v>780</v>
      </c>
      <c r="B7" s="1384"/>
      <c r="C7" s="235" t="s">
        <v>1702</v>
      </c>
      <c r="D7" s="235" t="s">
        <v>1778</v>
      </c>
      <c r="E7" s="235" t="s">
        <v>1779</v>
      </c>
      <c r="F7" s="235" t="s">
        <v>1783</v>
      </c>
      <c r="G7" s="235" t="s">
        <v>1784</v>
      </c>
      <c r="H7" s="235" t="s">
        <v>1785</v>
      </c>
      <c r="I7" s="235" t="s">
        <v>222</v>
      </c>
      <c r="J7" s="235" t="s">
        <v>223</v>
      </c>
      <c r="K7" s="235" t="s">
        <v>1832</v>
      </c>
      <c r="L7" s="207" t="s">
        <v>1840</v>
      </c>
      <c r="M7" s="213" t="s">
        <v>1841</v>
      </c>
      <c r="N7" s="219" t="s">
        <v>1845</v>
      </c>
      <c r="O7" s="207" t="s">
        <v>1846</v>
      </c>
      <c r="P7" s="213" t="s">
        <v>1778</v>
      </c>
      <c r="Q7" s="219" t="s">
        <v>1779</v>
      </c>
      <c r="R7" s="207" t="s">
        <v>1783</v>
      </c>
      <c r="S7" s="213" t="s">
        <v>1879</v>
      </c>
      <c r="T7" s="219" t="s">
        <v>1873</v>
      </c>
      <c r="U7" s="207" t="s">
        <v>222</v>
      </c>
      <c r="V7" s="213" t="s">
        <v>223</v>
      </c>
      <c r="W7" s="219" t="s">
        <v>1832</v>
      </c>
      <c r="X7" s="207" t="s">
        <v>1909</v>
      </c>
      <c r="Y7" s="213" t="s">
        <v>867</v>
      </c>
      <c r="Z7" s="219" t="s">
        <v>1845</v>
      </c>
      <c r="AA7" s="207" t="s">
        <v>1846</v>
      </c>
      <c r="AB7" s="213" t="s">
        <v>1778</v>
      </c>
      <c r="AC7" s="219" t="s">
        <v>1779</v>
      </c>
      <c r="AD7" s="170" t="s">
        <v>1910</v>
      </c>
      <c r="AE7" s="195" t="s">
        <v>1924</v>
      </c>
      <c r="AF7" s="238" t="s">
        <v>1925</v>
      </c>
      <c r="AG7" s="236" t="s">
        <v>222</v>
      </c>
      <c r="AH7" s="98" t="s">
        <v>223</v>
      </c>
      <c r="AI7" s="238" t="s">
        <v>1832</v>
      </c>
      <c r="AJ7" s="236" t="s">
        <v>1909</v>
      </c>
      <c r="AK7" s="98" t="s">
        <v>867</v>
      </c>
      <c r="AL7" s="238" t="s">
        <v>1845</v>
      </c>
      <c r="AM7" s="236" t="s">
        <v>2025</v>
      </c>
      <c r="AN7" s="98" t="s">
        <v>2026</v>
      </c>
      <c r="AO7" s="238" t="s">
        <v>2029</v>
      </c>
      <c r="AP7" s="236" t="s">
        <v>1910</v>
      </c>
      <c r="AQ7" s="98" t="s">
        <v>1924</v>
      </c>
      <c r="AR7" s="238" t="s">
        <v>2406</v>
      </c>
      <c r="AS7" s="44" t="s">
        <v>2407</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1703</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1704</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1705</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1706</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1707</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1708</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1709</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1710</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1711</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1712</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1713</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1714</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1715</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1716</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1717</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1718</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1719</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1720</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1721</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1722</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1723</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1724</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1725</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1726</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497</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1727</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1728</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Taxes!AG13+Taxes!AG28</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Taxes!AG10+Taxes!AG26</f>
        <v>3250.3610918606828</v>
      </c>
    </row>
    <row r="39" spans="1:45" x14ac:dyDescent="0.35">
      <c r="A39" s="229">
        <v>32</v>
      </c>
      <c r="B39" s="67" t="s">
        <v>1729</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1664</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1686</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1730</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1731</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1687</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1732</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1733</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1734</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1735</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1736</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1688</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1737</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1738</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1739</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1740</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1741</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1742</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1743</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390" t="s">
        <v>1744</v>
      </c>
      <c r="B60" s="1390"/>
      <c r="C60" s="1390"/>
      <c r="D60" s="1390"/>
      <c r="E60" s="1390"/>
      <c r="F60" s="1390"/>
      <c r="G60" s="1390"/>
      <c r="H60" s="1390"/>
      <c r="I60" s="1390"/>
      <c r="J60" s="1390"/>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76" t="s">
        <v>1745</v>
      </c>
      <c r="B61" s="1376"/>
      <c r="C61" s="1376"/>
      <c r="D61" s="1376"/>
      <c r="E61" s="1376"/>
      <c r="F61" s="1376"/>
      <c r="G61" s="1376"/>
      <c r="H61" s="1376"/>
      <c r="I61" s="1376"/>
      <c r="J61" s="1376"/>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76" t="s">
        <v>1746</v>
      </c>
      <c r="B62" s="1376"/>
      <c r="C62" s="1376"/>
      <c r="D62" s="1376"/>
      <c r="E62" s="1376"/>
      <c r="F62" s="1376"/>
      <c r="G62" s="1376"/>
      <c r="H62" s="1376"/>
      <c r="I62" s="1376"/>
      <c r="J62" s="1376"/>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76" t="s">
        <v>1747</v>
      </c>
      <c r="B63" s="1376"/>
      <c r="C63" s="1376"/>
      <c r="D63" s="1376"/>
      <c r="E63" s="1376"/>
      <c r="F63" s="1376"/>
      <c r="G63" s="1376"/>
      <c r="H63" s="1376"/>
      <c r="I63" s="1376"/>
      <c r="J63" s="1376"/>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76" t="s">
        <v>1748</v>
      </c>
      <c r="B64" s="1376"/>
      <c r="C64" s="1376"/>
      <c r="D64" s="1376"/>
      <c r="E64" s="1376"/>
      <c r="F64" s="1376"/>
      <c r="G64" s="1376"/>
      <c r="H64" s="1376"/>
      <c r="I64" s="1376"/>
      <c r="J64" s="1376"/>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76" t="s">
        <v>1749</v>
      </c>
      <c r="B65" s="1376"/>
      <c r="C65" s="1376"/>
      <c r="D65" s="1376"/>
      <c r="E65" s="1376"/>
      <c r="F65" s="1376"/>
      <c r="G65" s="1376"/>
      <c r="H65" s="1376"/>
      <c r="I65" s="1376"/>
      <c r="J65" s="1376"/>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76" t="s">
        <v>1750</v>
      </c>
      <c r="B66" s="1376"/>
      <c r="C66" s="1376"/>
      <c r="D66" s="1376"/>
      <c r="E66" s="1376"/>
      <c r="F66" s="1376"/>
      <c r="G66" s="1376"/>
      <c r="H66" s="1376"/>
      <c r="I66" s="1376"/>
      <c r="J66" s="1376"/>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94" t="s">
        <v>1751</v>
      </c>
      <c r="B67" s="1394"/>
      <c r="C67" s="1394"/>
      <c r="D67" s="1394"/>
      <c r="E67" s="1394"/>
      <c r="F67" s="1394"/>
      <c r="G67" s="1394"/>
      <c r="H67" s="1394"/>
      <c r="I67" s="1394"/>
      <c r="J67" s="1394"/>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95" t="s">
        <v>234</v>
      </c>
      <c r="B68" s="1395"/>
      <c r="C68" s="1395"/>
      <c r="D68" s="1395"/>
      <c r="E68" s="1395"/>
      <c r="F68" s="1395"/>
      <c r="G68" s="1395"/>
      <c r="H68" s="1395"/>
      <c r="I68" s="1395"/>
      <c r="J68" s="1395"/>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93" t="s">
        <v>841</v>
      </c>
      <c r="B69" s="1393"/>
      <c r="C69" s="1393"/>
      <c r="D69" s="1393"/>
      <c r="E69" s="1393"/>
      <c r="F69" s="1393"/>
      <c r="G69" s="1393"/>
    </row>
    <row r="70" spans="1:44" x14ac:dyDescent="0.35">
      <c r="A70" s="1396" t="s">
        <v>842</v>
      </c>
      <c r="B70" s="1396"/>
      <c r="C70" s="1396"/>
      <c r="D70" s="1396"/>
      <c r="E70" s="1396"/>
      <c r="F70" s="1396"/>
      <c r="G70" s="1396"/>
    </row>
    <row r="71" spans="1:44" x14ac:dyDescent="0.35">
      <c r="A71" s="1392" t="s">
        <v>843</v>
      </c>
      <c r="B71" s="1392"/>
      <c r="C71" s="1392"/>
      <c r="D71" s="1392"/>
      <c r="E71" s="1392"/>
      <c r="F71" s="1392"/>
      <c r="G71" s="1392"/>
    </row>
    <row r="72" spans="1:44" x14ac:dyDescent="0.35">
      <c r="A72" s="1391" t="s">
        <v>844</v>
      </c>
      <c r="B72" s="1391"/>
      <c r="C72" s="1391"/>
      <c r="D72" s="1391"/>
      <c r="E72" s="1391"/>
      <c r="F72" s="1391"/>
      <c r="G72" s="1391"/>
    </row>
    <row r="73" spans="1:44" x14ac:dyDescent="0.35">
      <c r="A73" s="1391" t="s">
        <v>845</v>
      </c>
      <c r="B73" s="1391"/>
      <c r="C73" s="1391"/>
      <c r="D73" s="1391"/>
      <c r="E73" s="1391"/>
      <c r="F73" s="1391"/>
      <c r="G73" s="1391"/>
    </row>
    <row r="74" spans="1:44" x14ac:dyDescent="0.35">
      <c r="A74" s="1392" t="s">
        <v>846</v>
      </c>
      <c r="B74" s="1392"/>
      <c r="C74" s="1392"/>
      <c r="D74" s="1392"/>
      <c r="E74" s="1392"/>
      <c r="F74" s="1392"/>
      <c r="G74" s="1392"/>
    </row>
    <row r="76" spans="1:44" x14ac:dyDescent="0.35">
      <c r="A76" s="1393" t="s">
        <v>847</v>
      </c>
      <c r="B76" s="1393"/>
      <c r="C76" s="1393"/>
      <c r="D76" s="1393"/>
      <c r="E76" s="1393"/>
      <c r="F76" s="1393"/>
      <c r="G76" s="1393"/>
    </row>
    <row r="78" spans="1:44" x14ac:dyDescent="0.35">
      <c r="A78" s="44" t="s">
        <v>233</v>
      </c>
    </row>
    <row r="80" spans="1:44" x14ac:dyDescent="0.35">
      <c r="A80" s="44" t="s">
        <v>234</v>
      </c>
    </row>
    <row r="82" spans="1:45" x14ac:dyDescent="0.35">
      <c r="A82" t="s">
        <v>837</v>
      </c>
      <c r="B82" t="s">
        <v>838</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565">
        <v>46382</v>
      </c>
    </row>
    <row r="83" spans="1:45" x14ac:dyDescent="0.35">
      <c r="A83" s="120" t="s">
        <v>1852</v>
      </c>
      <c r="B83" t="s">
        <v>361</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363</v>
      </c>
      <c r="B84" t="s">
        <v>362</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1844</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236">
        <f>'Federal and State Purchases'!AE40</f>
        <v>19729</v>
      </c>
      <c r="M85" s="98">
        <f>'Federal and State Purchases'!AF40</f>
        <v>19781</v>
      </c>
      <c r="N85" s="238">
        <f>'Federal and State Purchases'!AG40</f>
        <v>19859</v>
      </c>
      <c r="O85" s="236">
        <f>'Federal and State Purchases'!AH40</f>
        <v>19892</v>
      </c>
      <c r="P85" s="98">
        <f>'Federal and State Purchases'!AI40</f>
        <v>19927</v>
      </c>
      <c r="Q85" s="238">
        <f>'Federal and State Purchases'!AJ40</f>
        <v>19990</v>
      </c>
      <c r="R85" s="236">
        <f>'Federal and State Purchases'!AK40</f>
        <v>20052</v>
      </c>
      <c r="S85" s="98">
        <f>'Federal and State Purchases'!AL40</f>
        <v>20094</v>
      </c>
      <c r="T85" s="238">
        <f>'Federal and State Purchases'!AM40</f>
        <v>20141</v>
      </c>
      <c r="U85" s="236">
        <f>'Federal and State Purchases'!AN40</f>
        <v>20176</v>
      </c>
      <c r="V85" s="98">
        <f>'Federal and State Purchases'!AO40</f>
        <v>20239</v>
      </c>
      <c r="W85" s="238">
        <f>'Federal and State Purchases'!AP40</f>
        <v>20304</v>
      </c>
      <c r="X85" s="236">
        <f>'Federal and State Purchases'!AQ40</f>
        <v>20295</v>
      </c>
      <c r="Y85" s="98">
        <f>'Federal and State Purchases'!AR40</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1880</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2032</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2031</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2033</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2030</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D19" sqref="D19"/>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732</v>
      </c>
      <c r="D1" s="87" t="s">
        <v>1110</v>
      </c>
      <c r="E1" s="87" t="s">
        <v>1111</v>
      </c>
      <c r="F1" s="87" t="s">
        <v>1112</v>
      </c>
      <c r="G1" s="87" t="s">
        <v>1113</v>
      </c>
      <c r="H1" s="87" t="s">
        <v>1114</v>
      </c>
      <c r="I1" s="87" t="s">
        <v>1115</v>
      </c>
      <c r="J1" s="87" t="s">
        <v>1116</v>
      </c>
      <c r="K1" s="87" t="s">
        <v>1117</v>
      </c>
    </row>
    <row r="2" spans="1:1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row>
    <row r="3" spans="1:1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row>
    <row r="4" spans="1:11" x14ac:dyDescent="0.35">
      <c r="A4" t="s">
        <v>183</v>
      </c>
      <c r="B4" t="s">
        <v>184</v>
      </c>
      <c r="C4" s="94">
        <f>'Federal and State Purchases'!AF12</f>
        <v>1972</v>
      </c>
      <c r="D4" s="94">
        <f>'Federal and State Purchases'!AG12</f>
        <v>2074.8810907042657</v>
      </c>
      <c r="E4" s="94">
        <f>'Federal and State Purchases'!AH12</f>
        <v>2068.0155438428637</v>
      </c>
      <c r="F4" s="94">
        <f>'Federal and State Purchases'!AI12</f>
        <v>2084.188015819931</v>
      </c>
      <c r="G4" s="94">
        <f>'Federal and State Purchases'!AJ12</f>
        <v>2097.083591602016</v>
      </c>
      <c r="H4" s="94">
        <f>'Federal and State Purchases'!AK12</f>
        <v>2108.8381568101686</v>
      </c>
      <c r="I4" s="94">
        <f>'Federal and State Purchases'!AL12</f>
        <v>2119.7507511860654</v>
      </c>
      <c r="J4" s="94">
        <f>'Federal and State Purchases'!AM12</f>
        <v>2131.2622748334688</v>
      </c>
      <c r="K4" s="94">
        <f>'Federal and State Purchases'!AN12</f>
        <v>2137.2683112359928</v>
      </c>
    </row>
    <row r="5" spans="1:11" x14ac:dyDescent="0.35">
      <c r="A5" t="s">
        <v>185</v>
      </c>
      <c r="B5" t="s">
        <v>186</v>
      </c>
      <c r="C5" s="94">
        <f>'Federal and State Purchases'!AF32</f>
        <v>3374.4</v>
      </c>
      <c r="D5" s="94">
        <f>'Federal and State Purchases'!AG32</f>
        <v>3406.5593473855811</v>
      </c>
      <c r="E5" s="94">
        <f>'Federal and State Purchases'!AH32</f>
        <v>3439.0748496505494</v>
      </c>
      <c r="F5" s="94">
        <f>'Federal and State Purchases'!AI32</f>
        <v>3472.3435009738018</v>
      </c>
      <c r="G5" s="94">
        <f>'Federal and State Purchases'!AJ32</f>
        <v>3502.9953543942324</v>
      </c>
      <c r="H5" s="94">
        <f>'Federal and State Purchases'!AK32</f>
        <v>3535.0005468995864</v>
      </c>
      <c r="I5" s="94">
        <f>'Federal and State Purchases'!AL32</f>
        <v>3566.9283139717318</v>
      </c>
      <c r="J5" s="94">
        <f>'Federal and State Purchases'!AM32</f>
        <v>3597.7200841612057</v>
      </c>
      <c r="K5" s="94">
        <f>'Federal and State Purchases'!AN32</f>
        <v>3628.3831622589087</v>
      </c>
    </row>
    <row r="6" spans="1:1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row>
    <row r="7" spans="1:1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row>
    <row r="8" spans="1:1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row>
    <row r="9" spans="1:1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row>
    <row r="10" spans="1:1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729.36284371386807</v>
      </c>
      <c r="H10" s="94">
        <f>Medicaid!AK33</f>
        <v>732.71155875941372</v>
      </c>
      <c r="I10" s="94">
        <f>Medicaid!AL33</f>
        <v>737.41400558680846</v>
      </c>
      <c r="J10" s="94">
        <f>Medicaid!AM33</f>
        <v>742.50534901606557</v>
      </c>
      <c r="K10" s="94">
        <f>Medicaid!AN33</f>
        <v>749.18991940498597</v>
      </c>
    </row>
    <row r="11" spans="1:1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1138.6910007857018</v>
      </c>
      <c r="H11" s="94">
        <f>Medicaid!AK30</f>
        <v>1145.5730410275178</v>
      </c>
      <c r="I11" s="94">
        <f>Medicaid!AL30</f>
        <v>1152.5268941483698</v>
      </c>
      <c r="J11" s="94">
        <f>Medicaid!AM30</f>
        <v>1160.5533095030155</v>
      </c>
      <c r="K11" s="94">
        <f>Medicaid!AN30</f>
        <v>1170.7284082425656</v>
      </c>
    </row>
    <row r="12" spans="1:1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row>
    <row r="13" spans="1:1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row>
    <row r="14" spans="1:1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row>
    <row r="15" spans="1:1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row>
    <row r="16" spans="1:11" x14ac:dyDescent="0.35">
      <c r="A16" t="s">
        <v>762</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row>
    <row r="17" spans="1:1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2510.3156841391078</v>
      </c>
      <c r="H17" s="94">
        <f>'Social Benefits'!AK33</f>
        <v>2572.2803076107643</v>
      </c>
      <c r="I17" s="94">
        <f>'Social Benefits'!AL33</f>
        <v>2595.8498203077879</v>
      </c>
      <c r="J17" s="94">
        <f>'Social Benefits'!AM33</f>
        <v>2619.5367723080017</v>
      </c>
      <c r="K17" s="94">
        <f>'Social Benefits'!AN33</f>
        <v>2621.6976048540637</v>
      </c>
    </row>
    <row r="18" spans="1:1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row>
    <row r="19" spans="1:11" x14ac:dyDescent="0.35">
      <c r="A19" t="s">
        <v>212</v>
      </c>
      <c r="B19" t="s">
        <v>213</v>
      </c>
      <c r="C19" s="94">
        <f>Taxes!AF9</f>
        <v>5136.9000000000005</v>
      </c>
      <c r="D19" s="94">
        <f>Taxes!AG9</f>
        <v>5083.4035395912024</v>
      </c>
      <c r="E19" s="94">
        <f>Taxes!AH9</f>
        <v>5104.382523722551</v>
      </c>
      <c r="F19" s="94">
        <f>Taxes!AI9</f>
        <v>5143.5171824534737</v>
      </c>
      <c r="G19" s="94">
        <f>Taxes!AJ9</f>
        <v>5172.4494522309542</v>
      </c>
      <c r="H19" s="94">
        <f>Taxes!AK9</f>
        <v>5414.3876569918202</v>
      </c>
      <c r="I19" s="94">
        <f>Taxes!AL9</f>
        <v>5444.6542243154609</v>
      </c>
      <c r="J19" s="94">
        <f>Taxes!AM9</f>
        <v>5475.1712566780307</v>
      </c>
      <c r="K19" s="94">
        <f>Taxes!AN9</f>
        <v>5505.1727179686422</v>
      </c>
    </row>
    <row r="20" spans="1:11" x14ac:dyDescent="0.35">
      <c r="A20" t="s">
        <v>214</v>
      </c>
      <c r="B20" t="s">
        <v>215</v>
      </c>
      <c r="C20" s="94">
        <f>Taxes!AF24</f>
        <v>2564.3999999999996</v>
      </c>
      <c r="D20" s="94">
        <f>Taxes!AG24</f>
        <v>2587.0956271646055</v>
      </c>
      <c r="E20" s="94">
        <f>Taxes!AH24</f>
        <v>2620.2518439313071</v>
      </c>
      <c r="F20" s="94">
        <f>Taxes!AI24</f>
        <v>2650.1216841840487</v>
      </c>
      <c r="G20" s="94">
        <f>Taxes!AJ24</f>
        <v>2678.1766203815573</v>
      </c>
      <c r="H20" s="94">
        <f>Taxes!AK24</f>
        <v>2703.7773350444977</v>
      </c>
      <c r="I20" s="94">
        <f>Taxes!AL24</f>
        <v>2729.4359962967014</v>
      </c>
      <c r="J20" s="94">
        <f>Taxes!AM24</f>
        <v>2756.1492686552156</v>
      </c>
      <c r="K20" s="94">
        <f>Taxes!AN24</f>
        <v>2783.2012152323091</v>
      </c>
    </row>
    <row r="21" spans="1:11" x14ac:dyDescent="0.35">
      <c r="A21" t="s">
        <v>216</v>
      </c>
      <c r="B21" t="s">
        <v>217</v>
      </c>
      <c r="C21" s="94">
        <f>Taxes!AF19</f>
        <v>457.71681387337446</v>
      </c>
      <c r="D21" s="94">
        <f>Taxes!AG19</f>
        <v>445.02107513037333</v>
      </c>
      <c r="E21" s="94">
        <f>Taxes!AH19</f>
        <v>432.67747940975011</v>
      </c>
      <c r="F21" s="94">
        <f>Taxes!AI19</f>
        <v>420.67625928396706</v>
      </c>
      <c r="G21" s="94">
        <f>Taxes!AJ19</f>
        <v>439.00791824563726</v>
      </c>
      <c r="H21" s="94">
        <f>Taxes!AK19</f>
        <v>443.11183920870417</v>
      </c>
      <c r="I21" s="94">
        <f>Taxes!AL19</f>
        <v>447.25412432551667</v>
      </c>
      <c r="J21" s="94">
        <f>Taxes!AM19</f>
        <v>451.43513223073313</v>
      </c>
      <c r="K21" s="94">
        <f>Taxes!AN19</f>
        <v>455.65522491158993</v>
      </c>
    </row>
    <row r="22" spans="1:11" x14ac:dyDescent="0.35">
      <c r="A22" t="s">
        <v>218</v>
      </c>
      <c r="B22" t="s">
        <v>219</v>
      </c>
      <c r="C22" s="94">
        <f>Taxes!AF30</f>
        <v>163.11320291351547</v>
      </c>
      <c r="D22" s="94">
        <f>Taxes!AG30</f>
        <v>166.42552395836239</v>
      </c>
      <c r="E22" s="94">
        <f>Taxes!AH30</f>
        <v>166.94191108754498</v>
      </c>
      <c r="F22" s="94">
        <f>Taxes!AI30</f>
        <v>167.56064521530433</v>
      </c>
      <c r="G22" s="94">
        <f>Taxes!AJ30</f>
        <v>168.61202801886526</v>
      </c>
      <c r="H22" s="94">
        <f>Taxes!AK30</f>
        <v>168.0956408896827</v>
      </c>
      <c r="I22" s="94">
        <f>Taxes!AL30</f>
        <v>168.17472720676471</v>
      </c>
      <c r="J22" s="94">
        <f>Taxes!AM30</f>
        <v>167.96072893701336</v>
      </c>
      <c r="K22" s="94">
        <f>Taxes!AN30</f>
        <v>169.12841514804788</v>
      </c>
    </row>
    <row r="23" spans="1:11" x14ac:dyDescent="0.35">
      <c r="A23" s="44" t="s">
        <v>1338</v>
      </c>
      <c r="B23" t="s">
        <v>1337</v>
      </c>
      <c r="C23" s="94">
        <f>'Student loans'!AF12</f>
        <v>-8.2824600000000004</v>
      </c>
      <c r="D23" s="94">
        <f>'Student loans'!AG12</f>
        <v>-8.2824600000000004</v>
      </c>
      <c r="E23" s="94">
        <f>'Student loans'!AH12</f>
        <v>-8.2824600000000004</v>
      </c>
      <c r="F23" s="94">
        <f>'Student loans'!AI12</f>
        <v>-11</v>
      </c>
      <c r="G23" s="94">
        <f>'Student loans'!AJ12</f>
        <v>-11</v>
      </c>
      <c r="H23" s="94">
        <f>'Student loans'!AK12</f>
        <v>-11</v>
      </c>
      <c r="I23" s="94">
        <f>'Student loans'!AL12</f>
        <v>-11</v>
      </c>
      <c r="J23" s="94">
        <f>'Student loans'!AM12</f>
        <v>0</v>
      </c>
      <c r="K23" s="94">
        <f>'Student loans'!AN12</f>
        <v>0</v>
      </c>
    </row>
    <row r="24" spans="1:11" x14ac:dyDescent="0.35">
      <c r="A24" s="86" t="s">
        <v>1881</v>
      </c>
      <c r="B24" t="s">
        <v>1831</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row>
    <row r="25" spans="1:11" x14ac:dyDescent="0.35">
      <c r="A25" s="53" t="s">
        <v>1922</v>
      </c>
      <c r="B25" t="s">
        <v>1923</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A5" activePane="bottomRight" state="frozen"/>
      <selection pane="topRight" activeCell="D1" sqref="D1"/>
      <selection pane="bottomLeft" activeCell="A5" sqref="A5"/>
      <selection pane="bottomRight" activeCell="AF12" sqref="AF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15" t="s">
        <v>1656</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x14ac:dyDescent="0.35">
      <c r="B2" s="1416" t="s">
        <v>1906</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26" t="s">
        <v>2086</v>
      </c>
      <c r="C7" s="1426"/>
      <c r="D7" s="1427"/>
      <c r="E7" s="1427"/>
      <c r="F7" s="1427"/>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17" t="s">
        <v>1670</v>
      </c>
      <c r="C8" s="1418"/>
      <c r="D8" s="1400" t="s">
        <v>246</v>
      </c>
      <c r="E8" s="1401"/>
      <c r="F8" s="1401"/>
      <c r="G8" s="1401"/>
      <c r="H8" s="1401"/>
      <c r="I8" s="1401"/>
      <c r="J8" s="1401"/>
      <c r="K8" s="1401"/>
      <c r="L8" s="1401"/>
      <c r="M8" s="1401"/>
      <c r="N8" s="1401"/>
      <c r="O8" s="1401"/>
      <c r="P8" s="1401"/>
      <c r="Q8" s="1401"/>
      <c r="R8" s="1401"/>
      <c r="S8" s="1401"/>
      <c r="T8" s="1401"/>
      <c r="U8" s="1401"/>
      <c r="V8" s="1402"/>
      <c r="W8" s="291"/>
      <c r="X8" s="260"/>
      <c r="Y8" s="260"/>
      <c r="Z8" s="260"/>
      <c r="AA8" s="260"/>
      <c r="AB8" s="259"/>
      <c r="AC8" s="260"/>
      <c r="AD8" s="260"/>
      <c r="AE8" s="260"/>
      <c r="AF8" s="260"/>
      <c r="AG8" s="1397" t="s">
        <v>1695</v>
      </c>
      <c r="AH8" s="1398"/>
      <c r="AI8" s="1398"/>
      <c r="AJ8" s="1398"/>
      <c r="AK8" s="1398"/>
      <c r="AL8" s="1398"/>
      <c r="AM8" s="1398"/>
      <c r="AN8" s="1399"/>
    </row>
    <row r="9" spans="2:40" x14ac:dyDescent="0.35">
      <c r="B9" s="1419"/>
      <c r="C9" s="1420"/>
      <c r="D9" s="289">
        <v>2018</v>
      </c>
      <c r="E9" s="1403">
        <v>2019</v>
      </c>
      <c r="F9" s="1404"/>
      <c r="G9" s="1404"/>
      <c r="H9" s="1405"/>
      <c r="I9" s="1403">
        <v>2020</v>
      </c>
      <c r="J9" s="1404"/>
      <c r="K9" s="1404"/>
      <c r="L9" s="1405"/>
      <c r="M9" s="1403">
        <v>2021</v>
      </c>
      <c r="N9" s="1404"/>
      <c r="O9" s="1404"/>
      <c r="P9" s="1405"/>
      <c r="Q9" s="1408">
        <v>2022</v>
      </c>
      <c r="R9" s="1409"/>
      <c r="S9" s="277"/>
      <c r="T9" s="279"/>
      <c r="U9" s="283"/>
      <c r="V9" s="277">
        <v>2023</v>
      </c>
      <c r="W9" s="277"/>
      <c r="X9" s="279"/>
      <c r="Y9" s="283"/>
      <c r="Z9" s="277">
        <v>2024</v>
      </c>
      <c r="AA9" s="277"/>
      <c r="AB9" s="279"/>
      <c r="AC9" s="1423">
        <v>2025</v>
      </c>
      <c r="AD9" s="1424"/>
      <c r="AE9" s="1424"/>
      <c r="AF9" s="1425"/>
      <c r="AG9" s="1406">
        <v>2026</v>
      </c>
      <c r="AH9" s="1406"/>
      <c r="AI9" s="1406"/>
      <c r="AJ9" s="1407"/>
      <c r="AK9" s="1410">
        <v>2027</v>
      </c>
      <c r="AL9" s="1428"/>
      <c r="AM9" s="1428"/>
      <c r="AN9" s="1412"/>
    </row>
    <row r="10" spans="2:40" x14ac:dyDescent="0.35">
      <c r="B10" s="1421"/>
      <c r="C10" s="1422"/>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32" t="s">
        <v>1680</v>
      </c>
      <c r="C11" s="1433"/>
      <c r="D11" s="1433"/>
      <c r="E11" s="1433"/>
      <c r="F11" s="1433"/>
      <c r="G11" s="1433"/>
      <c r="H11" s="1433"/>
      <c r="I11" s="1433"/>
      <c r="J11" s="1433"/>
      <c r="K11" s="1433"/>
      <c r="L11" s="1433"/>
      <c r="M11" s="1433"/>
      <c r="N11" s="1433"/>
      <c r="O11" s="1433"/>
      <c r="P11" s="1433"/>
      <c r="Q11" s="1433"/>
      <c r="R11" s="1433"/>
      <c r="S11" s="1433"/>
      <c r="T11" s="1433"/>
      <c r="U11" s="1433"/>
      <c r="V11" s="1433"/>
      <c r="W11" s="1433"/>
      <c r="X11" s="1433"/>
      <c r="Y11" s="1433"/>
      <c r="Z11" s="1433"/>
      <c r="AA11" s="1433"/>
      <c r="AB11" s="1433"/>
      <c r="AC11" s="1433"/>
      <c r="AD11" s="1433"/>
      <c r="AE11" s="1433"/>
      <c r="AF11" s="1433"/>
      <c r="AG11" s="1433"/>
      <c r="AH11" s="1433"/>
      <c r="AI11" s="1433"/>
      <c r="AJ11" s="1433"/>
      <c r="AK11" s="1433"/>
      <c r="AL11" s="1433"/>
      <c r="AM11" s="1433"/>
      <c r="AN11" s="1434"/>
    </row>
    <row r="12" spans="2:40" x14ac:dyDescent="0.35">
      <c r="B12" s="325" t="s">
        <v>1659</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1690</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1660</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-0.10922002212580535</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1691</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-4.5999999999999999E-2</v>
      </c>
      <c r="AH15" s="91"/>
      <c r="AI15" s="91"/>
      <c r="AJ15" s="91"/>
    </row>
    <row r="16" spans="2:40" x14ac:dyDescent="0.35">
      <c r="B16" s="286" t="s">
        <v>1661</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1692</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1662</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1693</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1663</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1694</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9" t="s">
        <v>1683</v>
      </c>
      <c r="C22" s="1430"/>
      <c r="D22" s="1430"/>
      <c r="E22" s="1430"/>
      <c r="F22" s="1430"/>
      <c r="G22" s="1430"/>
      <c r="H22" s="1430"/>
      <c r="I22" s="1430"/>
      <c r="J22" s="1430"/>
      <c r="K22" s="1430"/>
      <c r="L22" s="1430"/>
      <c r="M22" s="1430"/>
      <c r="N22" s="1430"/>
      <c r="O22" s="1430"/>
      <c r="P22" s="1430"/>
      <c r="Q22" s="1430"/>
      <c r="R22" s="1430"/>
      <c r="S22" s="1430"/>
      <c r="T22" s="1430"/>
      <c r="U22" s="1430"/>
      <c r="V22" s="1430"/>
      <c r="W22" s="1430"/>
      <c r="X22" s="1430"/>
      <c r="Y22" s="1430"/>
      <c r="Z22" s="1430"/>
      <c r="AA22" s="1430"/>
      <c r="AB22" s="1430"/>
      <c r="AC22" s="1430"/>
      <c r="AD22" s="1430"/>
      <c r="AE22" s="1430"/>
      <c r="AF22" s="1430"/>
      <c r="AG22" s="1430"/>
      <c r="AH22" s="1430"/>
      <c r="AI22" s="1430"/>
      <c r="AJ22" s="1430"/>
      <c r="AK22" s="1430"/>
      <c r="AL22" s="1430"/>
      <c r="AM22" s="1430"/>
      <c r="AN22" s="1431"/>
    </row>
    <row r="23" spans="2:40" x14ac:dyDescent="0.35">
      <c r="B23" s="313" t="s">
        <v>1659</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1660</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-2.8500432259082165E-2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1661</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1662</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1663</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1659</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1660</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1.3129208764870666</v>
      </c>
      <c r="AH30">
        <f t="shared" si="26"/>
        <v>1.3231978005904124</v>
      </c>
      <c r="AI30">
        <f t="shared" si="26"/>
        <v>1.3341953640947664</v>
      </c>
      <c r="AJ30">
        <f t="shared" si="26"/>
        <v>1.3410122948834293</v>
      </c>
      <c r="AK30">
        <f t="shared" si="26"/>
        <v>1.3475180827521087</v>
      </c>
      <c r="AL30">
        <f t="shared" si="26"/>
        <v>1.3526495393943399</v>
      </c>
      <c r="AM30">
        <f t="shared" si="26"/>
        <v>1.3585898113239985</v>
      </c>
      <c r="AN30">
        <f t="shared" si="26"/>
        <v>1.3649077363680067</v>
      </c>
    </row>
    <row r="31" spans="2:40" x14ac:dyDescent="0.35">
      <c r="B31" s="280" t="s">
        <v>1661</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2087</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17" t="s">
        <v>1658</v>
      </c>
      <c r="C34" s="1418"/>
      <c r="D34" s="1400" t="s">
        <v>1681</v>
      </c>
      <c r="E34" s="1401"/>
      <c r="F34" s="1401"/>
      <c r="G34" s="1401"/>
      <c r="H34" s="1401"/>
      <c r="I34" s="1401"/>
      <c r="J34" s="1401"/>
      <c r="K34" s="1401"/>
      <c r="L34" s="1401"/>
      <c r="M34" s="1401"/>
      <c r="N34" s="1401"/>
      <c r="O34" s="1401"/>
      <c r="P34" s="1401"/>
      <c r="Q34" s="1401"/>
      <c r="R34" s="1401"/>
      <c r="S34" s="1401"/>
      <c r="T34" s="1401"/>
      <c r="U34" s="1401"/>
      <c r="V34" s="1401"/>
      <c r="W34" s="1401"/>
      <c r="X34" s="1401"/>
      <c r="Y34" s="1401"/>
      <c r="Z34" s="1401"/>
      <c r="AA34" s="1401"/>
      <c r="AB34" s="1402"/>
      <c r="AC34" s="261"/>
      <c r="AD34" s="260"/>
      <c r="AE34" s="260"/>
      <c r="AF34" s="260"/>
      <c r="AG34" s="1397" t="s">
        <v>1689</v>
      </c>
      <c r="AH34" s="1398"/>
      <c r="AI34" s="1398"/>
      <c r="AJ34" s="1398"/>
      <c r="AK34" s="1398"/>
      <c r="AL34" s="1398"/>
      <c r="AM34" s="1398"/>
      <c r="AN34" s="1399"/>
    </row>
    <row r="35" spans="2:40" x14ac:dyDescent="0.35">
      <c r="B35" s="1419"/>
      <c r="C35" s="1420"/>
      <c r="D35" s="246"/>
      <c r="E35" s="1423">
        <v>2019</v>
      </c>
      <c r="F35" s="1424"/>
      <c r="G35" s="1424"/>
      <c r="H35" s="1425"/>
      <c r="I35" s="1423">
        <v>2020</v>
      </c>
      <c r="J35" s="1424"/>
      <c r="K35" s="1424"/>
      <c r="L35" s="1424"/>
      <c r="M35" s="1423">
        <v>2021</v>
      </c>
      <c r="N35" s="1424"/>
      <c r="O35" s="1424"/>
      <c r="P35" s="1424"/>
      <c r="Q35" s="1403">
        <v>2022</v>
      </c>
      <c r="R35" s="1404"/>
      <c r="S35" s="1404"/>
      <c r="T35" s="1405"/>
      <c r="U35" s="283"/>
      <c r="V35" s="282">
        <v>2023</v>
      </c>
      <c r="W35" s="277"/>
      <c r="X35" s="277"/>
      <c r="Y35" s="283"/>
      <c r="Z35" s="277">
        <v>2024</v>
      </c>
      <c r="AA35" s="277"/>
      <c r="AB35" s="279"/>
      <c r="AC35" s="1403">
        <v>2025</v>
      </c>
      <c r="AD35" s="1404"/>
      <c r="AE35" s="1404"/>
      <c r="AF35" s="1404"/>
      <c r="AG35" s="1410">
        <v>2026</v>
      </c>
      <c r="AH35" s="1411"/>
      <c r="AI35" s="1411"/>
      <c r="AJ35" s="1412"/>
      <c r="AK35" s="1410">
        <v>2027</v>
      </c>
      <c r="AL35" s="1411"/>
      <c r="AM35" s="1411"/>
      <c r="AN35" s="1412"/>
    </row>
    <row r="36" spans="2:40" x14ac:dyDescent="0.35">
      <c r="B36" s="1421"/>
      <c r="C36" s="1422"/>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1848</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1847</v>
      </c>
      <c r="C38" s="315" t="s">
        <v>1650</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1849</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1660</v>
      </c>
      <c r="C40" s="315" t="s">
        <v>1651</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1661</v>
      </c>
      <c r="C41" s="315" t="s">
        <v>1652</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2027</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1921</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1662</v>
      </c>
      <c r="C44" s="315" t="s">
        <v>1653</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1663</v>
      </c>
      <c r="C45" s="339" t="s">
        <v>1654</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14" t="s">
        <v>1682</v>
      </c>
      <c r="C55" s="1414"/>
      <c r="D55" s="1414"/>
      <c r="E55" s="1414"/>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2035</v>
      </c>
      <c r="C56" s="331"/>
      <c r="D56" s="249">
        <v>2018</v>
      </c>
      <c r="E56" s="1403">
        <v>2019</v>
      </c>
      <c r="F56" s="1404"/>
      <c r="G56" s="1404"/>
      <c r="H56" s="1405"/>
      <c r="I56" s="1403">
        <v>2020</v>
      </c>
      <c r="J56" s="1404"/>
      <c r="K56" s="1404"/>
      <c r="L56" s="1404"/>
      <c r="M56" s="1403">
        <v>2021</v>
      </c>
      <c r="N56" s="1404"/>
      <c r="O56" s="1404"/>
      <c r="P56" s="1404"/>
      <c r="Q56" s="1408">
        <v>2022</v>
      </c>
      <c r="R56" s="1409"/>
      <c r="S56" s="277"/>
      <c r="T56" s="279"/>
      <c r="U56" s="1403">
        <v>2023</v>
      </c>
      <c r="V56" s="1404"/>
      <c r="W56" s="1404"/>
      <c r="X56" s="1405"/>
      <c r="Y56" s="283"/>
      <c r="Z56" s="277">
        <v>2024</v>
      </c>
      <c r="AA56" s="277"/>
      <c r="AB56" s="277"/>
      <c r="AC56" s="1403">
        <v>2025</v>
      </c>
      <c r="AD56" s="1413"/>
      <c r="AE56" s="1413"/>
      <c r="AF56" s="1405"/>
      <c r="AG56" s="1410">
        <v>2026</v>
      </c>
      <c r="AH56" s="1411"/>
      <c r="AI56" s="1411"/>
      <c r="AJ56" s="1412"/>
      <c r="AK56" s="1410">
        <v>2027</v>
      </c>
      <c r="AL56" s="1411"/>
      <c r="AM56" s="1411"/>
      <c r="AN56" s="1412"/>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1867</v>
      </c>
      <c r="C58" s="44" t="s">
        <v>1665</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1868</v>
      </c>
      <c r="C59" s="44" t="s">
        <v>1666</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1869</v>
      </c>
      <c r="C60" s="44" t="s">
        <v>1666</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1870</v>
      </c>
      <c r="C61" s="44" t="s">
        <v>1667</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1871</v>
      </c>
      <c r="C62" s="44" t="s">
        <v>1668</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1872</v>
      </c>
      <c r="C63" s="43" t="s">
        <v>1669</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1659</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1660</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1661</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1914</v>
      </c>
    </row>
    <row r="70" spans="2:41" x14ac:dyDescent="0.35">
      <c r="B70" s="86" t="s">
        <v>1659</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1660</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1661</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K56:AN56"/>
    <mergeCell ref="AK35:AN35"/>
    <mergeCell ref="U56:X56"/>
    <mergeCell ref="E56:H56"/>
    <mergeCell ref="AG56:AJ56"/>
    <mergeCell ref="AG35:AJ35"/>
    <mergeCell ref="AC56:AF56"/>
    <mergeCell ref="B55:E55"/>
    <mergeCell ref="Q56:R56"/>
    <mergeCell ref="M56:P56"/>
    <mergeCell ref="I56:L56"/>
    <mergeCell ref="AG8:AN8"/>
    <mergeCell ref="AG34:AN34"/>
    <mergeCell ref="D34:AB34"/>
    <mergeCell ref="I9:L9"/>
    <mergeCell ref="M9:P9"/>
    <mergeCell ref="AG9:AJ9"/>
    <mergeCell ref="E9:H9"/>
    <mergeCell ref="Q9:R9"/>
    <mergeCell ref="AK9:AN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1974</v>
      </c>
    </row>
    <row r="2" spans="1:45" ht="31.4" customHeight="1" x14ac:dyDescent="0.35">
      <c r="A2" s="343" t="s">
        <v>74</v>
      </c>
      <c r="B2" s="344" t="s">
        <v>249</v>
      </c>
      <c r="C2" s="344" t="s">
        <v>250</v>
      </c>
      <c r="D2" s="344" t="s">
        <v>226</v>
      </c>
      <c r="E2" s="344" t="s">
        <v>248</v>
      </c>
      <c r="F2" s="344" t="s">
        <v>1975</v>
      </c>
      <c r="G2" s="344" t="s">
        <v>1976</v>
      </c>
      <c r="H2" s="344" t="s">
        <v>1977</v>
      </c>
      <c r="I2" s="344" t="s">
        <v>1978</v>
      </c>
      <c r="J2" s="344" t="s">
        <v>1979</v>
      </c>
      <c r="K2" s="344" t="s">
        <v>1980</v>
      </c>
      <c r="L2" s="344" t="s">
        <v>1981</v>
      </c>
      <c r="M2" s="344" t="s">
        <v>1982</v>
      </c>
      <c r="N2" s="344" t="s">
        <v>1983</v>
      </c>
      <c r="O2" s="344" t="s">
        <v>1984</v>
      </c>
      <c r="P2" s="344" t="s">
        <v>1985</v>
      </c>
      <c r="Q2" s="344" t="s">
        <v>1986</v>
      </c>
      <c r="R2" s="344" t="s">
        <v>1987</v>
      </c>
      <c r="S2" s="348" t="s">
        <v>241</v>
      </c>
      <c r="T2" s="345" t="s">
        <v>278</v>
      </c>
    </row>
    <row r="3" spans="1:45" ht="15.65" customHeight="1" x14ac:dyDescent="0.35">
      <c r="A3" s="346" t="s">
        <v>1988</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1989</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1990</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1991</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1992</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1993</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1994</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1995</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1996</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1997</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1998</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1999</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2000</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2001</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2002</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2003</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2004</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2005</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15" t="s">
        <v>44</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2:41" ht="14.25" customHeight="1" x14ac:dyDescent="0.35">
      <c r="B2" s="1435" t="s">
        <v>244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c r="AD2" s="351"/>
      <c r="AE2" s="351"/>
      <c r="AF2" s="351"/>
      <c r="AG2" s="351"/>
      <c r="AH2" s="351"/>
    </row>
    <row r="3" spans="2:4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c r="AD3" s="351"/>
      <c r="AE3" s="351"/>
      <c r="AF3" s="351"/>
      <c r="AG3" s="351"/>
      <c r="AH3" s="351"/>
    </row>
    <row r="4" spans="2:4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c r="AD4" s="351"/>
      <c r="AE4" s="351"/>
      <c r="AF4" s="351"/>
      <c r="AG4" s="351"/>
      <c r="AH4" s="351"/>
    </row>
    <row r="5" spans="2:41"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c r="AD5" s="351"/>
      <c r="AE5" s="351"/>
      <c r="AF5" s="351"/>
      <c r="AG5" s="351"/>
      <c r="AH5" s="351"/>
    </row>
    <row r="6" spans="2:41" ht="38.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17" t="s">
        <v>245</v>
      </c>
      <c r="C8" s="1418"/>
      <c r="D8" s="1437" t="s">
        <v>246</v>
      </c>
      <c r="E8" s="1437"/>
      <c r="F8" s="1437"/>
      <c r="G8" s="1437"/>
      <c r="H8" s="1437"/>
      <c r="I8" s="1437"/>
      <c r="J8" s="1437"/>
      <c r="K8" s="1437"/>
      <c r="L8" s="1437"/>
      <c r="M8" s="1437"/>
      <c r="N8" s="1437"/>
      <c r="O8" s="1437"/>
      <c r="P8" s="1437"/>
      <c r="Q8" s="1437"/>
      <c r="R8" s="1437"/>
      <c r="S8" s="1437"/>
      <c r="T8" s="1437"/>
      <c r="U8" s="1437"/>
      <c r="V8" s="1437"/>
      <c r="W8" s="1437"/>
      <c r="X8" s="1437"/>
      <c r="Y8" s="1437"/>
      <c r="Z8" s="1437"/>
      <c r="AA8" s="1437"/>
      <c r="AB8" s="1437"/>
      <c r="AC8" s="261"/>
      <c r="AD8" s="260"/>
      <c r="AE8" s="260"/>
      <c r="AF8" s="260"/>
      <c r="AG8" s="1398" t="s">
        <v>247</v>
      </c>
      <c r="AH8" s="1398"/>
      <c r="AI8" s="1398"/>
      <c r="AJ8" s="1398"/>
      <c r="AK8" s="1398"/>
      <c r="AL8" s="1398"/>
      <c r="AM8" s="1398"/>
      <c r="AN8" s="1399"/>
    </row>
    <row r="9" spans="2:41" ht="12.75" customHeight="1" x14ac:dyDescent="0.35">
      <c r="B9" s="1419"/>
      <c r="C9" s="1420"/>
      <c r="D9" s="244">
        <v>2018</v>
      </c>
      <c r="E9" s="1423">
        <v>2019</v>
      </c>
      <c r="F9" s="1424"/>
      <c r="G9" s="1424"/>
      <c r="H9" s="1436"/>
      <c r="I9" s="1423">
        <v>2020</v>
      </c>
      <c r="J9" s="1424"/>
      <c r="K9" s="1424"/>
      <c r="L9" s="1436"/>
      <c r="M9" s="1423">
        <v>2021</v>
      </c>
      <c r="N9" s="1424"/>
      <c r="O9" s="1424"/>
      <c r="P9" s="1436"/>
      <c r="Q9" s="1423">
        <v>2022</v>
      </c>
      <c r="R9" s="1424"/>
      <c r="S9" s="1424"/>
      <c r="T9" s="1436"/>
      <c r="U9" s="1423">
        <v>2023</v>
      </c>
      <c r="V9" s="1424"/>
      <c r="W9" s="1424"/>
      <c r="X9" s="1436"/>
      <c r="Y9" s="404"/>
      <c r="Z9" s="355">
        <v>2024</v>
      </c>
      <c r="AA9" s="355"/>
      <c r="AB9" s="354"/>
      <c r="AC9" s="1403">
        <v>2025</v>
      </c>
      <c r="AD9" s="1404"/>
      <c r="AE9" s="1404"/>
      <c r="AF9" s="1404"/>
      <c r="AG9" s="1410">
        <v>2026</v>
      </c>
      <c r="AH9" s="1428"/>
      <c r="AI9" s="1428"/>
      <c r="AJ9" s="1412"/>
      <c r="AK9" s="1410">
        <v>2027</v>
      </c>
      <c r="AL9" s="1428"/>
      <c r="AM9" s="1428"/>
      <c r="AN9" s="1412"/>
    </row>
    <row r="10" spans="2:41" ht="14.9" customHeight="1" x14ac:dyDescent="0.35">
      <c r="B10" s="1421"/>
      <c r="C10" s="1422"/>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1904</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2044</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1777</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1771</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1772</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1761</v>
      </c>
      <c r="F30" s="24" t="s">
        <v>1766</v>
      </c>
      <c r="G30" s="24"/>
      <c r="H30" s="24"/>
      <c r="I30" s="24"/>
      <c r="J30" s="24"/>
      <c r="O30" s="399"/>
    </row>
    <row r="31" spans="2:69" x14ac:dyDescent="0.35">
      <c r="B31" s="393">
        <v>44197</v>
      </c>
      <c r="C31" s="266">
        <v>6.3</v>
      </c>
      <c r="D31" s="396"/>
      <c r="E31" s="63" t="s">
        <v>1696</v>
      </c>
      <c r="F31" s="44"/>
      <c r="G31" s="44"/>
      <c r="H31" s="82"/>
      <c r="I31" s="44"/>
      <c r="J31" s="82"/>
      <c r="O31" s="268"/>
    </row>
    <row r="32" spans="2:69" x14ac:dyDescent="0.35">
      <c r="B32" s="393">
        <v>44228</v>
      </c>
      <c r="C32" s="266">
        <v>6.2</v>
      </c>
      <c r="D32" s="396"/>
      <c r="E32" s="139" t="s">
        <v>1762</v>
      </c>
      <c r="F32" s="77">
        <v>6.166666666666667</v>
      </c>
      <c r="G32" s="44"/>
      <c r="H32" s="82"/>
      <c r="I32" s="44"/>
      <c r="J32" s="82"/>
      <c r="O32" s="268"/>
    </row>
    <row r="33" spans="1:43" x14ac:dyDescent="0.35">
      <c r="B33" s="393">
        <v>44256</v>
      </c>
      <c r="C33" s="266">
        <v>6</v>
      </c>
      <c r="D33" s="396"/>
      <c r="E33" s="139" t="s">
        <v>1763</v>
      </c>
      <c r="F33" s="77">
        <v>5.7666666666666657</v>
      </c>
      <c r="G33" s="44"/>
      <c r="H33" s="82"/>
      <c r="I33" s="44"/>
      <c r="J33" s="82"/>
      <c r="O33" s="268"/>
    </row>
    <row r="34" spans="1:43" x14ac:dyDescent="0.35">
      <c r="B34" s="393">
        <v>44287</v>
      </c>
      <c r="C34" s="266">
        <v>6.1</v>
      </c>
      <c r="D34" s="396"/>
      <c r="E34" s="139" t="s">
        <v>1764</v>
      </c>
      <c r="F34" s="77">
        <v>5.1333333333333337</v>
      </c>
      <c r="G34" s="44"/>
      <c r="H34" s="82"/>
      <c r="I34" s="44"/>
      <c r="J34" s="82"/>
      <c r="O34" s="268"/>
    </row>
    <row r="35" spans="1:43" x14ac:dyDescent="0.35">
      <c r="A35" s="44"/>
      <c r="B35" s="393">
        <v>44317</v>
      </c>
      <c r="C35" s="266">
        <v>5.8</v>
      </c>
      <c r="D35" s="396"/>
      <c r="E35" s="139" t="s">
        <v>1765</v>
      </c>
      <c r="F35" s="77">
        <v>4.2333333333333334</v>
      </c>
      <c r="G35" s="44"/>
      <c r="H35" s="82"/>
      <c r="I35" s="44"/>
      <c r="J35" s="82"/>
      <c r="O35" s="268"/>
    </row>
    <row r="36" spans="1:43" x14ac:dyDescent="0.35">
      <c r="A36" s="44"/>
      <c r="B36" s="393">
        <v>44348</v>
      </c>
      <c r="C36" s="266">
        <v>5.4</v>
      </c>
      <c r="D36" s="396"/>
      <c r="E36" s="63" t="s">
        <v>1685</v>
      </c>
      <c r="F36" s="77"/>
      <c r="G36" s="44"/>
      <c r="H36" s="82"/>
      <c r="I36" s="44"/>
      <c r="J36" s="82"/>
      <c r="O36" s="268"/>
    </row>
    <row r="37" spans="1:43" x14ac:dyDescent="0.35">
      <c r="A37" s="44"/>
      <c r="B37" s="393">
        <v>44378</v>
      </c>
      <c r="C37" s="266">
        <v>5.4</v>
      </c>
      <c r="D37" s="396"/>
      <c r="E37" s="139" t="s">
        <v>1762</v>
      </c>
      <c r="F37" s="77">
        <v>3.8000000000000003</v>
      </c>
      <c r="G37" s="44"/>
      <c r="H37" s="82"/>
      <c r="I37" s="44"/>
      <c r="J37" s="82"/>
      <c r="O37" s="268"/>
    </row>
    <row r="38" spans="1:43" x14ac:dyDescent="0.35">
      <c r="A38" s="44"/>
      <c r="B38" s="393">
        <v>44409</v>
      </c>
      <c r="C38" s="266">
        <v>5.2</v>
      </c>
      <c r="D38" s="396"/>
      <c r="E38" s="139" t="s">
        <v>1763</v>
      </c>
      <c r="F38" s="77">
        <v>3.6</v>
      </c>
      <c r="G38" s="44"/>
      <c r="H38" s="82"/>
      <c r="I38" s="44"/>
      <c r="J38" s="82"/>
      <c r="O38" s="268"/>
    </row>
    <row r="39" spans="1:43" x14ac:dyDescent="0.35">
      <c r="A39" s="44"/>
      <c r="B39" s="393">
        <v>44440</v>
      </c>
      <c r="C39" s="266">
        <v>4.8</v>
      </c>
      <c r="D39" s="396"/>
      <c r="E39" s="139" t="s">
        <v>1764</v>
      </c>
      <c r="F39" s="77">
        <v>3.5666666666666664</v>
      </c>
      <c r="G39" s="44"/>
      <c r="H39" s="82"/>
      <c r="I39" s="44"/>
      <c r="J39" s="82"/>
      <c r="O39" s="268"/>
    </row>
    <row r="40" spans="1:43" x14ac:dyDescent="0.35">
      <c r="A40" s="44"/>
      <c r="B40" s="393">
        <v>44470</v>
      </c>
      <c r="C40" s="266">
        <v>4.5999999999999996</v>
      </c>
      <c r="D40" s="396"/>
      <c r="E40" s="139" t="s">
        <v>1765</v>
      </c>
      <c r="F40" s="77">
        <v>3.6</v>
      </c>
      <c r="G40" s="44"/>
      <c r="H40" s="82"/>
      <c r="I40" s="44"/>
      <c r="J40" s="82"/>
      <c r="O40" s="268"/>
    </row>
    <row r="41" spans="1:43" x14ac:dyDescent="0.35">
      <c r="A41" s="44"/>
      <c r="B41" s="393">
        <v>44501</v>
      </c>
      <c r="C41" s="266">
        <v>4.2</v>
      </c>
      <c r="D41" s="396"/>
      <c r="E41" s="63" t="s">
        <v>1767</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1762</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1763</v>
      </c>
      <c r="F43" s="77"/>
      <c r="G43" s="44"/>
      <c r="H43" s="82"/>
      <c r="I43" s="44"/>
      <c r="J43" s="82"/>
      <c r="O43" s="268"/>
    </row>
    <row r="44" spans="1:43" x14ac:dyDescent="0.35">
      <c r="A44" s="44"/>
      <c r="B44" s="393">
        <v>44593</v>
      </c>
      <c r="C44" s="266">
        <v>3.8</v>
      </c>
      <c r="D44" s="44"/>
      <c r="E44" s="139" t="s">
        <v>1764</v>
      </c>
      <c r="F44" s="77"/>
      <c r="G44" s="44"/>
      <c r="H44" s="82"/>
      <c r="I44" s="44"/>
      <c r="J44" s="82"/>
    </row>
    <row r="45" spans="1:43" x14ac:dyDescent="0.35">
      <c r="A45" s="44"/>
      <c r="B45" s="393">
        <v>44621</v>
      </c>
      <c r="C45" s="266">
        <v>3.6</v>
      </c>
      <c r="D45" s="44"/>
      <c r="E45" s="139" t="s">
        <v>1765</v>
      </c>
      <c r="F45" s="77"/>
      <c r="G45" s="44"/>
      <c r="H45" s="82"/>
      <c r="I45" s="44"/>
      <c r="J45" s="82"/>
    </row>
    <row r="46" spans="1:43" x14ac:dyDescent="0.35">
      <c r="A46" s="44"/>
      <c r="B46" s="393">
        <v>44652</v>
      </c>
      <c r="C46" s="266">
        <v>3.6</v>
      </c>
      <c r="D46" s="44"/>
      <c r="E46" s="63" t="s">
        <v>1768</v>
      </c>
      <c r="F46" s="77"/>
      <c r="G46" s="44"/>
      <c r="H46" s="82"/>
      <c r="I46" s="44"/>
      <c r="J46" s="82"/>
    </row>
    <row r="47" spans="1:43" x14ac:dyDescent="0.35">
      <c r="A47" s="44"/>
      <c r="B47" s="393">
        <v>44682</v>
      </c>
      <c r="C47" s="266">
        <v>3.6</v>
      </c>
      <c r="D47" s="44"/>
      <c r="E47" s="139" t="s">
        <v>1762</v>
      </c>
      <c r="F47" s="77"/>
      <c r="G47" s="44"/>
      <c r="H47" s="82"/>
      <c r="I47" s="44"/>
      <c r="J47" s="82"/>
    </row>
    <row r="48" spans="1:43" x14ac:dyDescent="0.35">
      <c r="A48" s="44"/>
      <c r="B48" s="393">
        <v>44713</v>
      </c>
      <c r="C48" s="266">
        <v>3.6</v>
      </c>
      <c r="D48" s="44"/>
      <c r="E48" s="139" t="s">
        <v>1763</v>
      </c>
      <c r="F48" s="77"/>
      <c r="G48" s="44"/>
      <c r="H48" s="82"/>
      <c r="I48" s="44"/>
      <c r="J48" s="82"/>
    </row>
    <row r="49" spans="1:10" x14ac:dyDescent="0.35">
      <c r="A49" s="44"/>
      <c r="B49" s="393">
        <v>44743</v>
      </c>
      <c r="C49" s="266">
        <v>3.5</v>
      </c>
      <c r="D49" s="44"/>
      <c r="E49" s="139" t="s">
        <v>1764</v>
      </c>
      <c r="F49" s="77"/>
      <c r="G49" s="44"/>
      <c r="H49" s="82"/>
      <c r="I49" s="44"/>
      <c r="J49" s="82"/>
    </row>
    <row r="50" spans="1:10" x14ac:dyDescent="0.35">
      <c r="A50" s="44"/>
      <c r="B50" s="393">
        <v>44774</v>
      </c>
      <c r="C50" s="266">
        <v>3.7</v>
      </c>
      <c r="D50" s="44"/>
      <c r="E50" s="139" t="s">
        <v>1765</v>
      </c>
      <c r="F50" s="77"/>
      <c r="G50" s="44"/>
      <c r="H50" s="82"/>
      <c r="I50" s="44"/>
      <c r="J50" s="82"/>
    </row>
    <row r="51" spans="1:10" x14ac:dyDescent="0.35">
      <c r="A51" s="44"/>
      <c r="B51" s="393">
        <v>44805</v>
      </c>
      <c r="C51" s="266">
        <v>3.5</v>
      </c>
      <c r="D51" s="44"/>
      <c r="E51" s="63" t="s">
        <v>1769</v>
      </c>
      <c r="F51" s="77"/>
      <c r="G51" s="44"/>
      <c r="H51" s="44"/>
      <c r="I51" s="44"/>
      <c r="J51" s="44"/>
    </row>
    <row r="52" spans="1:10" x14ac:dyDescent="0.35">
      <c r="A52" s="44"/>
      <c r="B52" s="393">
        <v>44835</v>
      </c>
      <c r="C52" s="266">
        <v>3.7</v>
      </c>
      <c r="D52" s="44"/>
      <c r="E52" s="139" t="s">
        <v>1762</v>
      </c>
      <c r="F52" s="77"/>
      <c r="G52" s="44"/>
      <c r="H52" s="44"/>
      <c r="I52" s="44"/>
      <c r="J52" s="44"/>
    </row>
    <row r="53" spans="1:10" x14ac:dyDescent="0.35">
      <c r="A53" s="44"/>
      <c r="B53" s="393">
        <v>44866</v>
      </c>
      <c r="C53" s="266">
        <v>3.6</v>
      </c>
      <c r="D53" s="44"/>
      <c r="E53" s="139" t="s">
        <v>1763</v>
      </c>
      <c r="F53" s="77"/>
      <c r="G53" s="44"/>
      <c r="H53" s="44"/>
      <c r="I53" s="44"/>
      <c r="J53" s="44"/>
    </row>
    <row r="54" spans="1:10" x14ac:dyDescent="0.35">
      <c r="A54" s="44"/>
      <c r="B54" s="393">
        <v>44896</v>
      </c>
      <c r="C54" s="266">
        <v>3.5</v>
      </c>
      <c r="D54" s="44"/>
      <c r="E54" s="139" t="s">
        <v>1764</v>
      </c>
      <c r="F54" s="77"/>
      <c r="G54" s="44"/>
      <c r="H54" s="44"/>
      <c r="I54" s="44"/>
      <c r="J54" s="44"/>
    </row>
    <row r="55" spans="1:10" x14ac:dyDescent="0.35">
      <c r="B55" s="393">
        <v>44927</v>
      </c>
      <c r="C55" s="266">
        <v>3.4</v>
      </c>
      <c r="D55" s="44"/>
      <c r="E55" s="139" t="s">
        <v>1765</v>
      </c>
      <c r="F55" s="77"/>
      <c r="G55" s="44"/>
      <c r="H55" s="44"/>
      <c r="I55" s="44"/>
      <c r="J55" s="44"/>
    </row>
    <row r="56" spans="1:10" x14ac:dyDescent="0.35">
      <c r="B56" s="393">
        <v>44958</v>
      </c>
      <c r="C56" s="266">
        <v>3.6</v>
      </c>
      <c r="D56" s="44"/>
      <c r="E56" s="63" t="s">
        <v>1770</v>
      </c>
      <c r="F56" s="77"/>
      <c r="G56" s="44"/>
      <c r="H56" s="44"/>
      <c r="I56" s="44"/>
      <c r="J56" s="44"/>
    </row>
    <row r="57" spans="1:10" x14ac:dyDescent="0.35">
      <c r="B57" s="393">
        <v>44986</v>
      </c>
      <c r="C57" s="266">
        <v>3.5</v>
      </c>
      <c r="D57" s="44"/>
      <c r="E57" s="139" t="s">
        <v>1762</v>
      </c>
      <c r="F57" s="77"/>
      <c r="G57" s="44"/>
      <c r="H57" s="44"/>
      <c r="I57" s="44"/>
      <c r="J57" s="44"/>
    </row>
    <row r="58" spans="1:10" x14ac:dyDescent="0.35">
      <c r="B58" s="393">
        <v>45017</v>
      </c>
      <c r="C58" s="266"/>
      <c r="D58" s="44"/>
      <c r="E58" s="139" t="s">
        <v>1763</v>
      </c>
      <c r="F58" s="77"/>
      <c r="G58" s="44"/>
      <c r="H58" s="44"/>
      <c r="I58" s="44"/>
      <c r="J58" s="44"/>
    </row>
    <row r="59" spans="1:10" x14ac:dyDescent="0.35">
      <c r="B59" s="393">
        <v>45047</v>
      </c>
      <c r="C59" s="266"/>
      <c r="D59" s="44"/>
      <c r="E59" s="139" t="s">
        <v>1764</v>
      </c>
      <c r="F59" s="77"/>
      <c r="G59" s="44"/>
      <c r="H59" s="44"/>
      <c r="I59" s="44"/>
      <c r="J59" s="44"/>
    </row>
    <row r="60" spans="1:10" x14ac:dyDescent="0.35">
      <c r="B60" s="393">
        <v>45078</v>
      </c>
      <c r="C60" s="266"/>
      <c r="D60" s="44"/>
      <c r="E60" s="139" t="s">
        <v>1765</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AK9:AN9"/>
    <mergeCell ref="Q9:T9"/>
    <mergeCell ref="U9:X9"/>
    <mergeCell ref="AG9:AJ9"/>
    <mergeCell ref="AG8:AN8"/>
    <mergeCell ref="B1:AC1"/>
    <mergeCell ref="B2:AC6"/>
    <mergeCell ref="E9:H9"/>
    <mergeCell ref="B8:C10"/>
    <mergeCell ref="I9:L9"/>
    <mergeCell ref="M9:P9"/>
    <mergeCell ref="AC9:AF9"/>
    <mergeCell ref="D8:AB8"/>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15" t="s">
        <v>44</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30" ht="14.25" customHeight="1" x14ac:dyDescent="0.35">
      <c r="B2" s="1435" t="s">
        <v>244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30"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30"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30"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row>
    <row r="6" spans="2:30" ht="38.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17" t="s">
        <v>245</v>
      </c>
      <c r="C8" s="1418"/>
      <c r="D8" s="1438" t="s">
        <v>246</v>
      </c>
      <c r="E8" s="1439"/>
      <c r="F8" s="1439"/>
      <c r="G8" s="1439"/>
      <c r="H8" s="1439"/>
      <c r="I8" s="1439"/>
      <c r="J8" s="1439"/>
      <c r="K8" s="1439"/>
      <c r="L8" s="1439"/>
      <c r="M8" s="1439"/>
      <c r="N8" s="1439"/>
      <c r="O8" s="1439"/>
      <c r="P8" s="1439"/>
      <c r="Q8" s="1439"/>
      <c r="R8" s="1439"/>
      <c r="S8" s="1439"/>
      <c r="T8" s="1440"/>
      <c r="U8" s="1397" t="s">
        <v>247</v>
      </c>
      <c r="V8" s="1398"/>
      <c r="W8" s="1398"/>
      <c r="X8" s="1398"/>
      <c r="Y8" s="1398"/>
      <c r="Z8" s="1398"/>
      <c r="AA8" s="1398"/>
      <c r="AB8" s="1398"/>
      <c r="AC8" s="1399"/>
    </row>
    <row r="9" spans="2:30" ht="12.75" customHeight="1" x14ac:dyDescent="0.35">
      <c r="B9" s="1419"/>
      <c r="C9" s="1420"/>
      <c r="D9" s="249">
        <v>2018</v>
      </c>
      <c r="E9" s="1403">
        <v>2019</v>
      </c>
      <c r="F9" s="1413"/>
      <c r="G9" s="1413"/>
      <c r="H9" s="1405"/>
      <c r="I9" s="1413">
        <v>2020</v>
      </c>
      <c r="J9" s="1413"/>
      <c r="K9" s="1413"/>
      <c r="L9" s="1413"/>
      <c r="M9" s="1403">
        <v>2021</v>
      </c>
      <c r="N9" s="1413"/>
      <c r="O9" s="1413"/>
      <c r="P9" s="1413"/>
      <c r="Q9" s="1408">
        <v>2022</v>
      </c>
      <c r="R9" s="1409"/>
      <c r="S9" s="277"/>
      <c r="T9" s="279"/>
      <c r="U9" s="1428">
        <v>2023</v>
      </c>
      <c r="V9" s="1411"/>
      <c r="W9" s="1411"/>
      <c r="X9" s="1412"/>
      <c r="Y9" s="1410">
        <v>2024</v>
      </c>
      <c r="Z9" s="1411"/>
      <c r="AA9" s="1411"/>
      <c r="AB9" s="1411"/>
      <c r="AC9" s="408">
        <v>2025</v>
      </c>
    </row>
    <row r="10" spans="2:30" ht="14.9" customHeight="1" x14ac:dyDescent="0.35">
      <c r="B10" s="1419"/>
      <c r="C10" s="142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1698</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1757</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1771</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1772</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1761</v>
      </c>
      <c r="F28" s="24" t="s">
        <v>1766</v>
      </c>
      <c r="G28" s="24"/>
      <c r="H28" s="24"/>
      <c r="I28" s="24"/>
      <c r="J28" s="24"/>
      <c r="O28" s="399"/>
    </row>
    <row r="29" spans="1:32" x14ac:dyDescent="0.35">
      <c r="A29" s="44"/>
      <c r="B29" s="393">
        <v>44197</v>
      </c>
      <c r="C29" s="266">
        <v>6.3</v>
      </c>
      <c r="D29" s="396"/>
      <c r="E29" s="63" t="s">
        <v>1696</v>
      </c>
      <c r="F29" s="44"/>
      <c r="G29" s="44"/>
      <c r="H29" s="82"/>
      <c r="I29" s="44"/>
      <c r="J29" s="82"/>
      <c r="O29" s="268"/>
    </row>
    <row r="30" spans="1:32" x14ac:dyDescent="0.35">
      <c r="A30" s="44"/>
      <c r="B30" s="393">
        <v>44228</v>
      </c>
      <c r="C30" s="266">
        <v>6.2</v>
      </c>
      <c r="D30" s="396"/>
      <c r="E30" s="139" t="s">
        <v>1762</v>
      </c>
      <c r="F30" s="77">
        <v>6.166666666666667</v>
      </c>
      <c r="G30" s="44"/>
      <c r="H30" s="82"/>
      <c r="I30" s="44"/>
      <c r="J30" s="82"/>
      <c r="O30" s="268"/>
    </row>
    <row r="31" spans="1:32" x14ac:dyDescent="0.35">
      <c r="A31" s="44"/>
      <c r="B31" s="393">
        <v>44256</v>
      </c>
      <c r="C31" s="266">
        <v>6</v>
      </c>
      <c r="D31" s="396"/>
      <c r="E31" s="139" t="s">
        <v>1763</v>
      </c>
      <c r="F31" s="77">
        <v>5.7666666666666657</v>
      </c>
      <c r="G31" s="44"/>
      <c r="H31" s="82"/>
      <c r="I31" s="44"/>
      <c r="J31" s="82"/>
      <c r="O31" s="268"/>
    </row>
    <row r="32" spans="1:32" x14ac:dyDescent="0.35">
      <c r="A32" s="44"/>
      <c r="B32" s="393">
        <v>44287</v>
      </c>
      <c r="C32" s="266">
        <v>6.1</v>
      </c>
      <c r="D32" s="396"/>
      <c r="E32" s="139" t="s">
        <v>1764</v>
      </c>
      <c r="F32" s="77">
        <v>5.1333333333333337</v>
      </c>
      <c r="G32" s="44"/>
      <c r="H32" s="82"/>
      <c r="I32" s="44"/>
      <c r="J32" s="82"/>
      <c r="O32" s="268"/>
    </row>
    <row r="33" spans="1:38" x14ac:dyDescent="0.35">
      <c r="A33" s="44"/>
      <c r="B33" s="393">
        <v>44317</v>
      </c>
      <c r="C33" s="266">
        <v>5.8</v>
      </c>
      <c r="D33" s="396"/>
      <c r="E33" s="139" t="s">
        <v>1765</v>
      </c>
      <c r="F33" s="77">
        <v>4.2333333333333334</v>
      </c>
      <c r="G33" s="44"/>
      <c r="H33" s="82"/>
      <c r="I33" s="44"/>
      <c r="J33" s="82"/>
      <c r="O33" s="268"/>
    </row>
    <row r="34" spans="1:38" x14ac:dyDescent="0.35">
      <c r="A34" s="44"/>
      <c r="B34" s="393">
        <v>44348</v>
      </c>
      <c r="C34" s="266">
        <v>5.4</v>
      </c>
      <c r="D34" s="396"/>
      <c r="E34" s="63" t="s">
        <v>1685</v>
      </c>
      <c r="F34" s="77"/>
      <c r="G34" s="44"/>
      <c r="H34" s="82"/>
      <c r="I34" s="44"/>
      <c r="J34" s="82"/>
      <c r="O34" s="268"/>
    </row>
    <row r="35" spans="1:38" x14ac:dyDescent="0.35">
      <c r="A35" s="44"/>
      <c r="B35" s="393">
        <v>44378</v>
      </c>
      <c r="C35" s="266">
        <v>5.4</v>
      </c>
      <c r="D35" s="396"/>
      <c r="E35" s="139" t="s">
        <v>1762</v>
      </c>
      <c r="F35" s="77">
        <v>3.8000000000000003</v>
      </c>
      <c r="G35" s="44"/>
      <c r="H35" s="82"/>
      <c r="I35" s="44"/>
      <c r="J35" s="82"/>
      <c r="O35" s="268"/>
    </row>
    <row r="36" spans="1:38" x14ac:dyDescent="0.35">
      <c r="A36" s="44"/>
      <c r="B36" s="393">
        <v>44409</v>
      </c>
      <c r="C36" s="266">
        <v>5.2</v>
      </c>
      <c r="D36" s="396"/>
      <c r="E36" s="139" t="s">
        <v>1763</v>
      </c>
      <c r="F36" s="77">
        <v>3.6</v>
      </c>
      <c r="G36" s="44"/>
      <c r="H36" s="82"/>
      <c r="I36" s="44"/>
      <c r="J36" s="82"/>
      <c r="O36" s="268"/>
    </row>
    <row r="37" spans="1:38" x14ac:dyDescent="0.35">
      <c r="A37" s="44"/>
      <c r="B37" s="393">
        <v>44440</v>
      </c>
      <c r="C37" s="266">
        <v>4.8</v>
      </c>
      <c r="D37" s="396"/>
      <c r="E37" s="139" t="s">
        <v>1764</v>
      </c>
      <c r="F37" s="77">
        <v>3.5666666666666664</v>
      </c>
      <c r="G37" s="44"/>
      <c r="H37" s="82"/>
      <c r="I37" s="44"/>
      <c r="J37" s="82"/>
      <c r="O37" s="268"/>
    </row>
    <row r="38" spans="1:38" x14ac:dyDescent="0.35">
      <c r="A38" s="44"/>
      <c r="B38" s="393">
        <v>44470</v>
      </c>
      <c r="C38" s="266">
        <v>4.5999999999999996</v>
      </c>
      <c r="D38" s="396"/>
      <c r="E38" s="139" t="s">
        <v>1765</v>
      </c>
      <c r="F38" s="77">
        <v>3.6</v>
      </c>
      <c r="G38" s="44"/>
      <c r="H38" s="82"/>
      <c r="I38" s="44"/>
      <c r="J38" s="82"/>
      <c r="O38" s="268"/>
    </row>
    <row r="39" spans="1:38" x14ac:dyDescent="0.35">
      <c r="A39" s="44"/>
      <c r="B39" s="393">
        <v>44501</v>
      </c>
      <c r="C39" s="266">
        <v>4.2</v>
      </c>
      <c r="D39" s="396"/>
      <c r="E39" s="63" t="s">
        <v>1767</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1762</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1763</v>
      </c>
      <c r="F41" s="77"/>
      <c r="G41" s="44"/>
      <c r="H41" s="82"/>
      <c r="I41" s="44"/>
      <c r="J41" s="82"/>
      <c r="O41" s="268"/>
    </row>
    <row r="42" spans="1:38" x14ac:dyDescent="0.35">
      <c r="A42" s="44"/>
      <c r="B42" s="393">
        <v>44593</v>
      </c>
      <c r="C42" s="266">
        <v>3.8</v>
      </c>
      <c r="D42" s="44"/>
      <c r="E42" s="139" t="s">
        <v>1764</v>
      </c>
      <c r="F42" s="77"/>
      <c r="G42" s="44"/>
      <c r="H42" s="82"/>
      <c r="I42" s="44"/>
      <c r="J42" s="82"/>
    </row>
    <row r="43" spans="1:38" x14ac:dyDescent="0.35">
      <c r="A43" s="44"/>
      <c r="B43" s="393">
        <v>44621</v>
      </c>
      <c r="C43" s="266">
        <v>3.6</v>
      </c>
      <c r="D43" s="44"/>
      <c r="E43" s="139" t="s">
        <v>1765</v>
      </c>
      <c r="F43" s="77"/>
      <c r="G43" s="44"/>
      <c r="H43" s="82"/>
      <c r="I43" s="44"/>
      <c r="J43" s="82"/>
    </row>
    <row r="44" spans="1:38" x14ac:dyDescent="0.35">
      <c r="A44" s="44"/>
      <c r="B44" s="393">
        <v>44652</v>
      </c>
      <c r="C44" s="266">
        <v>3.6</v>
      </c>
      <c r="D44" s="44"/>
      <c r="E44" s="63" t="s">
        <v>1768</v>
      </c>
      <c r="F44" s="77"/>
      <c r="G44" s="44"/>
      <c r="H44" s="82"/>
      <c r="I44" s="44"/>
      <c r="J44" s="82"/>
    </row>
    <row r="45" spans="1:38" x14ac:dyDescent="0.35">
      <c r="A45" s="44"/>
      <c r="B45" s="393">
        <v>44682</v>
      </c>
      <c r="C45" s="266">
        <v>3.6</v>
      </c>
      <c r="D45" s="44"/>
      <c r="E45" s="139" t="s">
        <v>1762</v>
      </c>
      <c r="F45" s="77"/>
      <c r="G45" s="44"/>
      <c r="H45" s="82"/>
      <c r="I45" s="44"/>
      <c r="J45" s="82"/>
    </row>
    <row r="46" spans="1:38" x14ac:dyDescent="0.35">
      <c r="A46" s="44"/>
      <c r="B46" s="393">
        <v>44713</v>
      </c>
      <c r="C46" s="266">
        <v>3.6</v>
      </c>
      <c r="D46" s="44"/>
      <c r="E46" s="139" t="s">
        <v>1763</v>
      </c>
      <c r="F46" s="77"/>
      <c r="G46" s="44"/>
      <c r="H46" s="82"/>
      <c r="I46" s="44"/>
      <c r="J46" s="82"/>
    </row>
    <row r="47" spans="1:38" x14ac:dyDescent="0.35">
      <c r="A47" s="44"/>
      <c r="B47" s="393">
        <v>44743</v>
      </c>
      <c r="C47" s="266">
        <v>3.5</v>
      </c>
      <c r="D47" s="44"/>
      <c r="E47" s="139" t="s">
        <v>1764</v>
      </c>
      <c r="F47" s="77"/>
      <c r="G47" s="44"/>
      <c r="H47" s="82"/>
      <c r="I47" s="44"/>
      <c r="J47" s="82"/>
    </row>
    <row r="48" spans="1:38" x14ac:dyDescent="0.35">
      <c r="A48" s="44"/>
      <c r="B48" s="393">
        <v>44774</v>
      </c>
      <c r="C48" s="266">
        <v>3.7</v>
      </c>
      <c r="D48" s="44"/>
      <c r="E48" s="139" t="s">
        <v>1765</v>
      </c>
      <c r="F48" s="77"/>
      <c r="G48" s="44"/>
      <c r="H48" s="82"/>
      <c r="I48" s="44"/>
      <c r="J48" s="82"/>
    </row>
    <row r="49" spans="2:10" x14ac:dyDescent="0.35">
      <c r="B49" s="393">
        <v>44805</v>
      </c>
      <c r="C49" s="266">
        <v>3.5</v>
      </c>
      <c r="D49" s="44"/>
      <c r="E49" s="63" t="s">
        <v>1769</v>
      </c>
      <c r="F49" s="77"/>
      <c r="G49" s="44"/>
      <c r="H49" s="44"/>
      <c r="I49" s="44"/>
      <c r="J49" s="44"/>
    </row>
    <row r="50" spans="2:10" x14ac:dyDescent="0.35">
      <c r="B50" s="393">
        <v>44835</v>
      </c>
      <c r="C50" s="266">
        <v>3.7</v>
      </c>
      <c r="D50" s="44"/>
      <c r="E50" s="139" t="s">
        <v>1762</v>
      </c>
      <c r="F50" s="77"/>
      <c r="G50" s="44"/>
      <c r="H50" s="44"/>
      <c r="I50" s="44"/>
      <c r="J50" s="44"/>
    </row>
    <row r="51" spans="2:10" x14ac:dyDescent="0.35">
      <c r="B51" s="393">
        <v>44866</v>
      </c>
      <c r="C51" s="266">
        <v>3.6</v>
      </c>
      <c r="D51" s="44"/>
      <c r="E51" s="139" t="s">
        <v>1763</v>
      </c>
      <c r="F51" s="77"/>
      <c r="G51" s="44"/>
      <c r="H51" s="44"/>
      <c r="I51" s="44"/>
      <c r="J51" s="44"/>
    </row>
    <row r="52" spans="2:10" x14ac:dyDescent="0.35">
      <c r="B52" s="393">
        <v>44896</v>
      </c>
      <c r="C52" s="266">
        <v>3.5</v>
      </c>
      <c r="D52" s="44"/>
      <c r="E52" s="139" t="s">
        <v>1764</v>
      </c>
      <c r="F52" s="77"/>
      <c r="G52" s="44"/>
      <c r="H52" s="44"/>
      <c r="I52" s="44"/>
      <c r="J52" s="44"/>
    </row>
    <row r="53" spans="2:10" x14ac:dyDescent="0.35">
      <c r="B53" s="393">
        <v>44927</v>
      </c>
      <c r="C53" s="266">
        <v>3.4</v>
      </c>
      <c r="D53" s="44"/>
      <c r="E53" s="139" t="s">
        <v>1765</v>
      </c>
      <c r="F53" s="77"/>
      <c r="G53" s="44"/>
      <c r="H53" s="44"/>
      <c r="I53" s="44"/>
      <c r="J53" s="44"/>
    </row>
    <row r="54" spans="2:10" x14ac:dyDescent="0.35">
      <c r="B54" s="393">
        <v>44958</v>
      </c>
      <c r="C54" s="266">
        <v>3.6</v>
      </c>
      <c r="D54" s="44"/>
      <c r="E54" s="63" t="s">
        <v>1770</v>
      </c>
      <c r="F54" s="77"/>
      <c r="G54" s="44"/>
      <c r="H54" s="44"/>
      <c r="I54" s="44"/>
      <c r="J54" s="44"/>
    </row>
    <row r="55" spans="2:10" x14ac:dyDescent="0.35">
      <c r="B55" s="393">
        <v>44986</v>
      </c>
      <c r="C55" s="266">
        <v>3.5</v>
      </c>
      <c r="D55" s="44"/>
      <c r="E55" s="139" t="s">
        <v>1762</v>
      </c>
      <c r="F55" s="77"/>
      <c r="G55" s="44"/>
      <c r="H55" s="44"/>
      <c r="I55" s="44"/>
      <c r="J55" s="44"/>
    </row>
    <row r="56" spans="2:10" x14ac:dyDescent="0.35">
      <c r="B56" s="393">
        <v>45017</v>
      </c>
      <c r="C56" s="266"/>
      <c r="D56" s="44"/>
      <c r="E56" s="139" t="s">
        <v>1763</v>
      </c>
      <c r="F56" s="77"/>
      <c r="G56" s="44"/>
      <c r="H56" s="44"/>
      <c r="I56" s="44"/>
      <c r="J56" s="44"/>
    </row>
    <row r="57" spans="2:10" x14ac:dyDescent="0.35">
      <c r="B57" s="393">
        <v>45047</v>
      </c>
      <c r="C57" s="266"/>
      <c r="D57" s="44"/>
      <c r="E57" s="139" t="s">
        <v>1764</v>
      </c>
      <c r="F57" s="77"/>
      <c r="G57" s="44"/>
      <c r="H57" s="44"/>
      <c r="I57" s="44"/>
      <c r="J57" s="44"/>
    </row>
    <row r="58" spans="2:10" x14ac:dyDescent="0.35">
      <c r="B58" s="393">
        <v>45078</v>
      </c>
      <c r="C58" s="266"/>
      <c r="D58" s="44"/>
      <c r="E58" s="139" t="s">
        <v>1765</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AG20" sqref="AG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15" t="s">
        <v>180</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241"/>
      <c r="AA1" s="241"/>
      <c r="AB1" s="241"/>
      <c r="AC1" s="241"/>
      <c r="AD1" s="241"/>
      <c r="AE1" s="241"/>
      <c r="AF1" s="241"/>
      <c r="AG1" s="241"/>
      <c r="AH1" s="241"/>
      <c r="AI1" s="241"/>
      <c r="AJ1" s="241"/>
      <c r="AK1" s="241"/>
      <c r="AL1" s="241"/>
      <c r="AM1" s="241"/>
      <c r="AN1" s="241"/>
      <c r="AO1" s="429"/>
      <c r="AP1" s="429"/>
    </row>
    <row r="2" spans="2:45" ht="14.25" customHeight="1" x14ac:dyDescent="0.35">
      <c r="B2" s="1435" t="s">
        <v>298</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c r="AD2" s="351"/>
      <c r="AE2" s="351"/>
      <c r="AF2" s="351"/>
      <c r="AG2" s="351"/>
      <c r="AH2" s="351"/>
      <c r="AI2" s="351"/>
      <c r="AJ2" s="351"/>
      <c r="AK2" s="351"/>
      <c r="AL2" s="351"/>
      <c r="AM2" s="351"/>
      <c r="AN2" s="351"/>
      <c r="AO2" s="351"/>
      <c r="AP2" s="351"/>
    </row>
    <row r="3" spans="2:45" ht="50.9" customHeight="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c r="AD3" s="351"/>
      <c r="AE3" s="351"/>
      <c r="AF3" s="351"/>
      <c r="AG3" s="351"/>
      <c r="AH3" s="351"/>
      <c r="AI3" s="351"/>
      <c r="AJ3" s="351"/>
      <c r="AK3" s="351"/>
      <c r="AL3" s="351"/>
      <c r="AM3" s="351"/>
      <c r="AN3" s="351"/>
      <c r="AO3" s="351"/>
      <c r="AP3" s="351"/>
    </row>
    <row r="4" spans="2:45" ht="5.25" customHeight="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17" t="s">
        <v>300</v>
      </c>
      <c r="C6" s="1418"/>
      <c r="D6" s="1400" t="s">
        <v>246</v>
      </c>
      <c r="E6" s="1401"/>
      <c r="F6" s="1401"/>
      <c r="G6" s="1401"/>
      <c r="H6" s="1401"/>
      <c r="I6" s="1401"/>
      <c r="J6" s="1401"/>
      <c r="K6" s="1401"/>
      <c r="L6" s="1401"/>
      <c r="M6" s="1401"/>
      <c r="N6" s="1401"/>
      <c r="O6" s="1401"/>
      <c r="P6" s="1401"/>
      <c r="Q6" s="1401"/>
      <c r="R6" s="1401"/>
      <c r="S6" s="1401"/>
      <c r="T6" s="1401"/>
      <c r="U6" s="1401"/>
      <c r="V6" s="1401"/>
      <c r="W6" s="1401"/>
      <c r="X6" s="1401"/>
      <c r="Y6" s="1401"/>
      <c r="Z6" s="1401"/>
      <c r="AA6" s="1401"/>
      <c r="AB6" s="1402"/>
      <c r="AC6" s="259"/>
      <c r="AD6" s="260"/>
      <c r="AE6" s="260"/>
      <c r="AF6" s="260"/>
      <c r="AG6" s="1397" t="s">
        <v>247</v>
      </c>
      <c r="AH6" s="1398"/>
      <c r="AI6" s="1398"/>
      <c r="AJ6" s="1398"/>
      <c r="AK6" s="1398"/>
      <c r="AL6" s="1398"/>
      <c r="AM6" s="1398"/>
      <c r="AN6" s="1399"/>
      <c r="AO6" s="1445" t="s">
        <v>301</v>
      </c>
      <c r="AP6" s="1445" t="s">
        <v>302</v>
      </c>
    </row>
    <row r="7" spans="2:45" ht="24" customHeight="1" x14ac:dyDescent="0.35">
      <c r="B7" s="1419"/>
      <c r="C7" s="1420"/>
      <c r="D7" s="244">
        <v>2018</v>
      </c>
      <c r="E7" s="1423">
        <v>2019</v>
      </c>
      <c r="F7" s="1424"/>
      <c r="G7" s="1424"/>
      <c r="H7" s="1436"/>
      <c r="I7" s="1423">
        <v>2020</v>
      </c>
      <c r="J7" s="1424"/>
      <c r="K7" s="1424"/>
      <c r="L7" s="1424"/>
      <c r="M7" s="1423">
        <v>2021</v>
      </c>
      <c r="N7" s="1424"/>
      <c r="O7" s="1424"/>
      <c r="P7" s="1424"/>
      <c r="Q7" s="1423">
        <v>2022</v>
      </c>
      <c r="R7" s="1424"/>
      <c r="S7" s="1424"/>
      <c r="T7" s="1424"/>
      <c r="U7" s="432"/>
      <c r="V7" s="433">
        <v>2023</v>
      </c>
      <c r="W7" s="433"/>
      <c r="X7" s="434"/>
      <c r="Y7" s="404"/>
      <c r="Z7" s="355">
        <v>2024</v>
      </c>
      <c r="AA7" s="355"/>
      <c r="AB7" s="354"/>
      <c r="AC7" s="1423">
        <v>2025</v>
      </c>
      <c r="AD7" s="1424"/>
      <c r="AE7" s="1424"/>
      <c r="AF7" s="1424"/>
      <c r="AG7" s="1410">
        <v>2026</v>
      </c>
      <c r="AH7" s="1428"/>
      <c r="AI7" s="1428"/>
      <c r="AJ7" s="1412"/>
      <c r="AK7" s="1410">
        <v>2027</v>
      </c>
      <c r="AL7" s="1428"/>
      <c r="AM7" s="1428"/>
      <c r="AN7" s="1412"/>
      <c r="AO7" s="1446"/>
      <c r="AP7" s="1446"/>
    </row>
    <row r="8" spans="2:45" ht="14.25" customHeight="1"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47"/>
      <c r="AP8" s="1447"/>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1019.816123713868</v>
      </c>
      <c r="AK9" s="454">
        <f t="shared" si="0"/>
        <v>1026.0267930107352</v>
      </c>
      <c r="AL9" s="454">
        <f t="shared" si="0"/>
        <v>1033.6193940882142</v>
      </c>
      <c r="AM9" s="454">
        <f t="shared" si="0"/>
        <v>1041.629369632371</v>
      </c>
      <c r="AN9" s="454">
        <f>AN10+AN11</f>
        <v>1051.2613306049859</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729.36284371386807</v>
      </c>
      <c r="AK10" s="455">
        <f>Medicaid!AK33</f>
        <v>732.71155875941372</v>
      </c>
      <c r="AL10" s="455">
        <f>Medicaid!AL33</f>
        <v>737.41400558680846</v>
      </c>
      <c r="AM10" s="455">
        <f>Medicaid!AM33</f>
        <v>742.50534901606557</v>
      </c>
      <c r="AN10" s="455">
        <f>Medicaid!AN33</f>
        <v>749.18991940498597</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745</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48" t="s">
        <v>319</v>
      </c>
      <c r="C22" s="1449"/>
      <c r="D22" s="1449"/>
      <c r="E22" s="1449"/>
      <c r="F22" s="1449"/>
      <c r="G22" s="1449"/>
      <c r="H22" s="1449"/>
      <c r="I22" s="1449"/>
      <c r="J22" s="1449"/>
      <c r="K22" s="1449"/>
      <c r="L22" s="1449"/>
      <c r="M22" s="1449"/>
      <c r="N22" s="1449"/>
      <c r="O22" s="1449"/>
      <c r="P22" s="1449"/>
      <c r="Q22" s="1449"/>
      <c r="R22" s="1449"/>
      <c r="S22" s="1449"/>
      <c r="T22" s="1449"/>
      <c r="U22" s="1449"/>
      <c r="V22" s="1449"/>
      <c r="W22" s="1449"/>
      <c r="X22" s="1449"/>
      <c r="Y22" s="1449"/>
      <c r="Z22" s="1449"/>
      <c r="AA22" s="1449"/>
      <c r="AB22" s="1449"/>
      <c r="AC22" s="1449"/>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44" t="s">
        <v>321</v>
      </c>
      <c r="AQ23" s="1416"/>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44" t="s">
        <v>323</v>
      </c>
      <c r="AQ27" s="1416"/>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44"/>
      <c r="AQ28" s="1416"/>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44" t="s">
        <v>328</v>
      </c>
      <c r="AQ33" s="1416"/>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0"/>
      <c r="R46" s="1450"/>
      <c r="S46" s="1450"/>
      <c r="T46" s="1450"/>
      <c r="U46" s="1450"/>
      <c r="V46" s="1450"/>
      <c r="W46" s="1450"/>
      <c r="X46" s="1450"/>
      <c r="Y46" s="1450"/>
      <c r="Z46" s="1450"/>
      <c r="AA46" s="1450"/>
      <c r="AB46" s="1450"/>
      <c r="AC46" s="1450"/>
      <c r="AD46" s="1450"/>
      <c r="AE46" s="1450"/>
      <c r="AF46" s="1450"/>
      <c r="AG46" s="1450"/>
      <c r="AH46" s="1450"/>
      <c r="AI46" s="1450"/>
      <c r="AJ46" s="1450"/>
      <c r="AK46" s="1450"/>
      <c r="AL46" s="1450"/>
      <c r="AM46" s="1450"/>
      <c r="AN46" s="1450"/>
      <c r="AO46" s="1450"/>
      <c r="AP46" s="1450"/>
      <c r="AQ46" s="1450"/>
      <c r="AR46" s="1450"/>
      <c r="AS46" s="1450"/>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1"/>
      <c r="R47" s="1451"/>
      <c r="S47" s="1451"/>
      <c r="T47" s="1451"/>
      <c r="U47" s="1451"/>
      <c r="V47" s="1451"/>
      <c r="W47" s="1451"/>
      <c r="X47" s="1451"/>
      <c r="Y47" s="1451"/>
      <c r="Z47" s="265"/>
      <c r="AA47" s="265"/>
      <c r="AB47" s="265"/>
      <c r="AC47" s="265"/>
      <c r="AD47" s="265"/>
      <c r="AE47" s="265"/>
      <c r="AF47" s="265"/>
      <c r="AG47" s="265"/>
      <c r="AH47" s="265"/>
      <c r="AI47" s="265"/>
      <c r="AJ47" s="265"/>
      <c r="AK47" s="265"/>
      <c r="AL47" s="265"/>
      <c r="AM47" s="265"/>
      <c r="AN47" s="265"/>
      <c r="AO47" s="1451"/>
      <c r="AP47" s="1451"/>
      <c r="AQ47" s="1451"/>
      <c r="AR47" s="1451"/>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52"/>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52"/>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17" t="s">
        <v>342</v>
      </c>
      <c r="C70" s="1418"/>
      <c r="D70" s="1400" t="s">
        <v>246</v>
      </c>
      <c r="E70" s="1401"/>
      <c r="F70" s="1401"/>
      <c r="G70" s="1401"/>
      <c r="H70" s="1401"/>
      <c r="I70" s="1401"/>
      <c r="J70" s="1401"/>
      <c r="K70" s="1401"/>
      <c r="L70" s="1401"/>
      <c r="M70" s="1401"/>
      <c r="N70" s="1401"/>
      <c r="O70" s="1401"/>
      <c r="P70" s="1401"/>
      <c r="Q70" s="1401"/>
      <c r="R70" s="1401"/>
      <c r="S70" s="1401"/>
      <c r="T70" s="1401"/>
      <c r="U70" s="1401"/>
      <c r="V70" s="1401"/>
      <c r="W70" s="1401"/>
      <c r="X70" s="1401"/>
      <c r="Y70" s="1401"/>
      <c r="Z70" s="1401"/>
      <c r="AA70" s="1402"/>
      <c r="AB70" s="1441" t="s">
        <v>247</v>
      </c>
      <c r="AC70" s="1442"/>
      <c r="AD70" s="1442"/>
      <c r="AE70" s="1442"/>
      <c r="AF70" s="1442"/>
      <c r="AG70" s="1442"/>
      <c r="AH70" s="1442"/>
      <c r="AI70" s="1442"/>
      <c r="AJ70" s="1442"/>
      <c r="AK70" s="1442"/>
      <c r="AL70" s="1442"/>
      <c r="AM70" s="1442"/>
      <c r="AN70" s="1443"/>
      <c r="AO70" s="429"/>
      <c r="AP70" s="429"/>
    </row>
    <row r="71" spans="1:42" x14ac:dyDescent="0.35">
      <c r="B71" s="1419"/>
      <c r="C71" s="1420"/>
      <c r="D71" s="249">
        <v>2018</v>
      </c>
      <c r="E71" s="1403">
        <v>2019</v>
      </c>
      <c r="F71" s="1413"/>
      <c r="G71" s="1413"/>
      <c r="H71" s="1405"/>
      <c r="I71" s="1403">
        <v>2020</v>
      </c>
      <c r="J71" s="1413"/>
      <c r="K71" s="1413"/>
      <c r="L71" s="1413"/>
      <c r="M71" s="1403">
        <v>2021</v>
      </c>
      <c r="N71" s="1413"/>
      <c r="O71" s="1413"/>
      <c r="P71" s="1413"/>
      <c r="Q71" s="1408">
        <v>2022</v>
      </c>
      <c r="R71" s="1409"/>
      <c r="S71" s="277"/>
      <c r="T71" s="277"/>
      <c r="U71" s="1403">
        <v>2023</v>
      </c>
      <c r="V71" s="1404"/>
      <c r="W71" s="1404"/>
      <c r="X71" s="1405"/>
      <c r="Y71" s="277"/>
      <c r="Z71" s="282">
        <v>2024</v>
      </c>
      <c r="AA71" s="282"/>
      <c r="AB71" s="431"/>
      <c r="AC71" s="1410">
        <v>2025</v>
      </c>
      <c r="AD71" s="1428"/>
      <c r="AE71" s="1428"/>
      <c r="AF71" s="1412"/>
      <c r="AG71" s="1410">
        <v>2026</v>
      </c>
      <c r="AH71" s="1428"/>
      <c r="AI71" s="1428"/>
      <c r="AJ71" s="1412"/>
      <c r="AK71" s="1410">
        <v>2027</v>
      </c>
      <c r="AL71" s="1428"/>
      <c r="AM71" s="1428"/>
      <c r="AN71" s="1412"/>
      <c r="AO71" s="268"/>
      <c r="AP71" s="268"/>
    </row>
    <row r="72" spans="1:42" x14ac:dyDescent="0.35">
      <c r="B72" s="1421"/>
      <c r="C72" s="1422"/>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F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1138</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793</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15" t="s">
        <v>122</v>
      </c>
      <c r="C88" s="1415"/>
      <c r="D88" s="1415"/>
      <c r="E88" s="1415"/>
      <c r="F88" s="1415"/>
      <c r="G88" s="1415"/>
      <c r="H88" s="1415"/>
      <c r="I88" s="1415"/>
      <c r="J88" s="1415"/>
      <c r="K88" s="1415"/>
      <c r="L88" s="1415"/>
      <c r="M88" s="1415"/>
      <c r="N88" s="1415"/>
      <c r="O88" s="1415"/>
      <c r="P88" s="1415"/>
      <c r="Q88" s="1415"/>
      <c r="R88" s="1415"/>
      <c r="S88" s="1415"/>
      <c r="T88" s="1415"/>
      <c r="U88" s="1415"/>
      <c r="V88" s="1415"/>
      <c r="W88" s="1415"/>
      <c r="X88" s="1415"/>
      <c r="Y88" s="1415"/>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35" t="s">
        <v>1781</v>
      </c>
      <c r="C89" s="1435"/>
      <c r="D89" s="1435"/>
      <c r="E89" s="1435"/>
      <c r="F89" s="1435"/>
      <c r="G89" s="1435"/>
      <c r="H89" s="1435"/>
      <c r="I89" s="1435"/>
      <c r="J89" s="1435"/>
      <c r="K89" s="1435"/>
      <c r="L89" s="1435"/>
      <c r="M89" s="1435"/>
      <c r="N89" s="1435"/>
      <c r="O89" s="1435"/>
      <c r="P89" s="1435"/>
      <c r="Q89" s="1435"/>
      <c r="R89" s="1435"/>
      <c r="S89" s="1435"/>
      <c r="T89" s="1435"/>
      <c r="U89" s="1435"/>
      <c r="V89" s="1435"/>
      <c r="W89" s="1435"/>
      <c r="X89" s="1435"/>
      <c r="Y89" s="1435"/>
      <c r="Z89" s="1435"/>
      <c r="AA89" s="1435"/>
      <c r="AB89" s="1435"/>
      <c r="AC89" s="1435"/>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17" t="s">
        <v>245</v>
      </c>
      <c r="C91" s="1418"/>
      <c r="D91" s="1400" t="s">
        <v>246</v>
      </c>
      <c r="E91" s="1401"/>
      <c r="F91" s="1401"/>
      <c r="G91" s="1401"/>
      <c r="H91" s="1401"/>
      <c r="I91" s="1401"/>
      <c r="J91" s="1401"/>
      <c r="K91" s="1401"/>
      <c r="L91" s="1401"/>
      <c r="M91" s="1401"/>
      <c r="N91" s="1401"/>
      <c r="O91" s="1401"/>
      <c r="P91" s="1401"/>
      <c r="Q91" s="1401"/>
      <c r="R91" s="1401"/>
      <c r="S91" s="1401"/>
      <c r="T91" s="1401"/>
      <c r="U91" s="1401"/>
      <c r="V91" s="1401"/>
      <c r="W91" s="1401"/>
      <c r="X91" s="1401"/>
      <c r="Y91" s="1401"/>
      <c r="Z91" s="1401"/>
      <c r="AA91" s="1402"/>
      <c r="AB91" s="1441" t="s">
        <v>247</v>
      </c>
      <c r="AC91" s="1442"/>
      <c r="AD91" s="1442"/>
      <c r="AE91" s="1442"/>
      <c r="AF91" s="1442"/>
      <c r="AG91" s="1442"/>
      <c r="AH91" s="1442"/>
      <c r="AI91" s="1442"/>
      <c r="AJ91" s="1442"/>
      <c r="AK91" s="1442"/>
      <c r="AL91" s="1442"/>
      <c r="AM91" s="1442"/>
      <c r="AN91" s="1443"/>
      <c r="AO91" s="429"/>
      <c r="AP91" s="429"/>
    </row>
    <row r="92" spans="2:42" x14ac:dyDescent="0.35">
      <c r="B92" s="1419"/>
      <c r="C92" s="1420"/>
      <c r="D92" s="258">
        <v>2018</v>
      </c>
      <c r="E92" s="1403">
        <v>2019</v>
      </c>
      <c r="F92" s="1413"/>
      <c r="G92" s="1413"/>
      <c r="H92" s="1405"/>
      <c r="I92" s="1403">
        <v>2020</v>
      </c>
      <c r="J92" s="1413"/>
      <c r="K92" s="1413"/>
      <c r="L92" s="1413"/>
      <c r="M92" s="1403">
        <v>2021</v>
      </c>
      <c r="N92" s="1413"/>
      <c r="O92" s="1413"/>
      <c r="P92" s="1413"/>
      <c r="Q92" s="1403">
        <v>2022</v>
      </c>
      <c r="R92" s="1404"/>
      <c r="S92" s="1404"/>
      <c r="T92" s="1404"/>
      <c r="U92" s="1403">
        <v>2023</v>
      </c>
      <c r="V92" s="1404"/>
      <c r="W92" s="1404"/>
      <c r="X92" s="1405"/>
      <c r="Y92" s="277"/>
      <c r="Z92" s="282">
        <v>2024</v>
      </c>
      <c r="AA92" s="282"/>
      <c r="AB92" s="437"/>
      <c r="AC92" s="1410">
        <v>2025</v>
      </c>
      <c r="AD92" s="1428"/>
      <c r="AE92" s="1428"/>
      <c r="AF92" s="1412"/>
      <c r="AG92" s="1410">
        <v>2026</v>
      </c>
      <c r="AH92" s="1428"/>
      <c r="AI92" s="1428"/>
      <c r="AJ92" s="1412"/>
      <c r="AK92" s="1410">
        <v>2027</v>
      </c>
      <c r="AL92" s="1428"/>
      <c r="AM92" s="1428"/>
      <c r="AN92" s="1412"/>
      <c r="AO92" s="265"/>
      <c r="AP92" s="265"/>
    </row>
    <row r="93" spans="2:42" x14ac:dyDescent="0.35">
      <c r="B93" s="1419"/>
      <c r="C93" s="1420"/>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1137</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D6:AB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G6:AN6"/>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2"/>
  <sheetViews>
    <sheetView zoomScaleNormal="100" workbookViewId="0">
      <pane xSplit="2" ySplit="4" topLeftCell="AB5" activePane="bottomRight" state="frozen"/>
      <selection activeCell="AE37" sqref="AE37"/>
      <selection pane="topRight" activeCell="AE37" sqref="AE37"/>
      <selection pane="bottomLeft" activeCell="AE37" sqref="AE37"/>
      <selection pane="bottomRight" activeCell="AF14" sqref="AF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76" ht="20.25" customHeight="1" x14ac:dyDescent="0.35">
      <c r="B1" s="1415" t="s">
        <v>351</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1:76" ht="14.25" customHeight="1" x14ac:dyDescent="0.35">
      <c r="B2" s="1416" t="s">
        <v>352</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c r="AD2" s="242"/>
      <c r="AE2" s="242"/>
      <c r="AF2" s="242"/>
      <c r="AG2" s="242"/>
      <c r="AH2" s="242"/>
    </row>
    <row r="3" spans="1:76" ht="9" customHeight="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c r="AD3" s="242"/>
      <c r="AE3" s="242"/>
      <c r="AF3" s="242"/>
      <c r="AG3" s="242"/>
      <c r="AH3" s="242"/>
    </row>
    <row r="4" spans="1:76" ht="27" customHeight="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c r="AD4" s="242"/>
      <c r="AE4" s="242"/>
      <c r="AF4" s="242"/>
      <c r="AG4" s="242"/>
      <c r="AH4" s="242"/>
      <c r="AJ4" s="613"/>
      <c r="AK4" s="613"/>
      <c r="AL4" s="613"/>
      <c r="AM4" s="613"/>
      <c r="AN4" s="613"/>
      <c r="AO4" s="613"/>
      <c r="AP4" s="613"/>
      <c r="AQ4" s="613"/>
      <c r="AR4" s="613"/>
    </row>
    <row r="5" spans="1:76" x14ac:dyDescent="0.35">
      <c r="B5" s="399"/>
      <c r="AC5" s="360"/>
      <c r="AD5" s="360"/>
      <c r="AE5" s="540"/>
      <c r="AF5" s="549"/>
      <c r="AG5" s="549"/>
      <c r="AH5" s="549"/>
      <c r="AI5" s="549"/>
      <c r="AJ5" s="580"/>
      <c r="AK5" s="580"/>
      <c r="AL5" s="580"/>
      <c r="AM5" s="580"/>
    </row>
    <row r="6" spans="1:76" ht="14.9" customHeight="1" x14ac:dyDescent="0.35">
      <c r="B6" s="1456"/>
      <c r="C6" s="1457"/>
      <c r="D6" s="1467" t="s">
        <v>246</v>
      </c>
      <c r="E6" s="1467"/>
      <c r="F6" s="1467"/>
      <c r="G6" s="1467"/>
      <c r="H6" s="1467"/>
      <c r="I6" s="1467"/>
      <c r="J6" s="1467"/>
      <c r="K6" s="1467"/>
      <c r="L6" s="1467"/>
      <c r="M6" s="1467"/>
      <c r="N6" s="1467"/>
      <c r="O6" s="1467"/>
      <c r="P6" s="1467"/>
      <c r="Q6" s="1467"/>
      <c r="R6" s="1467"/>
      <c r="S6" s="1467"/>
      <c r="T6" s="1467"/>
      <c r="U6" s="1467"/>
      <c r="V6" s="1467"/>
      <c r="W6" s="1467"/>
      <c r="X6" s="1467"/>
      <c r="Y6" s="1467"/>
      <c r="Z6" s="1467"/>
      <c r="AA6" s="1467"/>
      <c r="AB6" s="1467"/>
      <c r="AC6" s="260"/>
      <c r="AD6" s="260"/>
      <c r="AE6" s="260"/>
      <c r="AF6" s="260"/>
      <c r="AG6" s="1398" t="s">
        <v>247</v>
      </c>
      <c r="AH6" s="1398"/>
      <c r="AI6" s="1398"/>
      <c r="AJ6" s="1398"/>
      <c r="AK6" s="1398"/>
      <c r="AL6" s="1398"/>
      <c r="AM6" s="1398"/>
      <c r="AN6" s="1399"/>
    </row>
    <row r="7" spans="1:76" ht="14.9" customHeight="1" x14ac:dyDescent="0.35">
      <c r="B7" s="1458"/>
      <c r="C7" s="1459"/>
      <c r="D7" s="542">
        <v>2018</v>
      </c>
      <c r="E7" s="1453">
        <v>2019</v>
      </c>
      <c r="F7" s="1454"/>
      <c r="G7" s="1454"/>
      <c r="H7" s="1455"/>
      <c r="I7" s="1453">
        <v>2020</v>
      </c>
      <c r="J7" s="1454"/>
      <c r="K7" s="1454"/>
      <c r="L7" s="1454"/>
      <c r="M7" s="1453">
        <v>2021</v>
      </c>
      <c r="N7" s="1454"/>
      <c r="O7" s="1454"/>
      <c r="P7" s="1454"/>
      <c r="Q7" s="1453">
        <v>2022</v>
      </c>
      <c r="R7" s="1454"/>
      <c r="S7" s="1454"/>
      <c r="T7" s="1455"/>
      <c r="U7" s="1403">
        <v>2023</v>
      </c>
      <c r="V7" s="1404"/>
      <c r="W7" s="1404"/>
      <c r="X7" s="1405"/>
      <c r="Y7" s="1403">
        <v>2024</v>
      </c>
      <c r="Z7" s="1404"/>
      <c r="AA7" s="1404"/>
      <c r="AB7" s="1405"/>
      <c r="AC7" s="1403">
        <v>2025</v>
      </c>
      <c r="AD7" s="1404"/>
      <c r="AE7" s="1404"/>
      <c r="AF7" s="1405"/>
      <c r="AG7" s="1410">
        <v>2026</v>
      </c>
      <c r="AH7" s="1428"/>
      <c r="AI7" s="1428"/>
      <c r="AJ7" s="1412"/>
      <c r="AK7" s="1410">
        <v>2027</v>
      </c>
      <c r="AL7" s="1428"/>
      <c r="AM7" s="1428"/>
      <c r="AN7" s="1412"/>
    </row>
    <row r="8" spans="1:76" ht="14.9" customHeight="1" x14ac:dyDescent="0.35">
      <c r="B8" s="1458"/>
      <c r="C8" s="1460"/>
      <c r="D8" s="542">
        <v>2018</v>
      </c>
      <c r="E8" s="1453">
        <v>2019</v>
      </c>
      <c r="F8" s="1454"/>
      <c r="G8" s="1454"/>
      <c r="H8" s="1455"/>
      <c r="I8" s="621" t="s">
        <v>249</v>
      </c>
      <c r="J8" s="245" t="s">
        <v>250</v>
      </c>
      <c r="K8" s="245" t="s">
        <v>226</v>
      </c>
      <c r="L8" s="352" t="s">
        <v>248</v>
      </c>
      <c r="M8" s="621" t="s">
        <v>249</v>
      </c>
      <c r="N8" s="245" t="s">
        <v>250</v>
      </c>
      <c r="O8" s="245" t="s">
        <v>226</v>
      </c>
      <c r="P8" s="352" t="s">
        <v>248</v>
      </c>
      <c r="Q8" s="621" t="s">
        <v>249</v>
      </c>
      <c r="R8" s="245" t="s">
        <v>250</v>
      </c>
      <c r="S8" s="245" t="s">
        <v>226</v>
      </c>
      <c r="T8" s="352" t="s">
        <v>248</v>
      </c>
      <c r="U8" s="621" t="s">
        <v>249</v>
      </c>
      <c r="V8" s="245" t="s">
        <v>250</v>
      </c>
      <c r="W8" s="245" t="s">
        <v>226</v>
      </c>
      <c r="X8" s="352" t="s">
        <v>248</v>
      </c>
      <c r="Y8" s="621"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76" ht="32" customHeight="1" x14ac:dyDescent="0.35">
      <c r="B9" s="598" t="s">
        <v>2037</v>
      </c>
      <c r="C9" s="599"/>
      <c r="D9" s="600"/>
      <c r="E9" s="600"/>
      <c r="F9" s="600"/>
      <c r="G9" s="600"/>
      <c r="H9" s="600"/>
      <c r="I9" s="600"/>
      <c r="J9" s="600"/>
      <c r="K9" s="600"/>
      <c r="L9" s="600"/>
      <c r="M9" s="580">
        <v>1609.9</v>
      </c>
      <c r="N9" s="580">
        <v>1588.5</v>
      </c>
      <c r="O9" s="580">
        <v>1576.4</v>
      </c>
      <c r="P9" s="580">
        <v>1602.5</v>
      </c>
      <c r="Q9" s="580">
        <v>1606.5</v>
      </c>
      <c r="R9" s="580">
        <v>1622.1</v>
      </c>
      <c r="S9" s="580">
        <v>1641.4</v>
      </c>
      <c r="T9" s="580">
        <v>1694.2</v>
      </c>
      <c r="U9" s="580">
        <v>1727.7</v>
      </c>
      <c r="V9" s="580">
        <v>1738.8</v>
      </c>
      <c r="W9" s="580">
        <v>1784.4</v>
      </c>
      <c r="X9" s="580">
        <v>1812</v>
      </c>
      <c r="Y9" s="580">
        <v>1834.3</v>
      </c>
      <c r="Z9" s="581">
        <v>1867.5</v>
      </c>
      <c r="AA9" s="581">
        <v>1917.9</v>
      </c>
      <c r="AB9" s="581">
        <v>1950</v>
      </c>
      <c r="AC9" s="581">
        <v>1949.7</v>
      </c>
      <c r="AD9" s="581">
        <v>1956.4</v>
      </c>
      <c r="AE9" s="581">
        <v>1980</v>
      </c>
      <c r="AF9" s="581">
        <v>1954.4</v>
      </c>
      <c r="AG9" s="581">
        <v>2056.3000000000002</v>
      </c>
      <c r="AH9" s="581">
        <v>2049.5</v>
      </c>
      <c r="AI9" s="581">
        <v>2065.6</v>
      </c>
      <c r="AJ9" s="581">
        <v>2078.3000000000002</v>
      </c>
      <c r="AK9" s="581">
        <v>2090</v>
      </c>
      <c r="AL9" s="581">
        <v>2100.8000000000002</v>
      </c>
      <c r="AM9" s="581">
        <v>2112.1999999999998</v>
      </c>
      <c r="AN9" s="581">
        <v>2118.1999999999998</v>
      </c>
      <c r="AO9" s="581">
        <v>2122.1</v>
      </c>
      <c r="AP9" s="581">
        <v>2130.1999999999998</v>
      </c>
      <c r="AQ9" s="581">
        <v>2138.4</v>
      </c>
      <c r="AR9" s="581">
        <v>2148.9</v>
      </c>
      <c r="AS9" s="581">
        <v>2158.8000000000002</v>
      </c>
      <c r="AT9" s="581">
        <v>2168.3000000000002</v>
      </c>
      <c r="AU9" s="581">
        <v>2177.3000000000002</v>
      </c>
      <c r="AV9" s="581">
        <v>2184.1999999999998</v>
      </c>
      <c r="AW9" s="581">
        <v>2190.1999999999998</v>
      </c>
      <c r="AX9" s="581">
        <v>2196.4</v>
      </c>
      <c r="AY9" s="581">
        <v>2203.1</v>
      </c>
      <c r="AZ9" s="581">
        <v>2209.6999999999998</v>
      </c>
      <c r="BA9" s="581">
        <v>2216.8000000000002</v>
      </c>
      <c r="BB9" s="581">
        <v>2224.5</v>
      </c>
      <c r="BC9" s="581">
        <v>2232.6</v>
      </c>
      <c r="BD9" s="581">
        <v>2240.5</v>
      </c>
      <c r="BE9" s="581">
        <v>2253</v>
      </c>
      <c r="BF9" s="581">
        <v>2258</v>
      </c>
      <c r="BG9" s="581">
        <v>2267.4</v>
      </c>
      <c r="BH9" s="581">
        <v>2278.1999999999998</v>
      </c>
      <c r="BI9" s="581">
        <v>2289.6</v>
      </c>
      <c r="BJ9" s="581">
        <v>2301.4</v>
      </c>
      <c r="BK9" s="581">
        <v>2312.6</v>
      </c>
      <c r="BL9" s="581">
        <v>2322.8000000000002</v>
      </c>
      <c r="BM9" s="581">
        <v>2332.9</v>
      </c>
      <c r="BN9" s="581">
        <v>2343.1999999999998</v>
      </c>
      <c r="BO9" s="581">
        <v>2353.8000000000002</v>
      </c>
      <c r="BP9" s="581">
        <v>2365.9</v>
      </c>
      <c r="BQ9" s="581">
        <v>2378.3000000000002</v>
      </c>
      <c r="BR9">
        <v>2391.3000000000002</v>
      </c>
      <c r="BS9">
        <v>2404.5</v>
      </c>
      <c r="BT9">
        <v>2418.3000000000002</v>
      </c>
      <c r="BU9">
        <v>2431.6</v>
      </c>
      <c r="BV9">
        <v>2445.1999999999998</v>
      </c>
      <c r="BW9">
        <v>2459</v>
      </c>
      <c r="BX9">
        <v>2473.4</v>
      </c>
    </row>
    <row r="10" spans="1:76" ht="32" customHeight="1" x14ac:dyDescent="0.35">
      <c r="B10" s="569" t="s">
        <v>2039</v>
      </c>
      <c r="C10" s="539"/>
      <c r="D10" s="586"/>
      <c r="E10" s="586"/>
      <c r="F10" s="586"/>
      <c r="G10" s="586"/>
      <c r="H10" s="586"/>
      <c r="I10" s="586"/>
      <c r="J10" s="586"/>
      <c r="K10" s="586"/>
      <c r="L10" s="586"/>
      <c r="M10" s="580"/>
      <c r="N10" s="580"/>
      <c r="O10" s="580"/>
      <c r="P10" s="580"/>
      <c r="Q10" s="580"/>
      <c r="R10" s="580"/>
      <c r="S10" s="580"/>
      <c r="T10" s="580"/>
      <c r="U10" s="580"/>
      <c r="V10" s="580"/>
      <c r="W10" s="580"/>
      <c r="X10" s="580"/>
      <c r="Y10" s="580"/>
      <c r="Z10" s="581"/>
      <c r="AA10" s="581"/>
      <c r="AB10" s="581"/>
      <c r="AC10" s="573">
        <v>1.2271093164039293</v>
      </c>
      <c r="AD10" s="573">
        <v>1.1809857833766646</v>
      </c>
      <c r="AE10" s="573">
        <v>4.8592365015365679</v>
      </c>
      <c r="AF10" s="573">
        <v>5.5786795686608714</v>
      </c>
      <c r="AG10" s="573">
        <v>9.161087667620226</v>
      </c>
      <c r="AH10" s="573">
        <v>4.983718347698507</v>
      </c>
      <c r="AI10" s="573">
        <v>4.0097616994799745</v>
      </c>
      <c r="AJ10" s="573">
        <v>2.5767140997095206</v>
      </c>
      <c r="AK10" s="573">
        <v>3.5106555074141177</v>
      </c>
      <c r="AL10" s="573">
        <v>2.7296109993481865</v>
      </c>
      <c r="AM10" s="573">
        <v>2.8161906598150654</v>
      </c>
      <c r="AN10" s="573" t="e">
        <v>#REF!</v>
      </c>
      <c r="AO10" s="573" t="e">
        <v>#REF!</v>
      </c>
      <c r="AP10" s="573" t="e">
        <v>#REF!</v>
      </c>
      <c r="AQ10" s="573" t="e">
        <v>#REF!</v>
      </c>
      <c r="AR10" s="573" t="e">
        <v>#REF!</v>
      </c>
      <c r="AS10" s="573">
        <v>1.928224319619698</v>
      </c>
      <c r="AT10" s="573">
        <v>2.2348791967138348</v>
      </c>
      <c r="AU10" s="573">
        <v>2.2421200241868</v>
      </c>
      <c r="AV10" s="573">
        <v>2.2296227967858684</v>
      </c>
      <c r="AW10" s="573">
        <v>2.1978260860924248</v>
      </c>
      <c r="AX10" s="573">
        <v>2.2051473659413956</v>
      </c>
      <c r="AY10" s="573">
        <v>1.9049805508580819</v>
      </c>
      <c r="AZ10" s="573">
        <v>1.9150460253528845</v>
      </c>
      <c r="BA10" s="573">
        <v>1.905921462354887</v>
      </c>
      <c r="BB10" s="573">
        <v>2.1998378184763911</v>
      </c>
      <c r="BC10" s="573">
        <v>2.3386995388434473</v>
      </c>
      <c r="BD10" s="573">
        <v>2.3814018410630355</v>
      </c>
      <c r="BE10" s="573">
        <v>2.3859671243118941</v>
      </c>
      <c r="BF10" s="573">
        <v>2.3347287849643905</v>
      </c>
      <c r="BG10" s="573">
        <v>2.5241122451808984</v>
      </c>
      <c r="BH10" s="573">
        <v>2.5816854513361465</v>
      </c>
      <c r="BI10" s="573">
        <v>2.4922049092783505</v>
      </c>
      <c r="BJ10" s="573">
        <v>2.494887902064602</v>
      </c>
      <c r="BK10" s="573">
        <v>2.5334398225914434</v>
      </c>
      <c r="BL10" s="573">
        <v>2.3565402872554042</v>
      </c>
      <c r="BM10" s="573">
        <v>2.3782792724750035</v>
      </c>
      <c r="BN10" s="573">
        <v>2.2935751387593406</v>
      </c>
      <c r="BO10" s="573">
        <v>2.2980564193669784</v>
      </c>
      <c r="BP10" s="573">
        <v>2.2674738191778232</v>
      </c>
      <c r="BQ10" s="573">
        <v>2.2894087374823791</v>
      </c>
    </row>
    <row r="11" spans="1:76" ht="17.149999999999999" customHeight="1" x14ac:dyDescent="0.35">
      <c r="B11" s="572" t="s">
        <v>2038</v>
      </c>
      <c r="C11" s="595"/>
      <c r="D11" s="595"/>
      <c r="E11" s="595"/>
      <c r="F11" s="595"/>
      <c r="G11" s="595"/>
      <c r="H11" s="596"/>
      <c r="I11" s="596"/>
      <c r="J11" s="596"/>
      <c r="K11" s="596"/>
      <c r="L11" s="596"/>
      <c r="M11" s="360">
        <v>22.143000000000001</v>
      </c>
      <c r="N11" s="360">
        <v>-5.2320000000000002</v>
      </c>
      <c r="O11" s="360">
        <v>-2.996</v>
      </c>
      <c r="P11" s="360">
        <v>6.7709999999999999</v>
      </c>
      <c r="Q11" s="360">
        <v>-2.56</v>
      </c>
      <c r="R11" s="360">
        <v>3.9369999999999998</v>
      </c>
      <c r="S11" s="360">
        <v>4.8460000000000001</v>
      </c>
      <c r="T11" s="360">
        <v>13.507</v>
      </c>
      <c r="U11" s="360">
        <v>8.8780000000000001</v>
      </c>
      <c r="V11" s="360">
        <v>2.6</v>
      </c>
      <c r="W11" s="360">
        <v>10.898999999999999</v>
      </c>
      <c r="X11" s="360">
        <v>6.3369999999999997</v>
      </c>
      <c r="Y11" s="360">
        <v>5.01</v>
      </c>
      <c r="Z11" s="573">
        <v>7.4550000000000001</v>
      </c>
      <c r="AA11" s="573">
        <v>11.222</v>
      </c>
      <c r="AB11" s="573">
        <v>6.8680000000000003</v>
      </c>
      <c r="AC11" s="573">
        <v>-4.9000000000000002E-2</v>
      </c>
      <c r="AD11" s="573">
        <v>1.379</v>
      </c>
      <c r="AE11" s="545">
        <v>4.9020000000000001</v>
      </c>
      <c r="AF11" s="573">
        <v>-5.0720000000000001</v>
      </c>
      <c r="AG11" s="573">
        <v>22.559000000000001</v>
      </c>
      <c r="AH11" s="573">
        <v>-1.3169999999999999</v>
      </c>
      <c r="AI11" s="573">
        <v>3.165</v>
      </c>
      <c r="AJ11" s="573">
        <v>2.4980000000000002</v>
      </c>
      <c r="AK11" s="573">
        <v>2.2610000000000001</v>
      </c>
      <c r="AL11" s="573">
        <v>2.0859999999999999</v>
      </c>
      <c r="AM11" s="573">
        <v>2.19</v>
      </c>
      <c r="AN11" s="573">
        <v>1.1319999999999999</v>
      </c>
      <c r="AO11" s="573">
        <v>0.73599999999999999</v>
      </c>
      <c r="AP11" s="573">
        <v>1.5509999999999999</v>
      </c>
      <c r="AQ11" s="573">
        <v>1.548</v>
      </c>
      <c r="AR11" s="573">
        <v>1.9710000000000001</v>
      </c>
      <c r="AS11" s="573">
        <v>1.8580000000000001</v>
      </c>
      <c r="AT11" s="573">
        <v>1.762</v>
      </c>
      <c r="AU11" s="573">
        <v>1.6850000000000001</v>
      </c>
      <c r="AV11" s="573">
        <v>1.256</v>
      </c>
      <c r="AW11" s="573">
        <v>1.111</v>
      </c>
      <c r="AX11" s="573">
        <v>1.131</v>
      </c>
      <c r="AY11" s="573">
        <v>1.2250000000000001</v>
      </c>
      <c r="AZ11" s="573">
        <v>1.21</v>
      </c>
      <c r="BA11" s="573">
        <v>1.296</v>
      </c>
      <c r="BB11" s="573">
        <v>1.3819999999999999</v>
      </c>
      <c r="BC11" s="573">
        <v>1.466</v>
      </c>
      <c r="BD11" s="573">
        <v>1.42</v>
      </c>
      <c r="BE11" s="573">
        <v>2.2650000000000001</v>
      </c>
      <c r="BF11" s="573">
        <v>0.875</v>
      </c>
      <c r="BG11" s="573">
        <v>1.6850000000000001</v>
      </c>
      <c r="BH11" s="573">
        <v>1.911</v>
      </c>
      <c r="BI11" s="573">
        <v>2.0289999999999999</v>
      </c>
      <c r="BJ11" s="573">
        <v>2.069</v>
      </c>
      <c r="BK11" s="573">
        <v>1.9550000000000001</v>
      </c>
      <c r="BL11" s="573">
        <v>1.786</v>
      </c>
      <c r="BM11" s="573">
        <v>1.746</v>
      </c>
      <c r="BN11" s="573">
        <v>1.7809999999999999</v>
      </c>
      <c r="BO11" s="573">
        <v>1.8169999999999999</v>
      </c>
      <c r="BP11" s="573">
        <v>2.0750000000000002</v>
      </c>
      <c r="BQ11" s="573">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2036</v>
      </c>
      <c r="B12" s="605" t="s">
        <v>2012</v>
      </c>
      <c r="C12" s="595" t="s">
        <v>862</v>
      </c>
      <c r="D12" s="595"/>
      <c r="E12" s="595"/>
      <c r="F12" s="595"/>
      <c r="G12" s="595"/>
      <c r="H12" s="587">
        <f>'Haver Pivoted'!GS23</f>
        <v>1439.9</v>
      </c>
      <c r="I12" s="587">
        <f>'Haver Pivoted'!GT23</f>
        <v>1460.3</v>
      </c>
      <c r="J12" s="587">
        <f>'Haver Pivoted'!GU23</f>
        <v>1567.7</v>
      </c>
      <c r="K12" s="587">
        <f>'Haver Pivoted'!GV23</f>
        <v>1528.7</v>
      </c>
      <c r="L12" s="587">
        <f>'Haver Pivoted'!GW23</f>
        <v>1541.6</v>
      </c>
      <c r="M12" s="587">
        <f>'Haver Pivoted'!GX23</f>
        <v>1616.7</v>
      </c>
      <c r="N12" s="587">
        <f>'Haver Pivoted'!GY23</f>
        <v>1597.4</v>
      </c>
      <c r="O12" s="587">
        <f>'Haver Pivoted'!GZ23</f>
        <v>1585.2</v>
      </c>
      <c r="P12" s="587">
        <f>'Haver Pivoted'!HA23</f>
        <v>1618.2</v>
      </c>
      <c r="Q12" s="587">
        <f>'Haver Pivoted'!HB23</f>
        <v>1609</v>
      </c>
      <c r="R12" s="587">
        <f>'Haver Pivoted'!HC23</f>
        <v>1622.6</v>
      </c>
      <c r="S12" s="597">
        <f>'Haver Pivoted'!HD23</f>
        <v>1639.1</v>
      </c>
      <c r="T12" s="597">
        <f>'Haver Pivoted'!HE23</f>
        <v>1691.3</v>
      </c>
      <c r="U12" s="597">
        <f>'Haver Pivoted'!HF23</f>
        <v>1727.7</v>
      </c>
      <c r="V12" s="597">
        <f>'Haver Pivoted'!HG23</f>
        <v>1738.8</v>
      </c>
      <c r="W12" s="597">
        <f>'Haver Pivoted'!HH23</f>
        <v>1784.4</v>
      </c>
      <c r="X12" s="597">
        <f>'Haver Pivoted'!HI23</f>
        <v>1812</v>
      </c>
      <c r="Y12" s="597">
        <f>'Haver Pivoted'!HJ23</f>
        <v>1834.3</v>
      </c>
      <c r="Z12" s="597">
        <f>'Haver Pivoted'!HK23</f>
        <v>1867.5</v>
      </c>
      <c r="AA12" s="597">
        <f>'Haver Pivoted'!HL23</f>
        <v>1917.9</v>
      </c>
      <c r="AB12" s="597">
        <f>'Haver Pivoted'!HM23</f>
        <v>1950</v>
      </c>
      <c r="AC12" s="597">
        <f>'Haver Pivoted'!HN23</f>
        <v>1949.7</v>
      </c>
      <c r="AD12" s="597">
        <f>'Haver Pivoted'!HO23</f>
        <v>1956.4</v>
      </c>
      <c r="AE12" s="597">
        <f>'Haver Pivoted'!HP23</f>
        <v>1989.7</v>
      </c>
      <c r="AF12" s="597">
        <f>'Haver Pivoted'!HQ23</f>
        <v>1972</v>
      </c>
      <c r="AG12" s="589">
        <f t="shared" ref="AG12:AN12" si="0">(1+(AG11/100))^(1/4)*AF12+AG15</f>
        <v>2074.8810907042657</v>
      </c>
      <c r="AH12" s="589">
        <f t="shared" si="0"/>
        <v>2068.0155438428637</v>
      </c>
      <c r="AI12" s="589">
        <f t="shared" si="0"/>
        <v>2084.188015819931</v>
      </c>
      <c r="AJ12" s="589">
        <f t="shared" si="0"/>
        <v>2097.083591602016</v>
      </c>
      <c r="AK12" s="589">
        <f t="shared" si="0"/>
        <v>2108.8381568101686</v>
      </c>
      <c r="AL12" s="589">
        <f t="shared" si="0"/>
        <v>2119.7507511860654</v>
      </c>
      <c r="AM12" s="589">
        <f t="shared" si="0"/>
        <v>2131.2622748334688</v>
      </c>
      <c r="AN12" s="589">
        <f t="shared" si="0"/>
        <v>2137.2683112359928</v>
      </c>
    </row>
    <row r="13" spans="1:76" ht="17.25" customHeight="1" x14ac:dyDescent="0.35">
      <c r="B13" s="605" t="s">
        <v>2013</v>
      </c>
      <c r="C13" s="595"/>
      <c r="D13" s="595"/>
      <c r="E13" s="595"/>
      <c r="F13" s="595"/>
      <c r="G13" s="595"/>
      <c r="H13" s="587"/>
      <c r="I13" s="587"/>
      <c r="J13" s="587"/>
      <c r="K13" s="587"/>
      <c r="L13" s="587"/>
      <c r="M13" s="587"/>
      <c r="N13" s="587"/>
      <c r="O13" s="587"/>
      <c r="P13" s="587"/>
      <c r="Q13" s="587"/>
      <c r="R13" s="587"/>
      <c r="S13" s="597"/>
      <c r="T13" s="597"/>
      <c r="U13" s="597"/>
      <c r="V13" s="597"/>
      <c r="W13" s="597"/>
      <c r="X13" s="570">
        <f t="shared" ref="X13:AL13" si="1">(X12/W12)^4-1</f>
        <v>6.3319834685849452E-2</v>
      </c>
      <c r="Y13" s="570">
        <f t="shared" si="1"/>
        <v>5.0143602254011599E-2</v>
      </c>
      <c r="Z13" s="570">
        <f t="shared" si="1"/>
        <v>7.4387576268680533E-2</v>
      </c>
      <c r="AA13" s="570">
        <f t="shared" si="1"/>
        <v>0.11240106162790187</v>
      </c>
      <c r="AB13" s="570">
        <f t="shared" si="1"/>
        <v>6.8647831527888226E-2</v>
      </c>
      <c r="AC13" s="570">
        <f t="shared" si="1"/>
        <v>-6.1524261811507497E-4</v>
      </c>
      <c r="AD13" s="570">
        <f>(AD12/AC12)^4-1</f>
        <v>1.3816721076906235E-2</v>
      </c>
      <c r="AE13" s="570">
        <f t="shared" si="1"/>
        <v>6.9842344126420652E-2</v>
      </c>
      <c r="AF13" s="570">
        <f t="shared" si="1"/>
        <v>-3.5111250412411255E-2</v>
      </c>
      <c r="AG13" s="570">
        <f t="shared" si="1"/>
        <v>0.22558999999999951</v>
      </c>
      <c r="AH13" s="570">
        <f t="shared" si="1"/>
        <v>-1.3169999999999904E-2</v>
      </c>
      <c r="AI13" s="570">
        <f t="shared" si="1"/>
        <v>3.1650000000000178E-2</v>
      </c>
      <c r="AJ13" s="570">
        <f t="shared" si="1"/>
        <v>2.4980000000000002E-2</v>
      </c>
      <c r="AK13" s="570">
        <f t="shared" si="1"/>
        <v>2.2609999999999797E-2</v>
      </c>
      <c r="AL13" s="570">
        <f t="shared" si="1"/>
        <v>2.0859999999999879E-2</v>
      </c>
      <c r="AM13" s="570">
        <f>(AM12/AL12)^4-1</f>
        <v>2.1899999999999586E-2</v>
      </c>
      <c r="AN13" s="589"/>
    </row>
    <row r="14" spans="1:76" ht="17" customHeight="1" x14ac:dyDescent="0.35">
      <c r="B14" s="605" t="s">
        <v>85</v>
      </c>
      <c r="C14" s="595"/>
      <c r="D14" s="595"/>
      <c r="E14" s="595"/>
      <c r="F14" s="595"/>
      <c r="G14" s="595"/>
      <c r="H14" s="587"/>
      <c r="I14" s="587"/>
      <c r="J14" s="587"/>
      <c r="K14" s="587"/>
      <c r="L14" s="587"/>
      <c r="M14" s="587"/>
      <c r="N14" s="587"/>
      <c r="O14" s="587"/>
      <c r="P14" s="587"/>
      <c r="Q14" s="587"/>
      <c r="R14" s="587"/>
      <c r="S14" s="597">
        <f>Deflators!S30</f>
        <v>1.1617241135253733</v>
      </c>
      <c r="T14" s="597">
        <f>Deflators!T30</f>
        <v>1.1730513260332196</v>
      </c>
      <c r="U14" s="597">
        <f>Deflators!U30</f>
        <v>1.1861481030723005</v>
      </c>
      <c r="V14" s="597">
        <f>Deflators!V30</f>
        <v>1.1939561815971262</v>
      </c>
      <c r="W14" s="597">
        <f>Deflators!W30</f>
        <v>1.2051834187077277</v>
      </c>
      <c r="X14" s="597">
        <f>Deflators!X30</f>
        <v>1.2136613323940946</v>
      </c>
      <c r="Y14" s="597">
        <f>Deflators!Y30</f>
        <v>1.2261182668908082</v>
      </c>
      <c r="Z14" s="597">
        <f>Deflators!Z30</f>
        <v>1.2354159788345831</v>
      </c>
      <c r="AA14" s="597">
        <f>Deflators!AA30</f>
        <v>1.2428241557704298</v>
      </c>
      <c r="AB14" s="597">
        <f>Deflators!AB30</f>
        <v>1.2502423302460011</v>
      </c>
      <c r="AC14" s="597">
        <f>Deflators!AC30</f>
        <v>1.2681879140514591</v>
      </c>
      <c r="AD14" s="597">
        <f>Deflators!AD30</f>
        <v>1.2898425850947028</v>
      </c>
      <c r="AE14" s="546">
        <f>Deflators!AE30</f>
        <v>1.3032492858652431</v>
      </c>
      <c r="AF14" s="546">
        <f>Deflators!AF30</f>
        <v>1.3514374273372811</v>
      </c>
      <c r="AG14" s="550">
        <f>Deflators!AG30</f>
        <v>1.3129208764870666</v>
      </c>
      <c r="AH14" s="550">
        <f>Deflators!AH30</f>
        <v>1.3231978005904124</v>
      </c>
      <c r="AI14" s="550">
        <f>Deflators!AI30</f>
        <v>1.3341953640947664</v>
      </c>
      <c r="AJ14" s="550">
        <f>Deflators!AJ30</f>
        <v>1.3410122948834293</v>
      </c>
      <c r="AK14" s="550">
        <f>Deflators!AK30</f>
        <v>1.3475180827521087</v>
      </c>
      <c r="AL14" s="550">
        <f>Deflators!AL30</f>
        <v>1.3526495393943399</v>
      </c>
      <c r="AM14" s="550">
        <f>Deflators!AM30</f>
        <v>1.3585898113239985</v>
      </c>
      <c r="AN14" s="574">
        <f>Deflators!AN30</f>
        <v>1.3649077363680067</v>
      </c>
    </row>
    <row r="15" spans="1:76" ht="17.25" customHeight="1" x14ac:dyDescent="0.35">
      <c r="B15" s="605" t="s">
        <v>1905</v>
      </c>
      <c r="C15" s="595"/>
      <c r="D15" s="595"/>
      <c r="E15" s="595"/>
      <c r="F15" s="595"/>
      <c r="G15" s="595"/>
      <c r="H15" s="587"/>
      <c r="I15" s="587"/>
      <c r="J15" s="587"/>
      <c r="K15" s="587"/>
      <c r="L15" s="587"/>
      <c r="M15" s="587"/>
      <c r="N15" s="587"/>
      <c r="O15" s="587"/>
      <c r="P15" s="587"/>
      <c r="Q15" s="587"/>
      <c r="R15" s="587"/>
      <c r="S15" s="597"/>
      <c r="T15" s="597"/>
      <c r="U15" s="597"/>
      <c r="V15" s="597"/>
      <c r="W15" s="597"/>
      <c r="X15" s="597"/>
      <c r="Y15" s="597"/>
      <c r="Z15" s="597"/>
      <c r="AA15" s="597"/>
      <c r="AB15" s="597"/>
      <c r="AC15" s="597"/>
      <c r="AD15" s="597"/>
      <c r="AE15" s="589"/>
      <c r="AF15" s="589"/>
      <c r="AG15" s="589"/>
      <c r="AH15" s="589"/>
      <c r="AI15" s="589"/>
      <c r="AJ15" s="589"/>
      <c r="AK15" s="589"/>
      <c r="AL15" s="589"/>
      <c r="AM15" s="589"/>
      <c r="AN15" s="589"/>
    </row>
    <row r="16" spans="1:76" ht="17.25" customHeight="1" x14ac:dyDescent="0.35">
      <c r="B16" s="605" t="s">
        <v>100</v>
      </c>
      <c r="C16" s="595"/>
      <c r="D16" s="595"/>
      <c r="E16" s="595"/>
      <c r="F16" s="595"/>
      <c r="G16" s="595"/>
      <c r="H16" s="587"/>
      <c r="I16" s="587"/>
      <c r="J16" s="587"/>
      <c r="K16" s="587"/>
      <c r="L16" s="587"/>
      <c r="M16" s="587"/>
      <c r="N16" s="587"/>
      <c r="O16" s="587"/>
      <c r="P16" s="587"/>
      <c r="Q16" s="587"/>
      <c r="R16" s="587"/>
      <c r="S16" s="589">
        <f t="shared" ref="S16:AF16" si="2">S12/S14</f>
        <v>1410.9201839892773</v>
      </c>
      <c r="T16" s="589">
        <f t="shared" si="2"/>
        <v>1441.7953950227272</v>
      </c>
      <c r="U16" s="589">
        <f t="shared" si="2"/>
        <v>1456.5634725756415</v>
      </c>
      <c r="V16" s="589">
        <f t="shared" si="2"/>
        <v>1456.3348528201841</v>
      </c>
      <c r="W16" s="589">
        <f t="shared" si="2"/>
        <v>1480.6045057551025</v>
      </c>
      <c r="X16" s="589">
        <f t="shared" si="2"/>
        <v>1493.0029915558155</v>
      </c>
      <c r="Y16" s="589">
        <f t="shared" si="2"/>
        <v>1496.0220800326379</v>
      </c>
      <c r="Z16" s="589">
        <f t="shared" si="2"/>
        <v>1511.6365920422097</v>
      </c>
      <c r="AA16" s="589">
        <f t="shared" si="2"/>
        <v>1543.1788890610105</v>
      </c>
      <c r="AB16" s="589">
        <f t="shared" si="2"/>
        <v>1559.6976304716163</v>
      </c>
      <c r="AC16" s="589">
        <f t="shared" si="2"/>
        <v>1537.3904595663</v>
      </c>
      <c r="AD16" s="589">
        <f t="shared" si="2"/>
        <v>1516.7742347849039</v>
      </c>
      <c r="AE16" s="589">
        <f t="shared" si="2"/>
        <v>1526.7224939847283</v>
      </c>
      <c r="AF16" s="589">
        <f t="shared" si="2"/>
        <v>1459.1870552863147</v>
      </c>
      <c r="AG16" s="589">
        <f>AG12/AG14</f>
        <v>1580.3550144285523</v>
      </c>
      <c r="AH16" s="589">
        <f t="shared" ref="AH16:AN16" si="3">AH12/AH14</f>
        <v>1562.8922168099984</v>
      </c>
      <c r="AI16" s="589">
        <f t="shared" si="3"/>
        <v>1562.1310580958468</v>
      </c>
      <c r="AJ16" s="589">
        <f t="shared" si="3"/>
        <v>1563.8063868641188</v>
      </c>
      <c r="AK16" s="589">
        <f t="shared" si="3"/>
        <v>1564.9794862145188</v>
      </c>
      <c r="AL16" s="589">
        <f t="shared" si="3"/>
        <v>1567.1100972208969</v>
      </c>
      <c r="AM16" s="589">
        <f t="shared" si="3"/>
        <v>1568.7312366611015</v>
      </c>
      <c r="AN16" s="589">
        <f t="shared" si="3"/>
        <v>1565.8701715056748</v>
      </c>
    </row>
    <row r="17" spans="2:76" x14ac:dyDescent="0.35">
      <c r="B17" s="602" t="s">
        <v>353</v>
      </c>
      <c r="C17" s="603"/>
      <c r="D17" s="603"/>
      <c r="E17" s="603"/>
      <c r="F17" s="603"/>
      <c r="G17" s="603"/>
      <c r="H17" s="585">
        <f t="shared" ref="H17:AC17" si="4">H12+H60</f>
        <v>1721.212</v>
      </c>
      <c r="I17" s="585">
        <f t="shared" si="4"/>
        <v>1748.3009999999999</v>
      </c>
      <c r="J17" s="585">
        <f t="shared" si="4"/>
        <v>1964.2730000000001</v>
      </c>
      <c r="K17" s="585">
        <f t="shared" si="4"/>
        <v>1904.7230000000002</v>
      </c>
      <c r="L17" s="585">
        <f t="shared" si="4"/>
        <v>1908.962</v>
      </c>
      <c r="M17" s="585">
        <f t="shared" si="4"/>
        <v>2008.527</v>
      </c>
      <c r="N17" s="585">
        <f t="shared" si="4"/>
        <v>2027.0750000000003</v>
      </c>
      <c r="O17" s="585">
        <f t="shared" si="4"/>
        <v>2029.5720000000001</v>
      </c>
      <c r="P17" s="585">
        <f t="shared" si="4"/>
        <v>2088.553852</v>
      </c>
      <c r="Q17" s="585">
        <f t="shared" si="4"/>
        <v>2115.6392747999998</v>
      </c>
      <c r="R17" s="585">
        <f t="shared" si="4"/>
        <v>2199.4961748571427</v>
      </c>
      <c r="S17" s="585">
        <f t="shared" si="4"/>
        <v>2197.8610108571429</v>
      </c>
      <c r="T17" s="585">
        <f t="shared" si="4"/>
        <v>2215.0400708571428</v>
      </c>
      <c r="U17" s="586">
        <f t="shared" si="4"/>
        <v>2245.2586860571428</v>
      </c>
      <c r="V17" s="586">
        <f t="shared" si="4"/>
        <v>2250.8878628571429</v>
      </c>
      <c r="W17" s="586">
        <f t="shared" si="4"/>
        <v>2278.331086857143</v>
      </c>
      <c r="X17" s="586">
        <f t="shared" si="4"/>
        <v>2323.7200868571426</v>
      </c>
      <c r="Y17" s="604">
        <f t="shared" si="4"/>
        <v>2349.8270868571431</v>
      </c>
      <c r="Z17" s="604">
        <f t="shared" si="4"/>
        <v>2392.2502518571428</v>
      </c>
      <c r="AA17" s="604">
        <f t="shared" si="4"/>
        <v>2464.3794728571429</v>
      </c>
      <c r="AB17" s="604">
        <f t="shared" si="4"/>
        <v>2502.7874685571428</v>
      </c>
      <c r="AC17" s="588">
        <f t="shared" si="4"/>
        <v>2464.1211398571431</v>
      </c>
      <c r="AD17" s="588"/>
      <c r="AE17" s="588"/>
      <c r="AF17" s="588"/>
      <c r="AG17" s="588"/>
      <c r="AH17" s="588"/>
      <c r="AI17" s="588"/>
      <c r="AJ17" s="588"/>
      <c r="AK17" s="588"/>
      <c r="AL17" s="588"/>
      <c r="AM17" s="588"/>
      <c r="AN17" s="588"/>
      <c r="AO17" s="268" t="s">
        <v>354</v>
      </c>
    </row>
    <row r="18" spans="2:76" ht="15.75" customHeight="1" x14ac:dyDescent="0.35">
      <c r="B18" s="375"/>
      <c r="C18" s="375"/>
      <c r="D18" s="375"/>
      <c r="E18" s="375"/>
      <c r="F18" s="375"/>
      <c r="G18" s="375"/>
      <c r="H18" s="366"/>
      <c r="I18" s="366"/>
      <c r="J18" s="366"/>
      <c r="K18" s="366"/>
      <c r="L18" s="366"/>
      <c r="M18" s="366"/>
      <c r="N18" s="366"/>
      <c r="O18" s="366"/>
      <c r="Y18" s="82"/>
      <c r="Z18" s="82"/>
      <c r="AA18" s="82"/>
      <c r="AB18" s="82"/>
      <c r="AC18" s="611"/>
      <c r="AD18" s="82"/>
      <c r="AE18" s="82"/>
      <c r="AF18" s="82"/>
      <c r="AG18" s="82"/>
      <c r="AH18" s="82"/>
      <c r="AI18" s="268"/>
    </row>
    <row r="19" spans="2:76" x14ac:dyDescent="0.35">
      <c r="B19" s="375"/>
      <c r="C19" s="375"/>
      <c r="D19" s="375"/>
      <c r="E19" s="375"/>
      <c r="F19" s="375"/>
      <c r="G19" s="375"/>
      <c r="H19" s="366"/>
      <c r="I19" s="366"/>
      <c r="J19" s="366"/>
      <c r="K19" s="366"/>
      <c r="L19" s="366"/>
      <c r="M19" s="366"/>
      <c r="N19" s="366"/>
      <c r="O19" s="366"/>
      <c r="P19" s="611"/>
      <c r="Q19" s="611"/>
      <c r="R19" s="611"/>
      <c r="S19" s="611"/>
      <c r="T19" s="611"/>
      <c r="U19" s="611"/>
      <c r="V19" s="611"/>
      <c r="W19" s="611"/>
      <c r="X19" s="611"/>
      <c r="Y19" s="611"/>
      <c r="Z19" s="611"/>
      <c r="AA19" s="611"/>
      <c r="AB19" s="611"/>
      <c r="AD19" s="611"/>
      <c r="AE19" s="611"/>
      <c r="AF19" s="611"/>
      <c r="AG19" s="611"/>
      <c r="AH19" s="611"/>
    </row>
    <row r="20" spans="2:76" ht="21.75" customHeight="1" x14ac:dyDescent="0.35">
      <c r="B20" s="1415" t="s">
        <v>153</v>
      </c>
      <c r="C20" s="1415"/>
      <c r="D20" s="1415"/>
      <c r="E20" s="1415"/>
      <c r="F20" s="1415"/>
      <c r="G20" s="1415"/>
      <c r="H20" s="1415"/>
      <c r="I20" s="1415"/>
      <c r="J20" s="1415"/>
      <c r="K20" s="1415"/>
      <c r="L20" s="1415"/>
      <c r="M20" s="1415"/>
      <c r="N20" s="1415"/>
      <c r="O20" s="1415"/>
      <c r="P20" s="1415"/>
      <c r="Q20" s="1415"/>
      <c r="R20" s="1415"/>
      <c r="S20" s="1415"/>
      <c r="T20" s="1415"/>
      <c r="U20" s="1415"/>
      <c r="V20" s="1415"/>
      <c r="W20" s="1415"/>
      <c r="X20" s="1415"/>
      <c r="Y20" s="1415"/>
      <c r="Z20" s="1415"/>
      <c r="AA20" s="1415"/>
      <c r="AB20" s="1415"/>
      <c r="AC20" s="1415"/>
      <c r="AD20" s="241"/>
      <c r="AE20" s="241"/>
      <c r="AF20" s="241"/>
      <c r="AG20" s="241"/>
      <c r="AH20" s="241"/>
      <c r="AJ20" s="119"/>
    </row>
    <row r="21" spans="2:76" ht="14.25" customHeight="1" x14ac:dyDescent="0.35">
      <c r="B21" s="1435" t="s">
        <v>355</v>
      </c>
      <c r="C21" s="1435"/>
      <c r="D21" s="1435"/>
      <c r="E21" s="1435"/>
      <c r="F21" s="1435"/>
      <c r="G21" s="1435"/>
      <c r="H21" s="1435"/>
      <c r="I21" s="1435"/>
      <c r="J21" s="1435"/>
      <c r="K21" s="1435"/>
      <c r="L21" s="1435"/>
      <c r="M21" s="1435"/>
      <c r="N21" s="1435"/>
      <c r="O21" s="1435"/>
      <c r="P21" s="1435"/>
      <c r="Q21" s="1435"/>
      <c r="R21" s="1435"/>
      <c r="S21" s="1435"/>
      <c r="T21" s="1435"/>
      <c r="U21" s="1435"/>
      <c r="V21" s="1435"/>
      <c r="W21" s="1435"/>
      <c r="X21" s="1435"/>
      <c r="Y21" s="1435"/>
      <c r="Z21" s="1435"/>
      <c r="AA21" s="1435"/>
      <c r="AB21" s="1435"/>
      <c r="AC21" s="1435"/>
      <c r="AD21" s="351"/>
      <c r="AE21" s="351"/>
      <c r="AF21" s="351"/>
      <c r="AG21" s="351"/>
      <c r="AH21" s="351"/>
      <c r="AJ21" s="119"/>
    </row>
    <row r="22" spans="2:76" x14ac:dyDescent="0.35">
      <c r="B22" s="1435"/>
      <c r="C22" s="1435"/>
      <c r="D22" s="1435"/>
      <c r="E22" s="1435"/>
      <c r="F22" s="1435"/>
      <c r="G22" s="1435"/>
      <c r="H22" s="1435"/>
      <c r="I22" s="1435"/>
      <c r="J22" s="1435"/>
      <c r="K22" s="1435"/>
      <c r="L22" s="1435"/>
      <c r="M22" s="1435"/>
      <c r="N22" s="1435"/>
      <c r="O22" s="1435"/>
      <c r="P22" s="1435"/>
      <c r="Q22" s="1435"/>
      <c r="R22" s="1435"/>
      <c r="S22" s="1435"/>
      <c r="T22" s="1435"/>
      <c r="U22" s="1435"/>
      <c r="V22" s="1435"/>
      <c r="W22" s="1435"/>
      <c r="X22" s="1435"/>
      <c r="Y22" s="1435"/>
      <c r="Z22" s="1435"/>
      <c r="AA22" s="1435"/>
      <c r="AB22" s="1435"/>
      <c r="AC22" s="1435"/>
      <c r="AD22" s="351"/>
      <c r="AE22" s="351"/>
      <c r="AF22" s="351"/>
      <c r="AG22" s="351"/>
      <c r="AH22" s="351"/>
    </row>
    <row r="23" spans="2:76" x14ac:dyDescent="0.35">
      <c r="B23" s="1435"/>
      <c r="C23" s="1435"/>
      <c r="D23" s="1435"/>
      <c r="E23" s="1435"/>
      <c r="F23" s="1435"/>
      <c r="G23" s="1435"/>
      <c r="H23" s="1435"/>
      <c r="I23" s="1435"/>
      <c r="J23" s="1435"/>
      <c r="K23" s="1435"/>
      <c r="L23" s="1435"/>
      <c r="M23" s="1435"/>
      <c r="N23" s="1435"/>
      <c r="O23" s="1435"/>
      <c r="P23" s="1435"/>
      <c r="Q23" s="1435"/>
      <c r="R23" s="1435"/>
      <c r="S23" s="1435"/>
      <c r="T23" s="1435"/>
      <c r="U23" s="1435"/>
      <c r="V23" s="1435"/>
      <c r="W23" s="1435"/>
      <c r="X23" s="1435"/>
      <c r="Y23" s="1435"/>
      <c r="Z23" s="1435"/>
      <c r="AA23" s="1435"/>
      <c r="AB23" s="1435"/>
      <c r="AC23" s="1435"/>
      <c r="AD23" s="351"/>
      <c r="AE23" s="351"/>
      <c r="AF23" s="351"/>
      <c r="AG23" s="351"/>
      <c r="AH23" s="351"/>
    </row>
    <row r="25" spans="2:76" x14ac:dyDescent="0.35">
      <c r="B25" s="1417" t="s">
        <v>245</v>
      </c>
      <c r="C25" s="1461"/>
      <c r="D25" s="1437" t="s">
        <v>246</v>
      </c>
      <c r="E25" s="1437"/>
      <c r="F25" s="1437"/>
      <c r="G25" s="1437"/>
      <c r="H25" s="1437"/>
      <c r="I25" s="1437"/>
      <c r="J25" s="1437"/>
      <c r="K25" s="1437"/>
      <c r="L25" s="1437"/>
      <c r="M25" s="1437"/>
      <c r="N25" s="1437"/>
      <c r="O25" s="1437"/>
      <c r="P25" s="1437"/>
      <c r="Q25" s="1437"/>
      <c r="R25" s="1437"/>
      <c r="S25" s="1437"/>
      <c r="T25" s="1437"/>
      <c r="U25" s="1437"/>
      <c r="V25" s="1437"/>
      <c r="W25" s="1437"/>
      <c r="X25" s="1437"/>
      <c r="Y25" s="1437"/>
      <c r="Z25" s="1437"/>
      <c r="AA25" s="1437"/>
      <c r="AB25" s="1437"/>
      <c r="AC25" s="260"/>
      <c r="AD25" s="260"/>
      <c r="AE25" s="260"/>
      <c r="AF25" s="260"/>
      <c r="AG25" s="1398" t="s">
        <v>247</v>
      </c>
      <c r="AH25" s="1398"/>
      <c r="AI25" s="1398"/>
      <c r="AJ25" s="1398"/>
      <c r="AK25" s="1398"/>
      <c r="AL25" s="1398"/>
      <c r="AM25" s="1398"/>
      <c r="AN25" s="1399"/>
    </row>
    <row r="26" spans="2:76" x14ac:dyDescent="0.35">
      <c r="B26" s="1419"/>
      <c r="C26" s="1420"/>
      <c r="D26" s="244">
        <v>2018</v>
      </c>
      <c r="E26" s="1423">
        <v>2019</v>
      </c>
      <c r="F26" s="1424"/>
      <c r="G26" s="1424"/>
      <c r="H26" s="1436"/>
      <c r="I26" s="1423">
        <v>2020</v>
      </c>
      <c r="J26" s="1424"/>
      <c r="K26" s="1424"/>
      <c r="L26" s="1424"/>
      <c r="M26" s="1423">
        <v>2021</v>
      </c>
      <c r="N26" s="1424"/>
      <c r="O26" s="1424"/>
      <c r="P26" s="1424"/>
      <c r="Q26" s="1423">
        <v>2022</v>
      </c>
      <c r="R26" s="1424"/>
      <c r="S26" s="1424"/>
      <c r="T26" s="1436"/>
      <c r="U26" s="1423">
        <v>2023</v>
      </c>
      <c r="V26" s="1424"/>
      <c r="W26" s="1424"/>
      <c r="X26" s="1436"/>
      <c r="Y26" s="404"/>
      <c r="Z26" s="355">
        <v>2024</v>
      </c>
      <c r="AA26" s="355"/>
      <c r="AB26" s="354"/>
      <c r="AC26" s="1403">
        <v>2025</v>
      </c>
      <c r="AD26" s="1404"/>
      <c r="AE26" s="1404"/>
      <c r="AF26" s="1404"/>
      <c r="AG26" s="1410">
        <v>2026</v>
      </c>
      <c r="AH26" s="1428"/>
      <c r="AI26" s="1428"/>
      <c r="AJ26" s="1412"/>
      <c r="AK26" s="1410">
        <v>2027</v>
      </c>
      <c r="AL26" s="1428"/>
      <c r="AM26" s="1428"/>
      <c r="AN26" s="1412"/>
    </row>
    <row r="27" spans="2:76" x14ac:dyDescent="0.35">
      <c r="B27" s="1419"/>
      <c r="C27" s="1420"/>
      <c r="D27" s="244" t="s">
        <v>248</v>
      </c>
      <c r="E27" s="244" t="s">
        <v>249</v>
      </c>
      <c r="F27" s="245" t="s">
        <v>250</v>
      </c>
      <c r="G27" s="245" t="s">
        <v>226</v>
      </c>
      <c r="H27" s="246" t="s">
        <v>248</v>
      </c>
      <c r="I27" s="245" t="s">
        <v>249</v>
      </c>
      <c r="J27" s="245" t="s">
        <v>250</v>
      </c>
      <c r="K27" s="245" t="s">
        <v>226</v>
      </c>
      <c r="L27" s="245" t="s">
        <v>248</v>
      </c>
      <c r="M27" s="244" t="s">
        <v>249</v>
      </c>
      <c r="N27" s="245" t="s">
        <v>250</v>
      </c>
      <c r="O27" s="245" t="s">
        <v>226</v>
      </c>
      <c r="P27" s="245" t="s">
        <v>248</v>
      </c>
      <c r="Q27" s="244" t="s">
        <v>249</v>
      </c>
      <c r="R27" s="245" t="s">
        <v>250</v>
      </c>
      <c r="S27" s="245" t="s">
        <v>226</v>
      </c>
      <c r="T27" s="246" t="s">
        <v>248</v>
      </c>
      <c r="U27" s="272" t="s">
        <v>249</v>
      </c>
      <c r="V27" s="273" t="s">
        <v>250</v>
      </c>
      <c r="W27" s="273" t="s">
        <v>226</v>
      </c>
      <c r="X27" s="271" t="s">
        <v>248</v>
      </c>
      <c r="Y27" s="272" t="s">
        <v>249</v>
      </c>
      <c r="Z27" s="274" t="s">
        <v>250</v>
      </c>
      <c r="AA27" s="273" t="s">
        <v>226</v>
      </c>
      <c r="AB27" s="271" t="s">
        <v>248</v>
      </c>
      <c r="AC27" s="272" t="s">
        <v>249</v>
      </c>
      <c r="AD27" s="274" t="s">
        <v>250</v>
      </c>
      <c r="AE27" s="273" t="s">
        <v>226</v>
      </c>
      <c r="AF27" s="273" t="s">
        <v>248</v>
      </c>
      <c r="AG27" s="358" t="s">
        <v>249</v>
      </c>
      <c r="AH27" s="269" t="s">
        <v>250</v>
      </c>
      <c r="AI27" s="269" t="s">
        <v>226</v>
      </c>
      <c r="AJ27" s="402" t="s">
        <v>248</v>
      </c>
      <c r="AK27" s="358" t="s">
        <v>249</v>
      </c>
      <c r="AL27" s="269" t="s">
        <v>250</v>
      </c>
      <c r="AM27" s="269" t="s">
        <v>226</v>
      </c>
      <c r="AN27" s="402" t="s">
        <v>248</v>
      </c>
    </row>
    <row r="28" spans="2:76" x14ac:dyDescent="0.35">
      <c r="B28" s="614" t="s">
        <v>99</v>
      </c>
      <c r="C28" s="609" t="s">
        <v>356</v>
      </c>
      <c r="D28" s="422"/>
      <c r="E28" s="422"/>
      <c r="F28" s="422"/>
      <c r="G28" s="422"/>
      <c r="H28" s="592">
        <f>'Haver Pivoted'!GS24</f>
        <v>2425.1</v>
      </c>
      <c r="I28" s="592">
        <f>'Haver Pivoted'!GT24</f>
        <v>2481.8000000000002</v>
      </c>
      <c r="J28" s="592">
        <f>'Haver Pivoted'!GU24</f>
        <v>2454</v>
      </c>
      <c r="K28" s="592">
        <f>'Haver Pivoted'!GV24</f>
        <v>2473.1999999999998</v>
      </c>
      <c r="L28" s="592">
        <f>'Haver Pivoted'!GW24</f>
        <v>2489.1999999999998</v>
      </c>
      <c r="M28" s="592">
        <f>'Haver Pivoted'!GX24</f>
        <v>2538.6999999999998</v>
      </c>
      <c r="N28" s="592">
        <f>'Haver Pivoted'!GY24</f>
        <v>2576.9</v>
      </c>
      <c r="O28" s="592">
        <f>'Haver Pivoted'!GZ24</f>
        <v>2634.6</v>
      </c>
      <c r="P28" s="592">
        <f>'Haver Pivoted'!HA24</f>
        <v>2666.8</v>
      </c>
      <c r="Q28" s="592">
        <f>'Haver Pivoted'!HB24</f>
        <v>2727.2</v>
      </c>
      <c r="R28" s="592">
        <f>'Haver Pivoted'!HC24</f>
        <v>2816.7</v>
      </c>
      <c r="S28" s="601">
        <f>'Haver Pivoted'!HD24</f>
        <v>2847.4</v>
      </c>
      <c r="T28" s="601">
        <f>'Haver Pivoted'!HE24</f>
        <v>2879.2</v>
      </c>
      <c r="U28" s="278">
        <f>'Haver Pivoted'!HF24</f>
        <v>2912.8</v>
      </c>
      <c r="V28" s="278">
        <f>'Haver Pivoted'!HG24</f>
        <v>2934.6</v>
      </c>
      <c r="W28" s="278">
        <f>'Haver Pivoted'!HH24</f>
        <v>3005.4</v>
      </c>
      <c r="X28" s="278">
        <f>'Haver Pivoted'!HI24</f>
        <v>3049</v>
      </c>
      <c r="Y28" s="278">
        <f>'Haver Pivoted'!HJ24</f>
        <v>3097.5</v>
      </c>
      <c r="Z28" s="278">
        <f>'Haver Pivoted'!HK24</f>
        <v>3127.6</v>
      </c>
      <c r="AA28" s="278">
        <f>'Haver Pivoted'!HL24</f>
        <v>3169.1</v>
      </c>
      <c r="AB28" s="278">
        <f>'Haver Pivoted'!HM24</f>
        <v>3200.8</v>
      </c>
      <c r="AC28" s="278">
        <f>'Haver Pivoted'!HN24</f>
        <v>3245.8</v>
      </c>
      <c r="AD28" s="278">
        <f>'Haver Pivoted'!HO24</f>
        <v>3280.6</v>
      </c>
      <c r="AE28" s="278">
        <f>'Haver Pivoted'!HP24</f>
        <v>3334.7</v>
      </c>
      <c r="AF28" s="278">
        <f>'Haver Pivoted'!HQ24</f>
        <v>3374.4</v>
      </c>
      <c r="AG28" s="357"/>
      <c r="AH28" s="357"/>
      <c r="AI28" s="357"/>
      <c r="AJ28" s="357"/>
      <c r="AK28" s="357"/>
      <c r="AL28" s="357"/>
      <c r="AM28" s="357"/>
      <c r="AN28" s="357"/>
    </row>
    <row r="29" spans="2:76" ht="29.25" customHeight="1" x14ac:dyDescent="0.35">
      <c r="B29" s="617" t="s">
        <v>2040</v>
      </c>
      <c r="C29" s="356"/>
      <c r="D29" s="265"/>
      <c r="E29" s="265"/>
      <c r="F29" s="265"/>
      <c r="G29" s="265"/>
      <c r="H29" s="366"/>
      <c r="I29" s="366"/>
      <c r="J29" s="366"/>
      <c r="K29" s="366"/>
      <c r="L29" s="366"/>
      <c r="M29" s="537">
        <v>2533.9</v>
      </c>
      <c r="N29" s="537">
        <v>2571.6999999999998</v>
      </c>
      <c r="O29" s="537">
        <v>2625.1</v>
      </c>
      <c r="P29" s="537">
        <v>2664.2</v>
      </c>
      <c r="Q29" s="537">
        <v>2726.1</v>
      </c>
      <c r="R29" s="537">
        <v>2815.5</v>
      </c>
      <c r="S29" s="537">
        <v>2838.7</v>
      </c>
      <c r="T29" s="537">
        <v>2870.6</v>
      </c>
      <c r="U29" s="537">
        <v>2912.8</v>
      </c>
      <c r="V29" s="537">
        <v>2934.6</v>
      </c>
      <c r="W29" s="537">
        <v>3005.4</v>
      </c>
      <c r="X29" s="537">
        <v>3049</v>
      </c>
      <c r="Y29" s="537">
        <v>3097.5</v>
      </c>
      <c r="Z29" s="537">
        <v>3127.6</v>
      </c>
      <c r="AA29" s="537">
        <v>3169.1</v>
      </c>
      <c r="AB29" s="537">
        <v>3200.8</v>
      </c>
      <c r="AC29" s="537">
        <v>3245.8</v>
      </c>
      <c r="AD29" s="537">
        <v>3280.6</v>
      </c>
      <c r="AE29" s="537">
        <v>3317.3</v>
      </c>
      <c r="AF29" s="537">
        <v>3352.6</v>
      </c>
      <c r="AG29" s="537">
        <v>3384.5</v>
      </c>
      <c r="AH29" s="537">
        <v>3416.8</v>
      </c>
      <c r="AI29" s="537">
        <v>3449.9</v>
      </c>
      <c r="AJ29" s="537">
        <v>3480.4</v>
      </c>
      <c r="AK29" s="537">
        <v>3512.2</v>
      </c>
      <c r="AL29" s="537">
        <v>3543.9</v>
      </c>
      <c r="AM29" s="537">
        <v>3574.5</v>
      </c>
      <c r="AN29" s="537">
        <v>3605</v>
      </c>
      <c r="AO29" s="580">
        <v>3635.3</v>
      </c>
      <c r="AP29" s="580">
        <v>3665.9</v>
      </c>
      <c r="AQ29" s="580">
        <v>3696.8</v>
      </c>
      <c r="AR29" s="580">
        <v>3727.7</v>
      </c>
      <c r="AS29" s="580">
        <v>3759.3</v>
      </c>
      <c r="AT29" s="580">
        <v>3790.1</v>
      </c>
      <c r="AU29" s="580">
        <v>3820.9</v>
      </c>
      <c r="AV29" s="580">
        <v>3851.8</v>
      </c>
      <c r="AW29" s="580">
        <v>3882.5</v>
      </c>
      <c r="AX29" s="580">
        <v>3913.7</v>
      </c>
      <c r="AY29" s="580">
        <v>3945.1</v>
      </c>
      <c r="AZ29" s="580">
        <v>3977</v>
      </c>
      <c r="BA29" s="580">
        <v>4009.2</v>
      </c>
      <c r="BB29" s="580">
        <v>4042.1</v>
      </c>
      <c r="BC29" s="580">
        <v>4075.4</v>
      </c>
      <c r="BD29" s="580">
        <v>4108.8999999999996</v>
      </c>
      <c r="BE29" s="580">
        <v>4142.5</v>
      </c>
      <c r="BF29" s="580">
        <v>4176.3</v>
      </c>
      <c r="BG29" s="580">
        <v>4210.3999999999996</v>
      </c>
      <c r="BH29" s="580">
        <v>4244.7</v>
      </c>
      <c r="BI29" s="580">
        <v>4278.8999999999996</v>
      </c>
      <c r="BJ29" s="580">
        <v>4312.7</v>
      </c>
      <c r="BK29" s="580">
        <v>4347</v>
      </c>
      <c r="BL29" s="580">
        <v>4381.7</v>
      </c>
      <c r="BM29" s="580">
        <v>4416.5</v>
      </c>
      <c r="BN29" s="580">
        <v>4451.5</v>
      </c>
      <c r="BO29" s="580">
        <v>4486.5</v>
      </c>
      <c r="BP29" s="580">
        <v>4521.6000000000004</v>
      </c>
      <c r="BQ29" s="580">
        <v>4556.1000000000004</v>
      </c>
      <c r="BR29">
        <v>4590.8</v>
      </c>
      <c r="BS29">
        <v>4625.7</v>
      </c>
      <c r="BT29">
        <v>4661</v>
      </c>
      <c r="BU29">
        <v>4696.7</v>
      </c>
      <c r="BV29">
        <v>4733.2</v>
      </c>
      <c r="BW29">
        <v>4770.3999999999996</v>
      </c>
      <c r="BX29">
        <v>4808.2</v>
      </c>
    </row>
    <row r="30" spans="2:76" ht="29.25" customHeight="1" x14ac:dyDescent="0.35">
      <c r="B30" s="617" t="s">
        <v>2041</v>
      </c>
      <c r="C30" s="356"/>
      <c r="D30" s="265"/>
      <c r="E30" s="265"/>
      <c r="F30" s="265"/>
      <c r="G30" s="265"/>
      <c r="H30" s="366"/>
      <c r="I30" s="620"/>
      <c r="J30" s="620"/>
      <c r="K30" s="620"/>
      <c r="L30" s="620"/>
      <c r="M30" s="620">
        <v>7.7759999999999998</v>
      </c>
      <c r="N30" s="620">
        <v>6.1050000000000004</v>
      </c>
      <c r="O30" s="620">
        <v>8.5640000000000001</v>
      </c>
      <c r="P30" s="620">
        <v>6.0890000000000004</v>
      </c>
      <c r="Q30" s="620">
        <v>9.4320000000000004</v>
      </c>
      <c r="R30" s="620">
        <v>13.778</v>
      </c>
      <c r="S30" s="620">
        <v>3.327</v>
      </c>
      <c r="T30" s="620">
        <v>4.5739999999999998</v>
      </c>
      <c r="U30" s="620">
        <v>4.7489999999999997</v>
      </c>
      <c r="V30" s="620">
        <v>3.0179999999999998</v>
      </c>
      <c r="W30" s="620">
        <v>10.007</v>
      </c>
      <c r="X30" s="620">
        <v>5.9379999999999997</v>
      </c>
      <c r="Y30" s="620">
        <v>6.5129999999999999</v>
      </c>
      <c r="Z30" s="620">
        <v>3.944</v>
      </c>
      <c r="AA30" s="620">
        <v>5.407</v>
      </c>
      <c r="AB30" s="620">
        <v>4.0599999999999996</v>
      </c>
      <c r="AC30" s="620">
        <v>5.7469999999999999</v>
      </c>
      <c r="AD30" s="620">
        <v>4.3529999999999998</v>
      </c>
      <c r="AE30" s="620">
        <v>4.5549999999999997</v>
      </c>
      <c r="AF30" s="620">
        <v>4.3230000000000004</v>
      </c>
      <c r="AG30" s="620">
        <v>3.867</v>
      </c>
      <c r="AH30" s="620">
        <v>3.8730000000000002</v>
      </c>
      <c r="AI30" s="620">
        <v>3.9260000000000002</v>
      </c>
      <c r="AJ30" s="620">
        <v>3.5779999999999998</v>
      </c>
      <c r="AK30" s="620">
        <v>3.7050000000000001</v>
      </c>
      <c r="AL30" s="620">
        <v>3.6619999999999999</v>
      </c>
      <c r="AM30" s="620">
        <v>3.4980000000000002</v>
      </c>
      <c r="AN30" s="620">
        <v>3.4529999999999998</v>
      </c>
      <c r="AO30" s="360">
        <v>3.4089999999999998</v>
      </c>
      <c r="AP30" s="360">
        <v>3.4119999999999999</v>
      </c>
      <c r="AQ30" s="360">
        <v>3.407</v>
      </c>
      <c r="AR30" s="360">
        <v>3.3929999999999998</v>
      </c>
      <c r="AS30" s="360">
        <v>3.43</v>
      </c>
      <c r="AT30" s="360">
        <v>3.3149999999999999</v>
      </c>
      <c r="AU30" s="360">
        <v>3.2879999999999998</v>
      </c>
      <c r="AV30" s="360">
        <v>3.274</v>
      </c>
      <c r="AW30" s="360">
        <v>3.2320000000000002</v>
      </c>
      <c r="AX30" s="360">
        <v>3.246</v>
      </c>
      <c r="AY30" s="360">
        <v>3.2509999999999999</v>
      </c>
      <c r="AZ30" s="360">
        <v>3.278</v>
      </c>
      <c r="BA30" s="360">
        <v>3.278</v>
      </c>
      <c r="BB30" s="360">
        <v>3.3210000000000002</v>
      </c>
      <c r="BC30" s="360">
        <v>3.3279999999999998</v>
      </c>
      <c r="BD30" s="360">
        <v>3.3359999999999999</v>
      </c>
      <c r="BE30" s="360">
        <v>3.3119999999999998</v>
      </c>
      <c r="BF30" s="360">
        <v>3.2949999999999999</v>
      </c>
      <c r="BG30" s="360">
        <v>3.3079999999999998</v>
      </c>
      <c r="BH30" s="360">
        <v>3.3039999999999998</v>
      </c>
      <c r="BI30" s="360">
        <v>3.262</v>
      </c>
      <c r="BJ30" s="360">
        <v>3.1970000000000001</v>
      </c>
      <c r="BK30" s="360">
        <v>3.2189999999999999</v>
      </c>
      <c r="BL30" s="360">
        <v>3.2229999999999999</v>
      </c>
      <c r="BM30" s="360">
        <v>3.22</v>
      </c>
      <c r="BN30" s="360">
        <v>3.2050000000000001</v>
      </c>
      <c r="BO30" s="360">
        <v>3.1779999999999999</v>
      </c>
      <c r="BP30" s="360">
        <v>3.1669999999999998</v>
      </c>
      <c r="BQ30" s="360">
        <v>3.0880000000000001</v>
      </c>
      <c r="BR30">
        <v>3.081</v>
      </c>
      <c r="BS30">
        <v>3.0790000000000002</v>
      </c>
      <c r="BT30">
        <v>3.0880000000000001</v>
      </c>
      <c r="BU30">
        <v>3.0950000000000002</v>
      </c>
      <c r="BV30">
        <v>3.149</v>
      </c>
      <c r="BW30">
        <v>3.1779999999999999</v>
      </c>
      <c r="BX30">
        <v>3.2069999999999999</v>
      </c>
    </row>
    <row r="31" spans="2:76" ht="21" customHeight="1" x14ac:dyDescent="0.35">
      <c r="B31" s="606" t="s">
        <v>1864</v>
      </c>
      <c r="C31" s="375"/>
      <c r="D31" s="365"/>
      <c r="E31" s="365"/>
      <c r="F31" s="365"/>
      <c r="G31" s="365"/>
      <c r="H31" s="361"/>
      <c r="I31" s="361"/>
      <c r="J31" s="361"/>
      <c r="K31" s="361"/>
      <c r="L31" s="361"/>
      <c r="M31" s="361">
        <f t="shared" ref="M31:V31" si="5">((M28/L28)^4-1)*100</f>
        <v>8.1947936139129762</v>
      </c>
      <c r="N31" s="361">
        <f t="shared" si="5"/>
        <v>6.15604502328988</v>
      </c>
      <c r="O31" s="361">
        <f t="shared" si="5"/>
        <v>9.2618344747234858</v>
      </c>
      <c r="P31" s="361">
        <f t="shared" si="5"/>
        <v>4.979146091602038</v>
      </c>
      <c r="Q31" s="361">
        <f t="shared" si="5"/>
        <v>9.372003344274793</v>
      </c>
      <c r="R31" s="361">
        <f t="shared" si="5"/>
        <v>13.787465020858146</v>
      </c>
      <c r="S31" s="361">
        <f t="shared" si="5"/>
        <v>4.4315076129868292</v>
      </c>
      <c r="T31" s="361">
        <f t="shared" si="5"/>
        <v>4.5426276505244667</v>
      </c>
      <c r="U31" s="361">
        <f t="shared" si="5"/>
        <v>4.7503129485775064</v>
      </c>
      <c r="V31" s="361">
        <f t="shared" si="5"/>
        <v>3.0274590724707728</v>
      </c>
      <c r="W31" s="582">
        <f t="shared" ref="W31:AA31" si="6">((W28/V28)^4-1)*100</f>
        <v>10.005265987602785</v>
      </c>
      <c r="X31" s="582">
        <f t="shared" si="6"/>
        <v>5.9303895017457586</v>
      </c>
      <c r="Y31" s="582">
        <f t="shared" si="6"/>
        <v>6.516175052916795</v>
      </c>
      <c r="Z31" s="582">
        <f t="shared" si="6"/>
        <v>3.9440316401324615</v>
      </c>
      <c r="AA31" s="582">
        <f t="shared" si="6"/>
        <v>5.4141608546233844</v>
      </c>
      <c r="AB31" s="582">
        <f>((AB28/AA28)^4-1)*100</f>
        <v>4.0615713951417831</v>
      </c>
      <c r="AC31" s="582">
        <f>((AC28/AB28)^4-1)*100</f>
        <v>5.743302579910492</v>
      </c>
      <c r="AD31" s="582">
        <f>((AD28/AC28)^4-1)*100</f>
        <v>4.3580843964813321</v>
      </c>
      <c r="AE31" s="582">
        <f>((AE28/AD28)^4-1)*100</f>
        <v>6.7613251840606958</v>
      </c>
      <c r="AF31" s="582">
        <f>((AF28/AE28)^4-1)*100</f>
        <v>4.8477636167632676</v>
      </c>
      <c r="AG31" s="357">
        <f t="shared" ref="AG31:AJ31" si="7">AG30</f>
        <v>3.867</v>
      </c>
      <c r="AH31" s="357">
        <f t="shared" si="7"/>
        <v>3.8730000000000002</v>
      </c>
      <c r="AI31" s="357">
        <f t="shared" si="7"/>
        <v>3.9260000000000002</v>
      </c>
      <c r="AJ31" s="357">
        <f t="shared" si="7"/>
        <v>3.5779999999999998</v>
      </c>
      <c r="AK31" s="357">
        <f t="shared" ref="AK31:AN31" si="8">AK30</f>
        <v>3.7050000000000001</v>
      </c>
      <c r="AL31" s="357">
        <f t="shared" si="8"/>
        <v>3.6619999999999999</v>
      </c>
      <c r="AM31" s="357">
        <f t="shared" si="8"/>
        <v>3.4980000000000002</v>
      </c>
      <c r="AN31" s="357">
        <f t="shared" si="8"/>
        <v>3.4529999999999998</v>
      </c>
      <c r="AO31" s="613" t="s">
        <v>357</v>
      </c>
    </row>
    <row r="32" spans="2:76" ht="17.899999999999999" customHeight="1" x14ac:dyDescent="0.35">
      <c r="B32" s="616" t="s">
        <v>358</v>
      </c>
      <c r="C32" s="380"/>
      <c r="D32" s="618"/>
      <c r="E32" s="618"/>
      <c r="F32" s="618"/>
      <c r="G32" s="618"/>
      <c r="H32" s="364">
        <f t="shared" ref="H32:T32" si="9">H28</f>
        <v>2425.1</v>
      </c>
      <c r="I32" s="364">
        <f t="shared" si="9"/>
        <v>2481.8000000000002</v>
      </c>
      <c r="J32" s="364">
        <f t="shared" si="9"/>
        <v>2454</v>
      </c>
      <c r="K32" s="364">
        <f t="shared" si="9"/>
        <v>2473.1999999999998</v>
      </c>
      <c r="L32" s="364">
        <f t="shared" si="9"/>
        <v>2489.1999999999998</v>
      </c>
      <c r="M32" s="364">
        <f t="shared" si="9"/>
        <v>2538.6999999999998</v>
      </c>
      <c r="N32" s="364">
        <f t="shared" si="9"/>
        <v>2576.9</v>
      </c>
      <c r="O32" s="364">
        <f t="shared" si="9"/>
        <v>2634.6</v>
      </c>
      <c r="P32" s="364">
        <f t="shared" si="9"/>
        <v>2666.8</v>
      </c>
      <c r="Q32" s="364">
        <f t="shared" si="9"/>
        <v>2727.2</v>
      </c>
      <c r="R32" s="364">
        <f t="shared" si="9"/>
        <v>2816.7</v>
      </c>
      <c r="S32" s="410">
        <f t="shared" si="9"/>
        <v>2847.4</v>
      </c>
      <c r="T32" s="410">
        <f t="shared" si="9"/>
        <v>2879.2</v>
      </c>
      <c r="U32" s="410">
        <f t="shared" ref="U32:Z32" si="10">U28</f>
        <v>2912.8</v>
      </c>
      <c r="V32" s="410">
        <f t="shared" si="10"/>
        <v>2934.6</v>
      </c>
      <c r="W32" s="410">
        <f t="shared" si="10"/>
        <v>3005.4</v>
      </c>
      <c r="X32" s="410">
        <f t="shared" si="10"/>
        <v>3049</v>
      </c>
      <c r="Y32" s="410">
        <f t="shared" si="10"/>
        <v>3097.5</v>
      </c>
      <c r="Z32" s="410">
        <f t="shared" si="10"/>
        <v>3127.6</v>
      </c>
      <c r="AA32" s="410">
        <f t="shared" ref="AA32" si="11">AA28</f>
        <v>3169.1</v>
      </c>
      <c r="AB32" s="410">
        <f>AB28</f>
        <v>3200.8</v>
      </c>
      <c r="AC32" s="410">
        <f>AC28</f>
        <v>3245.8</v>
      </c>
      <c r="AD32" s="410">
        <f>AD28</f>
        <v>3280.6</v>
      </c>
      <c r="AE32" s="410">
        <f>AE28</f>
        <v>3334.7</v>
      </c>
      <c r="AF32" s="410">
        <f>AF28</f>
        <v>3374.4</v>
      </c>
      <c r="AG32" s="591">
        <f>AF32*((1+AG31/100)^0.25)</f>
        <v>3406.5593473855811</v>
      </c>
      <c r="AH32" s="591">
        <f>AG32*((1+AH31/100)^0.25)</f>
        <v>3439.0748496505494</v>
      </c>
      <c r="AI32" s="591">
        <f t="shared" ref="AI32" si="12">AH32*((1+AI31/100)^0.25)</f>
        <v>3472.3435009738018</v>
      </c>
      <c r="AJ32" s="591">
        <f>AI32*((1+AJ31/100)^0.25)</f>
        <v>3502.9953543942324</v>
      </c>
      <c r="AK32" s="591">
        <f t="shared" ref="AK32:AN32" si="13">AJ32*((1+AK31/100)^0.25)</f>
        <v>3535.0005468995864</v>
      </c>
      <c r="AL32" s="591">
        <f t="shared" si="13"/>
        <v>3566.9283139717318</v>
      </c>
      <c r="AM32" s="591">
        <f t="shared" si="13"/>
        <v>3597.7200841612057</v>
      </c>
      <c r="AN32" s="591">
        <f t="shared" si="13"/>
        <v>3628.3831622589087</v>
      </c>
    </row>
    <row r="33" spans="2:63" ht="17.899999999999999" customHeight="1" x14ac:dyDescent="0.35">
      <c r="B33" s="616" t="s">
        <v>2011</v>
      </c>
      <c r="C33" s="380"/>
      <c r="D33" s="618"/>
      <c r="E33" s="618"/>
      <c r="F33" s="618"/>
      <c r="G33" s="618"/>
      <c r="H33" s="364"/>
      <c r="I33" s="364"/>
      <c r="J33" s="364"/>
      <c r="K33" s="364"/>
      <c r="L33" s="364"/>
      <c r="M33" s="364"/>
      <c r="N33" s="364"/>
      <c r="O33" s="364"/>
      <c r="P33" s="364"/>
      <c r="Q33" s="364"/>
      <c r="R33" s="364"/>
      <c r="S33" s="410"/>
      <c r="T33" s="410"/>
      <c r="U33" s="410"/>
      <c r="V33" s="410"/>
      <c r="W33" s="410"/>
      <c r="X33" s="410"/>
      <c r="Y33" s="410"/>
      <c r="Z33" s="410"/>
      <c r="AA33" s="410"/>
      <c r="AB33" s="410"/>
      <c r="AC33" s="571">
        <f>(AC32/AB32)^4-1</f>
        <v>5.743302579910492E-2</v>
      </c>
      <c r="AD33" s="571">
        <f t="shared" ref="AD33:AM33" si="14">(AD32/AC32)^4-1</f>
        <v>4.3580843964813321E-2</v>
      </c>
      <c r="AE33" s="571">
        <f t="shared" si="14"/>
        <v>6.7613251840606958E-2</v>
      </c>
      <c r="AF33" s="571">
        <f t="shared" si="14"/>
        <v>4.8477636167632676E-2</v>
      </c>
      <c r="AG33" s="571">
        <f t="shared" si="14"/>
        <v>3.866999999999976E-2</v>
      </c>
      <c r="AH33" s="571">
        <f t="shared" si="14"/>
        <v>3.8729999999999931E-2</v>
      </c>
      <c r="AI33" s="571">
        <f t="shared" si="14"/>
        <v>3.9259999999999851E-2</v>
      </c>
      <c r="AJ33" s="571">
        <f t="shared" si="14"/>
        <v>3.5780000000000145E-2</v>
      </c>
      <c r="AK33" s="571">
        <f t="shared" si="14"/>
        <v>3.7050000000000693E-2</v>
      </c>
      <c r="AL33" s="571">
        <f t="shared" si="14"/>
        <v>3.6619999999999875E-2</v>
      </c>
      <c r="AM33" s="571">
        <f t="shared" si="14"/>
        <v>3.4979999999999567E-2</v>
      </c>
      <c r="AN33" s="571">
        <f>(AN32/AM32)^4-1</f>
        <v>3.452999999999995E-2</v>
      </c>
    </row>
    <row r="34" spans="2:63" ht="17.899999999999999" customHeight="1" x14ac:dyDescent="0.35">
      <c r="B34" s="616" t="s">
        <v>2085</v>
      </c>
      <c r="C34" s="380"/>
      <c r="D34" s="618"/>
      <c r="E34" s="618"/>
      <c r="F34" s="618"/>
      <c r="G34" s="618"/>
      <c r="H34" s="364"/>
      <c r="I34" s="364"/>
      <c r="J34" s="364"/>
      <c r="K34" s="364"/>
      <c r="L34" s="364"/>
      <c r="M34" s="364"/>
      <c r="N34" s="364"/>
      <c r="O34" s="364"/>
      <c r="P34" s="364"/>
      <c r="Q34" s="364"/>
      <c r="R34" s="364"/>
      <c r="S34" s="410"/>
      <c r="T34" s="410"/>
      <c r="U34" s="410"/>
      <c r="V34" s="410"/>
      <c r="W34" s="410"/>
      <c r="X34" s="410"/>
      <c r="Y34" s="410"/>
      <c r="Z34" s="410"/>
      <c r="AA34" s="410"/>
      <c r="AB34" s="410"/>
      <c r="AC34" s="571"/>
      <c r="AD34" s="571"/>
      <c r="AE34" s="541">
        <f>AE32/Deflators!AE31</f>
        <v>2485.9853895550332</v>
      </c>
      <c r="AF34" s="541">
        <f>AF32/Deflators!AF31</f>
        <v>2500.5297067726765</v>
      </c>
      <c r="AG34" s="541">
        <f>AG32/Deflators!AG31</f>
        <v>2503.6843547175017</v>
      </c>
      <c r="AH34" s="541">
        <f>AH32/Deflators!AH31</f>
        <v>2506.603452763582</v>
      </c>
      <c r="AI34" s="541">
        <f>AI32/Deflators!AI31</f>
        <v>2509.8869905361612</v>
      </c>
      <c r="AJ34" s="541">
        <f>AJ32/Deflators!AJ31</f>
        <v>2511.7637131152487</v>
      </c>
      <c r="AK34" s="541">
        <f>AK32/Deflators!AK31</f>
        <v>2514.3766204730523</v>
      </c>
      <c r="AL34" s="541">
        <f>AL32/Deflators!AL31</f>
        <v>2517.2069927848638</v>
      </c>
      <c r="AM34" s="541">
        <f>AM32/Deflators!AM31</f>
        <v>2519.5142656280768</v>
      </c>
      <c r="AN34" s="541">
        <f>AN32/Deflators!AN31</f>
        <v>2521.9026535334178</v>
      </c>
    </row>
    <row r="35" spans="2:63" x14ac:dyDescent="0.35">
      <c r="B35" s="607" t="s">
        <v>359</v>
      </c>
      <c r="C35" s="608"/>
      <c r="D35" s="619"/>
      <c r="E35" s="619"/>
      <c r="F35" s="619"/>
      <c r="G35" s="619"/>
      <c r="H35" s="612">
        <f t="shared" ref="H35:P35" si="15">H28-H60</f>
        <v>2143.788</v>
      </c>
      <c r="I35" s="612">
        <f t="shared" si="15"/>
        <v>2193.799</v>
      </c>
      <c r="J35" s="612">
        <f t="shared" si="15"/>
        <v>2057.4270000000001</v>
      </c>
      <c r="K35" s="612">
        <f t="shared" si="15"/>
        <v>2097.1769999999997</v>
      </c>
      <c r="L35" s="612">
        <f t="shared" si="15"/>
        <v>2121.8379999999997</v>
      </c>
      <c r="M35" s="612">
        <f t="shared" si="15"/>
        <v>2146.8729999999996</v>
      </c>
      <c r="N35" s="612">
        <f t="shared" si="15"/>
        <v>2147.2249999999999</v>
      </c>
      <c r="O35" s="612">
        <f t="shared" si="15"/>
        <v>2190.2280000000001</v>
      </c>
      <c r="P35" s="612">
        <f t="shared" si="15"/>
        <v>2196.446148</v>
      </c>
      <c r="Q35" s="612">
        <f t="shared" ref="Q35:AC35" si="16">Q32-Q60</f>
        <v>2220.5607252</v>
      </c>
      <c r="R35" s="612">
        <f t="shared" si="16"/>
        <v>2239.803825142857</v>
      </c>
      <c r="S35" s="612">
        <f t="shared" si="16"/>
        <v>2288.6389891428571</v>
      </c>
      <c r="T35" s="612">
        <f t="shared" si="16"/>
        <v>2355.4599291428567</v>
      </c>
      <c r="U35" s="612">
        <f t="shared" si="16"/>
        <v>2395.2413139428572</v>
      </c>
      <c r="V35" s="366">
        <f t="shared" si="16"/>
        <v>2422.5121371428568</v>
      </c>
      <c r="W35" s="366">
        <f t="shared" si="16"/>
        <v>2511.4689131428572</v>
      </c>
      <c r="X35" s="366">
        <f t="shared" si="16"/>
        <v>2537.2799131428574</v>
      </c>
      <c r="Y35" s="454">
        <f t="shared" si="16"/>
        <v>2581.9729131428571</v>
      </c>
      <c r="Z35" s="454">
        <f t="shared" si="16"/>
        <v>2602.8497481428572</v>
      </c>
      <c r="AA35" s="454">
        <f t="shared" si="16"/>
        <v>2622.6205271428571</v>
      </c>
      <c r="AB35" s="454">
        <f t="shared" si="16"/>
        <v>2648.0125314428574</v>
      </c>
      <c r="AC35" s="454">
        <f t="shared" si="16"/>
        <v>2731.3788601428573</v>
      </c>
      <c r="AD35" s="454"/>
      <c r="AE35" s="454"/>
      <c r="AF35" s="454"/>
      <c r="AG35" s="454"/>
      <c r="AH35" s="454"/>
      <c r="AI35" s="454"/>
      <c r="AJ35" s="454"/>
      <c r="AK35" s="454"/>
      <c r="AL35" s="454"/>
      <c r="AM35" s="454"/>
      <c r="AN35" s="454"/>
      <c r="AO35" s="268" t="s">
        <v>360</v>
      </c>
    </row>
    <row r="36" spans="2:63" x14ac:dyDescent="0.35">
      <c r="B36" s="44"/>
      <c r="C36" s="44"/>
      <c r="D36" s="44"/>
      <c r="E36" s="44"/>
      <c r="F36" s="44"/>
      <c r="G36" s="44"/>
      <c r="H36" s="44"/>
      <c r="I36" s="44"/>
      <c r="J36" s="44"/>
      <c r="K36" s="44"/>
      <c r="L36" s="44"/>
      <c r="M36" s="119"/>
      <c r="N36" s="119"/>
      <c r="O36" s="119"/>
      <c r="P36" s="119"/>
      <c r="Q36" s="119"/>
      <c r="R36" s="119"/>
      <c r="S36" s="119"/>
      <c r="T36" s="119"/>
      <c r="U36" s="119"/>
      <c r="V36" s="119"/>
      <c r="W36" s="119"/>
      <c r="X36" s="119"/>
      <c r="Y36" s="119"/>
      <c r="Z36" s="77"/>
      <c r="AA36" s="77"/>
      <c r="AB36" s="77"/>
      <c r="AC36" s="77"/>
      <c r="AD36" s="77"/>
      <c r="AE36" s="77"/>
      <c r="AF36" s="77"/>
      <c r="AG36" s="77"/>
      <c r="AH36" s="77"/>
      <c r="AI36" s="77"/>
    </row>
    <row r="37" spans="2:63" ht="85.4" customHeight="1" x14ac:dyDescent="0.35">
      <c r="B37" s="583" t="s">
        <v>838</v>
      </c>
      <c r="C37" s="584" t="s">
        <v>837</v>
      </c>
      <c r="D37" s="551">
        <v>44197</v>
      </c>
      <c r="E37" s="552">
        <v>44228</v>
      </c>
      <c r="F37" s="551">
        <v>44256</v>
      </c>
      <c r="G37" s="551">
        <v>44287</v>
      </c>
      <c r="H37" s="551">
        <v>44317</v>
      </c>
      <c r="I37" s="551">
        <v>44348</v>
      </c>
      <c r="J37" s="551">
        <v>44378</v>
      </c>
      <c r="K37" s="552">
        <v>44409</v>
      </c>
      <c r="L37" s="551">
        <v>44440</v>
      </c>
      <c r="M37" s="551">
        <v>44470</v>
      </c>
      <c r="N37" s="551">
        <v>44501</v>
      </c>
      <c r="O37" s="551">
        <v>44531</v>
      </c>
      <c r="P37" s="551">
        <v>44562</v>
      </c>
      <c r="Q37" s="552">
        <v>44593</v>
      </c>
      <c r="R37" s="551">
        <v>44621</v>
      </c>
      <c r="S37" s="551">
        <v>44652</v>
      </c>
      <c r="T37" s="551">
        <v>44682</v>
      </c>
      <c r="U37" s="551">
        <v>44713</v>
      </c>
      <c r="V37" s="551">
        <v>44743</v>
      </c>
      <c r="W37" s="551">
        <v>44774</v>
      </c>
      <c r="X37" s="551">
        <v>44805</v>
      </c>
      <c r="Y37" s="551">
        <v>44835</v>
      </c>
      <c r="Z37" s="551">
        <v>44866</v>
      </c>
      <c r="AA37" s="551">
        <v>44896</v>
      </c>
      <c r="AB37" s="551">
        <v>44927</v>
      </c>
      <c r="AC37" s="551">
        <v>44958</v>
      </c>
      <c r="AD37" s="551">
        <v>44986</v>
      </c>
      <c r="AE37" s="551">
        <v>45017</v>
      </c>
      <c r="AF37" s="551">
        <v>45047</v>
      </c>
      <c r="AG37" s="551">
        <v>45078</v>
      </c>
      <c r="AH37" s="551">
        <v>45108</v>
      </c>
      <c r="AI37" s="551">
        <v>45139</v>
      </c>
      <c r="AJ37" s="551">
        <v>45170</v>
      </c>
      <c r="AK37" s="551">
        <v>45200</v>
      </c>
      <c r="AL37" s="551">
        <v>45231</v>
      </c>
      <c r="AM37" s="551">
        <v>45261</v>
      </c>
      <c r="AN37" s="551">
        <v>45292</v>
      </c>
      <c r="AO37" s="551">
        <v>45323</v>
      </c>
      <c r="AP37" s="551">
        <v>45352</v>
      </c>
      <c r="AQ37" s="551">
        <v>45383</v>
      </c>
      <c r="AR37" s="551">
        <v>45413</v>
      </c>
      <c r="AS37" s="551">
        <v>45444</v>
      </c>
      <c r="AT37" s="551">
        <v>45474</v>
      </c>
      <c r="AU37" s="551">
        <v>45505</v>
      </c>
      <c r="AV37" s="551">
        <v>45536</v>
      </c>
      <c r="AW37" s="551">
        <v>45566</v>
      </c>
      <c r="AX37" s="551">
        <v>45597</v>
      </c>
      <c r="AY37" s="551">
        <v>45627</v>
      </c>
      <c r="AZ37" s="551">
        <v>45658</v>
      </c>
      <c r="BA37" s="551">
        <v>45689</v>
      </c>
      <c r="BB37" s="551">
        <v>45717</v>
      </c>
      <c r="BC37" s="551">
        <v>45748</v>
      </c>
    </row>
    <row r="38" spans="2:63" ht="19.5" customHeight="1" x14ac:dyDescent="0.35">
      <c r="B38" s="463" t="s">
        <v>361</v>
      </c>
      <c r="C38" s="578" t="s">
        <v>1852</v>
      </c>
      <c r="D38" s="548">
        <v>5150</v>
      </c>
      <c r="E38" s="72">
        <v>5154</v>
      </c>
      <c r="F38" s="72">
        <v>5192</v>
      </c>
      <c r="G38" s="72">
        <v>5187</v>
      </c>
      <c r="H38" s="72">
        <v>5174</v>
      </c>
      <c r="I38" s="72">
        <v>5199</v>
      </c>
      <c r="J38" s="72">
        <v>5177</v>
      </c>
      <c r="K38" s="72">
        <v>5155</v>
      </c>
      <c r="L38" s="72">
        <v>5139</v>
      </c>
      <c r="M38" s="72">
        <v>5132</v>
      </c>
      <c r="N38" s="72">
        <v>5121</v>
      </c>
      <c r="O38" s="72">
        <v>5122</v>
      </c>
      <c r="P38" s="72">
        <v>5087</v>
      </c>
      <c r="Q38" s="72">
        <v>5070</v>
      </c>
      <c r="R38" s="72">
        <v>5057</v>
      </c>
      <c r="S38" s="72">
        <v>5075</v>
      </c>
      <c r="T38" s="72">
        <v>5095</v>
      </c>
      <c r="U38" s="72">
        <v>5104</v>
      </c>
      <c r="V38" s="72">
        <v>5140</v>
      </c>
      <c r="W38" s="72">
        <v>5146</v>
      </c>
      <c r="X38" s="72">
        <v>5148</v>
      </c>
      <c r="Y38" s="72">
        <v>5139</v>
      </c>
      <c r="Z38" s="72">
        <v>5162</v>
      </c>
      <c r="AA38" s="72">
        <v>5136</v>
      </c>
      <c r="AB38" s="72">
        <v>5199</v>
      </c>
      <c r="AC38" s="72">
        <v>5219</v>
      </c>
      <c r="AD38" s="72">
        <v>5235</v>
      </c>
      <c r="AE38" s="72">
        <v>5251</v>
      </c>
      <c r="AF38" s="72">
        <v>5272</v>
      </c>
      <c r="AG38" s="72">
        <v>5294</v>
      </c>
      <c r="AH38" s="72">
        <v>5303</v>
      </c>
      <c r="AI38" s="72">
        <v>5324</v>
      </c>
      <c r="AJ38" s="72">
        <v>5337</v>
      </c>
      <c r="AK38" s="72">
        <v>5359</v>
      </c>
      <c r="AL38" s="72">
        <v>5366</v>
      </c>
      <c r="AM38" s="72">
        <v>5378</v>
      </c>
      <c r="AN38" s="72">
        <v>5390</v>
      </c>
      <c r="AO38" s="72">
        <v>5404</v>
      </c>
      <c r="AP38" s="72">
        <v>5414</v>
      </c>
      <c r="AQ38" s="72">
        <v>5418</v>
      </c>
      <c r="AR38" s="72">
        <v>5420</v>
      </c>
      <c r="AS38" s="72">
        <v>5429</v>
      </c>
      <c r="AT38" s="72">
        <v>5444</v>
      </c>
      <c r="AU38" s="72">
        <v>5453</v>
      </c>
      <c r="AV38" s="72">
        <v>5468</v>
      </c>
      <c r="AW38" s="72">
        <v>5484</v>
      </c>
      <c r="AX38" s="72">
        <v>5493</v>
      </c>
      <c r="AY38" s="72">
        <v>5512</v>
      </c>
      <c r="AZ38" s="72">
        <v>5524</v>
      </c>
      <c r="BA38" s="72">
        <v>5514</v>
      </c>
      <c r="BB38" s="72">
        <v>5516</v>
      </c>
      <c r="BC38" s="555">
        <v>5522</v>
      </c>
    </row>
    <row r="39" spans="2:63" ht="18" customHeight="1" x14ac:dyDescent="0.35">
      <c r="B39" s="374" t="s">
        <v>362</v>
      </c>
      <c r="C39" s="120" t="s">
        <v>1913</v>
      </c>
      <c r="D39" s="61">
        <v>13743</v>
      </c>
      <c r="E39" s="63">
        <v>13728</v>
      </c>
      <c r="F39" s="63">
        <v>13779</v>
      </c>
      <c r="G39" s="63">
        <v>13827</v>
      </c>
      <c r="H39" s="63">
        <v>13849</v>
      </c>
      <c r="I39" s="63">
        <v>13917</v>
      </c>
      <c r="J39" s="63">
        <v>13990</v>
      </c>
      <c r="K39" s="63">
        <v>14057</v>
      </c>
      <c r="L39" s="63">
        <v>14055</v>
      </c>
      <c r="M39" s="63">
        <v>14035</v>
      </c>
      <c r="N39" s="63">
        <v>14035</v>
      </c>
      <c r="O39" s="63">
        <v>14071</v>
      </c>
      <c r="P39" s="63">
        <v>14091</v>
      </c>
      <c r="Q39" s="63">
        <v>14097</v>
      </c>
      <c r="R39" s="63">
        <v>14116</v>
      </c>
      <c r="S39" s="63">
        <v>14137</v>
      </c>
      <c r="T39" s="63">
        <v>14145</v>
      </c>
      <c r="U39" s="63">
        <v>14168</v>
      </c>
      <c r="V39" s="63">
        <v>14280</v>
      </c>
      <c r="W39" s="63">
        <v>14264</v>
      </c>
      <c r="X39" s="63">
        <v>14269</v>
      </c>
      <c r="Y39" s="63">
        <v>14301</v>
      </c>
      <c r="Z39" s="63">
        <v>14337</v>
      </c>
      <c r="AA39" s="63">
        <v>14364</v>
      </c>
      <c r="AB39" s="63">
        <v>14411</v>
      </c>
      <c r="AC39" s="63">
        <v>14439</v>
      </c>
      <c r="AD39" s="63">
        <v>14453</v>
      </c>
      <c r="AE39" s="63">
        <v>14478</v>
      </c>
      <c r="AF39" s="63">
        <v>14509</v>
      </c>
      <c r="AG39" s="63">
        <v>14565</v>
      </c>
      <c r="AH39" s="63">
        <v>14589</v>
      </c>
      <c r="AI39" s="63">
        <v>14603</v>
      </c>
      <c r="AJ39" s="63">
        <v>14653</v>
      </c>
      <c r="AK39" s="63">
        <v>14693</v>
      </c>
      <c r="AL39" s="63">
        <v>14728</v>
      </c>
      <c r="AM39" s="63">
        <v>14763</v>
      </c>
      <c r="AN39" s="63">
        <v>14786</v>
      </c>
      <c r="AO39" s="63">
        <v>14835</v>
      </c>
      <c r="AP39" s="63">
        <v>14890</v>
      </c>
      <c r="AQ39" s="63">
        <v>14877</v>
      </c>
      <c r="AR39" s="63">
        <v>14905</v>
      </c>
      <c r="AS39" s="63">
        <v>14915</v>
      </c>
      <c r="AT39" s="63">
        <v>14946</v>
      </c>
      <c r="AU39" s="63">
        <v>14973</v>
      </c>
      <c r="AV39" s="63">
        <v>14986</v>
      </c>
      <c r="AW39" s="63">
        <v>15012</v>
      </c>
      <c r="AX39" s="63">
        <v>15022</v>
      </c>
      <c r="AY39" s="63">
        <v>15036</v>
      </c>
      <c r="AZ39" s="63">
        <v>15053</v>
      </c>
      <c r="BA39" s="63">
        <v>15071</v>
      </c>
      <c r="BB39" s="63">
        <v>15088</v>
      </c>
      <c r="BC39" s="556">
        <v>15101</v>
      </c>
    </row>
    <row r="40" spans="2:63" ht="18" customHeight="1" x14ac:dyDescent="0.35">
      <c r="B40" s="374" t="s">
        <v>2018</v>
      </c>
      <c r="C40" s="268"/>
      <c r="D40" s="557">
        <f t="shared" ref="D40:U40" si="17">D38+D39</f>
        <v>18893</v>
      </c>
      <c r="E40" s="553">
        <f t="shared" si="17"/>
        <v>18882</v>
      </c>
      <c r="F40" s="553">
        <f t="shared" si="17"/>
        <v>18971</v>
      </c>
      <c r="G40" s="553">
        <f t="shared" si="17"/>
        <v>19014</v>
      </c>
      <c r="H40" s="553">
        <f t="shared" si="17"/>
        <v>19023</v>
      </c>
      <c r="I40" s="553">
        <f t="shared" si="17"/>
        <v>19116</v>
      </c>
      <c r="J40" s="553">
        <f t="shared" si="17"/>
        <v>19167</v>
      </c>
      <c r="K40" s="553">
        <f t="shared" si="17"/>
        <v>19212</v>
      </c>
      <c r="L40" s="553">
        <f t="shared" si="17"/>
        <v>19194</v>
      </c>
      <c r="M40" s="553">
        <f t="shared" si="17"/>
        <v>19167</v>
      </c>
      <c r="N40" s="553">
        <f t="shared" si="17"/>
        <v>19156</v>
      </c>
      <c r="O40" s="553">
        <f t="shared" si="17"/>
        <v>19193</v>
      </c>
      <c r="P40" s="553">
        <f t="shared" si="17"/>
        <v>19178</v>
      </c>
      <c r="Q40" s="553">
        <f t="shared" si="17"/>
        <v>19167</v>
      </c>
      <c r="R40" s="553">
        <f t="shared" si="17"/>
        <v>19173</v>
      </c>
      <c r="S40" s="553">
        <f t="shared" si="17"/>
        <v>19212</v>
      </c>
      <c r="T40" s="553">
        <f t="shared" si="17"/>
        <v>19240</v>
      </c>
      <c r="U40" s="553">
        <f t="shared" si="17"/>
        <v>19272</v>
      </c>
      <c r="V40" s="553">
        <f>V38+V39</f>
        <v>19420</v>
      </c>
      <c r="W40" s="553">
        <f t="shared" ref="W40:AR40" si="18">W38+W39</f>
        <v>19410</v>
      </c>
      <c r="X40" s="553">
        <f t="shared" si="18"/>
        <v>19417</v>
      </c>
      <c r="Y40" s="553">
        <f t="shared" si="18"/>
        <v>19440</v>
      </c>
      <c r="Z40" s="553">
        <f t="shared" si="18"/>
        <v>19499</v>
      </c>
      <c r="AA40" s="553">
        <f t="shared" si="18"/>
        <v>19500</v>
      </c>
      <c r="AB40" s="553">
        <f t="shared" si="18"/>
        <v>19610</v>
      </c>
      <c r="AC40" s="553">
        <f t="shared" si="18"/>
        <v>19658</v>
      </c>
      <c r="AD40" s="553">
        <f t="shared" si="18"/>
        <v>19688</v>
      </c>
      <c r="AE40" s="553">
        <f t="shared" si="18"/>
        <v>19729</v>
      </c>
      <c r="AF40" s="553">
        <f t="shared" si="18"/>
        <v>19781</v>
      </c>
      <c r="AG40" s="553">
        <f t="shared" si="18"/>
        <v>19859</v>
      </c>
      <c r="AH40" s="553">
        <f t="shared" si="18"/>
        <v>19892</v>
      </c>
      <c r="AI40" s="553">
        <f t="shared" si="18"/>
        <v>19927</v>
      </c>
      <c r="AJ40" s="553">
        <f t="shared" si="18"/>
        <v>19990</v>
      </c>
      <c r="AK40" s="553">
        <f t="shared" si="18"/>
        <v>20052</v>
      </c>
      <c r="AL40" s="553">
        <f t="shared" si="18"/>
        <v>20094</v>
      </c>
      <c r="AM40" s="553">
        <f t="shared" si="18"/>
        <v>20141</v>
      </c>
      <c r="AN40" s="553">
        <f t="shared" si="18"/>
        <v>20176</v>
      </c>
      <c r="AO40" s="553">
        <f t="shared" si="18"/>
        <v>20239</v>
      </c>
      <c r="AP40" s="553">
        <f t="shared" si="18"/>
        <v>20304</v>
      </c>
      <c r="AQ40" s="553">
        <f t="shared" si="18"/>
        <v>20295</v>
      </c>
      <c r="AR40" s="553">
        <f t="shared" si="18"/>
        <v>20325</v>
      </c>
      <c r="AS40" s="553">
        <f t="shared" ref="AS40:BC40" si="19">AS38+AS39</f>
        <v>20344</v>
      </c>
      <c r="AT40" s="553">
        <f t="shared" si="19"/>
        <v>20390</v>
      </c>
      <c r="AU40" s="553">
        <f t="shared" si="19"/>
        <v>20426</v>
      </c>
      <c r="AV40" s="553">
        <f t="shared" si="19"/>
        <v>20454</v>
      </c>
      <c r="AW40" s="553">
        <f t="shared" si="19"/>
        <v>20496</v>
      </c>
      <c r="AX40" s="553">
        <f t="shared" si="19"/>
        <v>20515</v>
      </c>
      <c r="AY40" s="553">
        <f>AY38+AY39</f>
        <v>20548</v>
      </c>
      <c r="AZ40" s="553">
        <f t="shared" si="19"/>
        <v>20577</v>
      </c>
      <c r="BA40" s="553">
        <f t="shared" si="19"/>
        <v>20585</v>
      </c>
      <c r="BB40" s="553">
        <f t="shared" si="19"/>
        <v>20604</v>
      </c>
      <c r="BC40" s="558">
        <f t="shared" si="19"/>
        <v>20623</v>
      </c>
    </row>
    <row r="41" spans="2:63" ht="19.5" customHeight="1" x14ac:dyDescent="0.35">
      <c r="B41" s="607" t="s">
        <v>364</v>
      </c>
      <c r="C41" s="468" t="s">
        <v>365</v>
      </c>
      <c r="D41" s="547">
        <v>345102</v>
      </c>
      <c r="E41" s="576">
        <v>335151</v>
      </c>
      <c r="F41" s="576">
        <v>336955</v>
      </c>
      <c r="G41" s="576">
        <v>335574</v>
      </c>
      <c r="H41" s="576">
        <v>338521</v>
      </c>
      <c r="I41" s="576">
        <v>329746</v>
      </c>
      <c r="J41" s="576">
        <v>328919</v>
      </c>
      <c r="K41" s="576">
        <v>333989</v>
      </c>
      <c r="L41" s="576">
        <v>326840</v>
      </c>
      <c r="M41" s="576">
        <v>327373</v>
      </c>
      <c r="N41" s="576">
        <v>331380</v>
      </c>
      <c r="O41" s="576">
        <v>331492</v>
      </c>
      <c r="P41" s="576">
        <v>334244</v>
      </c>
      <c r="Q41" s="576">
        <v>338416</v>
      </c>
      <c r="R41" s="576">
        <v>339417</v>
      </c>
      <c r="S41" s="576">
        <v>345062</v>
      </c>
      <c r="T41" s="576">
        <v>339178</v>
      </c>
      <c r="U41" s="576">
        <v>342484</v>
      </c>
      <c r="V41" s="576">
        <v>350972</v>
      </c>
      <c r="W41" s="576">
        <v>350286</v>
      </c>
      <c r="X41" s="576">
        <v>355116</v>
      </c>
      <c r="Y41" s="576">
        <v>354474</v>
      </c>
      <c r="Z41" s="576">
        <v>359543</v>
      </c>
      <c r="AA41" s="576">
        <v>361033</v>
      </c>
      <c r="AB41" s="576">
        <v>364867</v>
      </c>
      <c r="AC41" s="576">
        <v>371673</v>
      </c>
      <c r="AD41" s="576">
        <v>374555</v>
      </c>
      <c r="AE41" s="576">
        <v>382073</v>
      </c>
      <c r="AF41" s="576">
        <v>388978</v>
      </c>
      <c r="AG41" s="576">
        <v>396538</v>
      </c>
      <c r="AH41" s="576">
        <v>404059</v>
      </c>
      <c r="AI41" s="576">
        <v>407847</v>
      </c>
      <c r="AJ41" s="576">
        <v>418897</v>
      </c>
      <c r="AK41" s="575">
        <v>432334</v>
      </c>
      <c r="AL41" s="576">
        <v>440095</v>
      </c>
      <c r="AM41" s="576">
        <v>446894</v>
      </c>
      <c r="AN41" s="576">
        <v>445408</v>
      </c>
      <c r="AO41" s="575">
        <v>448458</v>
      </c>
      <c r="AP41" s="576">
        <v>453062</v>
      </c>
      <c r="AQ41" s="575">
        <v>451154</v>
      </c>
      <c r="AR41" s="575"/>
      <c r="AS41" s="577"/>
      <c r="AT41" s="577"/>
      <c r="AU41" s="577"/>
      <c r="AV41" s="577"/>
      <c r="AW41" s="577"/>
      <c r="AX41" s="577"/>
      <c r="AY41" s="577"/>
      <c r="AZ41" s="577"/>
      <c r="BA41" s="575"/>
      <c r="BB41" s="575"/>
      <c r="BC41" s="559"/>
    </row>
    <row r="42" spans="2:63" ht="15.65" customHeight="1" x14ac:dyDescent="0.35">
      <c r="B42" s="380"/>
      <c r="C42" s="375"/>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c r="AH42" s="63"/>
      <c r="AI42" s="63"/>
      <c r="AJ42" s="63"/>
      <c r="AK42" s="63"/>
      <c r="AL42" s="63"/>
      <c r="AM42" s="63"/>
      <c r="AN42" s="63"/>
      <c r="AO42" s="63"/>
      <c r="AP42" s="63"/>
      <c r="AQ42" s="63"/>
      <c r="AS42" s="63"/>
      <c r="AT42" s="63"/>
      <c r="AU42" s="63"/>
      <c r="AV42" s="63"/>
      <c r="AW42" s="63"/>
      <c r="AX42" s="63"/>
      <c r="AY42" s="63"/>
      <c r="AZ42" s="63"/>
    </row>
    <row r="43" spans="2:63" ht="15.65" customHeight="1" x14ac:dyDescent="0.35">
      <c r="B43" s="561" t="s">
        <v>2019</v>
      </c>
      <c r="C43" s="562" t="s">
        <v>837</v>
      </c>
      <c r="D43" s="568" t="s">
        <v>1081</v>
      </c>
      <c r="E43" s="568" t="s">
        <v>1082</v>
      </c>
      <c r="F43" s="568" t="s">
        <v>1083</v>
      </c>
      <c r="G43" s="568" t="s">
        <v>1084</v>
      </c>
      <c r="H43" s="568" t="s">
        <v>1085</v>
      </c>
      <c r="I43" s="568" t="s">
        <v>1086</v>
      </c>
      <c r="J43" s="568" t="s">
        <v>235</v>
      </c>
      <c r="K43" s="568" t="s">
        <v>236</v>
      </c>
      <c r="L43" s="568" t="s">
        <v>237</v>
      </c>
      <c r="M43" s="568" t="s">
        <v>238</v>
      </c>
      <c r="N43" s="568" t="s">
        <v>168</v>
      </c>
      <c r="O43" s="568" t="s">
        <v>169</v>
      </c>
      <c r="P43" s="568" t="s">
        <v>170</v>
      </c>
      <c r="Q43" s="568" t="s">
        <v>171</v>
      </c>
      <c r="R43" s="568" t="s">
        <v>172</v>
      </c>
      <c r="S43" s="568" t="s">
        <v>173</v>
      </c>
      <c r="T43" s="568" t="s">
        <v>174</v>
      </c>
      <c r="U43" s="568" t="s">
        <v>175</v>
      </c>
      <c r="V43" s="568" t="s">
        <v>176</v>
      </c>
      <c r="W43" s="568" t="s">
        <v>177</v>
      </c>
      <c r="X43" s="568" t="s">
        <v>178</v>
      </c>
      <c r="Y43" s="568" t="s">
        <v>179</v>
      </c>
      <c r="Z43" s="568" t="s">
        <v>163</v>
      </c>
      <c r="AA43" s="568" t="s">
        <v>164</v>
      </c>
      <c r="AB43" s="568" t="s">
        <v>165</v>
      </c>
      <c r="AC43" s="568" t="s">
        <v>730</v>
      </c>
      <c r="AD43" s="560"/>
      <c r="AE43" s="560"/>
      <c r="AF43" s="560"/>
      <c r="AG43" s="560"/>
      <c r="AH43" s="560"/>
      <c r="AI43" s="560"/>
      <c r="AJ43" s="560"/>
      <c r="AK43" s="560"/>
      <c r="AL43" s="560"/>
      <c r="AM43" s="560"/>
      <c r="AN43" s="560"/>
      <c r="AO43" s="560"/>
      <c r="AP43" s="560"/>
      <c r="AQ43" s="560"/>
      <c r="AR43" s="560"/>
      <c r="AS43" s="560"/>
      <c r="AT43" s="560"/>
      <c r="AU43" s="560"/>
      <c r="AV43" s="560"/>
      <c r="AW43" s="560"/>
      <c r="AX43" s="560"/>
      <c r="AY43" s="560"/>
      <c r="AZ43" s="560"/>
      <c r="BA43" s="560"/>
      <c r="BB43" s="560"/>
      <c r="BC43" s="560"/>
      <c r="BD43" s="560"/>
      <c r="BE43" s="560"/>
      <c r="BF43" s="560"/>
      <c r="BG43" s="560"/>
      <c r="BH43" s="560"/>
      <c r="BI43" s="560"/>
      <c r="BJ43" s="560"/>
      <c r="BK43" s="560"/>
    </row>
    <row r="44" spans="2:63" ht="15.65" customHeight="1" x14ac:dyDescent="0.35">
      <c r="B44" s="463" t="s">
        <v>361</v>
      </c>
      <c r="C44" s="578" t="s">
        <v>1852</v>
      </c>
      <c r="D44" s="566">
        <f>'Haver Pivoted'!GP72</f>
        <v>5182</v>
      </c>
      <c r="E44" s="566">
        <f>'Haver Pivoted'!GQ72</f>
        <v>5170.6666666666697</v>
      </c>
      <c r="F44" s="566">
        <f>'Haver Pivoted'!GR72</f>
        <v>5207.6666666666697</v>
      </c>
      <c r="G44" s="566">
        <f>'Haver Pivoted'!GS72</f>
        <v>5246</v>
      </c>
      <c r="H44" s="566">
        <f>'Haver Pivoted'!GT72</f>
        <v>5277.6666666666697</v>
      </c>
      <c r="I44" s="566">
        <f>'Haver Pivoted'!GU72</f>
        <v>5080.3333333333303</v>
      </c>
      <c r="J44" s="566">
        <f>'Haver Pivoted'!GV72</f>
        <v>5097</v>
      </c>
      <c r="K44" s="566">
        <f>'Haver Pivoted'!GW72</f>
        <v>5077</v>
      </c>
      <c r="L44" s="566">
        <f>'Haver Pivoted'!GX72</f>
        <v>5160.3333333333303</v>
      </c>
      <c r="M44" s="566">
        <f>'Haver Pivoted'!GY72</f>
        <v>5185</v>
      </c>
      <c r="N44" s="566">
        <f>'Haver Pivoted'!GZ72</f>
        <v>5156.6666666666697</v>
      </c>
      <c r="O44" s="566">
        <f>'Haver Pivoted'!HA72</f>
        <v>5125.6666666666697</v>
      </c>
      <c r="P44" s="566">
        <f>'Haver Pivoted'!HB72</f>
        <v>5070</v>
      </c>
      <c r="Q44" s="566">
        <f>'Haver Pivoted'!HC72</f>
        <v>5091.6666666666697</v>
      </c>
      <c r="R44" s="566">
        <f>'Haver Pivoted'!HD72</f>
        <v>5143.3333333333303</v>
      </c>
      <c r="S44" s="566">
        <f>'Haver Pivoted'!HE72</f>
        <v>5145.3333333333303</v>
      </c>
      <c r="T44" s="566">
        <f>'Haver Pivoted'!HF72</f>
        <v>5216.3333333333303</v>
      </c>
      <c r="U44" s="566">
        <f>'Haver Pivoted'!HG72</f>
        <v>5275</v>
      </c>
      <c r="V44" s="566">
        <f>'Haver Pivoted'!HH72</f>
        <v>5318.3333333333303</v>
      </c>
      <c r="W44" s="566">
        <f>'Haver Pivoted'!HI72</f>
        <v>5365.3333333333303</v>
      </c>
      <c r="X44" s="566">
        <f>'Haver Pivoted'!HJ72</f>
        <v>5402</v>
      </c>
      <c r="Y44" s="566">
        <f>'Haver Pivoted'!HK72</f>
        <v>5421.3333333333303</v>
      </c>
      <c r="Z44" s="566">
        <f>'Haver Pivoted'!HL72</f>
        <v>5463.3333333333303</v>
      </c>
      <c r="AA44" s="566">
        <f>'Haver Pivoted'!HM72</f>
        <v>5503</v>
      </c>
      <c r="AB44" s="566">
        <f>'Haver Pivoted'!HN72</f>
        <v>5524.3333333333303</v>
      </c>
      <c r="AC44" s="566">
        <f>'Haver Pivoted'!HO72</f>
        <v>5517.6666666666697</v>
      </c>
      <c r="AD44" s="63"/>
      <c r="AE44" s="63"/>
      <c r="AF44" s="63"/>
      <c r="AG44" s="63"/>
      <c r="AH44" s="63"/>
      <c r="AI44" s="63"/>
      <c r="AJ44" s="63"/>
      <c r="AK44" s="63"/>
      <c r="AL44" s="63"/>
      <c r="AM44" s="63"/>
      <c r="AN44" s="63"/>
      <c r="AO44" s="63"/>
      <c r="AP44" s="63"/>
      <c r="AQ44" s="63"/>
      <c r="AR44" s="63"/>
      <c r="AS44" s="63"/>
      <c r="AT44" s="63"/>
      <c r="AU44" s="63"/>
      <c r="AV44" s="63"/>
      <c r="AW44" s="63"/>
      <c r="AX44" s="63"/>
      <c r="AY44" s="63"/>
      <c r="AZ44" s="63"/>
      <c r="BA44" s="63"/>
      <c r="BB44" s="63"/>
      <c r="BC44" s="63"/>
      <c r="BD44" s="63"/>
      <c r="BE44" s="63"/>
      <c r="BF44" s="63"/>
      <c r="BG44" s="63"/>
      <c r="BH44" s="63"/>
      <c r="BI44" s="63"/>
      <c r="BJ44" s="63"/>
      <c r="BK44" s="63"/>
    </row>
    <row r="45" spans="2:63" ht="15.65" customHeight="1" x14ac:dyDescent="0.35">
      <c r="B45" s="374" t="s">
        <v>362</v>
      </c>
      <c r="C45" s="120" t="s">
        <v>1913</v>
      </c>
      <c r="D45" s="566">
        <f>'Haver Pivoted'!GP73</f>
        <v>14542.333333333299</v>
      </c>
      <c r="E45" s="566">
        <f>'Haver Pivoted'!GQ73</f>
        <v>14594.666666666701</v>
      </c>
      <c r="F45" s="566">
        <f>'Haver Pivoted'!GR73</f>
        <v>14564</v>
      </c>
      <c r="G45" s="566">
        <f>'Haver Pivoted'!GS73</f>
        <v>14617</v>
      </c>
      <c r="H45" s="566">
        <f>'Haver Pivoted'!GT73</f>
        <v>14681.333333333299</v>
      </c>
      <c r="I45" s="566">
        <f>'Haver Pivoted'!GU73</f>
        <v>13613</v>
      </c>
      <c r="J45" s="566">
        <f>'Haver Pivoted'!GV73</f>
        <v>13655</v>
      </c>
      <c r="K45" s="566">
        <f>'Haver Pivoted'!GW73</f>
        <v>13721.666666666701</v>
      </c>
      <c r="L45" s="566">
        <f>'Haver Pivoted'!GX73</f>
        <v>13735.333333333299</v>
      </c>
      <c r="M45" s="566">
        <f>'Haver Pivoted'!GY73</f>
        <v>13877</v>
      </c>
      <c r="N45" s="566">
        <f>'Haver Pivoted'!GZ73</f>
        <v>14046.666666666701</v>
      </c>
      <c r="O45" s="566">
        <f>'Haver Pivoted'!HA73</f>
        <v>14036.333333333299</v>
      </c>
      <c r="P45" s="566">
        <f>'Haver Pivoted'!HB73</f>
        <v>14094.666666666701</v>
      </c>
      <c r="Q45" s="566">
        <f>'Haver Pivoted'!HC73</f>
        <v>14160</v>
      </c>
      <c r="R45" s="566">
        <f>'Haver Pivoted'!HD73</f>
        <v>14297</v>
      </c>
      <c r="S45" s="566">
        <f>'Haver Pivoted'!HE73</f>
        <v>14326.666666666701</v>
      </c>
      <c r="T45" s="566">
        <f>'Haver Pivoted'!HF73</f>
        <v>14431</v>
      </c>
      <c r="U45" s="566">
        <f>'Haver Pivoted'!HG73</f>
        <v>14529</v>
      </c>
      <c r="V45" s="566">
        <f>'Haver Pivoted'!HH73</f>
        <v>14636.666666666701</v>
      </c>
      <c r="W45" s="566">
        <f>'Haver Pivoted'!HI73</f>
        <v>14714.666666666701</v>
      </c>
      <c r="X45" s="566">
        <f>'Haver Pivoted'!HJ73</f>
        <v>14833.666666666701</v>
      </c>
      <c r="Y45" s="566">
        <f>'Haver Pivoted'!HK73</f>
        <v>14901.333333333299</v>
      </c>
      <c r="Z45" s="566">
        <f>'Haver Pivoted'!HL73</f>
        <v>14955</v>
      </c>
      <c r="AA45" s="566">
        <f>'Haver Pivoted'!HM73</f>
        <v>14993</v>
      </c>
      <c r="AB45" s="566">
        <f>'Haver Pivoted'!HN73</f>
        <v>15035.666666666701</v>
      </c>
      <c r="AC45" s="566">
        <f>'Haver Pivoted'!HO73</f>
        <v>15096.666666666701</v>
      </c>
      <c r="AD45" s="63"/>
      <c r="AE45" s="63"/>
      <c r="AF45" s="63"/>
      <c r="AG45" s="63"/>
      <c r="AH45" s="63"/>
      <c r="AI45" s="63"/>
      <c r="AJ45" s="63"/>
      <c r="AK45" s="63"/>
      <c r="AL45" s="63"/>
      <c r="AM45" s="63"/>
      <c r="AN45" s="63"/>
      <c r="AO45" s="63"/>
      <c r="AP45" s="63"/>
      <c r="AQ45" s="63"/>
      <c r="AR45" s="63"/>
      <c r="AS45" s="63"/>
      <c r="AT45" s="63"/>
      <c r="AU45" s="63"/>
      <c r="AV45" s="63"/>
      <c r="AW45" s="63"/>
      <c r="AX45" s="63"/>
      <c r="AY45" s="63"/>
      <c r="AZ45" s="63"/>
      <c r="BA45" s="63"/>
      <c r="BB45" s="63"/>
      <c r="BC45" s="63"/>
      <c r="BD45" s="63"/>
      <c r="BE45" s="63"/>
      <c r="BF45" s="63"/>
      <c r="BG45" s="63"/>
      <c r="BH45" s="63"/>
      <c r="BI45" s="63"/>
      <c r="BJ45" s="63"/>
      <c r="BK45" s="63"/>
    </row>
    <row r="46" spans="2:63" ht="15.65" customHeight="1" x14ac:dyDescent="0.35">
      <c r="B46" s="563" t="s">
        <v>2018</v>
      </c>
      <c r="C46" s="405"/>
      <c r="D46" s="564">
        <f t="shared" ref="D46:M46" si="20">D44+D45</f>
        <v>19724.333333333299</v>
      </c>
      <c r="E46" s="564">
        <f t="shared" si="20"/>
        <v>19765.333333333372</v>
      </c>
      <c r="F46" s="564">
        <f t="shared" si="20"/>
        <v>19771.666666666672</v>
      </c>
      <c r="G46" s="564">
        <f t="shared" si="20"/>
        <v>19863</v>
      </c>
      <c r="H46" s="564">
        <f t="shared" si="20"/>
        <v>19958.999999999971</v>
      </c>
      <c r="I46" s="564">
        <f t="shared" si="20"/>
        <v>18693.333333333328</v>
      </c>
      <c r="J46" s="564">
        <f t="shared" si="20"/>
        <v>18752</v>
      </c>
      <c r="K46" s="564">
        <f t="shared" si="20"/>
        <v>18798.666666666701</v>
      </c>
      <c r="L46" s="564">
        <f t="shared" si="20"/>
        <v>18895.666666666628</v>
      </c>
      <c r="M46" s="564">
        <f t="shared" si="20"/>
        <v>19062</v>
      </c>
      <c r="N46" s="564">
        <f t="shared" ref="N46" si="21">N44+N45</f>
        <v>19203.333333333372</v>
      </c>
      <c r="O46" s="564">
        <f t="shared" ref="O46" si="22">O44+O45</f>
        <v>19161.999999999971</v>
      </c>
      <c r="P46" s="564">
        <f t="shared" ref="P46" si="23">P44+P45</f>
        <v>19164.666666666701</v>
      </c>
      <c r="Q46" s="564">
        <f t="shared" ref="Q46" si="24">Q44+Q45</f>
        <v>19251.666666666672</v>
      </c>
      <c r="R46" s="564">
        <f t="shared" ref="R46" si="25">R44+R45</f>
        <v>19440.333333333328</v>
      </c>
      <c r="S46" s="564">
        <f t="shared" ref="S46" si="26">S44+S45</f>
        <v>19472.000000000029</v>
      </c>
      <c r="T46" s="564">
        <f t="shared" ref="T46" si="27">T44+T45</f>
        <v>19647.333333333328</v>
      </c>
      <c r="U46" s="564">
        <f t="shared" ref="U46" si="28">U44+U45</f>
        <v>19804</v>
      </c>
      <c r="V46" s="564">
        <f t="shared" ref="V46" si="29">V44+V45</f>
        <v>19955.000000000029</v>
      </c>
      <c r="W46" s="564">
        <f t="shared" ref="W46" si="30">W44+W45</f>
        <v>20080.000000000029</v>
      </c>
      <c r="X46" s="564">
        <f t="shared" ref="X46" si="31">X44+X45</f>
        <v>20235.666666666701</v>
      </c>
      <c r="Y46" s="564">
        <f t="shared" ref="Y46" si="32">Y44+Y45</f>
        <v>20322.666666666628</v>
      </c>
      <c r="Z46" s="564">
        <f t="shared" ref="Z46" si="33">Z44+Z45</f>
        <v>20418.333333333328</v>
      </c>
      <c r="AA46" s="564">
        <f t="shared" ref="AA46" si="34">AA44+AA45</f>
        <v>20496</v>
      </c>
      <c r="AB46" s="564">
        <f t="shared" ref="AB46" si="35">AB44+AB45</f>
        <v>20560.000000000029</v>
      </c>
      <c r="AC46" s="565">
        <f>AC44+AC45</f>
        <v>20614.333333333372</v>
      </c>
      <c r="AD46" s="553"/>
      <c r="AE46" s="553"/>
      <c r="AF46" s="553"/>
      <c r="AG46" s="553"/>
      <c r="AH46" s="553"/>
      <c r="AI46" s="553"/>
      <c r="AJ46" s="553"/>
      <c r="AK46" s="553"/>
      <c r="AL46" s="553"/>
      <c r="AM46" s="553"/>
      <c r="AN46" s="553"/>
      <c r="AO46" s="553"/>
      <c r="AP46" s="553"/>
      <c r="AQ46" s="553"/>
      <c r="AR46" s="553"/>
      <c r="AS46" s="553"/>
      <c r="AT46" s="553"/>
      <c r="AU46" s="553"/>
      <c r="AV46" s="553"/>
      <c r="AW46" s="553"/>
      <c r="AX46" s="553"/>
      <c r="AY46" s="553"/>
      <c r="AZ46" s="553"/>
      <c r="BA46" s="553"/>
      <c r="BB46" s="553"/>
      <c r="BC46" s="553"/>
      <c r="BD46" s="553"/>
      <c r="BE46" s="553"/>
      <c r="BF46" s="553"/>
      <c r="BG46" s="553"/>
      <c r="BH46" s="553"/>
      <c r="BI46" s="553"/>
      <c r="BJ46" s="553"/>
      <c r="BK46" s="553"/>
    </row>
    <row r="47" spans="2:63" ht="12.75" customHeight="1" x14ac:dyDescent="0.35">
      <c r="B47" s="607" t="s">
        <v>364</v>
      </c>
      <c r="C47" s="468" t="s">
        <v>365</v>
      </c>
      <c r="D47" s="567">
        <f>'Haver Pivoted'!GP74</f>
        <v>300642.33333333302</v>
      </c>
      <c r="E47" s="567">
        <f>'Haver Pivoted'!GQ74</f>
        <v>320820.33333333302</v>
      </c>
      <c r="F47" s="567">
        <f>'Haver Pivoted'!GR74</f>
        <v>324029.66666666698</v>
      </c>
      <c r="G47" s="567">
        <f>'Haver Pivoted'!GS74</f>
        <v>324382</v>
      </c>
      <c r="H47" s="567">
        <f>'Haver Pivoted'!GT74</f>
        <v>343616.66666666698</v>
      </c>
      <c r="I47" s="567">
        <f>'Haver Pivoted'!GU74</f>
        <v>342816</v>
      </c>
      <c r="J47" s="567">
        <f>'Haver Pivoted'!GV74</f>
        <v>335700</v>
      </c>
      <c r="K47" s="567">
        <f>'Haver Pivoted'!GW74</f>
        <v>341450.33333333302</v>
      </c>
      <c r="L47" s="567">
        <f>'Haver Pivoted'!GX74</f>
        <v>338111.33333333302</v>
      </c>
      <c r="M47" s="567">
        <f>'Haver Pivoted'!GY74</f>
        <v>334562.66666666698</v>
      </c>
      <c r="N47" s="567">
        <f>'Haver Pivoted'!GZ74</f>
        <v>330245.33333333302</v>
      </c>
      <c r="O47" s="567">
        <f>'Haver Pivoted'!HA74</f>
        <v>329422</v>
      </c>
      <c r="P47" s="567">
        <f>'Haver Pivoted'!HB74</f>
        <v>339538.66666666698</v>
      </c>
      <c r="Q47" s="567">
        <f>'Haver Pivoted'!HC74</f>
        <v>347441.33333333302</v>
      </c>
      <c r="R47" s="567">
        <f>'Haver Pivoted'!HD74</f>
        <v>362214.33333333302</v>
      </c>
      <c r="S47" s="567">
        <f>'Haver Pivoted'!HE74</f>
        <v>368624.33333333302</v>
      </c>
      <c r="T47" s="567">
        <f>'Haver Pivoted'!HF74</f>
        <v>388408.33333333302</v>
      </c>
      <c r="U47" s="567">
        <f>'Haver Pivoted'!HG74</f>
        <v>415585.33333333302</v>
      </c>
      <c r="V47" s="567">
        <f>'Haver Pivoted'!HH74</f>
        <v>429322</v>
      </c>
      <c r="W47" s="567">
        <f>'Haver Pivoted'!HI74</f>
        <v>451322.66666666698</v>
      </c>
      <c r="X47" s="567">
        <f>'Haver Pivoted'!HJ74</f>
        <v>455254</v>
      </c>
      <c r="Y47" s="567">
        <f>'Haver Pivoted'!HK74</f>
        <v>457983.66666666698</v>
      </c>
      <c r="Z47" s="567">
        <f>'Haver Pivoted'!HL74</f>
        <v>467739</v>
      </c>
      <c r="AA47" s="567">
        <f>'Haver Pivoted'!HM74</f>
        <v>471235</v>
      </c>
      <c r="AB47" s="567">
        <f>'Haver Pivoted'!HN74</f>
        <v>468903.33333333302</v>
      </c>
      <c r="AC47" s="567">
        <f>'Haver Pivoted'!HO74</f>
        <v>476013.66666666698</v>
      </c>
      <c r="AD47" s="553"/>
      <c r="AE47" s="553"/>
      <c r="AF47" s="553"/>
      <c r="AG47" s="553"/>
      <c r="AH47" s="553"/>
      <c r="AI47" s="553"/>
      <c r="AJ47" s="553"/>
      <c r="AK47" s="553"/>
      <c r="AL47" s="553"/>
      <c r="AM47" s="553"/>
      <c r="AN47" s="553"/>
      <c r="AO47" s="553"/>
      <c r="AP47" s="553"/>
      <c r="AQ47" s="553"/>
      <c r="AR47" s="553"/>
      <c r="AS47" s="63"/>
      <c r="AT47" s="553"/>
      <c r="AU47" s="553"/>
      <c r="AV47" s="553"/>
      <c r="AW47" s="63"/>
      <c r="AX47" s="553"/>
      <c r="AY47" s="63"/>
      <c r="AZ47" s="63"/>
      <c r="BA47" s="554"/>
      <c r="BB47" s="554"/>
      <c r="BC47" s="554"/>
      <c r="BD47" s="554"/>
      <c r="BE47" s="554"/>
      <c r="BF47" s="554"/>
      <c r="BG47" s="554"/>
      <c r="BH47" s="554"/>
      <c r="BI47" s="63"/>
      <c r="BJ47" s="63"/>
      <c r="BK47" s="63"/>
    </row>
    <row r="48" spans="2:63" ht="12.75" customHeight="1" x14ac:dyDescent="0.35">
      <c r="B48" s="375"/>
      <c r="C48" s="268"/>
      <c r="D48" s="63"/>
      <c r="E48" s="553"/>
      <c r="F48" s="553"/>
      <c r="G48" s="553"/>
      <c r="H48" s="553"/>
      <c r="I48" s="553"/>
      <c r="J48" s="553"/>
      <c r="K48" s="553"/>
      <c r="L48" s="553"/>
      <c r="M48" s="553"/>
      <c r="N48" s="553"/>
      <c r="O48" s="553"/>
      <c r="P48" s="553"/>
      <c r="Q48" s="553"/>
      <c r="R48" s="553"/>
      <c r="S48" s="553"/>
      <c r="T48" s="553"/>
      <c r="U48" s="553"/>
      <c r="V48" s="553"/>
      <c r="W48" s="553"/>
      <c r="X48" s="553"/>
      <c r="Y48" s="553"/>
      <c r="Z48" s="553"/>
      <c r="AA48" s="553"/>
      <c r="AB48" s="553"/>
      <c r="AC48" s="553"/>
      <c r="AD48" s="553"/>
      <c r="AE48" s="553"/>
      <c r="AF48" s="553"/>
      <c r="AG48" s="553"/>
      <c r="AH48" s="553"/>
      <c r="AI48" s="553"/>
      <c r="AJ48" s="553"/>
      <c r="AK48" s="63"/>
      <c r="AL48" s="553"/>
      <c r="AM48" s="553"/>
      <c r="AN48" s="553"/>
      <c r="AO48" s="63"/>
      <c r="AP48" s="553"/>
      <c r="AQ48" s="63"/>
      <c r="AR48" s="63"/>
      <c r="AS48" s="554"/>
      <c r="AT48" s="554"/>
      <c r="AU48" s="554"/>
      <c r="AV48" s="554"/>
      <c r="AW48" s="554"/>
      <c r="AX48" s="554"/>
      <c r="AY48" s="554"/>
      <c r="AZ48" s="554"/>
      <c r="BA48" s="63"/>
      <c r="BB48" s="63"/>
      <c r="BC48" s="63"/>
    </row>
    <row r="49" spans="2:40" x14ac:dyDescent="0.35">
      <c r="B49" s="1463" t="s">
        <v>366</v>
      </c>
      <c r="C49" s="1463"/>
      <c r="D49" s="1463"/>
      <c r="E49" s="1463"/>
      <c r="F49" s="1463"/>
      <c r="G49" s="1463"/>
      <c r="H49" s="1463"/>
      <c r="I49" s="1463"/>
      <c r="J49" s="1463"/>
      <c r="K49" s="1463"/>
      <c r="L49" s="1463"/>
      <c r="M49" s="1463"/>
      <c r="N49" s="1463"/>
      <c r="O49" s="1463"/>
      <c r="P49" s="1463"/>
      <c r="Q49" s="1463"/>
      <c r="R49" s="1463"/>
      <c r="S49" s="1463"/>
      <c r="T49" s="1463"/>
      <c r="U49" s="1463"/>
      <c r="V49" s="1463"/>
      <c r="W49" s="1463"/>
      <c r="X49" s="1463"/>
      <c r="Y49" s="1463"/>
      <c r="Z49" s="1463"/>
      <c r="AA49" s="1463"/>
      <c r="AB49" s="1463"/>
      <c r="AC49" s="1463"/>
      <c r="AD49" s="241"/>
      <c r="AE49">
        <f>AVERAGE(AE41:AG41)</f>
        <v>389196.33333333331</v>
      </c>
      <c r="AF49" s="241"/>
      <c r="AG49" s="241"/>
      <c r="AH49" s="241"/>
      <c r="AL49" s="268"/>
    </row>
    <row r="50" spans="2:40" ht="20.25" customHeight="1" x14ac:dyDescent="0.35">
      <c r="B50" s="1463"/>
      <c r="C50" s="1463"/>
      <c r="D50" s="1463"/>
      <c r="E50" s="1463"/>
      <c r="F50" s="1463"/>
      <c r="G50" s="1463"/>
      <c r="H50" s="1463"/>
      <c r="I50" s="1463"/>
      <c r="J50" s="1463"/>
      <c r="K50" s="1463"/>
      <c r="L50" s="1463"/>
      <c r="M50" s="1463"/>
      <c r="N50" s="1463"/>
      <c r="O50" s="1463"/>
      <c r="P50" s="1463"/>
      <c r="Q50" s="1463"/>
      <c r="R50" s="1463"/>
      <c r="S50" s="1463"/>
      <c r="T50" s="1463"/>
      <c r="U50" s="1463"/>
      <c r="V50" s="1463"/>
      <c r="W50" s="1463"/>
      <c r="X50" s="1463"/>
      <c r="Y50" s="1463"/>
      <c r="Z50" s="1463"/>
      <c r="AA50" s="1463"/>
      <c r="AB50" s="1463"/>
      <c r="AC50" s="1463"/>
      <c r="AD50" s="241"/>
      <c r="AE50" s="241"/>
      <c r="AF50" s="241"/>
      <c r="AG50" s="241"/>
      <c r="AH50" s="241"/>
      <c r="AL50" s="268"/>
    </row>
    <row r="51" spans="2:40" ht="14.25" customHeight="1" x14ac:dyDescent="0.35">
      <c r="B51" s="1462" t="s">
        <v>367</v>
      </c>
      <c r="C51" s="1462"/>
      <c r="D51" s="1462"/>
      <c r="E51" s="1462"/>
      <c r="F51" s="1462"/>
      <c r="G51" s="1462"/>
      <c r="H51" s="1462"/>
      <c r="I51" s="1462"/>
      <c r="J51" s="1462"/>
      <c r="K51" s="1462"/>
      <c r="L51" s="1462"/>
      <c r="M51" s="1462"/>
      <c r="N51" s="1462"/>
      <c r="O51" s="1462"/>
      <c r="P51" s="1462"/>
      <c r="Q51" s="1462"/>
      <c r="R51" s="1462"/>
      <c r="S51" s="1462"/>
      <c r="T51" s="1462"/>
      <c r="U51" s="1462"/>
      <c r="V51" s="1462"/>
      <c r="W51" s="1462"/>
      <c r="X51" s="1462"/>
      <c r="Y51" s="1462"/>
      <c r="Z51" s="1462"/>
      <c r="AA51" s="1462"/>
      <c r="AB51" s="1462"/>
      <c r="AC51" s="1462"/>
      <c r="AD51" s="488"/>
      <c r="AE51" s="488"/>
      <c r="AF51" s="488"/>
      <c r="AG51" s="488"/>
      <c r="AH51" s="488"/>
      <c r="AL51" s="268"/>
    </row>
    <row r="52" spans="2:40" x14ac:dyDescent="0.35">
      <c r="B52" s="1462"/>
      <c r="C52" s="1462"/>
      <c r="D52" s="1462"/>
      <c r="E52" s="1462"/>
      <c r="F52" s="1462"/>
      <c r="G52" s="1462"/>
      <c r="H52" s="1462"/>
      <c r="I52" s="1462"/>
      <c r="J52" s="1462"/>
      <c r="K52" s="1462"/>
      <c r="L52" s="1462"/>
      <c r="M52" s="1462"/>
      <c r="N52" s="1462"/>
      <c r="O52" s="1462"/>
      <c r="P52" s="1462"/>
      <c r="Q52" s="1462"/>
      <c r="R52" s="1462"/>
      <c r="S52" s="1462"/>
      <c r="T52" s="1462"/>
      <c r="U52" s="1462"/>
      <c r="V52" s="1462"/>
      <c r="W52" s="1462"/>
      <c r="X52" s="1462"/>
      <c r="Y52" s="1462"/>
      <c r="Z52" s="1462"/>
      <c r="AA52" s="1462"/>
      <c r="AB52" s="1462"/>
      <c r="AC52" s="1462"/>
      <c r="AD52" s="488"/>
      <c r="AE52" s="488"/>
      <c r="AF52" s="488"/>
      <c r="AG52" s="488"/>
      <c r="AH52" s="488"/>
      <c r="AL52" s="268"/>
    </row>
    <row r="53" spans="2:40" ht="8.9" customHeight="1" x14ac:dyDescent="0.35">
      <c r="B53" s="1462"/>
      <c r="C53" s="1462"/>
      <c r="D53" s="1462"/>
      <c r="E53" s="1462"/>
      <c r="F53" s="1462"/>
      <c r="G53" s="1462"/>
      <c r="H53" s="1462"/>
      <c r="I53" s="1462"/>
      <c r="J53" s="1462"/>
      <c r="K53" s="1462"/>
      <c r="L53" s="1462"/>
      <c r="M53" s="1462"/>
      <c r="N53" s="1462"/>
      <c r="O53" s="1462"/>
      <c r="P53" s="1462"/>
      <c r="Q53" s="1462"/>
      <c r="R53" s="1462"/>
      <c r="S53" s="1462"/>
      <c r="T53" s="1462"/>
      <c r="U53" s="1462"/>
      <c r="V53" s="1462"/>
      <c r="W53" s="1462"/>
      <c r="X53" s="1462"/>
      <c r="Y53" s="1462"/>
      <c r="Z53" s="1462"/>
      <c r="AA53" s="1462"/>
      <c r="AB53" s="1462"/>
      <c r="AC53" s="1462"/>
      <c r="AD53" s="488"/>
      <c r="AE53" s="488"/>
      <c r="AF53" s="488"/>
      <c r="AG53" s="488"/>
      <c r="AH53" s="488"/>
      <c r="AL53" s="268"/>
    </row>
    <row r="54" spans="2:40" ht="12.75" customHeight="1" x14ac:dyDescent="0.35">
      <c r="AL54" s="268"/>
    </row>
    <row r="55" spans="2:40" ht="30.75" customHeight="1" x14ac:dyDescent="0.35">
      <c r="B55" s="1417" t="s">
        <v>245</v>
      </c>
      <c r="C55" s="1464"/>
      <c r="D55" s="1400" t="s">
        <v>246</v>
      </c>
      <c r="E55" s="1401"/>
      <c r="F55" s="1401"/>
      <c r="G55" s="1401"/>
      <c r="H55" s="1401"/>
      <c r="I55" s="1401"/>
      <c r="J55" s="1401"/>
      <c r="K55" s="1401"/>
      <c r="L55" s="1401"/>
      <c r="M55" s="1401"/>
      <c r="N55" s="1401"/>
      <c r="O55" s="1401"/>
      <c r="P55" s="1401"/>
      <c r="Q55" s="1401"/>
      <c r="R55" s="1401"/>
      <c r="S55" s="1401"/>
      <c r="T55" s="1401"/>
      <c r="U55" s="1401"/>
      <c r="V55" s="1401"/>
      <c r="W55" s="1401"/>
      <c r="X55" s="1401"/>
      <c r="Y55" s="1401"/>
      <c r="Z55" s="1401"/>
      <c r="AA55" s="1402"/>
      <c r="AB55" s="1441" t="s">
        <v>247</v>
      </c>
      <c r="AC55" s="1442"/>
      <c r="AD55" s="1442"/>
      <c r="AE55" s="1442"/>
      <c r="AF55" s="1442"/>
      <c r="AG55" s="1442"/>
      <c r="AH55" s="1442"/>
      <c r="AI55" s="1442"/>
      <c r="AJ55" s="1442"/>
      <c r="AK55" s="1442"/>
      <c r="AL55" s="1442"/>
      <c r="AM55" s="1442"/>
      <c r="AN55" s="1443"/>
    </row>
    <row r="56" spans="2:40" x14ac:dyDescent="0.35">
      <c r="B56" s="1419"/>
      <c r="C56" s="1465"/>
      <c r="D56" s="249">
        <v>2018</v>
      </c>
      <c r="E56" s="1403">
        <v>2019</v>
      </c>
      <c r="F56" s="1413"/>
      <c r="G56" s="1413"/>
      <c r="H56" s="1405"/>
      <c r="I56" s="1403">
        <v>2020</v>
      </c>
      <c r="J56" s="1413"/>
      <c r="K56" s="1413"/>
      <c r="L56" s="1413"/>
      <c r="M56" s="1403">
        <v>2021</v>
      </c>
      <c r="N56" s="1413"/>
      <c r="O56" s="1413"/>
      <c r="P56" s="1413"/>
      <c r="Q56" s="1403">
        <v>2022</v>
      </c>
      <c r="R56" s="1404"/>
      <c r="S56" s="1404"/>
      <c r="T56" s="1404"/>
      <c r="U56" s="1403">
        <v>2023</v>
      </c>
      <c r="V56" s="1404"/>
      <c r="W56" s="1404"/>
      <c r="X56" s="1405"/>
      <c r="Y56" s="283"/>
      <c r="Z56" s="277">
        <v>2024</v>
      </c>
      <c r="AA56" s="277"/>
      <c r="AB56" s="279"/>
      <c r="AC56" s="1403">
        <v>2025</v>
      </c>
      <c r="AD56" s="1404"/>
      <c r="AE56" s="1404"/>
      <c r="AF56" s="1405"/>
      <c r="AG56" s="1410">
        <v>2026</v>
      </c>
      <c r="AH56" s="1428"/>
      <c r="AI56" s="1428"/>
      <c r="AJ56" s="1412"/>
      <c r="AK56" s="1410">
        <v>2027</v>
      </c>
      <c r="AL56" s="1428"/>
      <c r="AM56" s="1428"/>
      <c r="AN56" s="1412"/>
    </row>
    <row r="57" spans="2:40" x14ac:dyDescent="0.35">
      <c r="B57" s="1421"/>
      <c r="C57" s="1466"/>
      <c r="D57" s="244" t="s">
        <v>248</v>
      </c>
      <c r="E57" s="244" t="s">
        <v>249</v>
      </c>
      <c r="F57" s="245" t="s">
        <v>250</v>
      </c>
      <c r="G57" s="245" t="s">
        <v>226</v>
      </c>
      <c r="H57" s="246" t="s">
        <v>248</v>
      </c>
      <c r="I57" s="245" t="s">
        <v>249</v>
      </c>
      <c r="J57" s="245" t="s">
        <v>250</v>
      </c>
      <c r="K57" s="245" t="s">
        <v>226</v>
      </c>
      <c r="L57" s="245" t="s">
        <v>248</v>
      </c>
      <c r="M57" s="244" t="s">
        <v>249</v>
      </c>
      <c r="N57" s="245" t="s">
        <v>250</v>
      </c>
      <c r="O57" s="245" t="s">
        <v>226</v>
      </c>
      <c r="P57" s="245" t="s">
        <v>248</v>
      </c>
      <c r="Q57" s="244" t="s">
        <v>249</v>
      </c>
      <c r="R57" s="245" t="s">
        <v>250</v>
      </c>
      <c r="S57" s="245" t="s">
        <v>226</v>
      </c>
      <c r="T57" s="245" t="s">
        <v>248</v>
      </c>
      <c r="U57" s="272" t="s">
        <v>249</v>
      </c>
      <c r="V57" s="273" t="s">
        <v>250</v>
      </c>
      <c r="W57" s="273" t="s">
        <v>226</v>
      </c>
      <c r="X57" s="271" t="s">
        <v>248</v>
      </c>
      <c r="Y57" s="272" t="s">
        <v>249</v>
      </c>
      <c r="Z57" s="274" t="s">
        <v>250</v>
      </c>
      <c r="AA57" s="273" t="s">
        <v>226</v>
      </c>
      <c r="AB57" s="271" t="s">
        <v>248</v>
      </c>
      <c r="AC57" s="272" t="s">
        <v>249</v>
      </c>
      <c r="AD57" s="274" t="s">
        <v>250</v>
      </c>
      <c r="AE57" s="273" t="s">
        <v>226</v>
      </c>
      <c r="AF57" s="271" t="s">
        <v>248</v>
      </c>
      <c r="AG57" s="358" t="s">
        <v>249</v>
      </c>
      <c r="AH57" s="269" t="s">
        <v>250</v>
      </c>
      <c r="AI57" s="269" t="s">
        <v>226</v>
      </c>
      <c r="AJ57" s="402" t="s">
        <v>248</v>
      </c>
      <c r="AK57" s="358" t="s">
        <v>249</v>
      </c>
      <c r="AL57" s="269" t="s">
        <v>250</v>
      </c>
      <c r="AM57" s="269" t="s">
        <v>226</v>
      </c>
      <c r="AN57" s="402" t="s">
        <v>248</v>
      </c>
    </row>
    <row r="58" spans="2:40" x14ac:dyDescent="0.35">
      <c r="B58" s="614" t="s">
        <v>122</v>
      </c>
      <c r="C58" s="390"/>
      <c r="D58" s="376"/>
      <c r="E58" s="609"/>
      <c r="F58" s="609"/>
      <c r="G58" s="609"/>
      <c r="H58" s="535">
        <f>Grants!H94</f>
        <v>72.497</v>
      </c>
      <c r="I58" s="535">
        <f>Grants!I94</f>
        <v>75.790000000000006</v>
      </c>
      <c r="J58" s="535">
        <f>Grants!J94</f>
        <v>75.337000000000003</v>
      </c>
      <c r="K58" s="535">
        <f>Grants!K94</f>
        <v>79.305000000000007</v>
      </c>
      <c r="L58" s="535">
        <f>Grants!L94</f>
        <v>75.888000000000005</v>
      </c>
      <c r="M58" s="535">
        <f>Grants!M94</f>
        <v>73.445999999999998</v>
      </c>
      <c r="N58" s="535">
        <f>Grants!N94</f>
        <v>74.11</v>
      </c>
      <c r="O58" s="535">
        <f>Grants!O94</f>
        <v>70.132999999999996</v>
      </c>
      <c r="P58" s="535">
        <f>Grants!P94</f>
        <v>72.956999999999994</v>
      </c>
      <c r="Q58" s="535">
        <f>Grants!Q94</f>
        <v>75.451999999999998</v>
      </c>
      <c r="R58" s="535">
        <f>Grants!R94</f>
        <v>75.19614285714286</v>
      </c>
      <c r="S58" s="610">
        <f>Grants!S94</f>
        <v>75.19614285714286</v>
      </c>
      <c r="T58" s="593">
        <f>Grants!T94</f>
        <v>76.015142857142862</v>
      </c>
      <c r="U58" s="361">
        <f>Grants!U94</f>
        <v>76.015142857142862</v>
      </c>
      <c r="V58" s="361">
        <f>Grants!V94</f>
        <v>76.015142857142862</v>
      </c>
      <c r="W58" s="361">
        <f>Grants!W94</f>
        <v>76.015142857142862</v>
      </c>
      <c r="X58" s="357">
        <f>Grants!X94</f>
        <v>77.674142857142854</v>
      </c>
      <c r="Y58" s="357">
        <f>Grants!Y94</f>
        <v>77.674142857142854</v>
      </c>
      <c r="Z58" s="357">
        <f>Grants!Z94</f>
        <v>77.674142857142854</v>
      </c>
      <c r="AA58" s="357">
        <f>Grants!AA94</f>
        <v>77.674142857142854</v>
      </c>
      <c r="AB58" s="357">
        <f>Grants!AB94</f>
        <v>79.268142857142863</v>
      </c>
      <c r="AC58" s="357">
        <f>Grants!AC94</f>
        <v>79.268142857142863</v>
      </c>
      <c r="AD58" s="357">
        <f>Grants!AD94</f>
        <v>75.19614285714286</v>
      </c>
      <c r="AE58" s="357">
        <f>Grants!AE94</f>
        <v>75.19614285714286</v>
      </c>
      <c r="AF58" s="357">
        <f>Grants!AF94</f>
        <v>75.19614285714286</v>
      </c>
      <c r="AG58" s="357">
        <f>Grants!AG94</f>
        <v>75.19614285714286</v>
      </c>
      <c r="AH58" s="357">
        <f>Grants!AH94</f>
        <v>75.19614285714286</v>
      </c>
      <c r="AI58" s="357">
        <f>Grants!AI94</f>
        <v>75.19614285714286</v>
      </c>
      <c r="AJ58" s="357">
        <f>Grants!AJ94</f>
        <v>75.19614285714286</v>
      </c>
      <c r="AK58" s="357">
        <f>Grants!AK94</f>
        <v>75.19614285714286</v>
      </c>
      <c r="AL58" s="357">
        <f>Grants!AL94</f>
        <v>75.19614285714286</v>
      </c>
      <c r="AM58" s="357">
        <f>Grants!AM94</f>
        <v>75.19614285714286</v>
      </c>
      <c r="AN58" s="357">
        <f>Grants!AN94</f>
        <v>75.19614285714286</v>
      </c>
    </row>
    <row r="59" spans="2:40" x14ac:dyDescent="0.35">
      <c r="B59" s="606" t="s">
        <v>180</v>
      </c>
      <c r="C59" s="356"/>
      <c r="D59" s="403"/>
      <c r="E59" s="356"/>
      <c r="F59" s="356"/>
      <c r="G59" s="356"/>
      <c r="H59" s="361">
        <f>Grants!H73</f>
        <v>208.815</v>
      </c>
      <c r="I59" s="361">
        <f>Grants!I73</f>
        <v>212.21100000000007</v>
      </c>
      <c r="J59" s="361">
        <f>Grants!J73</f>
        <v>321.23599999999999</v>
      </c>
      <c r="K59" s="361">
        <f>Grants!K73</f>
        <v>296.71800000000007</v>
      </c>
      <c r="L59" s="361">
        <f>Grants!L73</f>
        <v>291.47400000000005</v>
      </c>
      <c r="M59" s="361">
        <f>Grants!M73</f>
        <v>318.38100000000003</v>
      </c>
      <c r="N59" s="361">
        <f>Grants!N73</f>
        <v>355.56500000000005</v>
      </c>
      <c r="O59" s="361">
        <f>Grants!O73</f>
        <v>374.23899999999998</v>
      </c>
      <c r="P59" s="361">
        <f>Grants!P73</f>
        <v>397.39685199999997</v>
      </c>
      <c r="Q59" s="361">
        <f>Grants!Q73</f>
        <v>431.18727480000001</v>
      </c>
      <c r="R59" s="361">
        <f>Grants!R73</f>
        <v>501.70003200000002</v>
      </c>
      <c r="S59" s="361">
        <f>Grants!S73</f>
        <v>483.56486800000005</v>
      </c>
      <c r="T59" s="361">
        <f>Grants!T73</f>
        <v>447.72492800000003</v>
      </c>
      <c r="U59" s="590">
        <f>Grants!U73</f>
        <v>441.54354319999999</v>
      </c>
      <c r="V59" s="590">
        <f>Grants!V73</f>
        <v>436.07272</v>
      </c>
      <c r="W59" s="590">
        <f>Grants!W73</f>
        <v>417.91594400000008</v>
      </c>
      <c r="X59" s="590">
        <f>Grants!X73</f>
        <v>434.04594399999996</v>
      </c>
      <c r="Y59" s="590">
        <f>Grants!Y73</f>
        <v>437.85294400000009</v>
      </c>
      <c r="Z59" s="590">
        <f>Grants!Z73</f>
        <v>447.07610900000003</v>
      </c>
      <c r="AA59" s="590">
        <f>Grants!AA73</f>
        <v>468.80533000000014</v>
      </c>
      <c r="AB59" s="590">
        <f>Grants!AB73</f>
        <v>473.51932569999985</v>
      </c>
      <c r="AC59" s="590">
        <f>Grants!AC73</f>
        <v>435.15299700000003</v>
      </c>
      <c r="AD59" s="590">
        <f>Grants!AD73</f>
        <v>411.3256194999999</v>
      </c>
      <c r="AE59" s="590">
        <f>Grants!AE73</f>
        <v>437.30692800000003</v>
      </c>
      <c r="AF59" s="590">
        <f>Grants!AF73</f>
        <v>409.71131879999996</v>
      </c>
      <c r="AG59" s="590">
        <f>Grants!AG73</f>
        <v>412.46319788780909</v>
      </c>
      <c r="AH59" s="590">
        <f>Grants!AH73</f>
        <v>412.439192359044</v>
      </c>
      <c r="AI59" s="590">
        <f>Grants!AI73</f>
        <v>416.24556939260134</v>
      </c>
      <c r="AJ59" s="590">
        <f>Grants!AJ73</f>
        <v>418.07959879999999</v>
      </c>
      <c r="AK59" s="590">
        <f>Grants!AK73</f>
        <v>420.94155305132148</v>
      </c>
      <c r="AL59" s="590">
        <f>Grants!AL73</f>
        <v>423.8317073014058</v>
      </c>
      <c r="AM59" s="590">
        <f>Grants!AM73</f>
        <v>426.75033941630539</v>
      </c>
      <c r="AN59" s="590">
        <f>Grants!AN73</f>
        <v>429.69772999999998</v>
      </c>
    </row>
    <row r="60" spans="2:40" x14ac:dyDescent="0.35">
      <c r="B60" s="615" t="s">
        <v>368</v>
      </c>
      <c r="C60" s="608"/>
      <c r="D60" s="607"/>
      <c r="E60" s="608"/>
      <c r="F60" s="608"/>
      <c r="G60" s="608"/>
      <c r="H60" s="594">
        <f>H58+H59</f>
        <v>281.31200000000001</v>
      </c>
      <c r="I60" s="594">
        <f t="shared" ref="I60:AN60" si="36">I58+I59</f>
        <v>288.00100000000009</v>
      </c>
      <c r="J60" s="594">
        <f t="shared" si="36"/>
        <v>396.57299999999998</v>
      </c>
      <c r="K60" s="594">
        <f t="shared" si="36"/>
        <v>376.02300000000008</v>
      </c>
      <c r="L60" s="594">
        <f t="shared" si="36"/>
        <v>367.36200000000008</v>
      </c>
      <c r="M60" s="594">
        <f t="shared" si="36"/>
        <v>391.827</v>
      </c>
      <c r="N60" s="594">
        <f t="shared" si="36"/>
        <v>429.67500000000007</v>
      </c>
      <c r="O60" s="594">
        <f t="shared" si="36"/>
        <v>444.37199999999996</v>
      </c>
      <c r="P60" s="594">
        <f t="shared" si="36"/>
        <v>470.35385199999996</v>
      </c>
      <c r="Q60" s="594">
        <f t="shared" si="36"/>
        <v>506.63927480000001</v>
      </c>
      <c r="R60" s="594">
        <f t="shared" si="36"/>
        <v>576.89617485714291</v>
      </c>
      <c r="S60" s="594">
        <f t="shared" si="36"/>
        <v>558.76101085714288</v>
      </c>
      <c r="T60" s="594">
        <f t="shared" si="36"/>
        <v>523.74007085714288</v>
      </c>
      <c r="U60" s="594">
        <f t="shared" si="36"/>
        <v>517.55868605714284</v>
      </c>
      <c r="V60" s="594">
        <f t="shared" si="36"/>
        <v>512.08786285714291</v>
      </c>
      <c r="W60" s="594">
        <f t="shared" si="36"/>
        <v>493.93108685714293</v>
      </c>
      <c r="X60" s="579">
        <f t="shared" si="36"/>
        <v>511.7200868571428</v>
      </c>
      <c r="Y60" s="579">
        <f t="shared" si="36"/>
        <v>515.52708685714299</v>
      </c>
      <c r="Z60" s="579">
        <f t="shared" si="36"/>
        <v>524.75025185714287</v>
      </c>
      <c r="AA60" s="579">
        <f t="shared" si="36"/>
        <v>546.47947285714304</v>
      </c>
      <c r="AB60" s="579">
        <f t="shared" si="36"/>
        <v>552.78746855714269</v>
      </c>
      <c r="AC60" s="579">
        <f t="shared" si="36"/>
        <v>514.42113985714286</v>
      </c>
      <c r="AD60" s="579">
        <f t="shared" si="36"/>
        <v>486.52176235714273</v>
      </c>
      <c r="AE60" s="579">
        <f t="shared" si="36"/>
        <v>512.50307085714292</v>
      </c>
      <c r="AF60" s="579">
        <f t="shared" si="36"/>
        <v>484.90746165714279</v>
      </c>
      <c r="AG60" s="579">
        <f t="shared" si="36"/>
        <v>487.65934074495192</v>
      </c>
      <c r="AH60" s="579">
        <f>AH58+AH59</f>
        <v>487.63533521618683</v>
      </c>
      <c r="AI60" s="579">
        <f t="shared" si="36"/>
        <v>491.44171224974423</v>
      </c>
      <c r="AJ60" s="579">
        <f t="shared" si="36"/>
        <v>493.27574165714282</v>
      </c>
      <c r="AK60" s="579">
        <f t="shared" si="36"/>
        <v>496.13769590846437</v>
      </c>
      <c r="AL60" s="579">
        <f t="shared" si="36"/>
        <v>499.02785015854863</v>
      </c>
      <c r="AM60" s="579">
        <f t="shared" si="36"/>
        <v>501.94648227344828</v>
      </c>
      <c r="AN60" s="579">
        <f t="shared" si="36"/>
        <v>504.89387285714281</v>
      </c>
    </row>
    <row r="62" spans="2:40" x14ac:dyDescent="0.35">
      <c r="S62" s="438"/>
      <c r="T62" s="438"/>
      <c r="U62" s="438"/>
      <c r="V62" s="438"/>
      <c r="W62" s="438"/>
      <c r="X62" s="438"/>
      <c r="Y62" s="438"/>
      <c r="Z62" s="438"/>
      <c r="AA62" s="438"/>
      <c r="AB62" s="438"/>
      <c r="AC62" s="438"/>
      <c r="AD62" s="438"/>
      <c r="AE62" s="438"/>
      <c r="AF62" s="438"/>
      <c r="AG62" s="438"/>
      <c r="AH62" s="438"/>
    </row>
  </sheetData>
  <mergeCells count="41">
    <mergeCell ref="B1:AC1"/>
    <mergeCell ref="B6:C8"/>
    <mergeCell ref="E8:H8"/>
    <mergeCell ref="B2:AC4"/>
    <mergeCell ref="E56:H56"/>
    <mergeCell ref="B25:C27"/>
    <mergeCell ref="M26:P26"/>
    <mergeCell ref="I26:L26"/>
    <mergeCell ref="Q56:T56"/>
    <mergeCell ref="B51:AC53"/>
    <mergeCell ref="B49:AC50"/>
    <mergeCell ref="B55:C57"/>
    <mergeCell ref="I56:L56"/>
    <mergeCell ref="D6:AB6"/>
    <mergeCell ref="B20:AC20"/>
    <mergeCell ref="AG7:AJ7"/>
    <mergeCell ref="AK7:AN7"/>
    <mergeCell ref="Y7:AB7"/>
    <mergeCell ref="U7:X7"/>
    <mergeCell ref="B21:AC23"/>
    <mergeCell ref="E7:H7"/>
    <mergeCell ref="I7:L7"/>
    <mergeCell ref="M7:P7"/>
    <mergeCell ref="Q7:T7"/>
    <mergeCell ref="AC7:AF7"/>
    <mergeCell ref="AG6:AN6"/>
    <mergeCell ref="D25:AB25"/>
    <mergeCell ref="E26:H26"/>
    <mergeCell ref="AK26:AN26"/>
    <mergeCell ref="AK56:AN56"/>
    <mergeCell ref="U26:X26"/>
    <mergeCell ref="U56:X56"/>
    <mergeCell ref="D55:AA55"/>
    <mergeCell ref="AB55:AN55"/>
    <mergeCell ref="AG56:AJ56"/>
    <mergeCell ref="AC26:AF26"/>
    <mergeCell ref="AG26:AJ26"/>
    <mergeCell ref="AC56:AF56"/>
    <mergeCell ref="M56:P56"/>
    <mergeCell ref="Q26:T26"/>
    <mergeCell ref="AG25:AN25"/>
  </mergeCells>
  <hyperlinks>
    <hyperlink ref="C38" r:id="rId1" xr:uid="{00000000-0004-0000-1000-000000000000}"/>
    <hyperlink ref="C39" r:id="rId2" xr:uid="{00000000-0004-0000-1000-000001000000}"/>
    <hyperlink ref="C44" r:id="rId3" xr:uid="{00000000-0004-0000-1000-000002000000}"/>
    <hyperlink ref="C45"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31"/>
  <sheetViews>
    <sheetView zoomScale="115" zoomScaleNormal="115" workbookViewId="0">
      <selection activeCell="D29" sqref="D29"/>
    </sheetView>
  </sheetViews>
  <sheetFormatPr defaultColWidth="10.90625" defaultRowHeight="14.5" x14ac:dyDescent="0.35"/>
  <cols>
    <col min="1" max="1" width="16.453125" customWidth="1"/>
    <col min="4" max="4" width="16.81640625" customWidth="1"/>
  </cols>
  <sheetData>
    <row r="1" spans="1:17" ht="54" customHeight="1" x14ac:dyDescent="0.35">
      <c r="A1" s="622"/>
      <c r="B1" s="622"/>
      <c r="C1" s="622"/>
      <c r="D1" s="1468" t="s">
        <v>2069</v>
      </c>
      <c r="E1" s="1468"/>
      <c r="F1" s="622"/>
      <c r="G1" s="622"/>
      <c r="H1" s="622"/>
      <c r="I1" s="622"/>
      <c r="J1" s="622"/>
      <c r="K1" s="622"/>
      <c r="L1" s="622"/>
      <c r="M1" s="622"/>
      <c r="N1" s="622"/>
      <c r="O1" s="622"/>
      <c r="P1" s="622"/>
      <c r="Q1" s="622"/>
    </row>
    <row r="2" spans="1:17" x14ac:dyDescent="0.35">
      <c r="A2" s="622"/>
      <c r="B2" s="622"/>
      <c r="C2" s="622"/>
      <c r="D2" t="s">
        <v>2067</v>
      </c>
      <c r="E2" s="623" t="s">
        <v>2068</v>
      </c>
      <c r="F2" s="622"/>
      <c r="G2" s="622"/>
      <c r="H2" s="622"/>
      <c r="I2" s="622"/>
      <c r="J2" s="622"/>
      <c r="K2" s="622"/>
      <c r="L2" s="622"/>
      <c r="M2" s="622"/>
      <c r="N2" s="622"/>
      <c r="O2" s="622"/>
      <c r="P2" s="622"/>
      <c r="Q2" s="622"/>
    </row>
    <row r="3" spans="1:17" x14ac:dyDescent="0.35">
      <c r="A3" s="622" t="s">
        <v>509</v>
      </c>
      <c r="B3" s="622"/>
      <c r="C3" s="622"/>
      <c r="D3" s="623">
        <v>-2</v>
      </c>
      <c r="E3" s="623">
        <v>-2</v>
      </c>
      <c r="F3" s="622"/>
      <c r="G3" s="622" t="s">
        <v>2062</v>
      </c>
      <c r="H3" s="622">
        <v>1.3</v>
      </c>
      <c r="I3" s="622"/>
      <c r="J3" s="622"/>
      <c r="K3" s="622"/>
      <c r="L3" s="622"/>
      <c r="M3" s="622"/>
      <c r="N3" s="622"/>
      <c r="O3" s="622"/>
      <c r="P3" s="622"/>
      <c r="Q3" s="622"/>
    </row>
    <row r="4" spans="1:17" x14ac:dyDescent="0.35">
      <c r="A4" s="622" t="s">
        <v>2063</v>
      </c>
      <c r="B4" s="622"/>
      <c r="C4" s="622"/>
      <c r="D4" s="622">
        <v>-16</v>
      </c>
      <c r="E4" s="623">
        <v>-12</v>
      </c>
      <c r="F4" s="622"/>
      <c r="G4" s="622"/>
      <c r="H4" s="622"/>
      <c r="I4" s="622"/>
      <c r="J4" s="622"/>
      <c r="K4" s="622"/>
      <c r="L4" s="622"/>
      <c r="M4" s="622"/>
      <c r="N4" s="622"/>
      <c r="O4" s="622"/>
      <c r="P4" s="622"/>
      <c r="Q4" s="622"/>
    </row>
    <row r="5" spans="1:17" x14ac:dyDescent="0.35">
      <c r="A5" s="622" t="s">
        <v>2064</v>
      </c>
      <c r="B5" s="622"/>
      <c r="C5" s="622"/>
      <c r="D5" s="622">
        <v>-36</v>
      </c>
      <c r="E5" s="623">
        <v>-28</v>
      </c>
      <c r="F5" s="622"/>
      <c r="G5" s="622"/>
      <c r="H5" s="622"/>
      <c r="I5" s="622"/>
      <c r="J5" s="622"/>
      <c r="K5" s="622"/>
      <c r="L5" s="622"/>
      <c r="M5" s="622"/>
      <c r="N5" s="622"/>
      <c r="O5" s="622"/>
      <c r="P5" s="622"/>
      <c r="Q5" s="622"/>
    </row>
    <row r="6" spans="1:17" x14ac:dyDescent="0.35">
      <c r="A6" s="624" t="s">
        <v>2070</v>
      </c>
      <c r="B6" s="622"/>
      <c r="C6" s="622"/>
      <c r="D6" s="622">
        <v>-54</v>
      </c>
      <c r="E6" s="623">
        <v>-42</v>
      </c>
      <c r="F6" s="622"/>
      <c r="G6" s="622"/>
      <c r="H6" s="622"/>
      <c r="I6" s="622"/>
      <c r="J6" s="622"/>
      <c r="K6" s="622"/>
      <c r="L6" s="622"/>
      <c r="M6" s="622"/>
      <c r="N6" s="622"/>
      <c r="O6" s="622"/>
      <c r="P6" s="622"/>
      <c r="Q6" s="622"/>
    </row>
    <row r="7" spans="1:17" x14ac:dyDescent="0.35">
      <c r="A7" s="622"/>
      <c r="B7" s="622"/>
      <c r="C7" s="622"/>
      <c r="D7" s="622"/>
      <c r="E7" s="622"/>
      <c r="F7" s="622"/>
      <c r="G7" s="622"/>
      <c r="H7" s="622"/>
      <c r="I7" s="622"/>
      <c r="J7" s="622"/>
      <c r="K7" s="622"/>
      <c r="L7" s="622"/>
      <c r="M7" s="622"/>
      <c r="N7" s="622"/>
      <c r="O7" s="622"/>
      <c r="P7" s="622"/>
      <c r="Q7" s="622"/>
    </row>
    <row r="8" spans="1:17" x14ac:dyDescent="0.35">
      <c r="A8" s="622"/>
      <c r="B8" s="622"/>
      <c r="C8" s="622"/>
      <c r="D8" s="622" t="s">
        <v>732</v>
      </c>
      <c r="E8" s="622" t="s">
        <v>1110</v>
      </c>
      <c r="F8" s="622" t="s">
        <v>1111</v>
      </c>
      <c r="G8" s="622" t="s">
        <v>1112</v>
      </c>
      <c r="H8" s="622" t="s">
        <v>1113</v>
      </c>
      <c r="I8" s="622" t="s">
        <v>278</v>
      </c>
      <c r="J8" s="622"/>
      <c r="K8" s="622"/>
      <c r="L8" s="622"/>
      <c r="M8" s="622"/>
      <c r="N8" s="622"/>
      <c r="O8" s="622"/>
      <c r="P8" s="622"/>
      <c r="Q8" s="622"/>
    </row>
    <row r="9" spans="1:17" x14ac:dyDescent="0.35">
      <c r="A9" s="624" t="s">
        <v>2079</v>
      </c>
      <c r="B9" s="622"/>
      <c r="C9" s="622"/>
      <c r="D9" s="622">
        <v>-28</v>
      </c>
      <c r="E9" s="622">
        <v>13</v>
      </c>
      <c r="F9" s="622">
        <v>4</v>
      </c>
      <c r="G9" s="622">
        <v>1</v>
      </c>
      <c r="H9" s="622">
        <v>0</v>
      </c>
      <c r="I9" s="622">
        <v>-10</v>
      </c>
      <c r="J9" s="622"/>
      <c r="K9" s="622"/>
      <c r="L9" s="622"/>
      <c r="M9" s="622"/>
      <c r="N9" s="622"/>
      <c r="O9" s="622"/>
      <c r="P9" s="622"/>
      <c r="Q9" s="622"/>
    </row>
    <row r="10" spans="1:17" x14ac:dyDescent="0.35">
      <c r="A10" s="622" t="s">
        <v>2071</v>
      </c>
      <c r="B10" s="622"/>
      <c r="C10" s="622"/>
      <c r="D10" s="622">
        <v>-28</v>
      </c>
      <c r="E10" s="622">
        <v>-15</v>
      </c>
      <c r="F10" s="622">
        <v>-11</v>
      </c>
      <c r="G10" s="622">
        <v>-10</v>
      </c>
      <c r="H10" s="622">
        <v>-11</v>
      </c>
      <c r="J10" s="622"/>
      <c r="K10" s="622"/>
      <c r="L10" s="622"/>
      <c r="M10" s="622"/>
      <c r="N10" s="622"/>
      <c r="O10" s="622"/>
      <c r="P10" s="622"/>
      <c r="Q10" s="622"/>
    </row>
    <row r="11" spans="1:17" x14ac:dyDescent="0.35">
      <c r="B11" s="622"/>
      <c r="C11" s="622"/>
      <c r="D11" s="622"/>
      <c r="E11" s="622"/>
      <c r="F11" s="622"/>
      <c r="G11" s="622"/>
      <c r="H11" s="622"/>
      <c r="I11" s="622"/>
      <c r="J11" s="622"/>
      <c r="K11" s="622"/>
      <c r="L11" s="622"/>
      <c r="M11" s="622"/>
      <c r="N11" s="622"/>
      <c r="O11" s="622"/>
      <c r="P11" s="622"/>
      <c r="Q11" s="622"/>
    </row>
    <row r="12" spans="1:17" x14ac:dyDescent="0.35">
      <c r="B12" s="622"/>
      <c r="C12" s="622"/>
      <c r="D12" s="622"/>
      <c r="E12" s="622"/>
      <c r="F12" s="622"/>
      <c r="G12" s="622"/>
      <c r="H12" s="622"/>
      <c r="I12" s="622"/>
      <c r="J12" s="622"/>
      <c r="K12" s="622"/>
      <c r="L12" s="622"/>
      <c r="M12" s="622"/>
      <c r="N12" s="622"/>
      <c r="O12" s="622"/>
      <c r="P12" s="622"/>
      <c r="Q12" s="622"/>
    </row>
    <row r="13" spans="1:17" x14ac:dyDescent="0.35">
      <c r="A13" s="624" t="s">
        <v>2072</v>
      </c>
      <c r="B13" s="622"/>
      <c r="C13" s="622"/>
      <c r="D13" s="622">
        <f>D14+D15</f>
        <v>-23</v>
      </c>
      <c r="E13" s="622">
        <f t="shared" ref="E13:H13" si="0">E14+E15</f>
        <v>14</v>
      </c>
      <c r="F13" s="622">
        <f t="shared" si="0"/>
        <v>0</v>
      </c>
      <c r="G13" s="622">
        <f t="shared" si="0"/>
        <v>0</v>
      </c>
      <c r="H13" s="622">
        <f t="shared" si="0"/>
        <v>0</v>
      </c>
      <c r="I13" s="622"/>
      <c r="J13" s="622"/>
      <c r="K13" s="622"/>
      <c r="L13" s="622"/>
      <c r="M13" s="622"/>
      <c r="N13" s="622"/>
      <c r="O13" s="622"/>
      <c r="P13" s="622"/>
      <c r="Q13" s="622"/>
    </row>
    <row r="14" spans="1:17" x14ac:dyDescent="0.35">
      <c r="A14" s="622" t="s">
        <v>2065</v>
      </c>
      <c r="B14" s="622"/>
      <c r="C14" s="622"/>
      <c r="D14" s="622">
        <v>-9</v>
      </c>
      <c r="E14" s="622">
        <v>0</v>
      </c>
      <c r="F14" s="622"/>
      <c r="G14" s="622"/>
      <c r="H14" s="622"/>
      <c r="I14" s="622">
        <v>-9</v>
      </c>
      <c r="J14" s="622"/>
      <c r="K14" s="622"/>
      <c r="L14" s="622"/>
      <c r="M14" s="622"/>
      <c r="N14" s="622"/>
      <c r="O14" s="622"/>
      <c r="P14" s="622"/>
      <c r="Q14" s="622"/>
    </row>
    <row r="15" spans="1:17" x14ac:dyDescent="0.35">
      <c r="A15" s="622" t="s">
        <v>2066</v>
      </c>
      <c r="B15" s="622"/>
      <c r="C15" s="622"/>
      <c r="D15" s="622">
        <v>-14</v>
      </c>
      <c r="E15" s="622">
        <v>14</v>
      </c>
      <c r="F15" s="622"/>
      <c r="G15" s="622"/>
      <c r="H15" s="622"/>
      <c r="I15" s="622">
        <v>0</v>
      </c>
      <c r="J15" s="622"/>
      <c r="K15" s="622"/>
      <c r="L15" s="622"/>
      <c r="M15" s="622"/>
      <c r="N15" s="622"/>
      <c r="O15" s="622"/>
      <c r="P15" s="622"/>
      <c r="Q15" s="622"/>
    </row>
    <row r="16" spans="1:17" x14ac:dyDescent="0.35">
      <c r="A16" s="622" t="s">
        <v>2073</v>
      </c>
      <c r="B16" s="622"/>
      <c r="C16" s="622"/>
      <c r="D16" s="622">
        <f>D9-D13</f>
        <v>-5</v>
      </c>
      <c r="E16" s="622">
        <f t="shared" ref="E16:H16" si="1">E9-E13</f>
        <v>-1</v>
      </c>
      <c r="F16" s="622">
        <f t="shared" si="1"/>
        <v>4</v>
      </c>
      <c r="G16" s="622">
        <f t="shared" si="1"/>
        <v>1</v>
      </c>
      <c r="H16" s="622">
        <f t="shared" si="1"/>
        <v>0</v>
      </c>
      <c r="I16" s="622"/>
      <c r="J16" s="622"/>
      <c r="K16" s="622"/>
      <c r="L16" s="622"/>
      <c r="M16" s="622"/>
      <c r="N16" s="622"/>
      <c r="O16" s="622"/>
      <c r="P16" s="622"/>
      <c r="Q16" s="622"/>
    </row>
    <row r="17" spans="1:17" x14ac:dyDescent="0.35">
      <c r="A17" s="624"/>
      <c r="B17" s="622"/>
      <c r="C17" s="622"/>
      <c r="D17" s="622"/>
      <c r="E17" s="622"/>
      <c r="F17" s="622"/>
      <c r="G17" s="622"/>
      <c r="H17" s="622"/>
      <c r="I17" s="622"/>
      <c r="J17" s="622"/>
      <c r="K17" s="622"/>
      <c r="L17" s="622"/>
      <c r="M17" s="622"/>
      <c r="N17" s="622"/>
      <c r="O17" s="622"/>
      <c r="P17" s="622"/>
      <c r="Q17" s="622"/>
    </row>
    <row r="18" spans="1:17" x14ac:dyDescent="0.35">
      <c r="A18" s="624" t="s">
        <v>2080</v>
      </c>
      <c r="B18" s="622"/>
      <c r="C18" s="622">
        <v>30968</v>
      </c>
      <c r="D18" s="622">
        <v>31325</v>
      </c>
      <c r="E18" s="622">
        <v>31720</v>
      </c>
      <c r="F18" s="622">
        <v>32095</v>
      </c>
      <c r="G18" s="622">
        <v>32468</v>
      </c>
      <c r="H18" s="622">
        <v>32813</v>
      </c>
      <c r="I18" s="622"/>
      <c r="J18" s="622"/>
      <c r="K18" s="622"/>
      <c r="L18" s="622"/>
      <c r="M18" s="622"/>
      <c r="N18" s="622"/>
      <c r="O18" s="622"/>
      <c r="P18" s="622"/>
      <c r="Q18" s="622"/>
    </row>
    <row r="19" spans="1:17" x14ac:dyDescent="0.35">
      <c r="A19" s="622"/>
      <c r="B19" s="622"/>
      <c r="C19" s="622"/>
      <c r="D19" s="622">
        <f>(D18/C18)^4-1</f>
        <v>4.691563419048328E-2</v>
      </c>
      <c r="E19" s="622">
        <f>(E18/D18)^4-1</f>
        <v>5.1401024626440917E-2</v>
      </c>
      <c r="F19" s="622">
        <f>(F18/E18)^4-1</f>
        <v>4.813399126677087E-2</v>
      </c>
      <c r="G19" s="622">
        <f>(G18/F18)^4-1</f>
        <v>4.7303678903030999E-2</v>
      </c>
      <c r="H19" s="622">
        <f>(H18/G18)^4-1</f>
        <v>4.3185651443877759E-2</v>
      </c>
      <c r="I19" s="622"/>
      <c r="J19" s="622"/>
      <c r="K19" s="622"/>
      <c r="L19" s="622"/>
      <c r="M19" s="622"/>
      <c r="N19" s="622"/>
      <c r="O19" s="622"/>
      <c r="P19" s="622"/>
      <c r="Q19" s="622"/>
    </row>
    <row r="20" spans="1:17" x14ac:dyDescent="0.35">
      <c r="A20" s="622"/>
      <c r="B20" s="622"/>
      <c r="C20" s="622">
        <v>30968</v>
      </c>
      <c r="D20" s="622">
        <f>D18-D13*4</f>
        <v>31417</v>
      </c>
      <c r="E20" s="622">
        <f>E18-E13*4</f>
        <v>31664</v>
      </c>
      <c r="F20" s="622">
        <f>F18-F13*4</f>
        <v>32095</v>
      </c>
      <c r="G20" s="622">
        <f>G18-G13*4</f>
        <v>32468</v>
      </c>
      <c r="H20" s="622">
        <f>H18-H13*4</f>
        <v>32813</v>
      </c>
      <c r="I20" s="622"/>
      <c r="J20" s="622"/>
      <c r="K20" s="622"/>
      <c r="L20" s="622"/>
      <c r="M20" s="622"/>
      <c r="N20" s="622"/>
      <c r="O20" s="622"/>
      <c r="P20" s="622"/>
      <c r="Q20" s="622"/>
    </row>
    <row r="21" spans="1:17" x14ac:dyDescent="0.35">
      <c r="A21" s="622"/>
      <c r="B21" s="622"/>
      <c r="C21" s="622"/>
      <c r="D21" s="622">
        <f>(D20/C20)^4-1</f>
        <v>5.9268883531704342E-2</v>
      </c>
      <c r="E21" s="622">
        <f t="shared" ref="E21:H21" si="2">(E20/D20)^4-1</f>
        <v>3.1820754741127555E-2</v>
      </c>
      <c r="F21" s="622">
        <f t="shared" si="2"/>
        <v>5.5568478108721342E-2</v>
      </c>
      <c r="G21" s="622">
        <f t="shared" si="2"/>
        <v>4.7303678903030999E-2</v>
      </c>
      <c r="H21" s="622">
        <f t="shared" si="2"/>
        <v>4.3185651443877759E-2</v>
      </c>
      <c r="I21" s="622"/>
      <c r="J21" s="622"/>
      <c r="K21" s="622"/>
      <c r="L21" s="622"/>
      <c r="M21" s="622"/>
      <c r="N21" s="622"/>
      <c r="O21" s="622"/>
      <c r="P21" s="622"/>
      <c r="Q21" s="622"/>
    </row>
    <row r="22" spans="1:17" x14ac:dyDescent="0.35">
      <c r="A22" s="624" t="s">
        <v>2082</v>
      </c>
      <c r="B22" s="622"/>
      <c r="C22" s="622"/>
      <c r="D22" s="625">
        <f>D19-D21</f>
        <v>-1.2353249341221062E-2</v>
      </c>
      <c r="E22" s="625">
        <f t="shared" ref="E22:H22" si="3">E19-E21</f>
        <v>1.9580269885313362E-2</v>
      </c>
      <c r="F22" s="625">
        <f t="shared" si="3"/>
        <v>-7.4344868419504717E-3</v>
      </c>
      <c r="G22" s="625">
        <f t="shared" si="3"/>
        <v>0</v>
      </c>
      <c r="H22" s="625">
        <f t="shared" si="3"/>
        <v>0</v>
      </c>
      <c r="I22" s="622"/>
      <c r="J22" s="622"/>
      <c r="K22" s="622"/>
      <c r="L22" s="622"/>
      <c r="M22" s="622"/>
      <c r="N22" s="622"/>
      <c r="O22" s="622"/>
      <c r="P22" s="622"/>
      <c r="Q22" s="622"/>
    </row>
    <row r="23" spans="1:17" x14ac:dyDescent="0.35">
      <c r="A23" s="622" t="s">
        <v>2048</v>
      </c>
      <c r="B23" s="622"/>
      <c r="C23" s="622"/>
      <c r="D23" s="622"/>
      <c r="E23" s="622"/>
      <c r="F23" s="622"/>
      <c r="G23" s="622"/>
      <c r="H23" s="622"/>
      <c r="I23" s="622"/>
      <c r="J23" s="622"/>
      <c r="K23" s="622"/>
      <c r="L23" s="622"/>
      <c r="M23" s="622"/>
      <c r="N23" s="622"/>
      <c r="O23" s="622"/>
      <c r="P23" s="622"/>
      <c r="Q23" s="622"/>
    </row>
    <row r="24" spans="1:17" x14ac:dyDescent="0.35">
      <c r="A24" s="624"/>
      <c r="B24" s="624"/>
      <c r="C24" s="624"/>
      <c r="D24" s="624"/>
      <c r="E24" s="624"/>
      <c r="F24" s="624"/>
      <c r="G24" s="624"/>
      <c r="H24" s="624"/>
      <c r="I24" s="624"/>
      <c r="J24" s="622"/>
      <c r="K24" s="622"/>
      <c r="L24" s="622"/>
      <c r="M24" s="622"/>
      <c r="N24" s="622"/>
      <c r="O24" s="622"/>
      <c r="P24" s="622"/>
      <c r="Q24" s="622"/>
    </row>
    <row r="25" spans="1:17" x14ac:dyDescent="0.35">
      <c r="A25" s="622" t="s">
        <v>2081</v>
      </c>
      <c r="B25" s="622"/>
      <c r="C25" s="622"/>
      <c r="D25" s="622">
        <f>D13*4/$H$3</f>
        <v>-70.769230769230774</v>
      </c>
      <c r="E25" s="622">
        <f t="shared" ref="E25:H25" si="4">E13*4/$H$3</f>
        <v>43.076923076923073</v>
      </c>
      <c r="F25" s="622">
        <f t="shared" si="4"/>
        <v>0</v>
      </c>
      <c r="G25" s="622">
        <f t="shared" si="4"/>
        <v>0</v>
      </c>
      <c r="H25" s="622">
        <f t="shared" si="4"/>
        <v>0</v>
      </c>
      <c r="I25" s="622"/>
      <c r="J25" s="622"/>
      <c r="K25" s="622"/>
      <c r="L25" s="622"/>
      <c r="M25" s="622"/>
      <c r="N25" s="622"/>
      <c r="O25" s="622"/>
      <c r="P25" s="622"/>
      <c r="Q25" s="622"/>
    </row>
    <row r="26" spans="1:17" x14ac:dyDescent="0.35">
      <c r="A26" s="622"/>
      <c r="B26" s="622"/>
      <c r="C26" s="624"/>
      <c r="D26" s="622"/>
      <c r="E26" s="622"/>
      <c r="F26" s="622"/>
      <c r="G26" s="622"/>
      <c r="H26" s="622"/>
      <c r="I26" s="622"/>
      <c r="J26" s="622"/>
      <c r="K26" s="622"/>
      <c r="L26" s="622"/>
      <c r="M26" s="622"/>
      <c r="N26" s="622"/>
      <c r="O26" s="622"/>
      <c r="P26" s="622"/>
      <c r="Q26" s="622"/>
    </row>
    <row r="27" spans="1:17" x14ac:dyDescent="0.35">
      <c r="A27" s="622"/>
      <c r="B27" s="622"/>
      <c r="C27" s="622"/>
      <c r="D27" s="622"/>
      <c r="E27" s="622"/>
      <c r="F27" s="622"/>
      <c r="G27" s="622"/>
      <c r="H27" s="622"/>
      <c r="I27" s="622"/>
      <c r="J27" s="622"/>
      <c r="K27" s="622"/>
      <c r="L27" s="622"/>
      <c r="M27" s="622"/>
      <c r="N27" s="622"/>
      <c r="O27" s="622"/>
      <c r="P27" s="622"/>
      <c r="Q27" s="622"/>
    </row>
    <row r="28" spans="1:17" x14ac:dyDescent="0.35">
      <c r="A28" s="622"/>
      <c r="B28" s="622"/>
      <c r="C28" s="622"/>
      <c r="D28" s="625"/>
      <c r="E28" s="625"/>
      <c r="F28" s="625"/>
      <c r="G28" s="625"/>
      <c r="H28" s="625"/>
      <c r="I28" s="622"/>
      <c r="J28" s="622"/>
      <c r="K28" s="622"/>
      <c r="L28" s="622"/>
      <c r="M28" s="622"/>
      <c r="N28" s="622"/>
      <c r="O28" s="622"/>
      <c r="P28" s="622"/>
      <c r="Q28" s="622"/>
    </row>
    <row r="29" spans="1:17" x14ac:dyDescent="0.35">
      <c r="A29" s="622"/>
      <c r="B29" s="622"/>
      <c r="C29" s="622"/>
      <c r="D29" s="622"/>
      <c r="E29" s="622"/>
      <c r="F29" s="622"/>
      <c r="G29" s="622"/>
      <c r="H29" s="622"/>
      <c r="I29" s="622"/>
      <c r="J29" s="622"/>
      <c r="K29" s="622"/>
      <c r="L29" s="622"/>
      <c r="M29" s="622"/>
      <c r="N29" s="622"/>
      <c r="O29" s="622"/>
      <c r="P29" s="622"/>
      <c r="Q29" s="622"/>
    </row>
    <row r="30" spans="1:17" x14ac:dyDescent="0.35">
      <c r="A30" s="622"/>
      <c r="B30" s="622"/>
      <c r="C30" s="622"/>
      <c r="D30" s="625"/>
      <c r="E30" s="622"/>
      <c r="F30" s="622"/>
      <c r="G30" s="622"/>
      <c r="H30" s="622"/>
      <c r="I30" s="622"/>
      <c r="J30" s="622"/>
      <c r="K30" s="622"/>
      <c r="L30" s="622"/>
      <c r="M30" s="622"/>
      <c r="N30" s="622"/>
      <c r="O30" s="622"/>
      <c r="P30" s="622"/>
      <c r="Q30" s="622"/>
    </row>
    <row r="31" spans="1:17" x14ac:dyDescent="0.35">
      <c r="A31" s="622"/>
      <c r="B31" s="622"/>
      <c r="C31" s="622"/>
      <c r="D31" s="622"/>
      <c r="E31" s="622"/>
      <c r="F31" s="622"/>
      <c r="G31" s="622"/>
      <c r="H31" s="622"/>
      <c r="I31" s="622"/>
      <c r="J31" s="622"/>
      <c r="K31" s="622"/>
      <c r="L31" s="622"/>
      <c r="M31" s="622"/>
      <c r="N31" s="622"/>
      <c r="O31" s="622"/>
      <c r="P31" s="622"/>
      <c r="Q31" s="622"/>
    </row>
  </sheetData>
  <mergeCells count="1">
    <mergeCell ref="D1:E1"/>
  </mergeCells>
  <pageMargins left="0.7" right="0.7" top="0.75" bottom="0.75" header="0.3" footer="0.3"/>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115" zoomScaleNormal="115" workbookViewId="0">
      <pane xSplit="3" ySplit="10" topLeftCell="AB11" activePane="bottomRight" state="frozen"/>
      <selection pane="topRight" activeCell="D1" sqref="D1"/>
      <selection pane="bottomLeft" activeCell="A11" sqref="A11"/>
      <selection pane="bottomRight" activeCell="AH15" sqref="AH15"/>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15" t="s">
        <v>43</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9" customHeight="1" x14ac:dyDescent="0.35">
      <c r="B2" s="1435" t="s">
        <v>816</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40" ht="14.9" customHeight="1"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40" ht="5.9" customHeight="1"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40" ht="1.5" customHeight="1" x14ac:dyDescent="0.35">
      <c r="B5" s="1435"/>
      <c r="C5" s="1435"/>
      <c r="D5" s="1435"/>
      <c r="E5" s="1435"/>
      <c r="F5" s="1435"/>
      <c r="G5" s="1435"/>
      <c r="H5" s="1435"/>
      <c r="I5" s="1435"/>
      <c r="J5" s="1435"/>
      <c r="K5" s="1435"/>
      <c r="L5" s="1435"/>
      <c r="M5" s="1435"/>
      <c r="N5" s="1435"/>
      <c r="O5" s="1435"/>
      <c r="P5" s="1435"/>
      <c r="Q5" s="1435"/>
      <c r="R5" s="1435"/>
      <c r="S5" s="1435"/>
      <c r="T5" s="1435"/>
      <c r="U5" s="1435"/>
      <c r="V5" s="1435"/>
      <c r="W5" s="1435"/>
      <c r="X5" s="1435"/>
      <c r="Y5" s="1435"/>
      <c r="Z5" s="1435"/>
      <c r="AA5" s="1435"/>
      <c r="AB5" s="1435"/>
      <c r="AC5" s="1435"/>
    </row>
    <row r="6" spans="2:40" ht="14.9" customHeight="1" x14ac:dyDescent="0.35">
      <c r="B6" s="1435"/>
      <c r="C6" s="1435"/>
      <c r="D6" s="1435"/>
      <c r="E6" s="1435"/>
      <c r="F6" s="1435"/>
      <c r="G6" s="1435"/>
      <c r="H6" s="1435"/>
      <c r="I6" s="1435"/>
      <c r="J6" s="1435"/>
      <c r="K6" s="1435"/>
      <c r="L6" s="1435"/>
      <c r="M6" s="1435"/>
      <c r="N6" s="1435"/>
      <c r="O6" s="1435"/>
      <c r="P6" s="1435"/>
      <c r="Q6" s="1435"/>
      <c r="R6" s="1435"/>
      <c r="S6" s="1435"/>
      <c r="T6" s="1435"/>
      <c r="U6" s="1435"/>
      <c r="V6" s="1435"/>
      <c r="W6" s="1435"/>
      <c r="X6" s="1435"/>
      <c r="Y6" s="1435"/>
      <c r="Z6" s="1435"/>
      <c r="AA6" s="1435"/>
      <c r="AB6" s="1435"/>
      <c r="AC6" s="1435"/>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17" t="s">
        <v>369</v>
      </c>
      <c r="C8" s="1418"/>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38"/>
      <c r="AD8" s="1439"/>
      <c r="AE8" s="1439"/>
      <c r="AF8" s="1440"/>
      <c r="AG8" s="1397" t="s">
        <v>247</v>
      </c>
      <c r="AH8" s="1398"/>
      <c r="AI8" s="1398"/>
      <c r="AJ8" s="1398"/>
      <c r="AK8" s="1398"/>
      <c r="AL8" s="1398"/>
      <c r="AM8" s="1398"/>
      <c r="AN8" s="1399"/>
    </row>
    <row r="9" spans="2:40" x14ac:dyDescent="0.35">
      <c r="B9" s="1419"/>
      <c r="C9" s="1420"/>
      <c r="D9" s="244">
        <v>2018</v>
      </c>
      <c r="E9" s="1423">
        <v>2019</v>
      </c>
      <c r="F9" s="1424"/>
      <c r="G9" s="1424"/>
      <c r="H9" s="1425"/>
      <c r="I9" s="1423">
        <v>2020</v>
      </c>
      <c r="J9" s="1424"/>
      <c r="K9" s="1424"/>
      <c r="L9" s="1424"/>
      <c r="M9" s="1423">
        <v>2021</v>
      </c>
      <c r="N9" s="1424"/>
      <c r="O9" s="1424"/>
      <c r="P9" s="1424"/>
      <c r="Q9" s="1403">
        <v>2022</v>
      </c>
      <c r="R9" s="1404"/>
      <c r="S9" s="1404"/>
      <c r="T9" s="1404"/>
      <c r="U9" s="1403">
        <v>2023</v>
      </c>
      <c r="V9" s="1404"/>
      <c r="W9" s="1404"/>
      <c r="X9" s="1405"/>
      <c r="Y9" s="283"/>
      <c r="Z9" s="282">
        <v>2024</v>
      </c>
      <c r="AA9" s="282"/>
      <c r="AB9" s="279"/>
      <c r="AC9" s="1403">
        <v>2025</v>
      </c>
      <c r="AD9" s="1413"/>
      <c r="AE9" s="1413"/>
      <c r="AF9" s="1405"/>
      <c r="AG9" s="1410">
        <v>2026</v>
      </c>
      <c r="AH9" s="1428"/>
      <c r="AI9" s="1428"/>
      <c r="AJ9" s="1412"/>
      <c r="AK9" s="1410">
        <v>2027</v>
      </c>
      <c r="AL9" s="1428"/>
      <c r="AM9" s="1428"/>
      <c r="AN9" s="1412"/>
    </row>
    <row r="10" spans="2:40" x14ac:dyDescent="0.35">
      <c r="B10" s="1421"/>
      <c r="C10" s="1422"/>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52" t="s">
        <v>822</v>
      </c>
      <c r="C11" s="75" t="s">
        <v>484</v>
      </c>
      <c r="D11" s="626"/>
      <c r="E11" s="658"/>
      <c r="F11" s="662">
        <v>60.5</v>
      </c>
      <c r="G11" s="662">
        <v>81.400000000000006</v>
      </c>
      <c r="H11" s="662">
        <f>'Haver Pivoted'!GS42</f>
        <v>82.1</v>
      </c>
      <c r="I11" s="662">
        <f>'Haver Pivoted'!GT42</f>
        <v>80</v>
      </c>
      <c r="J11" s="662">
        <f>'Haver Pivoted'!GU42</f>
        <v>1031.8</v>
      </c>
      <c r="K11" s="662">
        <f>'Haver Pivoted'!GV42</f>
        <v>1163.3</v>
      </c>
      <c r="L11" s="662">
        <f>'Haver Pivoted'!GW42</f>
        <v>516.4</v>
      </c>
      <c r="M11" s="662">
        <f>'Haver Pivoted'!GX42</f>
        <v>534.29999999999995</v>
      </c>
      <c r="N11" s="662">
        <f>'Haver Pivoted'!GY42</f>
        <v>838.2</v>
      </c>
      <c r="O11" s="662">
        <f>'Haver Pivoted'!GZ42</f>
        <v>689.7</v>
      </c>
      <c r="P11" s="662">
        <f>'Haver Pivoted'!HA42</f>
        <v>429.7</v>
      </c>
      <c r="Q11" s="662">
        <f>'Haver Pivoted'!HB42</f>
        <v>151</v>
      </c>
      <c r="R11" s="662">
        <f>'Haver Pivoted'!HC42</f>
        <v>129.4</v>
      </c>
      <c r="S11" s="663">
        <f>'Haver Pivoted'!HD42</f>
        <v>118.4</v>
      </c>
      <c r="T11" s="663">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370</v>
      </c>
      <c r="C12" s="75"/>
      <c r="D12" s="652"/>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2409</v>
      </c>
      <c r="C13" s="75"/>
      <c r="D13" s="652"/>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566">
        <v>10</v>
      </c>
      <c r="AH13" s="455">
        <v>10</v>
      </c>
      <c r="AI13" s="455">
        <v>10</v>
      </c>
      <c r="AJ13" s="455">
        <v>10</v>
      </c>
      <c r="AK13" s="455">
        <v>10</v>
      </c>
      <c r="AL13" s="455">
        <v>10</v>
      </c>
      <c r="AM13" s="455">
        <v>10</v>
      </c>
      <c r="AN13" s="455">
        <v>10</v>
      </c>
    </row>
    <row r="14" spans="2:40" x14ac:dyDescent="0.35">
      <c r="B14" s="528" t="s">
        <v>371</v>
      </c>
      <c r="C14" s="75"/>
      <c r="D14" s="652"/>
      <c r="E14" s="75"/>
      <c r="F14" s="660"/>
      <c r="G14" s="660"/>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70">
        <f>'Haver Pivoted'!HH49</f>
        <v>0</v>
      </c>
      <c r="X15" s="670">
        <f>'Haver Pivoted'!HI49</f>
        <v>0</v>
      </c>
      <c r="Y15" s="670">
        <f>'Haver Pivoted'!HJ49</f>
        <v>0</v>
      </c>
      <c r="Z15" s="670">
        <f>'Haver Pivoted'!HK49</f>
        <v>0</v>
      </c>
      <c r="AA15" s="670">
        <f>'Haver Pivoted'!HL49</f>
        <v>0</v>
      </c>
      <c r="AB15" s="670">
        <f>'Haver Pivoted'!HM49</f>
        <v>0</v>
      </c>
      <c r="AC15" s="670">
        <f>'Haver Pivoted'!HN49</f>
        <v>0</v>
      </c>
      <c r="AD15" s="670">
        <f>'Haver Pivoted'!HO49</f>
        <v>0</v>
      </c>
      <c r="AE15" s="670">
        <f>'Haver Pivoted'!HP49</f>
        <v>0</v>
      </c>
      <c r="AF15" s="670">
        <f>'Haver Pivoted'!HQ49</f>
        <v>0</v>
      </c>
      <c r="AG15" s="353"/>
      <c r="AH15" s="353"/>
      <c r="AI15" s="353"/>
      <c r="AJ15" s="353"/>
      <c r="AK15" s="353"/>
      <c r="AL15" s="353"/>
      <c r="AM15" s="353"/>
      <c r="AN15" s="353"/>
    </row>
    <row r="16" spans="2:40" x14ac:dyDescent="0.35">
      <c r="B16" s="528" t="s">
        <v>372</v>
      </c>
      <c r="C16" s="75"/>
      <c r="D16" s="652"/>
      <c r="E16" s="75"/>
      <c r="F16" s="660"/>
      <c r="G16" s="660"/>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41">
        <f t="shared" si="9"/>
        <v>0.2</v>
      </c>
      <c r="Z16" s="641">
        <f t="shared" si="9"/>
        <v>0.2</v>
      </c>
      <c r="AA16" s="641">
        <f t="shared" si="9"/>
        <v>0.2</v>
      </c>
      <c r="AB16" s="641">
        <f t="shared" si="9"/>
        <v>0</v>
      </c>
      <c r="AC16" s="641">
        <f t="shared" si="9"/>
        <v>0</v>
      </c>
      <c r="AD16" s="641">
        <f t="shared" ref="AD16:AE16" si="10">SUM(AD17:AD26)</f>
        <v>0</v>
      </c>
      <c r="AE16" s="641">
        <f t="shared" si="10"/>
        <v>0</v>
      </c>
      <c r="AF16" s="641">
        <f>SUM(AF17:AF28)</f>
        <v>9.532</v>
      </c>
      <c r="AG16" s="641">
        <f t="shared" ref="AG16:AN16" si="11">SUM(AG17:AG28)</f>
        <v>9.532</v>
      </c>
      <c r="AH16" s="641">
        <f t="shared" si="11"/>
        <v>9.532</v>
      </c>
      <c r="AI16" s="641">
        <f t="shared" si="11"/>
        <v>9.532</v>
      </c>
      <c r="AJ16" s="641">
        <f t="shared" si="11"/>
        <v>9.532</v>
      </c>
      <c r="AK16" s="641">
        <f t="shared" si="11"/>
        <v>9.532</v>
      </c>
      <c r="AL16" s="641">
        <f t="shared" si="11"/>
        <v>9.532</v>
      </c>
      <c r="AM16" s="641">
        <f t="shared" si="11"/>
        <v>9.532</v>
      </c>
      <c r="AN16" s="641">
        <f t="shared" si="11"/>
        <v>9.532</v>
      </c>
    </row>
    <row r="17" spans="2:40" x14ac:dyDescent="0.35">
      <c r="B17" s="649" t="s">
        <v>133</v>
      </c>
      <c r="C17" s="59" t="s">
        <v>373</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70">
        <f>'Haver Pivoted'!HH53</f>
        <v>0</v>
      </c>
      <c r="X17" s="670">
        <f>'Haver Pivoted'!HI53</f>
        <v>0</v>
      </c>
      <c r="Y17" s="670">
        <f>'Haver Pivoted'!HJ53</f>
        <v>0</v>
      </c>
      <c r="Z17" s="670">
        <f>'Haver Pivoted'!HK53</f>
        <v>0</v>
      </c>
      <c r="AA17" s="670">
        <f>'Haver Pivoted'!HL53</f>
        <v>0</v>
      </c>
      <c r="AB17" s="670">
        <f>'Haver Pivoted'!HM53</f>
        <v>0</v>
      </c>
      <c r="AC17" s="670">
        <f>'Haver Pivoted'!HN53</f>
        <v>0</v>
      </c>
      <c r="AD17" s="670">
        <f>'Haver Pivoted'!HO53</f>
        <v>0</v>
      </c>
      <c r="AE17" s="670">
        <f>'Haver Pivoted'!HP53</f>
        <v>0</v>
      </c>
      <c r="AF17" s="670">
        <f>'Haver Pivoted'!HQ53</f>
        <v>0</v>
      </c>
      <c r="AG17" s="353"/>
      <c r="AH17" s="353"/>
      <c r="AI17" s="353"/>
      <c r="AJ17" s="353"/>
      <c r="AK17" s="353"/>
      <c r="AL17" s="353"/>
      <c r="AM17" s="353"/>
      <c r="AN17" s="353"/>
    </row>
    <row r="18" spans="2:40" x14ac:dyDescent="0.35">
      <c r="B18" s="649" t="s">
        <v>131</v>
      </c>
      <c r="C18" s="59" t="s">
        <v>374</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70">
        <f>'Haver Pivoted'!HH51</f>
        <v>0</v>
      </c>
      <c r="X18" s="670">
        <f>'Haver Pivoted'!HI51</f>
        <v>0</v>
      </c>
      <c r="Y18" s="670">
        <f>'Haver Pivoted'!HJ51</f>
        <v>0</v>
      </c>
      <c r="Z18" s="670">
        <f>'Haver Pivoted'!HK51</f>
        <v>0</v>
      </c>
      <c r="AA18" s="670">
        <f>'Haver Pivoted'!HL51</f>
        <v>0</v>
      </c>
      <c r="AB18" s="670">
        <f>'Haver Pivoted'!HM51</f>
        <v>0</v>
      </c>
      <c r="AC18" s="670">
        <f>'Haver Pivoted'!HN51</f>
        <v>0</v>
      </c>
      <c r="AD18" s="670">
        <f>'Haver Pivoted'!HO51</f>
        <v>0</v>
      </c>
      <c r="AE18" s="670">
        <f>'Haver Pivoted'!HP51</f>
        <v>0</v>
      </c>
      <c r="AF18" s="670">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49" t="s">
        <v>130</v>
      </c>
      <c r="C19" s="56" t="s">
        <v>375</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70">
        <f>'Haver Pivoted'!HH50</f>
        <v>0</v>
      </c>
      <c r="X19" s="670">
        <f>'Haver Pivoted'!HI50</f>
        <v>0</v>
      </c>
      <c r="Y19" s="670">
        <f>'Haver Pivoted'!HJ50</f>
        <v>0</v>
      </c>
      <c r="Z19" s="670">
        <f>'Haver Pivoted'!HK50</f>
        <v>0</v>
      </c>
      <c r="AA19" s="670">
        <f>'Haver Pivoted'!HL50</f>
        <v>0</v>
      </c>
      <c r="AB19" s="670">
        <f>'Haver Pivoted'!HM50</f>
        <v>0</v>
      </c>
      <c r="AC19" s="670">
        <f>'Haver Pivoted'!HN50</f>
        <v>0</v>
      </c>
      <c r="AD19" s="670">
        <f>'Haver Pivoted'!HO50</f>
        <v>0</v>
      </c>
      <c r="AE19" s="670">
        <f>'Haver Pivoted'!HP50</f>
        <v>0</v>
      </c>
      <c r="AF19" s="670">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49" t="s">
        <v>376</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70">
        <f>'Haver Pivoted'!HH54</f>
        <v>0</v>
      </c>
      <c r="X20" s="670">
        <f>'Haver Pivoted'!HI54</f>
        <v>0</v>
      </c>
      <c r="Y20" s="670">
        <f>'Haver Pivoted'!HJ54</f>
        <v>0</v>
      </c>
      <c r="Z20" s="670">
        <f>'Haver Pivoted'!HK54</f>
        <v>0</v>
      </c>
      <c r="AA20" s="670">
        <f>'Haver Pivoted'!HL54</f>
        <v>0</v>
      </c>
      <c r="AB20" s="670">
        <f>'Haver Pivoted'!HM54</f>
        <v>0</v>
      </c>
      <c r="AC20" s="670">
        <f>'Haver Pivoted'!HN54</f>
        <v>0</v>
      </c>
      <c r="AD20" s="670">
        <f>'Haver Pivoted'!HO54</f>
        <v>0</v>
      </c>
      <c r="AE20" s="670">
        <f>'Haver Pivoted'!HP54</f>
        <v>0</v>
      </c>
      <c r="AF20" s="670">
        <f>'Haver Pivoted'!HQ54</f>
        <v>0</v>
      </c>
      <c r="AG20" s="353"/>
      <c r="AH20" s="353"/>
      <c r="AI20" s="353"/>
      <c r="AJ20" s="353"/>
      <c r="AK20" s="353"/>
      <c r="AL20" s="353"/>
      <c r="AM20" s="353"/>
      <c r="AN20" s="353"/>
    </row>
    <row r="21" spans="2:40" x14ac:dyDescent="0.35">
      <c r="B21" s="649" t="s">
        <v>132</v>
      </c>
      <c r="C21" s="56" t="s">
        <v>377</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49" t="s">
        <v>136</v>
      </c>
      <c r="C22" s="56" t="s">
        <v>378</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70">
        <f>'Haver Pivoted'!HH55</f>
        <v>0</v>
      </c>
      <c r="X22" s="670">
        <f>'Haver Pivoted'!HI55</f>
        <v>0</v>
      </c>
      <c r="Y22" s="670">
        <f>'Haver Pivoted'!HJ55</f>
        <v>0</v>
      </c>
      <c r="Z22" s="670">
        <f>'Haver Pivoted'!HK55</f>
        <v>0</v>
      </c>
      <c r="AA22" s="670">
        <f>'Haver Pivoted'!HL55</f>
        <v>0</v>
      </c>
      <c r="AB22" s="670">
        <f>'Haver Pivoted'!HM55</f>
        <v>0</v>
      </c>
      <c r="AC22" s="670">
        <f>'Haver Pivoted'!HN55</f>
        <v>0</v>
      </c>
      <c r="AD22" s="670">
        <f>'Haver Pivoted'!HO55</f>
        <v>0</v>
      </c>
      <c r="AE22" s="670">
        <f>'Haver Pivoted'!HP55</f>
        <v>0</v>
      </c>
      <c r="AF22" s="670">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49" t="s">
        <v>379</v>
      </c>
      <c r="C23" s="56" t="s">
        <v>752</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70">
        <f>'Haver Pivoted'!HH87</f>
        <v>0</v>
      </c>
      <c r="X23" s="670">
        <f>'Haver Pivoted'!HI87</f>
        <v>0</v>
      </c>
      <c r="Y23" s="670">
        <f>'Haver Pivoted'!HJ87</f>
        <v>0</v>
      </c>
      <c r="Z23" s="670">
        <f>'Haver Pivoted'!HK87</f>
        <v>0</v>
      </c>
      <c r="AA23" s="670">
        <f>'Haver Pivoted'!HL87</f>
        <v>0</v>
      </c>
      <c r="AB23" s="670">
        <f>'Haver Pivoted'!HM87</f>
        <v>0</v>
      </c>
      <c r="AC23" s="670">
        <f>'Haver Pivoted'!HN87</f>
        <v>0</v>
      </c>
      <c r="AD23" s="670">
        <f>'Haver Pivoted'!HO87</f>
        <v>0</v>
      </c>
      <c r="AE23" s="670">
        <f>'Haver Pivoted'!HP87</f>
        <v>0</v>
      </c>
      <c r="AF23" s="670">
        <f>'Haver Pivoted'!HQ87</f>
        <v>0</v>
      </c>
      <c r="AG23" s="455">
        <v>0</v>
      </c>
      <c r="AH23" s="455">
        <v>0</v>
      </c>
      <c r="AI23" s="455">
        <v>0</v>
      </c>
      <c r="AJ23" s="455">
        <v>0</v>
      </c>
      <c r="AK23" s="455">
        <v>0</v>
      </c>
      <c r="AL23" s="455">
        <v>0</v>
      </c>
      <c r="AM23" s="455">
        <v>0</v>
      </c>
      <c r="AN23" s="455">
        <v>0</v>
      </c>
    </row>
    <row r="24" spans="2:40" x14ac:dyDescent="0.35">
      <c r="B24" s="649" t="s">
        <v>380</v>
      </c>
      <c r="C24" s="56" t="s">
        <v>751</v>
      </c>
      <c r="D24" s="469"/>
      <c r="E24" s="56"/>
      <c r="F24" s="74"/>
      <c r="G24" s="661"/>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70">
        <f>'Haver Pivoted'!HH86</f>
        <v>0</v>
      </c>
      <c r="X24" s="670">
        <f>'Haver Pivoted'!HI86</f>
        <v>0</v>
      </c>
      <c r="Y24" s="670">
        <f>'Haver Pivoted'!HJ86</f>
        <v>0</v>
      </c>
      <c r="Z24" s="670">
        <f>'Haver Pivoted'!HK86</f>
        <v>0</v>
      </c>
      <c r="AA24" s="670">
        <f>'Haver Pivoted'!HL86</f>
        <v>0</v>
      </c>
      <c r="AB24" s="670">
        <f>'Haver Pivoted'!HM86</f>
        <v>0</v>
      </c>
      <c r="AC24" s="670">
        <f>'Haver Pivoted'!HN86</f>
        <v>0</v>
      </c>
      <c r="AD24" s="670">
        <f>'Haver Pivoted'!HO86</f>
        <v>0</v>
      </c>
      <c r="AE24" s="670">
        <f>'Haver Pivoted'!HP86</f>
        <v>0</v>
      </c>
      <c r="AF24" s="670">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49" t="s">
        <v>381</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49" t="s">
        <v>382</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49" t="s">
        <v>1330</v>
      </c>
      <c r="C27" s="56"/>
      <c r="D27" s="469"/>
      <c r="E27" s="56"/>
      <c r="F27" s="57"/>
      <c r="G27" s="57"/>
      <c r="H27" s="365"/>
      <c r="I27" s="365"/>
      <c r="J27" s="365"/>
      <c r="K27" s="365"/>
      <c r="L27" s="365"/>
      <c r="M27" s="365"/>
      <c r="N27" s="57"/>
      <c r="O27" s="57"/>
      <c r="P27" s="57"/>
      <c r="Q27" s="57"/>
      <c r="R27" s="57"/>
      <c r="S27" s="633">
        <f>'IRA and CHIPS'!E198</f>
        <v>0</v>
      </c>
      <c r="T27" s="633">
        <f>'IRA and CHIPS'!F198</f>
        <v>2.3250000000000002</v>
      </c>
      <c r="U27" s="633">
        <f>'IRA and CHIPS'!G198</f>
        <v>2.3250000000000002</v>
      </c>
      <c r="V27" s="633">
        <f>'IRA and CHIPS'!H198</f>
        <v>2.3250000000000002</v>
      </c>
      <c r="W27" s="629">
        <f>'IRA and CHIPS'!I198</f>
        <v>2.3250000000000002</v>
      </c>
      <c r="X27" s="633">
        <f>'IRA and CHIPS'!J198</f>
        <v>5.5830000000000002</v>
      </c>
      <c r="Y27" s="642">
        <f>'IRA and CHIPS'!K198</f>
        <v>5.5830000000000002</v>
      </c>
      <c r="Z27" s="642">
        <f>'IRA and CHIPS'!L198</f>
        <v>5.5830000000000002</v>
      </c>
      <c r="AA27" s="642">
        <f>'IRA and CHIPS'!M198</f>
        <v>5.5830000000000002</v>
      </c>
      <c r="AB27" s="642">
        <f>'IRA and CHIPS'!N198</f>
        <v>8.0220000000000002</v>
      </c>
      <c r="AC27" s="642">
        <f>'IRA and CHIPS'!O198</f>
        <v>8.0220000000000002</v>
      </c>
      <c r="AD27" s="642">
        <f>'IRA and CHIPS'!P198</f>
        <v>0</v>
      </c>
      <c r="AE27" s="642">
        <f>'IRA and CHIPS'!Q198</f>
        <v>0</v>
      </c>
      <c r="AF27" s="642">
        <f>'IRA and CHIPS'!R198</f>
        <v>0</v>
      </c>
      <c r="AG27" s="642">
        <f>'IRA and CHIPS'!S198</f>
        <v>0</v>
      </c>
      <c r="AH27" s="642">
        <f>'IRA and CHIPS'!T198</f>
        <v>0</v>
      </c>
      <c r="AI27" s="642">
        <f>'IRA and CHIPS'!U198</f>
        <v>0</v>
      </c>
      <c r="AJ27" s="642">
        <f>'IRA and CHIPS'!V198</f>
        <v>0</v>
      </c>
      <c r="AK27" s="642">
        <f>'IRA and CHIPS'!W198</f>
        <v>0</v>
      </c>
      <c r="AL27" s="642">
        <f>'IRA and CHIPS'!X198</f>
        <v>0</v>
      </c>
      <c r="AM27" s="642">
        <f>'IRA and CHIPS'!Y198</f>
        <v>0</v>
      </c>
      <c r="AN27" s="642">
        <f>'IRA and CHIPS'!Z198</f>
        <v>0</v>
      </c>
    </row>
    <row r="28" spans="2:40" x14ac:dyDescent="0.35">
      <c r="B28" s="649" t="s">
        <v>1138</v>
      </c>
      <c r="C28" s="496"/>
      <c r="D28" s="494"/>
      <c r="E28" s="496"/>
      <c r="F28" s="501"/>
      <c r="G28" s="501"/>
      <c r="H28" s="619"/>
      <c r="I28" s="619"/>
      <c r="J28" s="619"/>
      <c r="K28" s="619"/>
      <c r="L28" s="619"/>
      <c r="M28" s="619"/>
      <c r="N28" s="501"/>
      <c r="O28" s="501"/>
      <c r="P28" s="501"/>
      <c r="Q28" s="501"/>
      <c r="R28" s="501"/>
      <c r="S28" s="634">
        <f>'IRA and CHIPS'!E187</f>
        <v>0</v>
      </c>
      <c r="T28" s="634">
        <f>'IRA and CHIPS'!F187</f>
        <v>1.2969999999999999</v>
      </c>
      <c r="U28" s="634">
        <f>'IRA and CHIPS'!G187</f>
        <v>1.2969999999999999</v>
      </c>
      <c r="V28" s="634">
        <f>'IRA and CHIPS'!H187</f>
        <v>1.2969999999999999</v>
      </c>
      <c r="W28" s="630">
        <f>'IRA and CHIPS'!I187</f>
        <v>1.2969999999999999</v>
      </c>
      <c r="X28" s="634">
        <f>'IRA and CHIPS'!J187</f>
        <v>3.8479999999999999</v>
      </c>
      <c r="Y28" s="650">
        <f>'IRA and CHIPS'!K187</f>
        <v>3.8479999999999999</v>
      </c>
      <c r="Z28" s="650">
        <f>'IRA and CHIPS'!L187</f>
        <v>3.8479999999999999</v>
      </c>
      <c r="AA28" s="650">
        <f>'IRA and CHIPS'!M187</f>
        <v>3.8479999999999999</v>
      </c>
      <c r="AB28" s="650">
        <f>'IRA and CHIPS'!N187</f>
        <v>6.4420000000000002</v>
      </c>
      <c r="AC28" s="650">
        <f>'IRA and CHIPS'!O187</f>
        <v>6.4420000000000002</v>
      </c>
      <c r="AD28" s="650">
        <f>'IRA and CHIPS'!P187</f>
        <v>6.4420000000000002</v>
      </c>
      <c r="AE28" s="650">
        <f>'IRA and CHIPS'!Q187</f>
        <v>6.4420000000000002</v>
      </c>
      <c r="AF28" s="650">
        <f>'IRA and CHIPS'!R187</f>
        <v>9.532</v>
      </c>
      <c r="AG28" s="650">
        <f>'IRA and CHIPS'!S187</f>
        <v>9.532</v>
      </c>
      <c r="AH28" s="650">
        <f>AG28</f>
        <v>9.532</v>
      </c>
      <c r="AI28" s="650">
        <f t="shared" ref="AI28:AJ28" si="51">AH28</f>
        <v>9.532</v>
      </c>
      <c r="AJ28" s="650">
        <f t="shared" si="51"/>
        <v>9.532</v>
      </c>
      <c r="AK28" s="650">
        <f t="shared" ref="AK28" si="52">AJ28</f>
        <v>9.532</v>
      </c>
      <c r="AL28" s="650">
        <f t="shared" ref="AL28" si="53">AK28</f>
        <v>9.532</v>
      </c>
      <c r="AM28" s="650">
        <f t="shared" ref="AM28" si="54">AL28</f>
        <v>9.532</v>
      </c>
      <c r="AN28" s="650">
        <f t="shared" ref="AN28" si="55">AM28</f>
        <v>9.532</v>
      </c>
    </row>
    <row r="29" spans="2:40" ht="15" customHeight="1" x14ac:dyDescent="0.35">
      <c r="B29" s="1471" t="s">
        <v>383</v>
      </c>
      <c r="C29" s="1472"/>
      <c r="D29" s="651"/>
      <c r="E29" s="627"/>
      <c r="F29" s="627"/>
      <c r="G29" s="627"/>
      <c r="H29" s="57"/>
      <c r="I29" s="57"/>
      <c r="J29" s="57"/>
      <c r="K29" s="57"/>
      <c r="L29" s="57"/>
      <c r="M29" s="57"/>
      <c r="N29" s="57"/>
      <c r="O29" s="57"/>
      <c r="P29" s="536"/>
      <c r="Q29" s="57"/>
      <c r="R29" s="57"/>
      <c r="S29" s="57"/>
      <c r="T29" s="57"/>
      <c r="U29" s="57"/>
      <c r="V29" s="632"/>
      <c r="W29" s="632"/>
      <c r="X29" s="632"/>
      <c r="Y29" s="636"/>
      <c r="Z29" s="636"/>
      <c r="AA29" s="636"/>
      <c r="AB29" s="636"/>
      <c r="AC29" s="636"/>
      <c r="AD29" s="353"/>
      <c r="AE29" s="643"/>
      <c r="AF29" s="643"/>
      <c r="AG29" s="353"/>
      <c r="AH29" s="353"/>
      <c r="AI29" s="353"/>
      <c r="AJ29" s="353"/>
      <c r="AK29" s="353"/>
      <c r="AL29" s="353"/>
      <c r="AM29" s="353"/>
      <c r="AN29" s="353"/>
    </row>
    <row r="30" spans="2:40" x14ac:dyDescent="0.35">
      <c r="B30" s="528" t="s">
        <v>384</v>
      </c>
      <c r="C30" s="399"/>
      <c r="D30" s="606"/>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43"/>
      <c r="AF30" s="643"/>
      <c r="AG30" s="353"/>
      <c r="AH30" s="353"/>
      <c r="AI30" s="353"/>
      <c r="AJ30" s="353"/>
      <c r="AK30" s="353"/>
      <c r="AL30" s="353"/>
      <c r="AM30" s="353"/>
      <c r="AN30" s="353"/>
    </row>
    <row r="31" spans="2:40" x14ac:dyDescent="0.35">
      <c r="B31" s="472" t="s">
        <v>385</v>
      </c>
      <c r="C31" s="399"/>
      <c r="D31" s="606"/>
      <c r="E31" s="399"/>
      <c r="F31" s="365"/>
      <c r="G31" s="365"/>
      <c r="H31" s="57"/>
      <c r="I31" s="57"/>
      <c r="J31" s="57"/>
      <c r="K31" s="57"/>
      <c r="L31" s="655"/>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43"/>
      <c r="AF31" s="643"/>
      <c r="AG31" s="353"/>
      <c r="AH31" s="353"/>
      <c r="AI31" s="353"/>
      <c r="AJ31" s="353"/>
      <c r="AK31" s="353"/>
      <c r="AL31" s="353"/>
      <c r="AM31" s="353"/>
      <c r="AN31" s="353"/>
    </row>
    <row r="32" spans="2:40" x14ac:dyDescent="0.35">
      <c r="B32" s="472" t="s">
        <v>382</v>
      </c>
      <c r="C32" s="399"/>
      <c r="D32" s="606"/>
      <c r="E32" s="399"/>
      <c r="F32" s="365"/>
      <c r="G32" s="365"/>
      <c r="H32" s="57"/>
      <c r="I32" s="57"/>
      <c r="J32" s="57"/>
      <c r="K32" s="57"/>
      <c r="L32" s="655"/>
      <c r="M32" s="57"/>
      <c r="N32" s="57"/>
      <c r="O32" s="57"/>
      <c r="P32" s="57"/>
      <c r="Q32" s="57"/>
      <c r="R32" s="57"/>
      <c r="S32" s="57"/>
      <c r="T32" s="57"/>
      <c r="U32" s="57"/>
      <c r="V32" s="44"/>
      <c r="W32" s="44"/>
      <c r="X32" s="44"/>
      <c r="Y32" s="353"/>
      <c r="Z32" s="353"/>
      <c r="AA32" s="353"/>
      <c r="AB32" s="353"/>
      <c r="AC32" s="353"/>
      <c r="AD32" s="353"/>
      <c r="AE32" s="643"/>
      <c r="AF32" s="643"/>
      <c r="AG32" s="353"/>
      <c r="AH32" s="353"/>
      <c r="AI32" s="353"/>
      <c r="AJ32" s="353"/>
      <c r="AK32" s="353"/>
      <c r="AL32" s="353"/>
      <c r="AM32" s="353"/>
      <c r="AN32" s="353"/>
    </row>
    <row r="33" spans="1:79" x14ac:dyDescent="0.35">
      <c r="B33" s="668" t="s">
        <v>379</v>
      </c>
      <c r="C33" s="399"/>
      <c r="D33" s="606"/>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43"/>
      <c r="AF33" s="643"/>
      <c r="AG33" s="353"/>
      <c r="AH33" s="353"/>
      <c r="AI33" s="353"/>
      <c r="AJ33" s="353"/>
      <c r="AK33" s="353"/>
      <c r="AL33" s="353"/>
      <c r="AM33" s="353"/>
      <c r="AN33" s="353"/>
    </row>
    <row r="34" spans="1:79" x14ac:dyDescent="0.35">
      <c r="B34" s="669" t="s">
        <v>386</v>
      </c>
      <c r="C34" s="399"/>
      <c r="D34" s="606"/>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43"/>
      <c r="AF34" s="643"/>
      <c r="AG34" s="353"/>
      <c r="AH34" s="353"/>
      <c r="AI34" s="353"/>
      <c r="AJ34" s="353"/>
      <c r="AK34" s="353"/>
      <c r="AL34" s="353"/>
      <c r="AM34" s="353"/>
      <c r="AN34" s="353"/>
    </row>
    <row r="35" spans="1:79" ht="27.65" customHeight="1" x14ac:dyDescent="0.35">
      <c r="B35" s="669" t="s">
        <v>387</v>
      </c>
      <c r="C35" s="399"/>
      <c r="D35" s="653"/>
      <c r="E35" s="654"/>
      <c r="F35" s="619"/>
      <c r="G35" s="619"/>
      <c r="H35" s="501"/>
      <c r="I35" s="501"/>
      <c r="J35" s="501"/>
      <c r="K35" s="501"/>
      <c r="L35" s="659"/>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43"/>
      <c r="AF35" s="643"/>
      <c r="AG35" s="353"/>
      <c r="AH35" s="353"/>
      <c r="AI35" s="353"/>
      <c r="AJ35" s="353"/>
      <c r="AK35" s="353"/>
      <c r="AL35" s="353"/>
      <c r="AM35" s="353"/>
      <c r="AN35" s="353"/>
    </row>
    <row r="36" spans="1:79" ht="15" customHeight="1" x14ac:dyDescent="0.35">
      <c r="B36" s="1469" t="s">
        <v>388</v>
      </c>
      <c r="C36" s="1470"/>
      <c r="D36" s="606"/>
      <c r="E36" s="399"/>
      <c r="F36" s="365"/>
      <c r="G36" s="365"/>
      <c r="H36" s="57"/>
      <c r="I36" s="57"/>
      <c r="J36" s="57"/>
      <c r="K36" s="57"/>
      <c r="L36" s="655"/>
      <c r="M36" s="57"/>
      <c r="N36" s="57"/>
      <c r="O36" s="57"/>
      <c r="P36" s="57"/>
      <c r="Q36" s="57"/>
      <c r="R36" s="57"/>
      <c r="S36" s="57"/>
      <c r="T36" s="628"/>
      <c r="U36" s="638"/>
      <c r="V36" s="632"/>
      <c r="W36" s="632"/>
      <c r="X36" s="632"/>
      <c r="Y36" s="636"/>
      <c r="Z36" s="636"/>
      <c r="AA36" s="636"/>
      <c r="AB36" s="636"/>
      <c r="AC36" s="636"/>
      <c r="AD36" s="353"/>
      <c r="AE36" s="643"/>
      <c r="AF36" s="643"/>
      <c r="AG36" s="353"/>
      <c r="AH36" s="353"/>
      <c r="AI36" s="353"/>
      <c r="AJ36" s="353"/>
      <c r="AK36" s="353"/>
      <c r="AL36" s="353"/>
      <c r="AM36" s="353"/>
      <c r="AN36" s="353"/>
    </row>
    <row r="37" spans="1:79" ht="13.5" customHeight="1" x14ac:dyDescent="0.35">
      <c r="B37" s="669" t="s">
        <v>131</v>
      </c>
      <c r="C37" s="399"/>
      <c r="D37" s="606"/>
      <c r="E37" s="399"/>
      <c r="F37" s="365"/>
      <c r="G37" s="365"/>
      <c r="H37" s="57"/>
      <c r="I37" s="57"/>
      <c r="J37" s="57"/>
      <c r="K37" s="57"/>
      <c r="L37" s="655"/>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43"/>
      <c r="AF37" s="643"/>
      <c r="AG37" s="353"/>
      <c r="AH37" s="353"/>
      <c r="AI37" s="353"/>
      <c r="AJ37" s="353"/>
      <c r="AK37" s="353"/>
      <c r="AL37" s="353"/>
      <c r="AM37" s="353"/>
      <c r="AN37" s="353"/>
    </row>
    <row r="38" spans="1:79" x14ac:dyDescent="0.35">
      <c r="B38" s="669" t="s">
        <v>389</v>
      </c>
      <c r="C38" s="399"/>
      <c r="D38" s="606"/>
      <c r="E38" s="399"/>
      <c r="F38" s="365"/>
      <c r="G38" s="365"/>
      <c r="H38" s="57"/>
      <c r="I38" s="57"/>
      <c r="J38" s="57"/>
      <c r="K38" s="57"/>
      <c r="L38" s="655"/>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43"/>
      <c r="AF38" s="643"/>
      <c r="AG38" s="353"/>
      <c r="AH38" s="353"/>
      <c r="AI38" s="353"/>
      <c r="AJ38" s="353"/>
      <c r="AK38" s="353"/>
      <c r="AL38" s="353"/>
      <c r="AM38" s="353"/>
      <c r="AN38" s="353"/>
    </row>
    <row r="39" spans="1:79" x14ac:dyDescent="0.35">
      <c r="B39" s="669" t="s">
        <v>136</v>
      </c>
      <c r="C39" s="399"/>
      <c r="D39" s="606"/>
      <c r="E39" s="399"/>
      <c r="F39" s="365"/>
      <c r="G39" s="365"/>
      <c r="H39" s="57"/>
      <c r="I39" s="57"/>
      <c r="J39" s="57"/>
      <c r="K39" s="57"/>
      <c r="L39" s="655"/>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43"/>
      <c r="AF39" s="643"/>
      <c r="AG39" s="353"/>
      <c r="AH39" s="353"/>
      <c r="AI39" s="353"/>
      <c r="AJ39" s="353"/>
      <c r="AK39" s="353"/>
      <c r="AL39" s="353"/>
      <c r="AM39" s="353"/>
      <c r="AN39" s="353"/>
    </row>
    <row r="40" spans="1:79" x14ac:dyDescent="0.35">
      <c r="B40" s="669" t="s">
        <v>379</v>
      </c>
      <c r="C40" s="399"/>
      <c r="D40" s="606"/>
      <c r="E40" s="399"/>
      <c r="F40" s="365"/>
      <c r="G40" s="365"/>
      <c r="H40" s="57"/>
      <c r="I40" s="57"/>
      <c r="J40" s="57"/>
      <c r="K40" s="57"/>
      <c r="L40" s="655"/>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43"/>
      <c r="AF40" s="643"/>
      <c r="AG40" s="353"/>
      <c r="AH40" s="353"/>
      <c r="AI40" s="353"/>
      <c r="AJ40" s="353"/>
      <c r="AK40" s="353"/>
      <c r="AL40" s="353"/>
      <c r="AM40" s="353"/>
      <c r="AN40" s="353"/>
    </row>
    <row r="41" spans="1:79" ht="30" customHeight="1" x14ac:dyDescent="0.35">
      <c r="B41" s="669" t="s">
        <v>390</v>
      </c>
      <c r="C41" s="399"/>
      <c r="D41" s="606"/>
      <c r="E41" s="399"/>
      <c r="F41" s="365"/>
      <c r="G41" s="365"/>
      <c r="H41" s="57"/>
      <c r="I41" s="57"/>
      <c r="J41" s="57"/>
      <c r="K41" s="57"/>
      <c r="L41" s="655"/>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43"/>
      <c r="AF41" s="643"/>
      <c r="AG41" s="353"/>
      <c r="AH41" s="353"/>
      <c r="AI41" s="353"/>
      <c r="AJ41" s="353"/>
      <c r="AK41" s="353"/>
      <c r="AL41" s="353"/>
      <c r="AM41" s="353"/>
      <c r="AN41" s="353"/>
    </row>
    <row r="42" spans="1:79" x14ac:dyDescent="0.35">
      <c r="B42" s="669" t="s">
        <v>391</v>
      </c>
      <c r="C42" s="399"/>
      <c r="D42" s="606"/>
      <c r="E42" s="399"/>
      <c r="F42" s="365"/>
      <c r="G42" s="365"/>
      <c r="H42" s="57"/>
      <c r="I42" s="57"/>
      <c r="J42" s="57"/>
      <c r="K42" s="57"/>
      <c r="L42" s="655"/>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43"/>
      <c r="AF42" s="643"/>
      <c r="AG42" s="353"/>
      <c r="AH42" s="353"/>
      <c r="AI42" s="353"/>
      <c r="AJ42" s="353"/>
      <c r="AK42" s="353"/>
      <c r="AL42" s="353"/>
      <c r="AM42" s="353"/>
      <c r="AN42" s="353"/>
    </row>
    <row r="43" spans="1:79" x14ac:dyDescent="0.35">
      <c r="B43" s="669" t="s">
        <v>392</v>
      </c>
      <c r="C43" s="399"/>
      <c r="D43" s="606"/>
      <c r="E43" s="399"/>
      <c r="F43" s="365"/>
      <c r="G43" s="365"/>
      <c r="H43" s="57"/>
      <c r="I43" s="57"/>
      <c r="J43" s="57"/>
      <c r="K43" s="57"/>
      <c r="L43" s="655"/>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43"/>
      <c r="AF43" s="643"/>
      <c r="AG43" s="353"/>
      <c r="AH43" s="353"/>
      <c r="AI43" s="353"/>
      <c r="AJ43" s="353"/>
      <c r="AK43" s="353"/>
      <c r="AL43" s="353"/>
      <c r="AM43" s="353"/>
      <c r="AN43" s="353"/>
    </row>
    <row r="44" spans="1:79" x14ac:dyDescent="0.35">
      <c r="B44" s="669" t="s">
        <v>278</v>
      </c>
      <c r="C44" s="399"/>
      <c r="D44" s="653"/>
      <c r="E44" s="654"/>
      <c r="F44" s="619"/>
      <c r="G44" s="619"/>
      <c r="H44" s="501"/>
      <c r="I44" s="501"/>
      <c r="J44" s="501"/>
      <c r="K44" s="501"/>
      <c r="L44" s="659"/>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43"/>
      <c r="AF44" s="643"/>
      <c r="AG44" s="353"/>
      <c r="AH44" s="353"/>
      <c r="AI44" s="353"/>
      <c r="AJ44" s="353"/>
      <c r="AK44" s="353"/>
      <c r="AL44" s="353"/>
      <c r="AM44" s="353"/>
      <c r="AN44" s="353"/>
    </row>
    <row r="45" spans="1:79" ht="15" customHeight="1" x14ac:dyDescent="0.35">
      <c r="B45" s="1469" t="s">
        <v>393</v>
      </c>
      <c r="C45" s="1470"/>
      <c r="D45" s="652"/>
      <c r="E45" s="75"/>
      <c r="F45" s="365"/>
      <c r="G45" s="365"/>
      <c r="H45" s="57"/>
      <c r="I45" s="57"/>
      <c r="J45" s="57"/>
      <c r="K45" s="57"/>
      <c r="L45" s="655"/>
      <c r="M45" s="57"/>
      <c r="N45" s="57"/>
      <c r="O45" s="57"/>
      <c r="P45" s="57"/>
      <c r="Q45" s="57"/>
      <c r="R45" s="57"/>
      <c r="S45" s="57"/>
      <c r="T45" s="57"/>
      <c r="U45" s="638"/>
      <c r="V45" s="632"/>
      <c r="W45" s="632"/>
      <c r="X45" s="632"/>
      <c r="Y45" s="636"/>
      <c r="Z45" s="636"/>
      <c r="AA45" s="636"/>
      <c r="AB45" s="636"/>
      <c r="AC45" s="636"/>
      <c r="AD45" s="353"/>
      <c r="AE45" s="643"/>
      <c r="AF45" s="643"/>
      <c r="AG45" s="353"/>
      <c r="AH45" s="353"/>
      <c r="AI45" s="353"/>
      <c r="AJ45" s="353"/>
      <c r="AK45" s="353"/>
      <c r="AL45" s="353"/>
      <c r="AM45" s="353"/>
      <c r="AN45" s="353"/>
    </row>
    <row r="46" spans="1:79" ht="21" customHeight="1" x14ac:dyDescent="0.35">
      <c r="B46" s="532" t="s">
        <v>394</v>
      </c>
      <c r="C46" s="656"/>
      <c r="D46" s="532"/>
      <c r="E46" s="656"/>
      <c r="F46" s="618"/>
      <c r="G46" s="618"/>
      <c r="H46" s="639"/>
      <c r="I46" s="639"/>
      <c r="J46" s="639"/>
      <c r="K46" s="639"/>
      <c r="L46" s="657"/>
      <c r="M46" s="639">
        <f>'ARP Quarterly'!C6</f>
        <v>0</v>
      </c>
      <c r="N46" s="639">
        <f>'ARP Quarterly'!D6</f>
        <v>58.782959999999989</v>
      </c>
      <c r="O46" s="639">
        <f>'ARP Quarterly'!E6</f>
        <v>267.78904</v>
      </c>
      <c r="P46" s="639">
        <f>'ARP Quarterly'!F6</f>
        <v>110.24799999999999</v>
      </c>
      <c r="Q46" s="639">
        <f>'ARP Quarterly'!G6</f>
        <v>110.24799999999999</v>
      </c>
      <c r="R46" s="639">
        <f>'ARP Quarterly'!H6</f>
        <v>110.24799999999999</v>
      </c>
      <c r="S46" s="639">
        <f>'ARP Quarterly'!I6</f>
        <v>110.24799999999999</v>
      </c>
      <c r="T46" s="639">
        <f>'ARP Quarterly'!J6</f>
        <v>12.726000000000001</v>
      </c>
      <c r="U46" s="639">
        <f>'ARP Quarterly'!K6</f>
        <v>12.726000000000001</v>
      </c>
      <c r="V46" s="639">
        <f>'ARP Quarterly'!L6</f>
        <v>12.726000000000001</v>
      </c>
      <c r="W46" s="639">
        <f>'ARP Quarterly'!M6</f>
        <v>12.726000000000001</v>
      </c>
      <c r="X46" s="639">
        <f>'ARP Quarterly'!N6</f>
        <v>1.365</v>
      </c>
      <c r="Y46" s="637">
        <f>'ARP Quarterly'!O6</f>
        <v>1.365</v>
      </c>
      <c r="Z46" s="637">
        <f>'ARP Quarterly'!P6</f>
        <v>1.365</v>
      </c>
      <c r="AA46" s="637">
        <f>'ARP Quarterly'!Q6</f>
        <v>1.365</v>
      </c>
      <c r="AB46" s="637">
        <f>'ARP Quarterly'!R6</f>
        <v>-0.90100000000000025</v>
      </c>
      <c r="AC46" s="637">
        <f>'ARP Quarterly'!S6</f>
        <v>-0.90100000000000025</v>
      </c>
      <c r="AD46" s="637">
        <f>'ARP Quarterly'!T6</f>
        <v>-0.90100000000000025</v>
      </c>
      <c r="AE46" s="637">
        <f>'ARP Quarterly'!U6</f>
        <v>-0.90100000000000025</v>
      </c>
      <c r="AF46" s="637">
        <f>'ARP Quarterly'!V6</f>
        <v>-2.1500000000000004</v>
      </c>
      <c r="AG46" s="635">
        <v>0</v>
      </c>
      <c r="AH46" s="635">
        <v>0</v>
      </c>
      <c r="AI46" s="635">
        <v>0</v>
      </c>
      <c r="AJ46" s="635">
        <v>0</v>
      </c>
      <c r="AK46" s="635">
        <v>0</v>
      </c>
      <c r="AL46" s="635">
        <v>0</v>
      </c>
      <c r="AM46" s="635">
        <v>0</v>
      </c>
      <c r="AN46" s="635">
        <v>0</v>
      </c>
    </row>
    <row r="47" spans="1:79" ht="19.5" customHeight="1" x14ac:dyDescent="0.35">
      <c r="A47" s="631"/>
      <c r="B47" s="664" t="s">
        <v>187</v>
      </c>
      <c r="C47" s="665"/>
      <c r="D47" s="664"/>
      <c r="E47" s="665"/>
      <c r="F47" s="640">
        <f>F11-F46</f>
        <v>60.5</v>
      </c>
      <c r="G47" s="640">
        <f>G11-G46</f>
        <v>81.400000000000006</v>
      </c>
      <c r="H47" s="640">
        <f t="shared" ref="H47:AE47" si="56">H11-H46</f>
        <v>82.1</v>
      </c>
      <c r="I47" s="640">
        <f>I11-I46</f>
        <v>80</v>
      </c>
      <c r="J47" s="640">
        <f t="shared" si="56"/>
        <v>1031.8</v>
      </c>
      <c r="K47" s="640">
        <f t="shared" si="56"/>
        <v>1163.3</v>
      </c>
      <c r="L47" s="640">
        <f>L11-L46</f>
        <v>516.4</v>
      </c>
      <c r="M47" s="640">
        <f>M11-M46</f>
        <v>534.29999999999995</v>
      </c>
      <c r="N47" s="640">
        <f t="shared" si="56"/>
        <v>779.41704000000004</v>
      </c>
      <c r="O47" s="640">
        <f>O11-O46</f>
        <v>421.91096000000005</v>
      </c>
      <c r="P47" s="640">
        <f>P11-P46</f>
        <v>319.452</v>
      </c>
      <c r="Q47" s="640">
        <f t="shared" si="56"/>
        <v>40.75200000000001</v>
      </c>
      <c r="R47" s="640">
        <f t="shared" si="56"/>
        <v>19.152000000000015</v>
      </c>
      <c r="S47" s="640">
        <f t="shared" si="56"/>
        <v>8.1520000000000152</v>
      </c>
      <c r="T47" s="640">
        <f t="shared" si="56"/>
        <v>97.774000000000001</v>
      </c>
      <c r="U47" s="640">
        <f t="shared" si="56"/>
        <v>90.674000000000007</v>
      </c>
      <c r="V47" s="640">
        <f>V11-V46</f>
        <v>88.573999999999998</v>
      </c>
      <c r="W47" s="640">
        <f t="shared" si="56"/>
        <v>90.774000000000001</v>
      </c>
      <c r="X47" s="640">
        <f>X11-X46</f>
        <v>96.635000000000005</v>
      </c>
      <c r="Y47" s="667">
        <f t="shared" si="56"/>
        <v>93.635000000000005</v>
      </c>
      <c r="Z47" s="667">
        <f t="shared" si="56"/>
        <v>91.635000000000005</v>
      </c>
      <c r="AA47" s="667">
        <f t="shared" si="56"/>
        <v>90.734999999999999</v>
      </c>
      <c r="AB47" s="667">
        <f t="shared" si="56"/>
        <v>94.900999999999996</v>
      </c>
      <c r="AC47" s="667">
        <f>AC11-AC46</f>
        <v>107.901</v>
      </c>
      <c r="AD47" s="667">
        <f>AD11-AD46</f>
        <v>120.101</v>
      </c>
      <c r="AE47" s="667">
        <f t="shared" si="56"/>
        <v>124.301</v>
      </c>
      <c r="AF47" s="667">
        <f>AF11-AF46</f>
        <v>99.45</v>
      </c>
      <c r="AG47" s="667">
        <f>AG11-AG46</f>
        <v>107.3</v>
      </c>
      <c r="AH47" s="667">
        <f>AH11-AH46</f>
        <v>107.3</v>
      </c>
      <c r="AI47" s="667">
        <f t="shared" ref="AI47:AN47" si="57">AI11-AI46</f>
        <v>107.3</v>
      </c>
      <c r="AJ47" s="667">
        <f t="shared" si="57"/>
        <v>107.3</v>
      </c>
      <c r="AK47" s="667">
        <f t="shared" si="57"/>
        <v>107.3</v>
      </c>
      <c r="AL47" s="667">
        <f t="shared" si="57"/>
        <v>107.3</v>
      </c>
      <c r="AM47" s="667">
        <f t="shared" si="57"/>
        <v>107.3</v>
      </c>
      <c r="AN47" s="667">
        <f t="shared" si="57"/>
        <v>107.3</v>
      </c>
      <c r="AO47" s="631"/>
      <c r="AP47" s="631"/>
      <c r="AQ47" s="631"/>
      <c r="AR47" s="631"/>
      <c r="AS47" s="631"/>
      <c r="AT47" s="631"/>
      <c r="AU47" s="631"/>
      <c r="AV47" s="631"/>
      <c r="AW47" s="631"/>
      <c r="AX47" s="631"/>
      <c r="AY47" s="631"/>
      <c r="AZ47" s="631"/>
      <c r="BA47" s="631"/>
      <c r="BB47" s="631"/>
      <c r="BC47" s="631"/>
      <c r="BD47" s="631"/>
      <c r="BE47" s="631"/>
      <c r="BF47" s="631"/>
      <c r="BG47" s="631"/>
      <c r="BH47" s="631"/>
      <c r="BI47" s="631"/>
      <c r="BJ47" s="631"/>
      <c r="BK47" s="631"/>
      <c r="BL47" s="631"/>
      <c r="BM47" s="631"/>
      <c r="BN47" s="631"/>
      <c r="BO47" s="631"/>
      <c r="BP47" s="631"/>
      <c r="BQ47" s="631"/>
      <c r="BR47" s="631"/>
      <c r="BS47" s="631"/>
      <c r="BT47" s="631"/>
      <c r="BU47" s="631"/>
      <c r="BV47" s="631"/>
      <c r="BW47" s="631"/>
      <c r="BX47" s="631"/>
      <c r="BY47" s="631"/>
      <c r="BZ47" s="631"/>
      <c r="CA47" s="631"/>
    </row>
    <row r="48" spans="1:79" ht="19.5" customHeight="1" x14ac:dyDescent="0.35">
      <c r="A48" s="631"/>
      <c r="B48" s="385"/>
      <c r="C48" s="385"/>
      <c r="D48" s="385"/>
      <c r="E48" s="385"/>
      <c r="F48" s="666"/>
      <c r="G48" s="666"/>
      <c r="H48" s="666"/>
      <c r="I48" s="666"/>
      <c r="J48" s="666"/>
      <c r="K48" s="666"/>
      <c r="L48" s="666"/>
      <c r="M48" s="666"/>
      <c r="N48" s="666"/>
      <c r="O48" s="666"/>
      <c r="P48" s="666"/>
      <c r="Q48" s="666"/>
      <c r="R48" s="666"/>
      <c r="S48" s="666"/>
      <c r="T48" s="666"/>
      <c r="U48" s="666"/>
      <c r="V48" s="666"/>
      <c r="W48" s="666"/>
      <c r="X48" s="666"/>
      <c r="Y48" s="666"/>
      <c r="Z48" s="666"/>
      <c r="AA48" s="666"/>
      <c r="AB48" s="666"/>
      <c r="AC48" s="666"/>
      <c r="AG48" s="631"/>
      <c r="AH48" s="631"/>
      <c r="AI48" s="631"/>
      <c r="AJ48" s="631"/>
      <c r="AK48" s="631"/>
      <c r="AL48" s="631"/>
      <c r="AM48" s="631"/>
      <c r="AN48" s="631"/>
      <c r="AO48" s="631"/>
      <c r="AP48" s="631"/>
      <c r="AQ48" s="631"/>
      <c r="AR48" s="631"/>
      <c r="AS48" s="631"/>
      <c r="AT48" s="631"/>
      <c r="AU48" s="631"/>
      <c r="AV48" s="631"/>
      <c r="AW48" s="631"/>
      <c r="AX48" s="631"/>
      <c r="AY48" s="631"/>
      <c r="AZ48" s="631"/>
      <c r="BA48" s="631"/>
      <c r="BB48" s="631"/>
      <c r="BC48" s="631"/>
      <c r="BD48" s="631"/>
      <c r="BE48" s="631"/>
      <c r="BF48" s="631"/>
      <c r="BG48" s="631"/>
      <c r="BH48" s="631"/>
      <c r="BI48" s="631"/>
      <c r="BJ48" s="631"/>
      <c r="BK48" s="631"/>
      <c r="BL48" s="631"/>
      <c r="BM48" s="631"/>
      <c r="BN48" s="631"/>
      <c r="BO48" s="631"/>
      <c r="BP48" s="631"/>
      <c r="BQ48" s="631"/>
      <c r="BR48" s="631"/>
      <c r="BS48" s="631"/>
      <c r="BT48" s="631"/>
      <c r="BU48" s="631"/>
      <c r="BV48" s="631"/>
      <c r="BW48" s="631"/>
      <c r="BX48" s="631"/>
      <c r="BY48" s="631"/>
      <c r="BZ48" s="631"/>
      <c r="CA48" s="631"/>
    </row>
    <row r="49" spans="1:79" ht="19.5" customHeight="1" x14ac:dyDescent="0.35">
      <c r="A49" s="631"/>
      <c r="B49" s="385" t="s">
        <v>822</v>
      </c>
      <c r="C49" s="385"/>
      <c r="D49" s="385"/>
      <c r="E49" s="385"/>
      <c r="F49" s="666"/>
      <c r="G49" s="666"/>
      <c r="H49" s="666"/>
      <c r="I49" s="666"/>
      <c r="J49" s="666"/>
      <c r="K49" s="666"/>
      <c r="L49" s="666"/>
      <c r="M49" s="666"/>
      <c r="N49" s="666"/>
      <c r="O49" s="666"/>
      <c r="P49" s="666"/>
      <c r="Q49" s="666"/>
      <c r="R49" s="666"/>
      <c r="S49" s="666"/>
      <c r="T49" s="666">
        <v>110.8</v>
      </c>
      <c r="U49" s="648">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31"/>
      <c r="AH49" s="631"/>
      <c r="AI49" s="631"/>
      <c r="AJ49" s="631"/>
      <c r="AK49" s="631"/>
      <c r="AL49" s="631"/>
      <c r="AM49" s="631"/>
      <c r="AN49" s="631"/>
      <c r="AO49" s="631"/>
      <c r="AP49" s="631"/>
      <c r="AQ49" s="631"/>
      <c r="AR49" s="631"/>
      <c r="AS49" s="631"/>
      <c r="AT49" s="631"/>
      <c r="AU49" s="631"/>
      <c r="AV49" s="631"/>
      <c r="AW49" s="631"/>
      <c r="AX49" s="631"/>
      <c r="AY49" s="631"/>
      <c r="AZ49" s="631"/>
      <c r="BA49" s="631"/>
      <c r="BB49" s="631"/>
      <c r="BC49" s="631"/>
      <c r="BD49" s="631"/>
      <c r="BE49" s="631"/>
      <c r="BF49" s="631"/>
      <c r="BG49" s="631"/>
      <c r="BH49" s="631"/>
      <c r="BI49" s="631"/>
      <c r="BJ49" s="631"/>
      <c r="BK49" s="631"/>
      <c r="BL49" s="631"/>
      <c r="BM49" s="631"/>
      <c r="BN49" s="631"/>
      <c r="BO49" s="631"/>
      <c r="BP49" s="631"/>
      <c r="BQ49" s="631"/>
      <c r="BR49" s="631"/>
      <c r="BS49" s="631"/>
      <c r="BT49" s="631"/>
      <c r="BU49" s="631"/>
      <c r="BV49" s="631"/>
      <c r="BW49" s="631"/>
      <c r="BX49" s="631"/>
      <c r="BY49" s="631"/>
      <c r="BZ49" s="631"/>
      <c r="CA49" s="631"/>
    </row>
    <row r="50" spans="1:79" x14ac:dyDescent="0.35">
      <c r="B50" s="644" t="s">
        <v>370</v>
      </c>
      <c r="C50" s="268"/>
      <c r="D50" s="268"/>
      <c r="E50" s="268"/>
      <c r="F50" s="268"/>
      <c r="G50" s="268"/>
      <c r="H50" s="268"/>
      <c r="I50" s="268"/>
      <c r="J50" s="268"/>
      <c r="K50" s="268"/>
      <c r="L50" s="268"/>
      <c r="M50" s="268"/>
      <c r="N50" s="268"/>
      <c r="O50" s="268"/>
      <c r="P50" s="611"/>
      <c r="Q50" s="611"/>
      <c r="R50" s="611"/>
      <c r="S50" s="611"/>
      <c r="T50" s="645">
        <v>78.977999999999994</v>
      </c>
      <c r="U50" s="646">
        <v>76</v>
      </c>
      <c r="V50" s="646">
        <v>76</v>
      </c>
      <c r="W50" s="646">
        <v>76</v>
      </c>
      <c r="X50" s="646">
        <v>76</v>
      </c>
      <c r="Y50" s="646">
        <v>76</v>
      </c>
      <c r="Z50" s="646">
        <v>76</v>
      </c>
      <c r="AA50" s="646">
        <v>76</v>
      </c>
      <c r="AB50" s="646">
        <v>76</v>
      </c>
      <c r="AC50" s="646">
        <v>76</v>
      </c>
      <c r="AD50" s="108">
        <f>U12-U50</f>
        <v>14.891999999999996</v>
      </c>
    </row>
    <row r="51" spans="1:79" x14ac:dyDescent="0.35">
      <c r="B51" t="s">
        <v>371</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372</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376</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379</v>
      </c>
      <c r="T60" s="82">
        <v>0</v>
      </c>
      <c r="U60" s="81">
        <v>0</v>
      </c>
      <c r="V60" s="81">
        <v>0</v>
      </c>
      <c r="W60" s="81">
        <v>0</v>
      </c>
      <c r="X60" s="81">
        <v>0</v>
      </c>
      <c r="Y60" s="81">
        <v>0</v>
      </c>
      <c r="Z60" s="81">
        <v>0</v>
      </c>
      <c r="AA60" s="81">
        <v>0</v>
      </c>
      <c r="AB60" s="81">
        <v>0</v>
      </c>
      <c r="AC60" s="81">
        <v>0</v>
      </c>
      <c r="AD60" s="108">
        <f t="shared" si="58"/>
        <v>0</v>
      </c>
    </row>
    <row r="61" spans="1:79" x14ac:dyDescent="0.35">
      <c r="B61" t="s">
        <v>380</v>
      </c>
      <c r="T61" s="82">
        <v>0</v>
      </c>
      <c r="U61" s="81">
        <v>0</v>
      </c>
      <c r="V61" s="81">
        <v>0</v>
      </c>
      <c r="W61" s="81">
        <v>0</v>
      </c>
      <c r="X61" s="81">
        <v>0</v>
      </c>
      <c r="Y61" s="81">
        <v>0</v>
      </c>
      <c r="Z61" s="81">
        <v>0</v>
      </c>
      <c r="AA61" s="81">
        <v>0</v>
      </c>
      <c r="AB61" s="81">
        <v>0</v>
      </c>
      <c r="AC61" s="81">
        <v>0</v>
      </c>
      <c r="AD61" s="108">
        <f t="shared" si="58"/>
        <v>0</v>
      </c>
    </row>
    <row r="62" spans="1:79" x14ac:dyDescent="0.35">
      <c r="B62" t="s">
        <v>381</v>
      </c>
      <c r="T62" s="81">
        <v>8.4</v>
      </c>
      <c r="U62" s="81">
        <v>8.4</v>
      </c>
      <c r="V62" s="81">
        <v>8.4</v>
      </c>
      <c r="W62" s="81">
        <v>8.4</v>
      </c>
      <c r="X62" s="81">
        <v>0.2</v>
      </c>
      <c r="Y62" s="81">
        <v>0.2</v>
      </c>
      <c r="Z62" s="81">
        <v>0.2</v>
      </c>
      <c r="AA62" s="81">
        <v>0.2</v>
      </c>
      <c r="AB62" s="81">
        <v>0</v>
      </c>
      <c r="AC62" s="81">
        <v>0</v>
      </c>
      <c r="AD62" s="108">
        <f t="shared" si="58"/>
        <v>0</v>
      </c>
    </row>
    <row r="63" spans="1:79" x14ac:dyDescent="0.35">
      <c r="B63" t="s">
        <v>382</v>
      </c>
      <c r="T63" s="81">
        <v>0</v>
      </c>
      <c r="U63" s="81">
        <v>0</v>
      </c>
      <c r="V63" s="81">
        <v>0</v>
      </c>
      <c r="W63" s="81">
        <v>0</v>
      </c>
      <c r="X63" s="81">
        <v>0</v>
      </c>
      <c r="Y63" s="81">
        <v>0</v>
      </c>
      <c r="Z63" s="81">
        <v>0</v>
      </c>
      <c r="AA63" s="81">
        <v>0</v>
      </c>
      <c r="AB63" s="81">
        <v>0</v>
      </c>
      <c r="AC63" s="81">
        <v>0</v>
      </c>
      <c r="AD63" s="108">
        <f t="shared" si="58"/>
        <v>0</v>
      </c>
    </row>
    <row r="64" spans="1:79" x14ac:dyDescent="0.35">
      <c r="B64" t="s">
        <v>1330</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1138</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383</v>
      </c>
      <c r="T66" s="81"/>
      <c r="U66" s="81"/>
      <c r="AD66" s="108">
        <f t="shared" si="58"/>
        <v>0</v>
      </c>
    </row>
    <row r="67" spans="2:30" x14ac:dyDescent="0.35">
      <c r="B67" t="s">
        <v>384</v>
      </c>
      <c r="T67" s="81"/>
      <c r="U67" s="81"/>
      <c r="AD67" s="108">
        <f t="shared" si="58"/>
        <v>0</v>
      </c>
    </row>
    <row r="68" spans="2:30" x14ac:dyDescent="0.35">
      <c r="B68" t="s">
        <v>385</v>
      </c>
      <c r="T68" s="81"/>
      <c r="U68" s="81"/>
      <c r="AD68" s="108">
        <f t="shared" si="58"/>
        <v>0</v>
      </c>
    </row>
    <row r="69" spans="2:30" x14ac:dyDescent="0.35">
      <c r="B69" t="s">
        <v>382</v>
      </c>
      <c r="T69" s="81"/>
      <c r="U69" s="81"/>
      <c r="AD69" s="108">
        <f t="shared" si="58"/>
        <v>0</v>
      </c>
    </row>
    <row r="70" spans="2:30" x14ac:dyDescent="0.35">
      <c r="B70" t="s">
        <v>379</v>
      </c>
      <c r="T70" s="647"/>
      <c r="U70" s="647"/>
      <c r="AD70" s="108">
        <f t="shared" si="58"/>
        <v>0</v>
      </c>
    </row>
    <row r="71" spans="2:30" x14ac:dyDescent="0.35">
      <c r="B71" t="s">
        <v>386</v>
      </c>
      <c r="T71" s="647"/>
      <c r="U71" s="647"/>
      <c r="AD71" s="108">
        <f t="shared" si="58"/>
        <v>0</v>
      </c>
    </row>
    <row r="72" spans="2:30" x14ac:dyDescent="0.35">
      <c r="B72" t="s">
        <v>387</v>
      </c>
      <c r="T72" s="81"/>
      <c r="U72" s="81"/>
      <c r="AD72" s="108">
        <f t="shared" si="58"/>
        <v>0</v>
      </c>
    </row>
    <row r="73" spans="2:30" x14ac:dyDescent="0.35">
      <c r="B73" t="s">
        <v>388</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389</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379</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390</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391</v>
      </c>
      <c r="T79" s="81">
        <v>8.4</v>
      </c>
      <c r="U79" s="81">
        <v>8.4</v>
      </c>
      <c r="V79" s="81">
        <v>8.4</v>
      </c>
      <c r="W79" s="81">
        <v>8.4</v>
      </c>
      <c r="X79" s="81">
        <v>0.2</v>
      </c>
      <c r="Y79" s="81">
        <v>0.2</v>
      </c>
      <c r="Z79" s="81">
        <v>0.2</v>
      </c>
      <c r="AA79" s="81">
        <v>0.2</v>
      </c>
      <c r="AB79" s="81">
        <v>0</v>
      </c>
      <c r="AC79" s="81">
        <v>0</v>
      </c>
      <c r="AD79" s="108">
        <f t="shared" si="58"/>
        <v>0</v>
      </c>
    </row>
    <row r="80" spans="2:30" x14ac:dyDescent="0.35">
      <c r="B80" t="s">
        <v>392</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393</v>
      </c>
      <c r="T82" s="81"/>
      <c r="U82" s="81"/>
      <c r="AD82" s="108">
        <f t="shared" si="58"/>
        <v>0</v>
      </c>
    </row>
    <row r="83" spans="2:30" x14ac:dyDescent="0.35">
      <c r="B83" t="s">
        <v>394</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B45:C45"/>
    <mergeCell ref="B29:C29"/>
    <mergeCell ref="B8:C10"/>
    <mergeCell ref="I9:L9"/>
    <mergeCell ref="E9:H9"/>
    <mergeCell ref="B36:C36"/>
    <mergeCell ref="D8:AB8"/>
    <mergeCell ref="AK9:AN9"/>
    <mergeCell ref="U9:X9"/>
    <mergeCell ref="Q9:T9"/>
    <mergeCell ref="B1:AC1"/>
    <mergeCell ref="M9:P9"/>
    <mergeCell ref="B2:AC6"/>
    <mergeCell ref="AC9:AF9"/>
    <mergeCell ref="AG9:AJ9"/>
    <mergeCell ref="AC8:AF8"/>
    <mergeCell ref="AG8:AN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A12" activePane="bottomRight" state="frozen"/>
      <selection pane="topRight" activeCell="C1" sqref="C1"/>
      <selection pane="bottomLeft" activeCell="A5" sqref="A5"/>
      <selection pane="bottomRight" activeCell="AM31" sqref="AM31"/>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15" t="s">
        <v>45</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c r="AD1" s="241"/>
      <c r="AE1" s="241"/>
      <c r="AF1" s="241"/>
      <c r="AG1" s="241"/>
      <c r="AH1" s="241"/>
    </row>
    <row r="2" spans="2:41" ht="14.25" customHeight="1" x14ac:dyDescent="0.35">
      <c r="B2" s="1489" t="s">
        <v>817</v>
      </c>
      <c r="C2" s="1489"/>
      <c r="D2" s="1489"/>
      <c r="E2" s="1489"/>
      <c r="F2" s="1489"/>
      <c r="G2" s="1489"/>
      <c r="H2" s="1489"/>
      <c r="I2" s="1489"/>
      <c r="J2" s="1489"/>
      <c r="K2" s="1489"/>
      <c r="L2" s="1489"/>
      <c r="M2" s="1489"/>
      <c r="N2" s="1489"/>
      <c r="O2" s="1489"/>
      <c r="P2" s="1489"/>
      <c r="Q2" s="1489"/>
      <c r="R2" s="1489"/>
      <c r="S2" s="1489"/>
      <c r="T2" s="1489"/>
      <c r="U2" s="1489"/>
      <c r="V2" s="1488" t="s">
        <v>864</v>
      </c>
      <c r="W2" s="1488"/>
      <c r="X2" s="1488"/>
      <c r="Y2" s="1488"/>
      <c r="Z2" s="1488"/>
      <c r="AA2" s="1488"/>
      <c r="AB2" s="1488"/>
      <c r="AC2" s="722"/>
      <c r="AD2" s="722"/>
      <c r="AE2" s="722"/>
      <c r="AF2" s="722"/>
      <c r="AG2" s="722"/>
      <c r="AH2" s="722"/>
    </row>
    <row r="3" spans="2:41" ht="59.9" hidden="1" customHeight="1" x14ac:dyDescent="0.35">
      <c r="B3" s="1489"/>
      <c r="C3" s="1489"/>
      <c r="D3" s="1489"/>
      <c r="E3" s="1489"/>
      <c r="F3" s="1489"/>
      <c r="G3" s="1489"/>
      <c r="H3" s="1489"/>
      <c r="I3" s="1489"/>
      <c r="J3" s="1489"/>
      <c r="K3" s="1489"/>
      <c r="L3" s="1489"/>
      <c r="M3" s="1489"/>
      <c r="N3" s="1489"/>
      <c r="O3" s="1489"/>
      <c r="P3" s="1489"/>
      <c r="Q3" s="1489"/>
      <c r="R3" s="1489"/>
      <c r="S3" s="1489"/>
      <c r="T3" s="1489"/>
      <c r="U3" s="1489"/>
      <c r="V3" s="1488"/>
      <c r="W3" s="1488"/>
      <c r="X3" s="1488"/>
      <c r="Y3" s="1488"/>
      <c r="Z3" s="1488"/>
      <c r="AA3" s="1488"/>
      <c r="AB3" s="1488"/>
      <c r="AC3" s="722"/>
      <c r="AD3" s="722"/>
      <c r="AE3" s="722"/>
      <c r="AF3" s="722"/>
      <c r="AG3" s="722"/>
      <c r="AH3" s="722"/>
    </row>
    <row r="4" spans="2:41" ht="88.5" hidden="1" customHeight="1" x14ac:dyDescent="0.35">
      <c r="B4" s="1489"/>
      <c r="C4" s="1489"/>
      <c r="D4" s="1489"/>
      <c r="E4" s="1489"/>
      <c r="F4" s="1489"/>
      <c r="G4" s="1489"/>
      <c r="H4" s="1489"/>
      <c r="I4" s="1489"/>
      <c r="J4" s="1489"/>
      <c r="K4" s="1489"/>
      <c r="L4" s="1489"/>
      <c r="M4" s="1489"/>
      <c r="N4" s="1489"/>
      <c r="O4" s="1489"/>
      <c r="P4" s="1489"/>
      <c r="Q4" s="1489"/>
      <c r="R4" s="1489"/>
      <c r="S4" s="1489"/>
      <c r="T4" s="1489"/>
      <c r="U4" s="1489"/>
      <c r="V4" s="1488"/>
      <c r="W4" s="1488"/>
      <c r="X4" s="1488"/>
      <c r="Y4" s="1488"/>
      <c r="Z4" s="1488"/>
      <c r="AA4" s="1488"/>
      <c r="AB4" s="1488"/>
      <c r="AC4" s="722"/>
      <c r="AD4" s="722"/>
      <c r="AE4" s="722"/>
      <c r="AF4" s="722"/>
      <c r="AG4" s="722"/>
      <c r="AH4" s="722"/>
    </row>
    <row r="5" spans="2:41" ht="33" customHeight="1" x14ac:dyDescent="0.35">
      <c r="D5" s="722"/>
      <c r="E5" s="722"/>
      <c r="F5" s="722"/>
      <c r="G5" s="722"/>
      <c r="H5" s="722"/>
      <c r="I5" s="722"/>
      <c r="J5" s="722"/>
      <c r="K5" s="722"/>
      <c r="L5" s="722"/>
      <c r="M5" s="722"/>
      <c r="N5" s="722"/>
      <c r="O5" s="722"/>
      <c r="P5" s="722"/>
      <c r="Q5" s="722"/>
      <c r="R5" s="722"/>
      <c r="S5" s="722"/>
      <c r="T5" s="722"/>
      <c r="U5" s="722"/>
      <c r="V5" s="722"/>
      <c r="W5" s="722"/>
      <c r="X5" s="722"/>
      <c r="Y5" s="722"/>
      <c r="Z5" s="722"/>
      <c r="AA5" s="722"/>
      <c r="AB5" s="722"/>
      <c r="AC5" s="722"/>
      <c r="AD5" s="722"/>
      <c r="AE5" s="722"/>
      <c r="AF5" s="722"/>
      <c r="AG5" s="722"/>
      <c r="AH5" s="722"/>
    </row>
    <row r="6" spans="2:41" x14ac:dyDescent="0.35">
      <c r="B6" s="1490"/>
      <c r="C6" s="1490"/>
      <c r="D6" s="722"/>
      <c r="E6" s="722"/>
      <c r="F6" s="722"/>
      <c r="G6" s="722"/>
      <c r="H6" s="722"/>
      <c r="I6" s="722"/>
      <c r="J6" s="722"/>
      <c r="K6" s="722"/>
      <c r="L6" s="722"/>
      <c r="M6" s="722"/>
      <c r="N6" s="722"/>
      <c r="O6" s="722"/>
      <c r="P6" s="722"/>
      <c r="Q6" s="722"/>
      <c r="R6" s="722"/>
      <c r="S6" s="722"/>
      <c r="T6" s="722"/>
      <c r="U6" s="722"/>
      <c r="V6" s="722"/>
      <c r="W6" s="722"/>
      <c r="X6" s="722"/>
      <c r="Y6" s="722"/>
      <c r="Z6" s="722"/>
      <c r="AA6" s="722"/>
      <c r="AB6" s="722"/>
      <c r="AC6" s="722"/>
      <c r="AD6" s="722"/>
      <c r="AE6" s="722"/>
      <c r="AF6" s="722"/>
      <c r="AG6" s="722"/>
      <c r="AH6" s="722"/>
    </row>
    <row r="7" spans="2:41" ht="14.9" customHeight="1" x14ac:dyDescent="0.35">
      <c r="B7" s="1417" t="s">
        <v>369</v>
      </c>
      <c r="C7" s="1418"/>
      <c r="D7" s="1400" t="s">
        <v>246</v>
      </c>
      <c r="E7" s="1401"/>
      <c r="F7" s="1401"/>
      <c r="G7" s="1401"/>
      <c r="H7" s="1401"/>
      <c r="I7" s="1401"/>
      <c r="J7" s="1401"/>
      <c r="K7" s="1401"/>
      <c r="L7" s="1401"/>
      <c r="M7" s="1401"/>
      <c r="N7" s="1401"/>
      <c r="O7" s="1401"/>
      <c r="P7" s="1401"/>
      <c r="Q7" s="1401"/>
      <c r="R7" s="1401"/>
      <c r="S7" s="1401"/>
      <c r="T7" s="1401"/>
      <c r="U7" s="1401"/>
      <c r="V7" s="1401"/>
      <c r="W7" s="1401"/>
      <c r="X7" s="1401"/>
      <c r="Y7" s="1401"/>
      <c r="Z7" s="1401"/>
      <c r="AA7" s="1401"/>
      <c r="AB7" s="1402"/>
      <c r="AC7" s="259"/>
      <c r="AD7" s="260"/>
      <c r="AE7" s="260"/>
      <c r="AF7" s="260"/>
      <c r="AG7" s="1397" t="s">
        <v>247</v>
      </c>
      <c r="AH7" s="1398"/>
      <c r="AI7" s="1398"/>
      <c r="AJ7" s="1398"/>
      <c r="AK7" s="1398"/>
      <c r="AL7" s="1398"/>
      <c r="AM7" s="1398"/>
      <c r="AN7" s="1399"/>
    </row>
    <row r="8" spans="2:41" x14ac:dyDescent="0.35">
      <c r="B8" s="1419"/>
      <c r="C8" s="1420"/>
      <c r="D8" s="249">
        <v>2018</v>
      </c>
      <c r="E8" s="1403">
        <v>2019</v>
      </c>
      <c r="F8" s="1404"/>
      <c r="G8" s="1404"/>
      <c r="H8" s="1405"/>
      <c r="I8" s="1403">
        <v>2020</v>
      </c>
      <c r="J8" s="1404"/>
      <c r="K8" s="1404"/>
      <c r="L8" s="1405"/>
      <c r="M8" s="1403">
        <v>2021</v>
      </c>
      <c r="N8" s="1404"/>
      <c r="O8" s="1404"/>
      <c r="P8" s="1405"/>
      <c r="Q8" s="1403">
        <v>2022</v>
      </c>
      <c r="R8" s="1404"/>
      <c r="S8" s="1404"/>
      <c r="T8" s="1405"/>
      <c r="U8" s="277"/>
      <c r="V8" s="277">
        <v>2023</v>
      </c>
      <c r="W8" s="277"/>
      <c r="X8" s="279"/>
      <c r="Y8" s="283"/>
      <c r="Z8" s="277">
        <v>2024</v>
      </c>
      <c r="AA8" s="277"/>
      <c r="AB8" s="279"/>
      <c r="AC8" s="1403">
        <v>2025</v>
      </c>
      <c r="AD8" s="1404"/>
      <c r="AE8" s="1404"/>
      <c r="AF8" s="1405"/>
      <c r="AG8" s="1410">
        <v>2026</v>
      </c>
      <c r="AH8" s="1428"/>
      <c r="AI8" s="1428"/>
      <c r="AJ8" s="1412"/>
      <c r="AK8" s="1410">
        <v>2027</v>
      </c>
      <c r="AL8" s="1428"/>
      <c r="AM8" s="1428"/>
      <c r="AN8" s="1412"/>
      <c r="AO8" s="268"/>
    </row>
    <row r="9" spans="2:41"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99" t="s">
        <v>89</v>
      </c>
      <c r="C10" s="724" t="s">
        <v>395</v>
      </c>
      <c r="D10" s="687">
        <f>'Haver Pivoted'!GO13</f>
        <v>589.5</v>
      </c>
      <c r="E10" s="703">
        <f>'Haver Pivoted'!GP13</f>
        <v>598.70000000000005</v>
      </c>
      <c r="F10" s="703">
        <f>'Haver Pivoted'!GQ13</f>
        <v>614.4</v>
      </c>
      <c r="G10" s="687">
        <f>'Haver Pivoted'!GR13</f>
        <v>622.4</v>
      </c>
      <c r="H10" s="687">
        <f>'Haver Pivoted'!GS13</f>
        <v>620.6</v>
      </c>
      <c r="I10" s="703">
        <f>'Haver Pivoted'!GT13</f>
        <v>606.5</v>
      </c>
      <c r="J10" s="703">
        <f>'Haver Pivoted'!GU13</f>
        <v>654.6</v>
      </c>
      <c r="K10" s="687">
        <f>'Haver Pivoted'!GV13</f>
        <v>690.7</v>
      </c>
      <c r="L10" s="687">
        <f>'Haver Pivoted'!GW13</f>
        <v>678.5</v>
      </c>
      <c r="M10" s="703">
        <f>'Haver Pivoted'!GX13</f>
        <v>704.8</v>
      </c>
      <c r="N10" s="703">
        <f>'Haver Pivoted'!GY13</f>
        <v>745.5</v>
      </c>
      <c r="O10" s="687">
        <f>'Haver Pivoted'!GZ13</f>
        <v>749.2</v>
      </c>
      <c r="P10" s="687">
        <f>'Haver Pivoted'!HA13</f>
        <v>746.4</v>
      </c>
      <c r="Q10" s="703">
        <f>'Haver Pivoted'!HB13</f>
        <v>792.1</v>
      </c>
      <c r="R10" s="703">
        <f>'Haver Pivoted'!HC13</f>
        <v>819.3</v>
      </c>
      <c r="S10" s="681">
        <f>'Haver Pivoted'!HD13</f>
        <v>818.9</v>
      </c>
      <c r="T10" s="704">
        <f>'Haver Pivoted'!HE13</f>
        <v>827.1</v>
      </c>
      <c r="U10" s="704">
        <f>'Haver Pivoted'!HF13</f>
        <v>876.8</v>
      </c>
      <c r="V10" s="681">
        <f>'Haver Pivoted'!HG13</f>
        <v>910.9</v>
      </c>
      <c r="W10" s="681">
        <f>'Haver Pivoted'!HH13</f>
        <v>867.3</v>
      </c>
      <c r="X10" s="704">
        <f>'Haver Pivoted'!HI13</f>
        <v>857.7</v>
      </c>
      <c r="Y10" s="704">
        <f>'Haver Pivoted'!HJ13</f>
        <v>909.4</v>
      </c>
      <c r="Z10" s="681">
        <f>'Haver Pivoted'!HK13</f>
        <v>934.7</v>
      </c>
      <c r="AA10" s="681">
        <f>'Haver Pivoted'!HL13</f>
        <v>947.9</v>
      </c>
      <c r="AB10" s="704">
        <f>'Haver Pivoted'!HM13</f>
        <v>960.7</v>
      </c>
      <c r="AC10" s="704">
        <f>'Haver Pivoted'!HN13</f>
        <v>955.2</v>
      </c>
      <c r="AD10" s="681">
        <f>'Haver Pivoted'!HO13</f>
        <v>991.5</v>
      </c>
      <c r="AE10" s="681">
        <f>'Haver Pivoted'!HP13</f>
        <v>1045.5999999999999</v>
      </c>
      <c r="AF10" s="681">
        <f>'Haver Pivoted'!HQ13</f>
        <v>1078.4000000000001</v>
      </c>
      <c r="AG10" s="247"/>
      <c r="AH10" s="247"/>
      <c r="AI10" s="247"/>
      <c r="AJ10" s="247"/>
      <c r="AK10" s="247"/>
      <c r="AL10" s="247"/>
      <c r="AM10" s="247"/>
      <c r="AN10" s="247"/>
    </row>
    <row r="11" spans="2:41" x14ac:dyDescent="0.35">
      <c r="B11" s="693" t="s">
        <v>396</v>
      </c>
      <c r="C11" s="268" t="s">
        <v>305</v>
      </c>
      <c r="D11" s="719">
        <f>'Haver Pivoted'!GO40</f>
        <v>391.92099999999999</v>
      </c>
      <c r="E11" s="719">
        <f>'Haver Pivoted'!GP40</f>
        <v>405.36799999999999</v>
      </c>
      <c r="F11" s="719">
        <f>'Haver Pivoted'!GQ40</f>
        <v>414.19600000000003</v>
      </c>
      <c r="G11" s="719">
        <f>'Haver Pivoted'!GR40</f>
        <v>418.68599999999998</v>
      </c>
      <c r="H11" s="719">
        <f>'Haver Pivoted'!GS40</f>
        <v>416.185</v>
      </c>
      <c r="I11" s="719">
        <f>'Haver Pivoted'!GT40</f>
        <v>422.98899999999998</v>
      </c>
      <c r="J11" s="719">
        <f>'Haver Pivoted'!GU40</f>
        <v>505.16399999999999</v>
      </c>
      <c r="K11" s="719">
        <f>'Haver Pivoted'!GV40</f>
        <v>484.88200000000001</v>
      </c>
      <c r="L11" s="719">
        <f>'Haver Pivoted'!GW40</f>
        <v>507.12599999999998</v>
      </c>
      <c r="M11" s="719">
        <f>'Haver Pivoted'!GX40</f>
        <v>499.71899999999999</v>
      </c>
      <c r="N11" s="719">
        <f>'Haver Pivoted'!GY40</f>
        <v>525.279</v>
      </c>
      <c r="O11" s="719">
        <f>'Haver Pivoted'!GZ40</f>
        <v>543.90499999999997</v>
      </c>
      <c r="P11" s="719">
        <f>'Haver Pivoted'!HA40</f>
        <v>564.25300000000004</v>
      </c>
      <c r="Q11" s="719">
        <f>'Haver Pivoted'!HB40</f>
        <v>590.63800000000003</v>
      </c>
      <c r="R11" s="719">
        <f>'Haver Pivoted'!HC40</f>
        <v>595.07899999999995</v>
      </c>
      <c r="S11" s="682">
        <f>'Haver Pivoted'!HD40</f>
        <v>612.76</v>
      </c>
      <c r="T11" s="682">
        <f>'Haver Pivoted'!HE40</f>
        <v>606.76599999999996</v>
      </c>
      <c r="U11" s="682">
        <f>'Haver Pivoted'!HF40</f>
        <v>633.73099999999999</v>
      </c>
      <c r="V11" s="682">
        <f>'Haver Pivoted'!HG40</f>
        <v>643.79600000000005</v>
      </c>
      <c r="W11" s="682">
        <f>'Haver Pivoted'!HH40</f>
        <v>577.25</v>
      </c>
      <c r="X11" s="682">
        <f>'Haver Pivoted'!HI40</f>
        <v>604.78800000000001</v>
      </c>
      <c r="Y11" s="682">
        <f>'Haver Pivoted'!HJ40</f>
        <v>611.28099999999995</v>
      </c>
      <c r="Z11" s="682">
        <f>'Haver Pivoted'!HK40</f>
        <v>619.77800000000002</v>
      </c>
      <c r="AA11" s="682">
        <f>'Haver Pivoted'!HL40</f>
        <v>632.45899999999995</v>
      </c>
      <c r="AB11" s="682">
        <f>'Haver Pivoted'!HM40</f>
        <v>646.39700000000005</v>
      </c>
      <c r="AC11" s="682">
        <f>'Haver Pivoted'!HN40</f>
        <v>638.73199999999997</v>
      </c>
      <c r="AD11" s="682">
        <f>'Haver Pivoted'!HO40</f>
        <v>672.36</v>
      </c>
      <c r="AE11" s="682">
        <f>'Haver Pivoted'!HP40</f>
        <v>699.33299999999997</v>
      </c>
      <c r="AF11" s="682">
        <f>'Haver Pivoted'!HQ40</f>
        <v>705.51800000000003</v>
      </c>
      <c r="AG11" s="247"/>
      <c r="AH11" s="247"/>
      <c r="AI11" s="247"/>
      <c r="AJ11" s="247"/>
      <c r="AK11" s="247"/>
      <c r="AL11" s="247"/>
      <c r="AM11" s="247"/>
      <c r="AN11" s="247"/>
    </row>
    <row r="12" spans="2:41" ht="25" customHeight="1" x14ac:dyDescent="0.35">
      <c r="B12" s="653" t="s">
        <v>2412</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53" t="s">
        <v>2059</v>
      </c>
      <c r="C13" s="43"/>
      <c r="D13" s="721"/>
      <c r="E13" s="708"/>
      <c r="F13" s="708"/>
      <c r="G13" s="708"/>
      <c r="H13" s="708"/>
      <c r="I13" s="708"/>
      <c r="J13" s="708"/>
      <c r="K13" s="708"/>
      <c r="L13" s="708"/>
      <c r="M13" s="708"/>
      <c r="N13" s="708"/>
      <c r="O13" s="708"/>
      <c r="P13" s="708"/>
      <c r="Q13" s="708"/>
      <c r="R13" s="708"/>
      <c r="S13" s="688"/>
      <c r="T13" s="688"/>
      <c r="U13" s="688"/>
      <c r="V13" s="688"/>
      <c r="W13" s="688"/>
      <c r="X13" s="688"/>
      <c r="Y13" s="688"/>
      <c r="Z13" s="688"/>
      <c r="AA13" s="688"/>
      <c r="AB13" s="688"/>
      <c r="AC13" s="688"/>
      <c r="AD13" s="688"/>
      <c r="AE13" s="688"/>
      <c r="AF13" s="688"/>
      <c r="AG13" s="723">
        <f>AVERAGE(AC12:AF12)</f>
        <v>0.66746853211148127</v>
      </c>
      <c r="AH13" s="723">
        <f t="shared" ref="AH13:AN13" si="2">AVERAGE(AD12:AG12)</f>
        <v>0.66247584520635339</v>
      </c>
      <c r="AI13" s="723">
        <f t="shared" si="2"/>
        <v>0.65543879289220797</v>
      </c>
      <c r="AJ13" s="723">
        <f t="shared" si="2"/>
        <v>0.65052745056438011</v>
      </c>
      <c r="AK13" s="723">
        <f t="shared" si="2"/>
        <v>0.64710265519360566</v>
      </c>
      <c r="AL13" s="723">
        <f t="shared" si="2"/>
        <v>0.64482368596413675</v>
      </c>
      <c r="AM13" s="723">
        <f t="shared" si="2"/>
        <v>0.64228564615358263</v>
      </c>
      <c r="AN13" s="723">
        <f t="shared" si="2"/>
        <v>0.63993485946892625</v>
      </c>
    </row>
    <row r="14" spans="2:41" ht="37.5" customHeight="1" x14ac:dyDescent="0.35">
      <c r="B14" s="1567" t="s">
        <v>2413</v>
      </c>
      <c r="C14" s="1568"/>
      <c r="D14" s="1569"/>
      <c r="E14" s="1569"/>
      <c r="F14" s="1569"/>
      <c r="G14" s="1569"/>
      <c r="H14" s="1569"/>
      <c r="I14" s="1569"/>
      <c r="J14" s="1569"/>
      <c r="K14" s="1569"/>
      <c r="L14" s="1569"/>
      <c r="M14" s="1569"/>
      <c r="N14" s="1569"/>
      <c r="O14" s="1569"/>
      <c r="P14" s="1569"/>
      <c r="Q14" s="1569"/>
      <c r="R14" s="1569"/>
      <c r="S14" s="1570"/>
      <c r="T14" s="1570"/>
      <c r="U14" s="1570"/>
      <c r="V14" s="1570"/>
      <c r="W14" s="1570"/>
      <c r="X14" s="1570"/>
      <c r="Y14" s="1570"/>
      <c r="Z14" s="1570"/>
      <c r="AA14" s="1570"/>
      <c r="AB14" s="1570"/>
      <c r="AC14" s="1570"/>
      <c r="AD14" s="1570"/>
      <c r="AE14" s="1570"/>
      <c r="AF14" s="1570">
        <v>0</v>
      </c>
      <c r="AG14" s="1571">
        <f>0.75*AG15</f>
        <v>-1.8750000000000003E-2</v>
      </c>
      <c r="AH14" s="1571">
        <f>0.5*AH15</f>
        <v>-1.2500000000000001E-2</v>
      </c>
      <c r="AI14" s="1571">
        <f>0.25*AI15</f>
        <v>-6.2500000000000003E-3</v>
      </c>
      <c r="AJ14" s="1571">
        <f>AJ15-AI15</f>
        <v>-1.0000000000000002E-2</v>
      </c>
      <c r="AK14" s="1571">
        <f>AJ14*0.75</f>
        <v>-7.5000000000000015E-3</v>
      </c>
      <c r="AL14" s="1571">
        <f>AJ14*0.5</f>
        <v>-5.000000000000001E-3</v>
      </c>
      <c r="AM14" s="1571">
        <f>AJ14*0.25</f>
        <v>-2.5000000000000005E-3</v>
      </c>
      <c r="AN14" s="1571"/>
    </row>
    <row r="15" spans="2:41" ht="27.65" customHeight="1" x14ac:dyDescent="0.35">
      <c r="B15" s="674" t="s">
        <v>2058</v>
      </c>
      <c r="C15" s="44"/>
      <c r="D15" s="697"/>
      <c r="E15" s="697"/>
      <c r="F15" s="697"/>
      <c r="G15" s="697"/>
      <c r="H15" s="697"/>
      <c r="I15" s="697"/>
      <c r="J15" s="697"/>
      <c r="K15" s="697"/>
      <c r="L15" s="697"/>
      <c r="M15" s="697"/>
      <c r="N15" s="697"/>
      <c r="O15" s="697"/>
      <c r="P15" s="697"/>
      <c r="Q15" s="697"/>
      <c r="R15" s="697"/>
      <c r="S15" s="672"/>
      <c r="T15" s="672"/>
      <c r="U15" s="672"/>
      <c r="V15" s="672"/>
      <c r="W15" s="672"/>
      <c r="X15" s="672"/>
      <c r="Y15" s="672"/>
      <c r="Z15" s="672"/>
      <c r="AA15" s="672"/>
      <c r="AB15" s="672"/>
      <c r="AC15" s="672"/>
      <c r="AD15" s="672"/>
      <c r="AE15" s="672"/>
      <c r="AF15" s="673"/>
      <c r="AG15" s="673">
        <v>-2.5000000000000001E-2</v>
      </c>
      <c r="AH15" s="673">
        <v>-2.5000000000000001E-2</v>
      </c>
      <c r="AI15" s="673">
        <v>-2.5000000000000001E-2</v>
      </c>
      <c r="AJ15" s="673">
        <v>-3.5000000000000003E-2</v>
      </c>
      <c r="AK15" s="673">
        <v>-3.5000000000000003E-2</v>
      </c>
      <c r="AL15" s="673">
        <v>-3.5000000000000003E-2</v>
      </c>
      <c r="AM15" s="673">
        <v>-3.5000000000000003E-2</v>
      </c>
      <c r="AN15" s="673">
        <v>-3.5000000000000003E-2</v>
      </c>
    </row>
    <row r="16" spans="2:41" x14ac:dyDescent="0.35">
      <c r="O16" s="44"/>
      <c r="P16" s="268"/>
      <c r="Q16" s="44"/>
      <c r="R16" s="44"/>
      <c r="S16" s="44"/>
      <c r="T16" s="620"/>
      <c r="Y16" s="265"/>
      <c r="Z16" s="265"/>
      <c r="AA16" s="265"/>
      <c r="AB16" s="265"/>
      <c r="AC16" s="265"/>
      <c r="AD16" s="265"/>
      <c r="AE16" s="265"/>
      <c r="AF16" s="265"/>
      <c r="AG16" s="265"/>
      <c r="AH16" s="265"/>
      <c r="AI16" s="44"/>
    </row>
    <row r="17" spans="2:41" x14ac:dyDescent="0.35">
      <c r="B17" s="644" t="s">
        <v>318</v>
      </c>
      <c r="O17" s="44"/>
      <c r="P17" s="268"/>
      <c r="Q17" s="44"/>
      <c r="R17" s="44"/>
      <c r="S17" s="44"/>
      <c r="T17" s="620"/>
      <c r="Y17" s="265"/>
      <c r="Z17" s="265"/>
      <c r="AA17" s="265"/>
      <c r="AB17" s="265"/>
      <c r="AC17" s="265"/>
      <c r="AD17" s="265"/>
      <c r="AE17" s="265"/>
      <c r="AF17" s="265"/>
      <c r="AG17" s="265"/>
      <c r="AH17" s="265"/>
      <c r="AI17" s="44"/>
    </row>
    <row r="18" spans="2:41" x14ac:dyDescent="0.35">
      <c r="B18" s="684" t="s">
        <v>397</v>
      </c>
      <c r="C18" s="700">
        <v>2020</v>
      </c>
      <c r="D18" s="700">
        <v>2021</v>
      </c>
      <c r="E18" s="700">
        <v>2022</v>
      </c>
      <c r="F18" s="700">
        <v>2023</v>
      </c>
      <c r="G18" s="700">
        <v>2024</v>
      </c>
      <c r="H18" s="700">
        <v>2025</v>
      </c>
      <c r="I18" s="700">
        <v>2026</v>
      </c>
      <c r="J18" s="700">
        <v>2027</v>
      </c>
      <c r="K18" s="701">
        <v>2028</v>
      </c>
      <c r="L18" s="700">
        <v>2029</v>
      </c>
      <c r="M18" s="700">
        <v>2030</v>
      </c>
      <c r="N18" s="700">
        <v>2031</v>
      </c>
      <c r="O18" s="701">
        <v>2032</v>
      </c>
      <c r="P18" s="700">
        <v>2033</v>
      </c>
      <c r="Q18" s="700">
        <v>2034</v>
      </c>
      <c r="R18" s="700">
        <v>2035</v>
      </c>
      <c r="S18" s="700">
        <v>2036</v>
      </c>
      <c r="T18" s="697"/>
      <c r="U18" s="697"/>
      <c r="V18" s="697"/>
      <c r="W18" s="697"/>
      <c r="X18" s="697"/>
      <c r="Y18" s="697"/>
      <c r="Z18" s="697"/>
      <c r="AA18" s="697"/>
      <c r="AB18" s="697"/>
      <c r="AC18" s="697"/>
      <c r="AD18" s="697"/>
      <c r="AE18" s="697"/>
      <c r="AF18" s="697"/>
      <c r="AG18" s="697"/>
      <c r="AH18" s="697"/>
      <c r="AI18" s="44"/>
    </row>
    <row r="19" spans="2:41" ht="26.5" customHeight="1" x14ac:dyDescent="0.35">
      <c r="B19" s="683" t="s">
        <v>2045</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83"/>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93" t="s">
        <v>398</v>
      </c>
      <c r="C21" s="697"/>
      <c r="D21" s="697"/>
      <c r="E21" s="697"/>
      <c r="F21" s="697"/>
      <c r="G21" s="697">
        <f>AVERAGE(X12:AA12)</f>
        <v>0.67690159364278557</v>
      </c>
      <c r="H21" s="697">
        <f>AVERAGE(AB12:AE12)</f>
        <v>0.67212177313156785</v>
      </c>
      <c r="I21" s="697">
        <f>AVERAGE(AF12:AI12)</f>
        <v>0.65052745056438011</v>
      </c>
      <c r="J21" s="697">
        <f>AVERAGE(AJ12:AM12)</f>
        <v>0.63993485946892625</v>
      </c>
      <c r="K21" s="1572">
        <f>0.635</f>
        <v>0.63500000000000001</v>
      </c>
    </row>
    <row r="22" spans="2:41" x14ac:dyDescent="0.35">
      <c r="B22" s="693" t="s">
        <v>399</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53" t="s">
        <v>400</v>
      </c>
      <c r="C23" s="690"/>
      <c r="D23" s="708" t="e">
        <f>D22/C22-1</f>
        <v>#DIV/0!</v>
      </c>
      <c r="E23" s="708" t="e">
        <f t="shared" ref="E23" si="5">E22/D22-1</f>
        <v>#DIV/0!</v>
      </c>
      <c r="F23" s="708" t="e">
        <f t="shared" ref="F23" si="6">F22/E22-1</f>
        <v>#DIV/0!</v>
      </c>
      <c r="G23" s="708" t="e">
        <f>G22/F22-1</f>
        <v>#DIV/0!</v>
      </c>
      <c r="H23" s="708">
        <f>H22/G22-1</f>
        <v>8.9444514659433372E-2</v>
      </c>
      <c r="I23" s="708">
        <f>I22/H22-1</f>
        <v>9.5063068093291569E-2</v>
      </c>
      <c r="J23" s="708">
        <f>J22/I22-1</f>
        <v>4.2397166184843682E-2</v>
      </c>
      <c r="K23" s="708">
        <f t="shared" ref="K23" si="7">K22/J22-1</f>
        <v>3.5533730643194428E-2</v>
      </c>
      <c r="L23" s="710"/>
      <c r="R23" s="44"/>
      <c r="S23" s="647"/>
      <c r="T23" s="647"/>
      <c r="U23" s="647"/>
    </row>
    <row r="24" spans="2:41" ht="32.25" customHeight="1" x14ac:dyDescent="0.35">
      <c r="B24" s="399"/>
      <c r="C24" s="265"/>
      <c r="D24" s="697"/>
      <c r="E24" s="697"/>
      <c r="F24" s="697"/>
      <c r="G24" s="697"/>
      <c r="H24" s="697"/>
      <c r="I24" s="697"/>
      <c r="J24" s="697"/>
      <c r="K24" s="710"/>
      <c r="L24" s="710"/>
      <c r="R24" s="44"/>
      <c r="S24" s="647"/>
      <c r="T24" s="647"/>
      <c r="U24" s="647"/>
    </row>
    <row r="26" spans="2:41" x14ac:dyDescent="0.35">
      <c r="B26" s="644" t="s">
        <v>331</v>
      </c>
    </row>
    <row r="27" spans="2:41" x14ac:dyDescent="0.35">
      <c r="B27" s="1417" t="s">
        <v>401</v>
      </c>
      <c r="C27" s="1418"/>
      <c r="D27" s="1400" t="s">
        <v>246</v>
      </c>
      <c r="E27" s="1401"/>
      <c r="F27" s="1401"/>
      <c r="G27" s="1401"/>
      <c r="H27" s="1401"/>
      <c r="I27" s="1401"/>
      <c r="J27" s="1401"/>
      <c r="K27" s="1401"/>
      <c r="L27" s="1401"/>
      <c r="M27" s="1401"/>
      <c r="N27" s="1401"/>
      <c r="O27" s="1401"/>
      <c r="P27" s="1401"/>
      <c r="Q27" s="1401"/>
      <c r="R27" s="1401"/>
      <c r="S27" s="1401"/>
      <c r="T27" s="1401"/>
      <c r="U27" s="1401"/>
      <c r="V27" s="1401"/>
      <c r="W27" s="1401"/>
      <c r="X27" s="1401"/>
      <c r="Y27" s="1401"/>
      <c r="Z27" s="1401"/>
      <c r="AA27" s="1401"/>
      <c r="AB27" s="1402"/>
      <c r="AC27" s="259"/>
      <c r="AD27" s="260"/>
      <c r="AE27" s="260"/>
      <c r="AF27" s="260"/>
      <c r="AG27" s="1397" t="s">
        <v>247</v>
      </c>
      <c r="AH27" s="1398"/>
      <c r="AI27" s="1398"/>
      <c r="AJ27" s="1398"/>
      <c r="AK27" s="1398"/>
      <c r="AL27" s="1398"/>
      <c r="AM27" s="1398"/>
      <c r="AN27" s="1399"/>
    </row>
    <row r="28" spans="2:41" x14ac:dyDescent="0.35">
      <c r="B28" s="1419"/>
      <c r="C28" s="1420"/>
      <c r="D28" s="249">
        <v>2018</v>
      </c>
      <c r="E28" s="1403">
        <v>2019</v>
      </c>
      <c r="F28" s="1404"/>
      <c r="G28" s="1404"/>
      <c r="H28" s="1405"/>
      <c r="I28" s="1403">
        <v>2020</v>
      </c>
      <c r="J28" s="1404"/>
      <c r="K28" s="1404"/>
      <c r="L28" s="1405"/>
      <c r="M28" s="1403">
        <v>2021</v>
      </c>
      <c r="N28" s="1404"/>
      <c r="O28" s="1404"/>
      <c r="P28" s="1405"/>
      <c r="Q28" s="1403">
        <v>2022</v>
      </c>
      <c r="R28" s="1404"/>
      <c r="S28" s="1404"/>
      <c r="T28" s="1405"/>
      <c r="U28" s="283"/>
      <c r="V28" s="282">
        <v>2023</v>
      </c>
      <c r="W28" s="282"/>
      <c r="X28" s="279"/>
      <c r="Y28" s="283"/>
      <c r="Z28" s="282">
        <v>2024</v>
      </c>
      <c r="AA28" s="282"/>
      <c r="AB28" s="279"/>
      <c r="AC28" s="1403">
        <v>2025</v>
      </c>
      <c r="AD28" s="1404"/>
      <c r="AE28" s="1404"/>
      <c r="AF28" s="1405"/>
      <c r="AG28" s="1410">
        <v>2026</v>
      </c>
      <c r="AH28" s="1428"/>
      <c r="AI28" s="1428"/>
      <c r="AJ28" s="1412"/>
      <c r="AK28" s="1410">
        <v>2027</v>
      </c>
      <c r="AL28" s="1428"/>
      <c r="AM28" s="1428"/>
      <c r="AN28" s="1412"/>
    </row>
    <row r="29" spans="2:41" x14ac:dyDescent="0.35">
      <c r="B29" s="1421"/>
      <c r="C29" s="1422"/>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79" t="s">
        <v>402</v>
      </c>
      <c r="C30" s="717"/>
      <c r="D30" s="705">
        <f>D10</f>
        <v>589.5</v>
      </c>
      <c r="E30" s="706">
        <f>E10</f>
        <v>598.70000000000005</v>
      </c>
      <c r="F30" s="706">
        <f>F10</f>
        <v>614.4</v>
      </c>
      <c r="G30" s="706">
        <f>G10</f>
        <v>622.4</v>
      </c>
      <c r="H30" s="706">
        <f>H10</f>
        <v>620.6</v>
      </c>
      <c r="I30" s="706">
        <f>I10</f>
        <v>606.5</v>
      </c>
      <c r="J30" s="706">
        <f>J10</f>
        <v>654.6</v>
      </c>
      <c r="K30" s="706">
        <f>K10</f>
        <v>690.7</v>
      </c>
      <c r="L30" s="706">
        <f>L10</f>
        <v>678.5</v>
      </c>
      <c r="M30" s="706">
        <f>M10</f>
        <v>704.8</v>
      </c>
      <c r="N30" s="706">
        <f>N10</f>
        <v>745.5</v>
      </c>
      <c r="O30" s="706">
        <f>O10</f>
        <v>749.2</v>
      </c>
      <c r="P30" s="706">
        <f>P10</f>
        <v>746.4</v>
      </c>
      <c r="Q30" s="706">
        <f>Q10</f>
        <v>792.1</v>
      </c>
      <c r="R30" s="706">
        <f>R10</f>
        <v>819.3</v>
      </c>
      <c r="S30" s="707">
        <f>S10</f>
        <v>818.9</v>
      </c>
      <c r="T30" s="698">
        <f>T10</f>
        <v>827.1</v>
      </c>
      <c r="U30" s="707">
        <f>U10</f>
        <v>876.8</v>
      </c>
      <c r="V30" s="707">
        <f>V10</f>
        <v>910.9</v>
      </c>
      <c r="W30" s="707">
        <f>W10</f>
        <v>867.3</v>
      </c>
      <c r="X30" s="707">
        <f>X10</f>
        <v>857.7</v>
      </c>
      <c r="Y30" s="707">
        <f>Y10</f>
        <v>909.4</v>
      </c>
      <c r="Z30" s="707">
        <f>Z10</f>
        <v>934.7</v>
      </c>
      <c r="AA30" s="707">
        <f>AA10</f>
        <v>947.9</v>
      </c>
      <c r="AB30" s="707">
        <f>AB10</f>
        <v>960.7</v>
      </c>
      <c r="AC30" s="707">
        <f>AC10</f>
        <v>955.2</v>
      </c>
      <c r="AD30" s="707">
        <f>AD10</f>
        <v>991.5</v>
      </c>
      <c r="AE30" s="707">
        <f>AE10</f>
        <v>1045.5999999999999</v>
      </c>
      <c r="AF30" s="707">
        <f>AF10</f>
        <v>1078.4000000000001</v>
      </c>
      <c r="AG30" s="696">
        <f>AF30*(1+$I$23)^0.25+AG31+AG32</f>
        <v>1093.1629366212339</v>
      </c>
      <c r="AH30" s="696">
        <f>AG30*(1+$I$23)^0.25+AH31+AH32</f>
        <v>1113.2648695925188</v>
      </c>
      <c r="AI30" s="696">
        <f>AH30*(1+$I$23)^0.25+AI31+AI32</f>
        <v>1136.8283964919679</v>
      </c>
      <c r="AJ30" s="685">
        <f>AI30*(1+$J$23)^0.25+AJ31+AJ32</f>
        <v>1138.6910007857018</v>
      </c>
      <c r="AK30" s="696">
        <f>AJ30*(1+$J$23)^0.25+AK31+AK32</f>
        <v>1145.5730410275178</v>
      </c>
      <c r="AL30" s="696">
        <f>AK30*(1+$J$23)^0.25+AL31+AL32</f>
        <v>1152.5268941483698</v>
      </c>
      <c r="AM30" s="696">
        <f>AL30*(1+$J$23)^0.25+AM31+AM32</f>
        <v>1160.5533095030155</v>
      </c>
      <c r="AN30" s="685">
        <f>AM30*(1+$K$23)^0.25+AN31</f>
        <v>1170.7284082425656</v>
      </c>
      <c r="AO30" s="686" t="s">
        <v>1782</v>
      </c>
    </row>
    <row r="31" spans="2:41" ht="19.5" customHeight="1" x14ac:dyDescent="0.35">
      <c r="B31" s="680" t="s">
        <v>2410</v>
      </c>
      <c r="C31" s="385"/>
      <c r="D31" s="718"/>
      <c r="E31" s="694"/>
      <c r="F31" s="694"/>
      <c r="G31" s="694"/>
      <c r="H31" s="694"/>
      <c r="I31" s="694"/>
      <c r="J31" s="694"/>
      <c r="K31" s="694"/>
      <c r="L31" s="694"/>
      <c r="M31" s="694"/>
      <c r="N31" s="694"/>
      <c r="O31" s="694"/>
      <c r="P31" s="694"/>
      <c r="Q31" s="694"/>
      <c r="R31" s="694"/>
      <c r="S31" s="694"/>
      <c r="T31" s="694"/>
      <c r="U31" s="694"/>
      <c r="V31" s="694"/>
      <c r="W31" s="694"/>
      <c r="X31" s="694"/>
      <c r="Y31" s="696"/>
      <c r="Z31" s="696"/>
      <c r="AA31" s="696"/>
      <c r="AB31" s="696"/>
      <c r="AC31" s="696"/>
      <c r="AD31" s="696"/>
      <c r="AE31" s="696"/>
      <c r="AF31" s="696"/>
      <c r="AG31" s="696">
        <v>-10</v>
      </c>
      <c r="AH31" s="696">
        <v>-5</v>
      </c>
      <c r="AI31" s="696">
        <v>-2</v>
      </c>
      <c r="AJ31" s="696">
        <v>-10</v>
      </c>
      <c r="AK31" s="696">
        <v>-5</v>
      </c>
      <c r="AL31" s="696">
        <v>-5</v>
      </c>
      <c r="AM31" s="696">
        <v>-4</v>
      </c>
      <c r="AN31" s="696"/>
    </row>
    <row r="32" spans="2:41" ht="19.5" customHeight="1" x14ac:dyDescent="0.35">
      <c r="B32" s="689" t="s">
        <v>2017</v>
      </c>
      <c r="C32" s="385"/>
      <c r="D32" s="718"/>
      <c r="E32" s="694"/>
      <c r="F32" s="694"/>
      <c r="G32" s="694"/>
      <c r="H32" s="694"/>
      <c r="I32" s="694"/>
      <c r="J32" s="694"/>
      <c r="K32" s="694"/>
      <c r="L32" s="694"/>
      <c r="M32" s="694"/>
      <c r="N32" s="694"/>
      <c r="O32" s="694"/>
      <c r="P32" s="694"/>
      <c r="Q32" s="694"/>
      <c r="R32" s="694"/>
      <c r="S32" s="694"/>
      <c r="T32" s="694"/>
      <c r="U32" s="694"/>
      <c r="V32" s="694"/>
      <c r="W32" s="694"/>
      <c r="X32" s="694"/>
      <c r="Y32" s="696"/>
      <c r="Z32" s="696"/>
      <c r="AA32" s="696"/>
      <c r="AB32" s="696"/>
      <c r="AC32" s="696"/>
      <c r="AD32" s="696"/>
      <c r="AE32" s="696"/>
      <c r="AF32" s="696"/>
      <c r="AG32" s="696"/>
      <c r="AH32" s="696"/>
      <c r="AI32" s="696"/>
      <c r="AJ32" s="696"/>
      <c r="AK32" s="696"/>
      <c r="AL32" s="696"/>
      <c r="AM32" s="696"/>
      <c r="AN32" s="696"/>
    </row>
    <row r="33" spans="2:40" ht="19.399999999999999" customHeight="1" x14ac:dyDescent="0.35">
      <c r="B33" s="709" t="s">
        <v>195</v>
      </c>
      <c r="C33" s="385"/>
      <c r="D33" s="718">
        <f>D10*D13</f>
        <v>0</v>
      </c>
      <c r="E33" s="694">
        <f>E10*E13</f>
        <v>0</v>
      </c>
      <c r="F33" s="694">
        <f>F10*F13</f>
        <v>0</v>
      </c>
      <c r="G33" s="694">
        <f>G10*G13</f>
        <v>0</v>
      </c>
      <c r="H33" s="694">
        <f>H10*H13</f>
        <v>0</v>
      </c>
      <c r="I33" s="694">
        <f>I10*I13</f>
        <v>0</v>
      </c>
      <c r="J33" s="694">
        <f>J10*J13</f>
        <v>0</v>
      </c>
      <c r="K33" s="694">
        <f>K10*K13</f>
        <v>0</v>
      </c>
      <c r="L33" s="694">
        <f>L10*L13</f>
        <v>0</v>
      </c>
      <c r="M33" s="694">
        <f>M10*M13</f>
        <v>0</v>
      </c>
      <c r="N33" s="694">
        <f>N10*N13</f>
        <v>0</v>
      </c>
      <c r="O33" s="694">
        <f>O10*O13</f>
        <v>0</v>
      </c>
      <c r="P33" s="694">
        <f>P10*P13</f>
        <v>0</v>
      </c>
      <c r="Q33" s="694">
        <f>Q10*Q13</f>
        <v>0</v>
      </c>
      <c r="R33" s="694">
        <f>R30*R13</f>
        <v>0</v>
      </c>
      <c r="S33" s="694">
        <f>S30*S13</f>
        <v>0</v>
      </c>
      <c r="T33" s="694">
        <f>T30*T13</f>
        <v>0</v>
      </c>
      <c r="U33" s="694">
        <f>U30*U13</f>
        <v>0</v>
      </c>
      <c r="V33" s="694">
        <f>V30*V13</f>
        <v>0</v>
      </c>
      <c r="W33" s="694">
        <f>W30*W13</f>
        <v>0</v>
      </c>
      <c r="X33" s="694">
        <f>X30*X13</f>
        <v>0</v>
      </c>
      <c r="Y33" s="696">
        <f>Y30*Y13</f>
        <v>0</v>
      </c>
      <c r="Z33" s="696">
        <f>Z30*Z13</f>
        <v>0</v>
      </c>
      <c r="AA33" s="696">
        <f t="shared" ref="AA33:AD33" si="8">AA30*AA12</f>
        <v>632.45899999999995</v>
      </c>
      <c r="AB33" s="696">
        <f t="shared" si="8"/>
        <v>646.39700000000005</v>
      </c>
      <c r="AC33" s="696">
        <f t="shared" si="8"/>
        <v>638.73199999999997</v>
      </c>
      <c r="AD33" s="696">
        <f t="shared" si="8"/>
        <v>672.36</v>
      </c>
      <c r="AE33" s="696">
        <f>AE30*AE12</f>
        <v>699.33299999999997</v>
      </c>
      <c r="AF33" s="696">
        <f>AF30*AF12</f>
        <v>705.51799999999992</v>
      </c>
      <c r="AG33" s="696">
        <f>AG30*AG12</f>
        <v>709.15505560360305</v>
      </c>
      <c r="AH33" s="696">
        <f>AH30*AH12</f>
        <v>723.59527455193825</v>
      </c>
      <c r="AI33" s="696">
        <f>AI30*AI12</f>
        <v>738.01625444420506</v>
      </c>
      <c r="AJ33" s="696">
        <f>AJ30*AJ12</f>
        <v>729.36284371386807</v>
      </c>
      <c r="AK33" s="696">
        <f>AK30*AK12</f>
        <v>732.71155875941372</v>
      </c>
      <c r="AL33" s="696">
        <f>AL30*AL12</f>
        <v>737.41400558680846</v>
      </c>
      <c r="AM33" s="696">
        <f>AM30*AM12</f>
        <v>742.50534901606557</v>
      </c>
      <c r="AN33" s="696">
        <f>AN30*AN13</f>
        <v>749.18991940498597</v>
      </c>
    </row>
    <row r="34" spans="2:40" ht="19.399999999999999" customHeight="1" x14ac:dyDescent="0.35">
      <c r="B34" s="692" t="s">
        <v>403</v>
      </c>
      <c r="C34" s="468"/>
      <c r="D34" s="720">
        <f t="shared" ref="D34:AN34" si="9">D30-D33</f>
        <v>589.5</v>
      </c>
      <c r="E34" s="695">
        <f t="shared" si="9"/>
        <v>598.70000000000005</v>
      </c>
      <c r="F34" s="695">
        <f t="shared" si="9"/>
        <v>614.4</v>
      </c>
      <c r="G34" s="695">
        <f t="shared" si="9"/>
        <v>622.4</v>
      </c>
      <c r="H34" s="695">
        <f t="shared" si="9"/>
        <v>620.6</v>
      </c>
      <c r="I34" s="695">
        <f t="shared" si="9"/>
        <v>606.5</v>
      </c>
      <c r="J34" s="695">
        <f t="shared" si="9"/>
        <v>654.6</v>
      </c>
      <c r="K34" s="695">
        <f t="shared" si="9"/>
        <v>690.7</v>
      </c>
      <c r="L34" s="695">
        <f t="shared" si="9"/>
        <v>678.5</v>
      </c>
      <c r="M34" s="695">
        <f t="shared" si="9"/>
        <v>704.8</v>
      </c>
      <c r="N34" s="695">
        <f t="shared" si="9"/>
        <v>745.5</v>
      </c>
      <c r="O34" s="695">
        <f t="shared" si="9"/>
        <v>749.2</v>
      </c>
      <c r="P34" s="695">
        <f t="shared" si="9"/>
        <v>746.4</v>
      </c>
      <c r="Q34" s="695">
        <f t="shared" si="9"/>
        <v>792.1</v>
      </c>
      <c r="R34" s="695">
        <f t="shared" si="9"/>
        <v>819.3</v>
      </c>
      <c r="S34" s="695">
        <f t="shared" si="9"/>
        <v>818.9</v>
      </c>
      <c r="T34" s="695">
        <f t="shared" si="9"/>
        <v>827.1</v>
      </c>
      <c r="U34" s="695">
        <f t="shared" si="9"/>
        <v>876.8</v>
      </c>
      <c r="V34" s="695">
        <f t="shared" si="9"/>
        <v>910.9</v>
      </c>
      <c r="W34" s="695">
        <f t="shared" si="9"/>
        <v>867.3</v>
      </c>
      <c r="X34" s="695">
        <f t="shared" si="9"/>
        <v>857.7</v>
      </c>
      <c r="Y34" s="716">
        <f t="shared" si="9"/>
        <v>909.4</v>
      </c>
      <c r="Z34" s="716">
        <f t="shared" si="9"/>
        <v>934.7</v>
      </c>
      <c r="AA34" s="716">
        <f t="shared" si="9"/>
        <v>315.44100000000003</v>
      </c>
      <c r="AB34" s="716">
        <f t="shared" si="9"/>
        <v>314.303</v>
      </c>
      <c r="AC34" s="716">
        <f t="shared" si="9"/>
        <v>316.46800000000007</v>
      </c>
      <c r="AD34" s="716">
        <f t="shared" si="9"/>
        <v>319.14</v>
      </c>
      <c r="AE34" s="716">
        <f t="shared" si="9"/>
        <v>346.26699999999994</v>
      </c>
      <c r="AF34" s="716">
        <f t="shared" si="9"/>
        <v>372.88200000000018</v>
      </c>
      <c r="AG34" s="716">
        <f t="shared" si="9"/>
        <v>384.00788101763089</v>
      </c>
      <c r="AH34" s="716">
        <f t="shared" si="9"/>
        <v>389.66959504058059</v>
      </c>
      <c r="AI34" s="716">
        <f t="shared" si="9"/>
        <v>398.81214204776279</v>
      </c>
      <c r="AJ34" s="716">
        <f t="shared" si="9"/>
        <v>409.32815707183374</v>
      </c>
      <c r="AK34" s="716">
        <f t="shared" si="9"/>
        <v>412.86148226810406</v>
      </c>
      <c r="AL34" s="716">
        <f t="shared" si="9"/>
        <v>415.11288856156136</v>
      </c>
      <c r="AM34" s="716">
        <f t="shared" si="9"/>
        <v>418.04796048694993</v>
      </c>
      <c r="AN34" s="716">
        <f t="shared" si="9"/>
        <v>421.53848883757962</v>
      </c>
    </row>
    <row r="35" spans="2:40" ht="19.399999999999999" customHeight="1" x14ac:dyDescent="0.35">
      <c r="B35" s="268" t="s">
        <v>2060</v>
      </c>
      <c r="C35" s="268"/>
      <c r="D35" s="620"/>
      <c r="E35" s="620"/>
      <c r="F35" s="620"/>
      <c r="G35" s="620"/>
      <c r="H35" s="620"/>
      <c r="I35" s="620"/>
      <c r="J35" s="620"/>
      <c r="K35" s="620"/>
      <c r="L35" s="620"/>
      <c r="M35" s="620"/>
      <c r="N35" s="620"/>
      <c r="O35" s="620"/>
      <c r="P35" s="620"/>
      <c r="Q35" s="620"/>
      <c r="R35" s="620"/>
      <c r="S35" s="620"/>
      <c r="T35" s="620"/>
      <c r="U35" s="620"/>
      <c r="V35" s="620"/>
      <c r="W35" s="620"/>
      <c r="X35" s="620"/>
      <c r="Y35" s="725"/>
      <c r="Z35" s="725"/>
      <c r="AA35" s="725"/>
      <c r="AB35" s="671">
        <f>AVERAGE(AB30:AE30)</f>
        <v>988.25</v>
      </c>
      <c r="AC35" s="725"/>
      <c r="AD35" s="725"/>
      <c r="AE35" s="725"/>
      <c r="AF35" s="671">
        <f>AVERAGE(AF30:AI30)</f>
        <v>1105.4140506764302</v>
      </c>
      <c r="AG35" s="725"/>
      <c r="AH35" s="725"/>
      <c r="AI35" s="725"/>
      <c r="AJ35" s="671">
        <f>AVERAGE(AJ30:AM30)</f>
        <v>1149.3360613661512</v>
      </c>
      <c r="AK35" s="725"/>
      <c r="AL35" s="725"/>
      <c r="AM35" s="725"/>
      <c r="AN35" s="725"/>
    </row>
    <row r="36" spans="2:40" ht="19.399999999999999" customHeight="1" x14ac:dyDescent="0.35">
      <c r="B36" s="268" t="s">
        <v>2061</v>
      </c>
      <c r="C36" s="268"/>
      <c r="D36" s="620"/>
      <c r="E36" s="620"/>
      <c r="F36" s="620"/>
      <c r="G36" s="620"/>
      <c r="H36" s="620"/>
      <c r="I36" s="620"/>
      <c r="J36" s="620"/>
      <c r="K36" s="620"/>
      <c r="L36" s="620"/>
      <c r="M36" s="620"/>
      <c r="N36" s="620"/>
      <c r="O36" s="620"/>
      <c r="P36" s="620"/>
      <c r="Q36" s="620"/>
      <c r="R36" s="620"/>
      <c r="S36" s="620"/>
      <c r="T36" s="620"/>
      <c r="U36" s="620"/>
      <c r="V36" s="620"/>
      <c r="W36" s="620"/>
      <c r="X36" s="620"/>
      <c r="Y36" s="725"/>
      <c r="Z36" s="725"/>
      <c r="AA36" s="725"/>
      <c r="AB36" s="671"/>
      <c r="AC36" s="725"/>
      <c r="AD36" s="725"/>
      <c r="AE36" s="725"/>
      <c r="AF36" s="675">
        <f>AF35/AB35-1</f>
        <v>0.11855709656102209</v>
      </c>
      <c r="AG36" s="725"/>
      <c r="AH36" s="725"/>
      <c r="AI36" s="725"/>
      <c r="AJ36" s="675">
        <f>AJ35/AF35-1</f>
        <v>3.9733537548979125E-2</v>
      </c>
      <c r="AK36" s="725"/>
      <c r="AL36" s="725"/>
      <c r="AM36" s="725"/>
      <c r="AN36" s="725"/>
    </row>
    <row r="37" spans="2:40" ht="19.399999999999999" customHeight="1" x14ac:dyDescent="0.35">
      <c r="B37" s="268" t="s">
        <v>2057</v>
      </c>
      <c r="C37" s="268"/>
      <c r="D37" s="620"/>
      <c r="E37" s="620"/>
      <c r="F37" s="620"/>
      <c r="G37" s="620"/>
      <c r="H37" s="620"/>
      <c r="I37" s="620"/>
      <c r="J37" s="620"/>
      <c r="K37" s="620"/>
      <c r="L37" s="620"/>
      <c r="M37" s="620"/>
      <c r="N37" s="620"/>
      <c r="O37" s="620"/>
      <c r="P37" s="620"/>
      <c r="Q37" s="620"/>
      <c r="R37" s="620"/>
      <c r="S37" s="620"/>
      <c r="T37" s="620"/>
      <c r="U37" s="620"/>
      <c r="V37" s="620"/>
      <c r="W37" s="620"/>
      <c r="X37" s="620"/>
      <c r="AB37" s="671">
        <f>AVERAGE(AB33:AE33)</f>
        <v>664.20550000000003</v>
      </c>
      <c r="AF37" s="671">
        <f>AVERAGE(AF33:AI33)</f>
        <v>719.07114614993657</v>
      </c>
      <c r="AJ37" s="671">
        <f>AVERAGE(AJ33:AM33)</f>
        <v>735.49843926903895</v>
      </c>
    </row>
    <row r="38" spans="2:40" ht="19.399999999999999" customHeight="1" x14ac:dyDescent="0.35">
      <c r="B38" s="268" t="s">
        <v>2411</v>
      </c>
      <c r="C38" s="268"/>
      <c r="D38" s="620"/>
      <c r="E38" s="620"/>
      <c r="F38" s="620"/>
      <c r="G38" s="620"/>
      <c r="H38" s="620"/>
      <c r="I38" s="620"/>
      <c r="AF38" s="388">
        <v>708</v>
      </c>
    </row>
    <row r="39" spans="2:40" ht="19.399999999999999" customHeight="1" x14ac:dyDescent="0.35">
      <c r="B39" s="268"/>
      <c r="C39" s="268"/>
      <c r="D39" s="620"/>
      <c r="E39" s="620"/>
      <c r="F39" s="620"/>
      <c r="G39" s="620"/>
      <c r="H39" s="620"/>
      <c r="I39" s="620"/>
      <c r="AA39" s="388"/>
      <c r="AB39" s="388"/>
      <c r="AC39" s="388"/>
    </row>
    <row r="40" spans="2:40" ht="19.399999999999999" customHeight="1" x14ac:dyDescent="0.35">
      <c r="B40" s="268"/>
      <c r="C40" s="268"/>
      <c r="D40" s="620"/>
      <c r="E40" s="620"/>
      <c r="F40" s="620"/>
      <c r="G40" s="620"/>
      <c r="H40" s="620"/>
      <c r="I40" s="620"/>
      <c r="J40" s="620"/>
      <c r="K40" s="620"/>
      <c r="L40" s="620"/>
      <c r="M40" s="620"/>
      <c r="N40" s="620"/>
      <c r="O40" s="620"/>
      <c r="P40" s="620"/>
      <c r="Q40" s="620"/>
      <c r="R40" s="620"/>
      <c r="S40" s="620"/>
      <c r="T40" s="620"/>
      <c r="Y40" s="620"/>
      <c r="Z40" s="620"/>
      <c r="AA40" s="620"/>
      <c r="AB40" s="620"/>
      <c r="AC40" s="620"/>
      <c r="AD40" s="620"/>
      <c r="AE40" s="620"/>
      <c r="AF40" s="620"/>
      <c r="AG40" s="620"/>
      <c r="AH40" s="620"/>
    </row>
    <row r="41" spans="2:40" ht="19.399999999999999" customHeight="1" x14ac:dyDescent="0.35">
      <c r="B41" s="268"/>
      <c r="C41" s="268"/>
      <c r="D41" s="620"/>
      <c r="E41" s="620"/>
      <c r="F41" s="620"/>
      <c r="G41" s="620"/>
      <c r="H41" s="620"/>
      <c r="I41" s="620"/>
      <c r="J41" s="620"/>
      <c r="K41" s="620"/>
      <c r="L41" s="620"/>
      <c r="M41" s="620"/>
      <c r="N41" s="620"/>
      <c r="O41" s="620"/>
      <c r="P41" s="620"/>
      <c r="Q41" s="620"/>
      <c r="R41" s="620"/>
      <c r="S41" s="620"/>
      <c r="T41" s="620"/>
      <c r="Y41" s="620"/>
      <c r="Z41" s="620"/>
      <c r="AA41" s="620"/>
      <c r="AB41" s="620"/>
      <c r="AC41" s="620"/>
      <c r="AD41" s="620"/>
      <c r="AE41" s="620"/>
      <c r="AF41" s="620"/>
      <c r="AG41" s="620"/>
      <c r="AH41" s="620"/>
    </row>
    <row r="42" spans="2:40" ht="19" customHeight="1" x14ac:dyDescent="0.35">
      <c r="B42" s="268"/>
      <c r="C42" s="268"/>
      <c r="D42" s="620"/>
      <c r="E42" s="620"/>
      <c r="F42" s="620"/>
      <c r="G42" s="620"/>
      <c r="H42" s="620"/>
      <c r="I42" s="620"/>
      <c r="J42" s="620"/>
      <c r="K42" s="620"/>
      <c r="L42" s="620"/>
      <c r="M42" s="620"/>
      <c r="N42" s="620"/>
      <c r="O42" s="620"/>
      <c r="AG42" s="620"/>
      <c r="AH42" s="620"/>
    </row>
    <row r="43" spans="2:40" ht="19" customHeight="1" x14ac:dyDescent="0.35">
      <c r="B43" s="268"/>
      <c r="C43" s="268"/>
      <c r="D43" s="620"/>
      <c r="E43" s="620"/>
      <c r="F43" s="620"/>
      <c r="G43" s="620"/>
      <c r="H43" s="620"/>
      <c r="I43" s="620"/>
      <c r="J43" s="620"/>
      <c r="K43" s="620"/>
      <c r="L43" s="620"/>
      <c r="M43" s="620"/>
      <c r="N43" s="620"/>
      <c r="O43" s="620"/>
      <c r="AG43" s="620"/>
      <c r="AH43" s="620"/>
    </row>
    <row r="44" spans="2:40" ht="19.399999999999999" customHeight="1" x14ac:dyDescent="0.35">
      <c r="B44" s="268"/>
      <c r="C44" s="268"/>
      <c r="D44" s="620"/>
      <c r="E44" s="620"/>
      <c r="F44" s="620"/>
      <c r="G44" s="620"/>
      <c r="H44" s="620"/>
      <c r="I44" s="620"/>
      <c r="J44" s="620"/>
      <c r="K44" s="620"/>
      <c r="L44" s="620"/>
      <c r="M44" s="620"/>
      <c r="N44" s="620"/>
      <c r="O44" s="620"/>
      <c r="P44" s="620"/>
      <c r="Q44" s="620"/>
      <c r="R44" s="620"/>
      <c r="S44" s="620"/>
      <c r="T44" s="620"/>
      <c r="Y44" s="620"/>
      <c r="Z44" s="620"/>
      <c r="AA44" s="620"/>
      <c r="AB44" s="620"/>
      <c r="AC44" s="620"/>
      <c r="AD44" s="620"/>
      <c r="AE44" s="620"/>
      <c r="AF44" s="620"/>
      <c r="AG44" s="620"/>
      <c r="AH44" s="620"/>
    </row>
    <row r="45" spans="2:40" ht="14.9" customHeight="1" x14ac:dyDescent="0.35">
      <c r="B45" s="711" t="s">
        <v>404</v>
      </c>
      <c r="C45" s="712"/>
      <c r="D45" s="712"/>
      <c r="E45" s="713"/>
      <c r="F45" s="714">
        <v>2021</v>
      </c>
      <c r="G45" s="714">
        <v>2022</v>
      </c>
      <c r="H45" s="714">
        <v>2023</v>
      </c>
      <c r="I45" s="714">
        <v>2024</v>
      </c>
      <c r="J45" s="714">
        <v>2025</v>
      </c>
      <c r="K45" s="714">
        <v>2025</v>
      </c>
      <c r="L45" s="714">
        <v>2027</v>
      </c>
      <c r="M45" s="714">
        <v>2028</v>
      </c>
      <c r="N45" s="714">
        <v>2029</v>
      </c>
      <c r="O45" s="714">
        <v>2030</v>
      </c>
      <c r="P45" s="715">
        <v>2031</v>
      </c>
    </row>
    <row r="46" spans="2:40" ht="15" customHeight="1" x14ac:dyDescent="0.35">
      <c r="B46" s="1482" t="s">
        <v>405</v>
      </c>
      <c r="C46" s="1483"/>
      <c r="D46" s="1483"/>
      <c r="E46" s="1484"/>
      <c r="F46" s="265">
        <v>287</v>
      </c>
      <c r="G46" s="265">
        <v>534</v>
      </c>
      <c r="H46" s="265">
        <v>247</v>
      </c>
      <c r="I46" s="265">
        <v>63</v>
      </c>
      <c r="J46" s="265"/>
      <c r="K46" s="265"/>
      <c r="L46" s="265"/>
      <c r="M46" s="265"/>
      <c r="N46" s="265"/>
      <c r="O46" s="265"/>
      <c r="P46" s="691"/>
    </row>
    <row r="47" spans="2:40" ht="15" customHeight="1" x14ac:dyDescent="0.35">
      <c r="B47" s="1479" t="s">
        <v>406</v>
      </c>
      <c r="C47" s="1480"/>
      <c r="D47" s="1480"/>
      <c r="E47" s="1481"/>
      <c r="F47" s="265">
        <v>0</v>
      </c>
      <c r="G47" s="265">
        <v>0</v>
      </c>
      <c r="H47" s="265">
        <v>756</v>
      </c>
      <c r="I47" s="265">
        <v>1249</v>
      </c>
      <c r="J47" s="265">
        <v>1417</v>
      </c>
      <c r="K47" s="265">
        <v>1522</v>
      </c>
      <c r="L47" s="265">
        <v>1107</v>
      </c>
      <c r="M47" s="265"/>
      <c r="N47" s="265"/>
      <c r="O47" s="265"/>
      <c r="P47" s="691"/>
    </row>
    <row r="48" spans="2:40" ht="14.5" customHeight="1" x14ac:dyDescent="0.35">
      <c r="B48" s="1479" t="s">
        <v>407</v>
      </c>
      <c r="C48" s="1480"/>
      <c r="D48" s="1480"/>
      <c r="E48" s="1481"/>
      <c r="F48" s="265">
        <v>0</v>
      </c>
      <c r="G48" s="265">
        <v>5</v>
      </c>
      <c r="H48" s="265">
        <v>77</v>
      </c>
      <c r="I48" s="265">
        <v>307</v>
      </c>
      <c r="J48" s="265">
        <v>332</v>
      </c>
      <c r="K48" s="265">
        <v>270</v>
      </c>
      <c r="L48" s="265">
        <v>25</v>
      </c>
      <c r="M48" s="265">
        <v>32</v>
      </c>
      <c r="N48" s="265">
        <v>40</v>
      </c>
      <c r="O48" s="265">
        <v>49</v>
      </c>
      <c r="P48" s="691">
        <v>58</v>
      </c>
    </row>
    <row r="49" spans="2:17" ht="32.9" customHeight="1" x14ac:dyDescent="0.35">
      <c r="B49" s="1476" t="s">
        <v>408</v>
      </c>
      <c r="C49" s="1477"/>
      <c r="D49" s="1477"/>
      <c r="E49" s="1478"/>
      <c r="F49" s="265">
        <v>0</v>
      </c>
      <c r="G49" s="265">
        <v>0</v>
      </c>
      <c r="H49" s="265">
        <v>3768</v>
      </c>
      <c r="I49" s="265">
        <v>3428</v>
      </c>
      <c r="J49" s="265">
        <v>2176</v>
      </c>
      <c r="K49" s="265">
        <v>2304</v>
      </c>
      <c r="L49" s="265">
        <v>2129</v>
      </c>
      <c r="M49" s="265">
        <v>1335</v>
      </c>
      <c r="N49" s="265">
        <v>478</v>
      </c>
      <c r="O49" s="265">
        <v>531</v>
      </c>
      <c r="P49" s="691">
        <v>212</v>
      </c>
    </row>
    <row r="50" spans="2:17" ht="32.9" customHeight="1" x14ac:dyDescent="0.35">
      <c r="B50" s="1476" t="s">
        <v>409</v>
      </c>
      <c r="C50" s="1477"/>
      <c r="D50" s="1477"/>
      <c r="E50" s="1478"/>
      <c r="F50" s="265">
        <v>38</v>
      </c>
      <c r="G50" s="265">
        <v>81</v>
      </c>
      <c r="H50" s="265">
        <v>43</v>
      </c>
      <c r="I50" s="265"/>
      <c r="J50" s="265"/>
      <c r="K50" s="265"/>
      <c r="L50" s="265"/>
      <c r="M50" s="265"/>
      <c r="N50" s="265"/>
      <c r="O50" s="265"/>
      <c r="P50" s="691"/>
    </row>
    <row r="51" spans="2:17" ht="14.5" customHeight="1" x14ac:dyDescent="0.35">
      <c r="B51" s="1479" t="s">
        <v>410</v>
      </c>
      <c r="C51" s="1480"/>
      <c r="D51" s="1480"/>
      <c r="E51" s="1481"/>
      <c r="F51" s="265"/>
      <c r="G51" s="265"/>
      <c r="H51" s="265"/>
      <c r="I51" s="265">
        <v>-184</v>
      </c>
      <c r="J51" s="265">
        <v>-1830</v>
      </c>
      <c r="K51" s="265">
        <v>-2406</v>
      </c>
      <c r="L51" s="265">
        <v>-2419</v>
      </c>
      <c r="M51" s="265">
        <v>-2467</v>
      </c>
      <c r="N51" s="265">
        <v>-2531</v>
      </c>
      <c r="O51" s="265">
        <v>-2667</v>
      </c>
      <c r="P51" s="691">
        <v>-2809</v>
      </c>
    </row>
    <row r="52" spans="2:17" ht="15.75" customHeight="1" x14ac:dyDescent="0.35">
      <c r="B52" s="1485" t="s">
        <v>411</v>
      </c>
      <c r="C52" s="1486"/>
      <c r="D52" s="1486"/>
      <c r="E52" s="1487"/>
      <c r="F52" s="265">
        <v>6524</v>
      </c>
      <c r="G52" s="265">
        <v>6143</v>
      </c>
      <c r="H52" s="265"/>
      <c r="I52" s="265"/>
      <c r="J52" s="265"/>
      <c r="K52" s="265"/>
      <c r="L52" s="265"/>
      <c r="M52" s="265"/>
      <c r="N52" s="265"/>
      <c r="O52" s="265"/>
      <c r="P52" s="691"/>
    </row>
    <row r="53" spans="2:17" ht="14.5" customHeight="1" x14ac:dyDescent="0.35">
      <c r="B53" s="1479" t="s">
        <v>412</v>
      </c>
      <c r="C53" s="1480"/>
      <c r="D53" s="1480"/>
      <c r="E53" s="1481"/>
      <c r="F53" s="265">
        <v>50</v>
      </c>
      <c r="G53" s="265">
        <v>175</v>
      </c>
      <c r="H53" s="265">
        <v>25</v>
      </c>
      <c r="I53" s="265"/>
      <c r="J53" s="265"/>
      <c r="K53" s="265"/>
      <c r="L53" s="265"/>
      <c r="M53" s="265"/>
      <c r="N53" s="265"/>
      <c r="O53" s="265"/>
      <c r="P53" s="691"/>
    </row>
    <row r="54" spans="2:17" ht="14.5" customHeight="1" x14ac:dyDescent="0.35">
      <c r="B54" s="1479" t="s">
        <v>413</v>
      </c>
      <c r="C54" s="1480"/>
      <c r="D54" s="1480"/>
      <c r="E54" s="1481"/>
      <c r="F54" s="265">
        <v>829</v>
      </c>
      <c r="G54" s="265">
        <v>844</v>
      </c>
      <c r="H54" s="265"/>
      <c r="I54" s="265"/>
      <c r="J54" s="265"/>
      <c r="K54" s="265"/>
      <c r="L54" s="265"/>
      <c r="M54" s="265"/>
      <c r="N54" s="265"/>
      <c r="O54" s="265"/>
      <c r="P54" s="691"/>
    </row>
    <row r="55" spans="2:17" x14ac:dyDescent="0.35">
      <c r="B55" s="1491" t="s">
        <v>414</v>
      </c>
      <c r="C55" s="1492"/>
      <c r="D55" s="1492"/>
      <c r="E55" s="1493"/>
      <c r="F55" s="265">
        <f t="shared" ref="F55:P55" si="10">SUM(F46:F54)</f>
        <v>7728</v>
      </c>
      <c r="G55" s="265">
        <f t="shared" si="10"/>
        <v>7782</v>
      </c>
      <c r="H55" s="265">
        <f t="shared" si="10"/>
        <v>4916</v>
      </c>
      <c r="I55" s="265">
        <f t="shared" si="10"/>
        <v>4863</v>
      </c>
      <c r="J55" s="265">
        <f t="shared" si="10"/>
        <v>2095</v>
      </c>
      <c r="K55" s="265">
        <f t="shared" si="10"/>
        <v>1690</v>
      </c>
      <c r="L55" s="265">
        <f t="shared" si="10"/>
        <v>842</v>
      </c>
      <c r="M55" s="265">
        <f t="shared" si="10"/>
        <v>-1100</v>
      </c>
      <c r="N55" s="265">
        <f t="shared" si="10"/>
        <v>-2013</v>
      </c>
      <c r="O55" s="265">
        <f t="shared" si="10"/>
        <v>-2087</v>
      </c>
      <c r="P55" s="691">
        <f t="shared" si="10"/>
        <v>-2539</v>
      </c>
    </row>
    <row r="56" spans="2:17" x14ac:dyDescent="0.35">
      <c r="B56" s="1485" t="s">
        <v>415</v>
      </c>
      <c r="C56" s="1486"/>
      <c r="D56" s="1486"/>
      <c r="E56" s="1487"/>
      <c r="F56" s="265">
        <f t="shared" ref="F56:P56" si="11">F52+F50+F49</f>
        <v>6562</v>
      </c>
      <c r="G56" s="265">
        <f t="shared" si="11"/>
        <v>6224</v>
      </c>
      <c r="H56" s="265">
        <f t="shared" si="11"/>
        <v>3811</v>
      </c>
      <c r="I56" s="265">
        <f t="shared" si="11"/>
        <v>3428</v>
      </c>
      <c r="J56" s="265">
        <f t="shared" si="11"/>
        <v>2176</v>
      </c>
      <c r="K56" s="265">
        <f t="shared" si="11"/>
        <v>2304</v>
      </c>
      <c r="L56" s="265">
        <f t="shared" si="11"/>
        <v>2129</v>
      </c>
      <c r="M56" s="265">
        <f t="shared" si="11"/>
        <v>1335</v>
      </c>
      <c r="N56" s="265">
        <f t="shared" si="11"/>
        <v>478</v>
      </c>
      <c r="O56" s="265">
        <f t="shared" si="11"/>
        <v>531</v>
      </c>
      <c r="P56" s="691">
        <f t="shared" si="11"/>
        <v>212</v>
      </c>
      <c r="Q56" s="268" t="s">
        <v>416</v>
      </c>
    </row>
    <row r="57" spans="2:17" x14ac:dyDescent="0.35">
      <c r="B57" s="1479" t="s">
        <v>417</v>
      </c>
      <c r="C57" s="1480"/>
      <c r="D57" s="1480"/>
      <c r="E57" s="1481"/>
      <c r="F57" s="265">
        <f>(F56/1000)/M30</f>
        <v>9.3104426787741206E-3</v>
      </c>
      <c r="G57" s="265">
        <f>(G56/F56)*F57</f>
        <v>8.8308740068104435E-3</v>
      </c>
      <c r="H57" s="265">
        <f>(H56/G56)*G57+H58</f>
        <v>5.4072077185017024E-3</v>
      </c>
      <c r="I57" s="265">
        <f>(I56/H56)*H57+I58</f>
        <v>4.8637911464245167E-3</v>
      </c>
      <c r="J57" s="265">
        <f>J58</f>
        <v>0</v>
      </c>
      <c r="K57" s="265">
        <f t="shared" ref="K57:L57" si="12">K58</f>
        <v>0</v>
      </c>
      <c r="L57" s="265">
        <f t="shared" si="12"/>
        <v>0</v>
      </c>
      <c r="M57" s="265"/>
      <c r="N57" s="265"/>
      <c r="O57" s="265"/>
      <c r="P57" s="691"/>
      <c r="Q57" s="268" t="s">
        <v>418</v>
      </c>
    </row>
    <row r="58" spans="2:17" ht="29.25" customHeight="1" x14ac:dyDescent="0.35">
      <c r="B58" s="676" t="s">
        <v>849</v>
      </c>
      <c r="C58" s="677"/>
      <c r="D58" s="677"/>
      <c r="E58" s="678"/>
      <c r="F58" s="265"/>
      <c r="G58" s="265"/>
      <c r="H58" s="265"/>
      <c r="I58" s="265"/>
      <c r="J58" s="265"/>
      <c r="K58" s="265"/>
      <c r="L58" s="265"/>
      <c r="M58" s="265"/>
      <c r="N58" s="265"/>
      <c r="O58" s="265"/>
      <c r="P58" s="691"/>
      <c r="Q58" s="268"/>
    </row>
    <row r="59" spans="2:17" x14ac:dyDescent="0.35">
      <c r="B59" s="1473"/>
      <c r="C59" s="1474"/>
      <c r="D59" s="1474"/>
      <c r="E59" s="1475"/>
      <c r="F59" s="690"/>
      <c r="G59" s="690"/>
      <c r="H59" s="690"/>
      <c r="I59" s="690"/>
      <c r="J59" s="690"/>
      <c r="K59" s="690"/>
      <c r="L59" s="690"/>
      <c r="M59" s="690"/>
      <c r="N59" s="690"/>
      <c r="O59" s="690"/>
      <c r="P59" s="702"/>
    </row>
  </sheetData>
  <mergeCells count="37">
    <mergeCell ref="B6:C6"/>
    <mergeCell ref="B52:E52"/>
    <mergeCell ref="B53:E53"/>
    <mergeCell ref="B54:E54"/>
    <mergeCell ref="B55:E55"/>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K25" sqref="AK2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15" t="s">
        <v>46</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25" customHeight="1" x14ac:dyDescent="0.35">
      <c r="B2" s="1489" t="s">
        <v>818</v>
      </c>
      <c r="C2" s="1489"/>
      <c r="D2" s="1489"/>
      <c r="E2" s="1489"/>
      <c r="F2" s="1489"/>
      <c r="G2" s="1489"/>
      <c r="H2" s="1489"/>
      <c r="I2" s="1489"/>
      <c r="J2" s="1489"/>
      <c r="K2" s="1489"/>
      <c r="L2" s="1489"/>
      <c r="M2" s="1489"/>
      <c r="N2" s="1489"/>
      <c r="O2" s="1489"/>
      <c r="P2" s="1489"/>
      <c r="Q2" s="1489"/>
      <c r="R2" s="1489"/>
      <c r="S2" s="722"/>
      <c r="T2" s="1494" t="s">
        <v>865</v>
      </c>
      <c r="U2" s="1494"/>
      <c r="V2" s="1494"/>
      <c r="W2" s="1494"/>
      <c r="X2" s="1494"/>
      <c r="Y2" s="1494"/>
      <c r="Z2" s="1494"/>
      <c r="AA2" s="1494"/>
      <c r="AB2" s="1494"/>
      <c r="AC2" s="1494"/>
    </row>
    <row r="3" spans="2:40" x14ac:dyDescent="0.35">
      <c r="B3" s="1489"/>
      <c r="C3" s="1489"/>
      <c r="D3" s="1489"/>
      <c r="E3" s="1489"/>
      <c r="F3" s="1489"/>
      <c r="G3" s="1489"/>
      <c r="H3" s="1489"/>
      <c r="I3" s="1489"/>
      <c r="J3" s="1489"/>
      <c r="K3" s="1489"/>
      <c r="L3" s="1489"/>
      <c r="M3" s="1489"/>
      <c r="N3" s="1489"/>
      <c r="O3" s="1489"/>
      <c r="P3" s="1489"/>
      <c r="Q3" s="1489"/>
      <c r="R3" s="1489"/>
      <c r="S3" s="722"/>
      <c r="T3" s="1494"/>
      <c r="U3" s="1494"/>
      <c r="V3" s="1494"/>
      <c r="W3" s="1494"/>
      <c r="X3" s="1494"/>
      <c r="Y3" s="1494"/>
      <c r="Z3" s="1494"/>
      <c r="AA3" s="1494"/>
      <c r="AB3" s="1494"/>
      <c r="AC3" s="1494"/>
    </row>
    <row r="4" spans="2:40" ht="21" customHeight="1" x14ac:dyDescent="0.35">
      <c r="B4" s="1489"/>
      <c r="C4" s="1489"/>
      <c r="D4" s="1489"/>
      <c r="E4" s="1489"/>
      <c r="F4" s="1489"/>
      <c r="G4" s="1489"/>
      <c r="H4" s="1489"/>
      <c r="I4" s="1489"/>
      <c r="J4" s="1489"/>
      <c r="K4" s="1489"/>
      <c r="L4" s="1489"/>
      <c r="M4" s="1489"/>
      <c r="N4" s="1489"/>
      <c r="O4" s="1489"/>
      <c r="P4" s="1489"/>
      <c r="Q4" s="1489"/>
      <c r="R4" s="1489"/>
      <c r="S4" s="722"/>
      <c r="T4" s="1494"/>
      <c r="U4" s="1494"/>
      <c r="V4" s="1494"/>
      <c r="W4" s="1494"/>
      <c r="X4" s="1494"/>
      <c r="Y4" s="1494"/>
      <c r="Z4" s="1494"/>
      <c r="AA4" s="1494"/>
      <c r="AB4" s="1494"/>
      <c r="AC4" s="1494"/>
    </row>
    <row r="6" spans="2:40" x14ac:dyDescent="0.35">
      <c r="B6" s="644" t="s">
        <v>299</v>
      </c>
    </row>
    <row r="7" spans="2:40" ht="14.9" customHeight="1" x14ac:dyDescent="0.35">
      <c r="B7" s="1417" t="s">
        <v>369</v>
      </c>
      <c r="C7" s="1418"/>
      <c r="D7" s="1437" t="s">
        <v>246</v>
      </c>
      <c r="E7" s="1437"/>
      <c r="F7" s="1437"/>
      <c r="G7" s="1437"/>
      <c r="H7" s="1437"/>
      <c r="I7" s="1437"/>
      <c r="J7" s="1437"/>
      <c r="K7" s="1437"/>
      <c r="L7" s="1437"/>
      <c r="M7" s="1437"/>
      <c r="N7" s="1437"/>
      <c r="O7" s="1437"/>
      <c r="P7" s="1437"/>
      <c r="Q7" s="1437"/>
      <c r="R7" s="1437"/>
      <c r="S7" s="1437"/>
      <c r="T7" s="1437"/>
      <c r="U7" s="1437"/>
      <c r="V7" s="1437"/>
      <c r="W7" s="1437"/>
      <c r="X7" s="1437"/>
      <c r="Y7" s="1437"/>
      <c r="Z7" s="1437"/>
      <c r="AA7" s="1437"/>
      <c r="AB7" s="729"/>
      <c r="AC7" s="259"/>
      <c r="AD7" s="260"/>
      <c r="AE7" s="260"/>
      <c r="AF7" s="260"/>
      <c r="AG7" s="1397" t="s">
        <v>247</v>
      </c>
      <c r="AH7" s="1398"/>
      <c r="AI7" s="1398"/>
      <c r="AJ7" s="1398"/>
      <c r="AK7" s="1398"/>
      <c r="AL7" s="1398"/>
      <c r="AM7" s="1398"/>
      <c r="AN7" s="1399"/>
    </row>
    <row r="8" spans="2:40" x14ac:dyDescent="0.35">
      <c r="B8" s="1419"/>
      <c r="C8" s="1420"/>
      <c r="D8" s="249">
        <v>2018</v>
      </c>
      <c r="E8" s="1403">
        <v>2019</v>
      </c>
      <c r="F8" s="1413"/>
      <c r="G8" s="1413"/>
      <c r="H8" s="1405"/>
      <c r="I8" s="1403">
        <v>2020</v>
      </c>
      <c r="J8" s="1413"/>
      <c r="K8" s="1413"/>
      <c r="L8" s="1413"/>
      <c r="M8" s="1403">
        <v>2021</v>
      </c>
      <c r="N8" s="1413"/>
      <c r="O8" s="1413"/>
      <c r="P8" s="1404"/>
      <c r="Q8" s="1403">
        <v>2022</v>
      </c>
      <c r="R8" s="1404"/>
      <c r="S8" s="1404"/>
      <c r="T8" s="1404"/>
      <c r="U8" s="1403">
        <v>2023</v>
      </c>
      <c r="V8" s="1404"/>
      <c r="W8" s="1404"/>
      <c r="X8" s="1405"/>
      <c r="Y8" s="277"/>
      <c r="Z8" s="282">
        <v>2024</v>
      </c>
      <c r="AA8" s="282"/>
      <c r="AB8" s="279"/>
      <c r="AC8" s="1403">
        <v>2025</v>
      </c>
      <c r="AD8" s="1413"/>
      <c r="AE8" s="1413"/>
      <c r="AF8" s="1405"/>
      <c r="AG8" s="1410">
        <v>2026</v>
      </c>
      <c r="AH8" s="1411"/>
      <c r="AI8" s="1411"/>
      <c r="AJ8" s="1412"/>
      <c r="AK8" s="1410">
        <v>2027</v>
      </c>
      <c r="AL8" s="1411"/>
      <c r="AM8" s="1411"/>
      <c r="AN8" s="1412"/>
    </row>
    <row r="9" spans="2:40"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33" t="s">
        <v>419</v>
      </c>
      <c r="C10" s="44" t="s">
        <v>861</v>
      </c>
      <c r="D10" s="705">
        <f>'Haver Pivoted'!GO12</f>
        <v>755</v>
      </c>
      <c r="E10" s="706">
        <f>'Haver Pivoted'!GP12</f>
        <v>773.5</v>
      </c>
      <c r="F10" s="706">
        <f>'Haver Pivoted'!GQ12</f>
        <v>788.5</v>
      </c>
      <c r="G10" s="706">
        <f>'Haver Pivoted'!GR12</f>
        <v>798</v>
      </c>
      <c r="H10" s="706">
        <f>'Haver Pivoted'!GS12</f>
        <v>802</v>
      </c>
      <c r="I10" s="706">
        <f>'Haver Pivoted'!GT12</f>
        <v>805.1</v>
      </c>
      <c r="J10" s="706">
        <f>'Haver Pivoted'!GU12</f>
        <v>821</v>
      </c>
      <c r="K10" s="706">
        <f>'Haver Pivoted'!GV12</f>
        <v>835.4</v>
      </c>
      <c r="L10" s="706">
        <f>'Haver Pivoted'!GW12</f>
        <v>848.1</v>
      </c>
      <c r="M10" s="706">
        <f>'Haver Pivoted'!GX12</f>
        <v>863.4</v>
      </c>
      <c r="N10" s="706">
        <f>'Haver Pivoted'!GY12</f>
        <v>878.9</v>
      </c>
      <c r="O10" s="706">
        <f>'Haver Pivoted'!GZ12</f>
        <v>894</v>
      </c>
      <c r="P10" s="706">
        <f>'Haver Pivoted'!HA12</f>
        <v>908.8</v>
      </c>
      <c r="Q10" s="706">
        <f>'Haver Pivoted'!HB12</f>
        <v>923.7</v>
      </c>
      <c r="R10" s="706">
        <f>'Haver Pivoted'!HC12</f>
        <v>933</v>
      </c>
      <c r="S10" s="707">
        <f>'Haver Pivoted'!HD12</f>
        <v>945</v>
      </c>
      <c r="T10" s="698">
        <f>'Haver Pivoted'!HE12</f>
        <v>968</v>
      </c>
      <c r="U10" s="732">
        <f>'Haver Pivoted'!HF12</f>
        <v>993.1</v>
      </c>
      <c r="V10" s="707">
        <f>'Haver Pivoted'!HG12</f>
        <v>1016.2</v>
      </c>
      <c r="W10" s="707">
        <f>'Haver Pivoted'!HH12</f>
        <v>1036.4000000000001</v>
      </c>
      <c r="X10" s="707">
        <f>'Haver Pivoted'!HI12</f>
        <v>1053.5999999999999</v>
      </c>
      <c r="Y10" s="707">
        <f>'Haver Pivoted'!HJ12</f>
        <v>1069.0999999999999</v>
      </c>
      <c r="Z10" s="707">
        <f>'Haver Pivoted'!HK12</f>
        <v>1088.2</v>
      </c>
      <c r="AA10" s="707">
        <f>'Haver Pivoted'!HL12</f>
        <v>1111.9000000000001</v>
      </c>
      <c r="AB10" s="707">
        <f>'Haver Pivoted'!HM12</f>
        <v>1140.3</v>
      </c>
      <c r="AC10" s="707">
        <f>'Haver Pivoted'!HN12</f>
        <v>1172.5999999999999</v>
      </c>
      <c r="AD10" s="707">
        <f>'Haver Pivoted'!HO12</f>
        <v>1205.3</v>
      </c>
      <c r="AE10" s="707">
        <f>'Haver Pivoted'!HP12</f>
        <v>1237.5999999999999</v>
      </c>
      <c r="AF10" s="707">
        <f>'Haver Pivoted'!HQ12</f>
        <v>1269.5</v>
      </c>
      <c r="AG10" s="726">
        <f t="shared" ref="AG10:AN10" si="0">AF10*(1+AG13)+AG12</f>
        <v>1304.7202989964987</v>
      </c>
      <c r="AH10" s="726">
        <f t="shared" si="0"/>
        <v>1340.9177302981591</v>
      </c>
      <c r="AI10" s="726">
        <f t="shared" si="0"/>
        <v>1378.1194029179367</v>
      </c>
      <c r="AJ10" s="726">
        <f t="shared" si="0"/>
        <v>1400.841159718721</v>
      </c>
      <c r="AK10" s="726">
        <f t="shared" si="0"/>
        <v>1423.9375417014894</v>
      </c>
      <c r="AL10" s="726">
        <f t="shared" si="0"/>
        <v>1447.4147255025032</v>
      </c>
      <c r="AM10" s="726">
        <f t="shared" si="0"/>
        <v>1471.2789895953731</v>
      </c>
      <c r="AN10" s="726">
        <f t="shared" si="0"/>
        <v>1471.2789895953731</v>
      </c>
    </row>
    <row r="11" spans="2:40" ht="28.5" customHeight="1" x14ac:dyDescent="0.35">
      <c r="B11" s="753" t="s">
        <v>863</v>
      </c>
      <c r="C11" s="745" t="s">
        <v>485</v>
      </c>
      <c r="D11" s="754"/>
      <c r="E11" s="742"/>
      <c r="F11" s="742"/>
      <c r="G11" s="742"/>
      <c r="H11" s="742"/>
      <c r="I11" s="742"/>
      <c r="J11" s="743">
        <f>'Haver Pivoted'!GU46</f>
        <v>9.6</v>
      </c>
      <c r="K11" s="743">
        <f>'Haver Pivoted'!GV46</f>
        <v>14.4</v>
      </c>
      <c r="L11" s="743">
        <f>'Haver Pivoted'!GW46</f>
        <v>14.3</v>
      </c>
      <c r="M11" s="743">
        <f>'Haver Pivoted'!GX46</f>
        <v>15</v>
      </c>
      <c r="N11" s="743">
        <f>'Haver Pivoted'!GY46</f>
        <v>15.3</v>
      </c>
      <c r="O11" s="743">
        <f>'Haver Pivoted'!GZ46</f>
        <v>15.6</v>
      </c>
      <c r="P11" s="743">
        <f>'Haver Pivoted'!HA46</f>
        <v>15.7</v>
      </c>
      <c r="Q11" s="743">
        <f>'Haver Pivoted'!HB46</f>
        <v>15.8</v>
      </c>
      <c r="R11" s="743">
        <f>'Haver Pivoted'!HC46</f>
        <v>7.9</v>
      </c>
      <c r="S11" s="670">
        <f>'Haver Pivoted'!HD46</f>
        <v>0</v>
      </c>
      <c r="T11" s="670">
        <f>'Haver Pivoted'!HE46</f>
        <v>0</v>
      </c>
      <c r="U11" s="670">
        <f>'Haver Pivoted'!HF46</f>
        <v>0</v>
      </c>
      <c r="V11" s="670">
        <f>'Haver Pivoted'!HG46</f>
        <v>0</v>
      </c>
      <c r="W11" s="670">
        <f>'Haver Pivoted'!HH46</f>
        <v>0</v>
      </c>
      <c r="X11" s="670">
        <f>'Haver Pivoted'!HI46</f>
        <v>0</v>
      </c>
      <c r="Y11" s="670">
        <f>'Haver Pivoted'!HJ46</f>
        <v>0</v>
      </c>
      <c r="Z11" s="670">
        <f>'Haver Pivoted'!HK46</f>
        <v>0</v>
      </c>
      <c r="AA11" s="670">
        <f>'Haver Pivoted'!HL46</f>
        <v>0</v>
      </c>
      <c r="AB11" s="670">
        <f>'Haver Pivoted'!HM46</f>
        <v>0</v>
      </c>
      <c r="AC11" s="670">
        <f>'Haver Pivoted'!HN46</f>
        <v>0</v>
      </c>
      <c r="AD11" s="670">
        <f>'Haver Pivoted'!HO46</f>
        <v>0</v>
      </c>
      <c r="AE11" s="670">
        <f>'Haver Pivoted'!HP46</f>
        <v>0</v>
      </c>
      <c r="AF11" s="670">
        <f>'Haver Pivoted'!HQ46</f>
        <v>0</v>
      </c>
      <c r="AG11" s="735"/>
      <c r="AH11" s="735"/>
      <c r="AI11" s="735"/>
      <c r="AJ11" s="735"/>
      <c r="AK11" s="735"/>
      <c r="AL11" s="735"/>
      <c r="AM11" s="735"/>
      <c r="AN11" s="735"/>
    </row>
    <row r="12" spans="2:40" x14ac:dyDescent="0.35">
      <c r="B12" s="753" t="s">
        <v>1786</v>
      </c>
      <c r="C12" s="745"/>
      <c r="D12" s="754"/>
      <c r="E12" s="742"/>
      <c r="F12" s="742"/>
      <c r="G12" s="742"/>
      <c r="H12" s="742"/>
      <c r="I12" s="742"/>
      <c r="J12" s="743"/>
      <c r="K12" s="743"/>
      <c r="L12" s="743"/>
      <c r="M12" s="743"/>
      <c r="N12" s="743"/>
      <c r="O12" s="743"/>
      <c r="P12" s="743"/>
      <c r="Q12" s="743"/>
      <c r="R12" s="743"/>
      <c r="S12" s="670"/>
      <c r="T12" s="670"/>
      <c r="U12" s="670"/>
      <c r="V12" s="670"/>
      <c r="W12" s="508">
        <v>-7</v>
      </c>
      <c r="X12" s="735"/>
      <c r="Y12" s="735">
        <v>-13.3</v>
      </c>
      <c r="Z12" s="735">
        <v>-8</v>
      </c>
      <c r="AA12" s="735">
        <v>-2</v>
      </c>
      <c r="AB12" s="735">
        <v>12</v>
      </c>
      <c r="AC12" s="735">
        <f>16</f>
        <v>16</v>
      </c>
      <c r="AD12" s="735">
        <v>15</v>
      </c>
      <c r="AE12" s="735"/>
      <c r="AF12" s="735"/>
      <c r="AG12" s="735"/>
      <c r="AH12" s="735"/>
      <c r="AI12" s="735"/>
      <c r="AJ12" s="735"/>
      <c r="AK12" s="735"/>
      <c r="AL12" s="735"/>
      <c r="AM12" s="735"/>
      <c r="AN12" s="735"/>
    </row>
    <row r="13" spans="2:40" x14ac:dyDescent="0.35">
      <c r="B13" s="748" t="s">
        <v>420</v>
      </c>
      <c r="C13" s="747"/>
      <c r="D13" s="720"/>
      <c r="E13" s="695"/>
      <c r="F13" s="695"/>
      <c r="G13" s="695"/>
      <c r="H13" s="695"/>
      <c r="I13" s="695"/>
      <c r="J13" s="708"/>
      <c r="K13" s="708"/>
      <c r="L13" s="708"/>
      <c r="M13" s="708"/>
      <c r="N13" s="708">
        <f>(1 + $E$26)^0.25-1</f>
        <v>0</v>
      </c>
      <c r="O13" s="708">
        <f>(1 + $E$26)^0.25-1</f>
        <v>0</v>
      </c>
      <c r="P13" s="708">
        <f>(1 + $F$26)^0.25-1</f>
        <v>3.0584654007782985E-2</v>
      </c>
      <c r="Q13" s="708">
        <f>(1 +$F$26)^0.25-1</f>
        <v>3.0584654007782985E-2</v>
      </c>
      <c r="R13" s="708">
        <f>(1 +$F$26)^0.25-1</f>
        <v>3.0584654007782985E-2</v>
      </c>
      <c r="S13" s="744">
        <f>(1 +$F$26)^0.25-1</f>
        <v>3.0584654007782985E-2</v>
      </c>
      <c r="T13" s="744">
        <f>(1 +$G$26)^0.25-1</f>
        <v>1.0343738735768992E-2</v>
      </c>
      <c r="U13" s="744">
        <f>(1 +$G$26)^0.25-1</f>
        <v>1.0343738735768992E-2</v>
      </c>
      <c r="V13" s="744">
        <f>(1 +$G$26)^0.25-1</f>
        <v>1.0343738735768992E-2</v>
      </c>
      <c r="W13" s="708">
        <f>(1 +$G$26)^0.25-1</f>
        <v>1.0343738735768992E-2</v>
      </c>
      <c r="X13" s="736">
        <f>(1 +$H$26)^0.25-1</f>
        <v>2.4149796973031323E-2</v>
      </c>
      <c r="Y13" s="723">
        <f t="shared" ref="Y13:AA13" si="1">(1 +$H$26)^0.25-1</f>
        <v>2.4149796973031323E-2</v>
      </c>
      <c r="Z13" s="723">
        <f t="shared" si="1"/>
        <v>2.4149796973031323E-2</v>
      </c>
      <c r="AA13" s="723">
        <f t="shared" si="1"/>
        <v>2.4149796973031323E-2</v>
      </c>
      <c r="AB13" s="736">
        <f>(1 +$I$26)^0.25-1</f>
        <v>3.1858340659628004E-2</v>
      </c>
      <c r="AC13" s="723">
        <f>(1 +$I$26)^0.25-1</f>
        <v>3.1858340659628004E-2</v>
      </c>
      <c r="AD13" s="723">
        <f t="shared" ref="AD13:AE13" si="2">(1 +$I$26)^0.25-1</f>
        <v>3.1858340659628004E-2</v>
      </c>
      <c r="AE13" s="723">
        <f t="shared" si="2"/>
        <v>3.1858340659628004E-2</v>
      </c>
      <c r="AF13" s="736">
        <f>(1 +$J$26)^0.25-1</f>
        <v>2.774344150964847E-2</v>
      </c>
      <c r="AG13" s="723">
        <f>(1 +$J$26)^0.25-1</f>
        <v>2.774344150964847E-2</v>
      </c>
      <c r="AH13" s="723">
        <f>(1 +$J$26)^0.25-1</f>
        <v>2.774344150964847E-2</v>
      </c>
      <c r="AI13" s="723">
        <f>(1 +$J$26)^0.25-1</f>
        <v>2.774344150964847E-2</v>
      </c>
      <c r="AJ13" s="736">
        <f>(1 +$K$26)^0.25-1</f>
        <v>1.6487509538487544E-2</v>
      </c>
      <c r="AK13" s="723">
        <f>(1 +$K$26)^0.25-1</f>
        <v>1.6487509538487544E-2</v>
      </c>
      <c r="AL13" s="723">
        <f t="shared" ref="AL13:AM13" si="3">(1 +$K$26)^0.25-1</f>
        <v>1.6487509538487544E-2</v>
      </c>
      <c r="AM13" s="723">
        <f t="shared" si="3"/>
        <v>1.6487509538487544E-2</v>
      </c>
      <c r="AN13" s="736">
        <f>(1 +$L$26)^0.25-1</f>
        <v>0</v>
      </c>
    </row>
    <row r="14" spans="2:40" ht="15.75" customHeight="1" x14ac:dyDescent="0.35">
      <c r="B14" s="746"/>
      <c r="C14" s="734"/>
      <c r="D14" s="620"/>
      <c r="E14" s="647">
        <f t="shared" ref="E14:Z14" si="4">E10-D10</f>
        <v>18.5</v>
      </c>
      <c r="F14" s="647">
        <f t="shared" si="4"/>
        <v>15</v>
      </c>
      <c r="G14" s="647">
        <f t="shared" si="4"/>
        <v>9.5</v>
      </c>
      <c r="H14" s="647">
        <f t="shared" si="4"/>
        <v>4</v>
      </c>
      <c r="I14" s="647">
        <f t="shared" si="4"/>
        <v>3.1000000000000227</v>
      </c>
      <c r="J14" s="647">
        <f t="shared" si="4"/>
        <v>15.899999999999977</v>
      </c>
      <c r="K14" s="647">
        <f t="shared" si="4"/>
        <v>14.399999999999977</v>
      </c>
      <c r="L14" s="647">
        <f t="shared" si="4"/>
        <v>12.700000000000045</v>
      </c>
      <c r="M14" s="647">
        <f t="shared" si="4"/>
        <v>15.299999999999955</v>
      </c>
      <c r="N14" s="647">
        <f t="shared" si="4"/>
        <v>15.5</v>
      </c>
      <c r="O14" s="647">
        <f t="shared" si="4"/>
        <v>15.100000000000023</v>
      </c>
      <c r="P14" s="647">
        <f t="shared" si="4"/>
        <v>14.799999999999955</v>
      </c>
      <c r="Q14" s="647">
        <f t="shared" si="4"/>
        <v>14.900000000000091</v>
      </c>
      <c r="R14" s="647">
        <f t="shared" si="4"/>
        <v>9.2999999999999545</v>
      </c>
      <c r="S14" s="647">
        <f t="shared" si="4"/>
        <v>12</v>
      </c>
      <c r="T14" s="647">
        <f t="shared" si="4"/>
        <v>23</v>
      </c>
      <c r="U14" s="647">
        <f t="shared" si="4"/>
        <v>25.100000000000023</v>
      </c>
      <c r="V14" s="647">
        <f t="shared" si="4"/>
        <v>23.100000000000023</v>
      </c>
      <c r="W14" s="647">
        <f t="shared" si="4"/>
        <v>20.200000000000045</v>
      </c>
      <c r="X14" s="647">
        <f t="shared" si="4"/>
        <v>17.199999999999818</v>
      </c>
      <c r="Y14" s="647">
        <f t="shared" si="4"/>
        <v>15.5</v>
      </c>
      <c r="Z14" s="647">
        <f t="shared" si="4"/>
        <v>19.100000000000136</v>
      </c>
      <c r="AA14" s="647">
        <f t="shared" ref="AA14:AD14" si="5">AA10-Z10</f>
        <v>23.700000000000045</v>
      </c>
      <c r="AB14" s="647">
        <f t="shared" si="5"/>
        <v>28.399999999999864</v>
      </c>
      <c r="AC14" s="647">
        <f t="shared" si="5"/>
        <v>32.299999999999955</v>
      </c>
      <c r="AD14" s="647">
        <f t="shared" si="5"/>
        <v>32.700000000000045</v>
      </c>
      <c r="AE14" s="647">
        <f>AE10-AD10</f>
        <v>32.299999999999955</v>
      </c>
      <c r="AF14" s="647">
        <f>AF10-AE10</f>
        <v>31.900000000000091</v>
      </c>
    </row>
    <row r="15" spans="2:40" ht="15.75" customHeight="1" x14ac:dyDescent="0.35">
      <c r="B15" s="746"/>
      <c r="C15" s="734"/>
      <c r="D15" s="620"/>
    </row>
    <row r="16" spans="2:40" ht="15.75" customHeight="1" x14ac:dyDescent="0.35">
      <c r="B16" s="746"/>
      <c r="C16" s="734"/>
      <c r="D16" s="620"/>
      <c r="E16" s="620"/>
      <c r="F16" s="620"/>
      <c r="G16" s="620"/>
      <c r="H16" s="620"/>
      <c r="I16" s="620"/>
      <c r="J16" s="697"/>
      <c r="K16" s="697"/>
      <c r="L16" s="697"/>
    </row>
    <row r="17" spans="2:32" x14ac:dyDescent="0.35">
      <c r="B17" s="746"/>
      <c r="C17" s="734"/>
      <c r="D17" s="620"/>
      <c r="E17" s="620"/>
      <c r="F17" s="620"/>
      <c r="G17" s="620"/>
      <c r="H17" s="620"/>
      <c r="I17" s="620"/>
      <c r="J17" s="697"/>
      <c r="K17" s="697"/>
      <c r="L17" s="697"/>
      <c r="T17" s="671">
        <f>AVERAGE(X10:AA10)</f>
        <v>1080.6999999999998</v>
      </c>
    </row>
    <row r="18" spans="2:32" x14ac:dyDescent="0.35">
      <c r="B18" s="746"/>
      <c r="C18" s="734"/>
      <c r="D18" s="620"/>
      <c r="E18" s="620"/>
      <c r="F18" s="620"/>
      <c r="G18" s="620"/>
      <c r="H18" s="620"/>
      <c r="I18" s="620"/>
      <c r="J18" s="697"/>
      <c r="K18" s="697"/>
      <c r="L18" s="697"/>
      <c r="N18" s="647"/>
      <c r="R18" s="647"/>
      <c r="V18" s="647"/>
      <c r="Z18" s="647"/>
    </row>
    <row r="19" spans="2:32" ht="14.9" customHeight="1" x14ac:dyDescent="0.35">
      <c r="B19" s="644" t="s">
        <v>318</v>
      </c>
    </row>
    <row r="20" spans="2:32" x14ac:dyDescent="0.35">
      <c r="B20" s="751" t="s">
        <v>397</v>
      </c>
      <c r="C20" s="751">
        <v>2019</v>
      </c>
      <c r="D20" s="752">
        <v>2020</v>
      </c>
      <c r="E20" s="727">
        <v>2021</v>
      </c>
      <c r="F20" s="727">
        <v>2022</v>
      </c>
      <c r="G20" s="727">
        <v>2023</v>
      </c>
      <c r="H20" s="727">
        <v>2024</v>
      </c>
      <c r="I20" s="727">
        <v>2025</v>
      </c>
      <c r="J20" s="727">
        <v>2026</v>
      </c>
      <c r="K20" s="728">
        <v>2027</v>
      </c>
      <c r="L20" s="751">
        <v>2028</v>
      </c>
      <c r="M20" s="752">
        <v>2029</v>
      </c>
      <c r="N20" s="727">
        <v>2030</v>
      </c>
      <c r="O20" s="727">
        <v>2031</v>
      </c>
      <c r="P20" s="727">
        <v>2032</v>
      </c>
      <c r="Q20" s="727">
        <v>2033</v>
      </c>
      <c r="R20" s="727">
        <v>2034</v>
      </c>
      <c r="S20" s="727">
        <v>2035</v>
      </c>
      <c r="T20" s="728">
        <v>2036</v>
      </c>
    </row>
    <row r="21" spans="2:32" ht="21" customHeight="1" x14ac:dyDescent="0.35">
      <c r="B21" s="738" t="s">
        <v>2046</v>
      </c>
      <c r="C21" s="730"/>
      <c r="D21" s="730"/>
      <c r="E21" s="366">
        <v>867.67600000000004</v>
      </c>
      <c r="F21" s="366">
        <v>974.649</v>
      </c>
      <c r="G21" s="366">
        <v>1008.504</v>
      </c>
      <c r="H21" s="366">
        <v>1088.9089999999999</v>
      </c>
      <c r="I21" s="366">
        <v>1180</v>
      </c>
      <c r="J21" s="366">
        <v>1287</v>
      </c>
      <c r="K21" s="757">
        <v>1374</v>
      </c>
      <c r="L21" s="737">
        <v>1452</v>
      </c>
      <c r="M21" s="737">
        <v>1552</v>
      </c>
      <c r="N21" s="737">
        <v>1649</v>
      </c>
      <c r="O21" s="737">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39"/>
      <c r="C22" s="756"/>
      <c r="D22" s="756"/>
      <c r="E22" s="366">
        <f>AVERAGE(L10:O10)</f>
        <v>871.1</v>
      </c>
      <c r="F22" s="366">
        <f>AVERAGE(P10:S10)</f>
        <v>927.625</v>
      </c>
      <c r="G22" s="366">
        <f>AVERAGE(T10:W10)</f>
        <v>1003.4250000000001</v>
      </c>
      <c r="H22" s="366">
        <f>AVERAGE(X10:AA10)</f>
        <v>1080.6999999999998</v>
      </c>
      <c r="I22" s="366">
        <f>AVERAGE(AB10:AE10)</f>
        <v>1188.9499999999998</v>
      </c>
      <c r="J22" s="620">
        <f>AVERAGE(AF10:AI10)</f>
        <v>1323.3143580531487</v>
      </c>
      <c r="K22" s="440">
        <f>AVERAGE(AJ10:AM10)</f>
        <v>1435.8681041295215</v>
      </c>
      <c r="L22" s="737"/>
      <c r="M22" s="737"/>
      <c r="N22" s="737"/>
      <c r="O22" s="737"/>
      <c r="P22" s="508"/>
      <c r="Q22" s="508"/>
      <c r="R22" s="508"/>
      <c r="S22" s="508"/>
      <c r="T22" s="508"/>
      <c r="U22" s="508"/>
      <c r="V22" s="508"/>
      <c r="W22" s="508"/>
      <c r="X22" s="508"/>
      <c r="Y22" s="508"/>
      <c r="Z22" s="508"/>
      <c r="AA22" s="508"/>
      <c r="AB22" s="508"/>
      <c r="AC22" s="508"/>
    </row>
    <row r="23" spans="2:32" ht="21" customHeight="1" x14ac:dyDescent="0.35">
      <c r="B23" s="755" t="s">
        <v>421</v>
      </c>
      <c r="C23" s="265"/>
      <c r="D23" s="265">
        <v>47</v>
      </c>
      <c r="E23" s="265">
        <v>48</v>
      </c>
      <c r="F23" s="265">
        <v>-50</v>
      </c>
      <c r="G23" s="265">
        <v>-45</v>
      </c>
      <c r="H23" s="265"/>
      <c r="I23" s="265"/>
      <c r="J23" s="265">
        <f>SUM(D23:G23)</f>
        <v>0</v>
      </c>
      <c r="K23" s="691">
        <v>0</v>
      </c>
      <c r="M23" s="737"/>
      <c r="N23" s="737"/>
      <c r="O23" s="737"/>
      <c r="P23" s="508"/>
      <c r="Q23" s="508"/>
      <c r="R23" s="508"/>
      <c r="S23" s="508"/>
      <c r="T23" s="508"/>
      <c r="U23" s="508"/>
      <c r="V23" s="508"/>
      <c r="W23" s="508"/>
      <c r="X23" s="508"/>
      <c r="Y23" s="508"/>
      <c r="Z23" s="508"/>
      <c r="AA23" s="508"/>
      <c r="AB23" s="508"/>
      <c r="AC23" s="508"/>
    </row>
    <row r="24" spans="2:32" x14ac:dyDescent="0.35">
      <c r="B24" s="755" t="s">
        <v>1331</v>
      </c>
      <c r="C24" s="756"/>
      <c r="D24" s="756"/>
      <c r="E24" s="756">
        <f>E21-E23</f>
        <v>819.67600000000004</v>
      </c>
      <c r="F24" s="756">
        <f>F21+F23</f>
        <v>924.649</v>
      </c>
      <c r="G24" s="756">
        <f>G21+G23</f>
        <v>963.50400000000002</v>
      </c>
      <c r="H24" s="756">
        <f>H21+H23</f>
        <v>1088.9089999999999</v>
      </c>
      <c r="I24" s="756">
        <f>I21+I23</f>
        <v>1180</v>
      </c>
      <c r="J24" s="756">
        <f t="shared" ref="J24:K24" si="6">J21+J23</f>
        <v>1287</v>
      </c>
      <c r="K24" s="731">
        <f t="shared" si="6"/>
        <v>1374</v>
      </c>
      <c r="N24" s="750"/>
      <c r="O24" s="734"/>
      <c r="P24" s="508"/>
      <c r="Q24" s="508"/>
      <c r="R24" s="508"/>
      <c r="S24" s="508"/>
      <c r="T24" s="508"/>
      <c r="U24" s="508"/>
      <c r="V24" s="508"/>
      <c r="W24" s="508"/>
      <c r="X24" s="508"/>
      <c r="Y24" s="508"/>
      <c r="Z24" s="508"/>
      <c r="AA24" s="508"/>
      <c r="AB24" s="508"/>
      <c r="AC24" s="508"/>
    </row>
    <row r="25" spans="2:32" x14ac:dyDescent="0.35">
      <c r="B25" s="755" t="s">
        <v>423</v>
      </c>
      <c r="C25" s="620">
        <f>AVERAGE(D10:G10)</f>
        <v>778.75</v>
      </c>
      <c r="D25" s="620">
        <f>AVERAGE(H10:K10)</f>
        <v>815.875</v>
      </c>
      <c r="E25" s="756">
        <f>AVERAGE(L10:O10)</f>
        <v>871.1</v>
      </c>
      <c r="F25" s="265"/>
      <c r="G25" s="265"/>
      <c r="H25" s="265"/>
      <c r="I25" s="265"/>
      <c r="J25" s="265"/>
      <c r="K25" s="691"/>
      <c r="L25" s="268" t="s">
        <v>422</v>
      </c>
      <c r="P25" s="508"/>
      <c r="Q25" s="508"/>
      <c r="R25" s="508"/>
      <c r="S25" s="508"/>
      <c r="T25" s="508"/>
      <c r="U25" s="508"/>
      <c r="V25" s="508"/>
      <c r="W25" s="508"/>
      <c r="X25" s="508"/>
      <c r="Y25" s="508"/>
      <c r="Z25" s="508"/>
      <c r="AA25" s="508"/>
      <c r="AB25" s="508"/>
      <c r="AC25" s="508"/>
    </row>
    <row r="26" spans="2:32" x14ac:dyDescent="0.35">
      <c r="B26" s="740" t="s">
        <v>874</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41" t="s">
        <v>848</v>
      </c>
      <c r="C27" s="690"/>
      <c r="D27" s="690"/>
      <c r="E27" s="690"/>
      <c r="F27" s="690"/>
      <c r="G27" s="690">
        <v>0</v>
      </c>
      <c r="H27" s="690"/>
      <c r="I27" s="690">
        <v>0.05</v>
      </c>
      <c r="J27" s="690">
        <v>2.5000000000000001E-2</v>
      </c>
      <c r="K27" s="702"/>
      <c r="P27" s="268"/>
      <c r="Q27" s="268"/>
      <c r="R27" s="268"/>
      <c r="S27" s="268"/>
      <c r="T27" s="268"/>
      <c r="U27" s="268"/>
      <c r="V27" s="268"/>
      <c r="W27" s="268"/>
      <c r="X27" s="268"/>
      <c r="Y27" s="268"/>
      <c r="Z27" s="268"/>
      <c r="AA27" s="268"/>
      <c r="AB27" s="268"/>
      <c r="AC27" s="268"/>
    </row>
    <row r="28" spans="2:32" x14ac:dyDescent="0.35">
      <c r="C28" s="749"/>
      <c r="D28" s="749"/>
      <c r="E28" s="749"/>
      <c r="F28" s="749"/>
      <c r="G28" s="749"/>
      <c r="H28" s="749"/>
      <c r="I28" s="749"/>
      <c r="J28" s="749"/>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AK8:AN8"/>
    <mergeCell ref="U8:X8"/>
    <mergeCell ref="D7:AA7"/>
    <mergeCell ref="AG8:AJ8"/>
    <mergeCell ref="AG7:AN7"/>
    <mergeCell ref="B1:AC1"/>
    <mergeCell ref="B7:C9"/>
    <mergeCell ref="E8:H8"/>
    <mergeCell ref="I8:L8"/>
    <mergeCell ref="M8:P8"/>
    <mergeCell ref="B2:R4"/>
    <mergeCell ref="T2:AC4"/>
    <mergeCell ref="Q8:T8"/>
    <mergeCell ref="AC8:AF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Q9" activePane="bottomRight" state="frozen"/>
      <selection pane="topRight" activeCell="D1" sqref="D1"/>
      <selection pane="bottomLeft" activeCell="A9" sqref="A9"/>
      <selection pane="bottomRight" activeCell="AD29" sqref="AD29"/>
    </sheetView>
  </sheetViews>
  <sheetFormatPr defaultColWidth="10.90625" defaultRowHeight="14.5" x14ac:dyDescent="0.35"/>
  <cols>
    <col min="1" max="1" width="16.81640625" customWidth="1"/>
  </cols>
  <sheetData>
    <row r="1" spans="2:40" x14ac:dyDescent="0.35">
      <c r="B1" s="1415" t="s">
        <v>1333</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x14ac:dyDescent="0.35">
      <c r="B2" s="1435" t="s">
        <v>1336</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2:40"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2:40"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17" t="s">
        <v>1648</v>
      </c>
      <c r="C6" s="1464"/>
      <c r="D6" s="1421" t="s">
        <v>246</v>
      </c>
      <c r="E6" s="1466"/>
      <c r="F6" s="1466"/>
      <c r="G6" s="1466"/>
      <c r="H6" s="1466"/>
      <c r="I6" s="1466"/>
      <c r="J6" s="1466"/>
      <c r="K6" s="1466"/>
      <c r="L6" s="1466"/>
      <c r="M6" s="1466"/>
      <c r="N6" s="1466"/>
      <c r="O6" s="1466"/>
      <c r="P6" s="1466"/>
      <c r="Q6" s="1465"/>
      <c r="R6" s="1465"/>
      <c r="S6" s="1465"/>
      <c r="T6" s="1465"/>
      <c r="U6" s="1465"/>
      <c r="V6" s="1420"/>
      <c r="W6" s="1495" t="s">
        <v>247</v>
      </c>
      <c r="X6" s="1496"/>
      <c r="Y6" s="1496"/>
      <c r="Z6" s="1496"/>
      <c r="AA6" s="1496"/>
      <c r="AB6" s="1496"/>
      <c r="AC6" s="1496"/>
      <c r="AD6" s="1496"/>
      <c r="AE6" s="1496"/>
      <c r="AF6" s="1496"/>
      <c r="AG6" s="1497"/>
      <c r="AH6" s="758"/>
      <c r="AI6" s="758"/>
      <c r="AJ6" s="758"/>
    </row>
    <row r="7" spans="2:40" x14ac:dyDescent="0.35">
      <c r="B7" s="1419"/>
      <c r="C7" s="1420"/>
      <c r="D7" s="244">
        <v>2018</v>
      </c>
      <c r="E7" s="1423">
        <v>2019</v>
      </c>
      <c r="F7" s="1424"/>
      <c r="G7" s="1424"/>
      <c r="H7" s="1425"/>
      <c r="I7" s="1423">
        <v>2020</v>
      </c>
      <c r="J7" s="1424"/>
      <c r="K7" s="1424"/>
      <c r="L7" s="1424"/>
      <c r="M7" s="1423">
        <v>2021</v>
      </c>
      <c r="N7" s="1424"/>
      <c r="O7" s="1424"/>
      <c r="P7" s="1424"/>
      <c r="Q7" s="1408">
        <v>2022</v>
      </c>
      <c r="R7" s="1409"/>
      <c r="S7" s="277"/>
      <c r="T7" s="277"/>
      <c r="U7" s="283"/>
      <c r="V7" s="277">
        <v>2023</v>
      </c>
      <c r="W7" s="437"/>
      <c r="X7" s="431"/>
      <c r="Y7" s="1428">
        <v>2024</v>
      </c>
      <c r="Z7" s="1411"/>
      <c r="AA7" s="1411"/>
      <c r="AB7" s="1412"/>
      <c r="AC7" s="1410">
        <v>2025</v>
      </c>
      <c r="AD7" s="1411"/>
      <c r="AE7" s="1411"/>
      <c r="AF7" s="1412"/>
      <c r="AG7" s="1410">
        <v>2026</v>
      </c>
      <c r="AH7" s="1411"/>
      <c r="AI7" s="1411"/>
      <c r="AJ7" s="1412"/>
      <c r="AK7" s="1410">
        <v>2027</v>
      </c>
      <c r="AL7" s="1411"/>
      <c r="AM7" s="1411"/>
      <c r="AN7" s="1412"/>
    </row>
    <row r="8" spans="2:40"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1335</v>
      </c>
      <c r="C9" s="782"/>
      <c r="D9" s="783"/>
      <c r="E9" s="782"/>
      <c r="F9" s="782"/>
      <c r="G9" s="782"/>
      <c r="H9" s="782"/>
      <c r="I9" s="782"/>
      <c r="J9" s="784"/>
      <c r="K9" s="784"/>
      <c r="L9" s="784"/>
      <c r="M9" s="784"/>
      <c r="N9" s="784"/>
      <c r="O9" s="784"/>
      <c r="P9" s="784"/>
      <c r="Q9" s="762"/>
      <c r="R9" s="763">
        <v>0</v>
      </c>
      <c r="S9" s="764">
        <v>0</v>
      </c>
      <c r="T9" s="763">
        <v>0</v>
      </c>
      <c r="U9" s="763">
        <v>0</v>
      </c>
      <c r="V9" s="763">
        <v>0</v>
      </c>
      <c r="W9" s="763">
        <v>-7.7999999999999999E-4</v>
      </c>
      <c r="X9" s="763">
        <v>-7.7999999999999999E-4</v>
      </c>
      <c r="Y9" s="763">
        <v>-9.5E-4</v>
      </c>
      <c r="Z9" s="763">
        <v>-9.5E-4</v>
      </c>
      <c r="AA9" s="763">
        <v>-9.5E-4</v>
      </c>
      <c r="AB9" s="763">
        <v>-9.5E-4</v>
      </c>
      <c r="AC9" s="763">
        <v>-9.3999999999999997E-4</v>
      </c>
      <c r="AD9" s="763">
        <v>-9.3999999999999997E-4</v>
      </c>
      <c r="AE9" s="763">
        <v>-9.3999999999999997E-4</v>
      </c>
      <c r="AF9" s="763">
        <v>-9.3999999999999997E-4</v>
      </c>
      <c r="AG9" s="763">
        <v>-9.3999999999999997E-4</v>
      </c>
      <c r="AH9" s="763">
        <v>-9.3999999999999997E-4</v>
      </c>
      <c r="AI9" s="763">
        <v>0</v>
      </c>
      <c r="AJ9" s="763">
        <v>0</v>
      </c>
    </row>
    <row r="10" spans="2:40" x14ac:dyDescent="0.35">
      <c r="B10" s="44" t="s">
        <v>1334</v>
      </c>
      <c r="C10" s="385"/>
      <c r="D10" s="709"/>
      <c r="E10" s="385"/>
      <c r="F10" s="385"/>
      <c r="G10" s="385"/>
      <c r="H10" s="385"/>
      <c r="I10" s="385"/>
      <c r="J10" s="761"/>
      <c r="K10" s="761"/>
      <c r="L10" s="761"/>
      <c r="M10" s="761"/>
      <c r="N10" s="761"/>
      <c r="O10" s="761"/>
      <c r="P10" s="761"/>
      <c r="Q10" s="761"/>
      <c r="R10" s="759"/>
      <c r="S10" s="759"/>
      <c r="T10" s="759"/>
      <c r="U10" s="759">
        <v>26095</v>
      </c>
      <c r="V10" s="759">
        <v>26404</v>
      </c>
      <c r="W10" s="759">
        <v>26686</v>
      </c>
      <c r="X10" s="759">
        <v>26931</v>
      </c>
      <c r="Y10" s="759">
        <v>27174</v>
      </c>
      <c r="Z10" s="759">
        <v>27411</v>
      </c>
      <c r="AA10" s="759">
        <v>27647</v>
      </c>
      <c r="AB10" s="759">
        <v>27893</v>
      </c>
      <c r="AC10" s="759">
        <v>28143</v>
      </c>
      <c r="AD10" s="759">
        <v>28400</v>
      </c>
      <c r="AE10" s="759">
        <v>28649</v>
      </c>
      <c r="AF10" s="759">
        <v>28910</v>
      </c>
      <c r="AG10" s="759">
        <v>28910</v>
      </c>
      <c r="AH10" s="759">
        <v>28910</v>
      </c>
    </row>
    <row r="11" spans="2:40" x14ac:dyDescent="0.35">
      <c r="B11" s="1499" t="s">
        <v>2006</v>
      </c>
      <c r="C11" s="1500"/>
      <c r="D11" s="709"/>
      <c r="E11" s="385"/>
      <c r="F11" s="385"/>
      <c r="G11" s="385"/>
      <c r="H11" s="385"/>
      <c r="I11" s="385"/>
      <c r="J11" s="761"/>
      <c r="K11" s="761"/>
      <c r="L11" s="761"/>
      <c r="M11" s="761"/>
      <c r="N11" s="761"/>
      <c r="O11" s="761"/>
      <c r="P11" s="761"/>
      <c r="Q11" s="761"/>
      <c r="R11" s="759"/>
      <c r="S11" s="759"/>
      <c r="T11" s="759"/>
      <c r="U11" s="759"/>
      <c r="V11" s="759"/>
      <c r="W11" s="759"/>
      <c r="X11" s="759"/>
      <c r="Y11" s="759"/>
      <c r="Z11" s="759"/>
      <c r="AA11" s="759"/>
      <c r="AB11" s="759"/>
      <c r="AC11" s="759"/>
      <c r="AD11" s="759"/>
      <c r="AE11" s="759">
        <v>-11</v>
      </c>
      <c r="AF11" s="759">
        <v>-11</v>
      </c>
      <c r="AG11" s="759">
        <v>-11</v>
      </c>
      <c r="AH11" s="759">
        <v>-11</v>
      </c>
      <c r="AI11" s="759">
        <v>-11</v>
      </c>
      <c r="AJ11" s="759">
        <v>-11</v>
      </c>
      <c r="AK11" s="759">
        <v>-11</v>
      </c>
      <c r="AL11" s="759">
        <v>-11</v>
      </c>
    </row>
    <row r="12" spans="2:40" x14ac:dyDescent="0.35">
      <c r="B12" s="44" t="s">
        <v>278</v>
      </c>
      <c r="C12" s="665"/>
      <c r="D12" s="664"/>
      <c r="E12" s="665"/>
      <c r="F12" s="665"/>
      <c r="G12" s="665"/>
      <c r="H12" s="665"/>
      <c r="I12" s="665"/>
      <c r="J12" s="781">
        <v>45</v>
      </c>
      <c r="K12" s="781">
        <v>45</v>
      </c>
      <c r="L12" s="781">
        <v>45</v>
      </c>
      <c r="M12" s="781">
        <v>45</v>
      </c>
      <c r="N12" s="781">
        <v>45</v>
      </c>
      <c r="O12" s="781">
        <v>45</v>
      </c>
      <c r="P12" s="781">
        <v>45</v>
      </c>
      <c r="Q12" s="781">
        <v>45</v>
      </c>
      <c r="R12" s="780">
        <v>45</v>
      </c>
      <c r="S12" s="780">
        <v>45</v>
      </c>
      <c r="T12" s="780">
        <v>45</v>
      </c>
      <c r="U12" s="785">
        <v>45</v>
      </c>
      <c r="V12" s="785">
        <v>45</v>
      </c>
      <c r="W12" s="785">
        <f>W9*W10*(-1)*0.1</f>
        <v>2.0815079999999999</v>
      </c>
      <c r="X12" s="785">
        <f t="shared" ref="X12:AD12" si="0">X9*X10*(-1)*0.1</f>
        <v>2.1006180000000003</v>
      </c>
      <c r="Y12" s="785">
        <f t="shared" si="0"/>
        <v>2.5815300000000003</v>
      </c>
      <c r="Z12" s="785">
        <f t="shared" si="0"/>
        <v>2.6040450000000002</v>
      </c>
      <c r="AA12" s="785">
        <f t="shared" si="0"/>
        <v>2.626465</v>
      </c>
      <c r="AB12" s="785">
        <f>AB9*AB10*(-1)*0.1</f>
        <v>2.6498349999999999</v>
      </c>
      <c r="AC12" s="785">
        <f>AC9*AC10*(-1)*0.1</f>
        <v>2.6454420000000001</v>
      </c>
      <c r="AD12" s="785">
        <f t="shared" si="0"/>
        <v>2.6696</v>
      </c>
      <c r="AE12" s="785">
        <f>AE9*AE10*(-1)*0.1+AE11</f>
        <v>-8.3069939999999995</v>
      </c>
      <c r="AF12" s="785">
        <f t="shared" ref="AF12:AL12" si="1">AF9*AF10*(-1)*0.1+AF11</f>
        <v>-8.2824600000000004</v>
      </c>
      <c r="AG12" s="785">
        <f t="shared" si="1"/>
        <v>-8.2824600000000004</v>
      </c>
      <c r="AH12" s="785">
        <f t="shared" si="1"/>
        <v>-8.2824600000000004</v>
      </c>
      <c r="AI12" s="785">
        <f t="shared" si="1"/>
        <v>-11</v>
      </c>
      <c r="AJ12" s="785">
        <f t="shared" si="1"/>
        <v>-11</v>
      </c>
      <c r="AK12" s="785">
        <f t="shared" si="1"/>
        <v>-11</v>
      </c>
      <c r="AL12" s="785">
        <f t="shared" si="1"/>
        <v>-11</v>
      </c>
    </row>
    <row r="13" spans="2:40" x14ac:dyDescent="0.35">
      <c r="B13" s="44"/>
      <c r="C13" s="385"/>
      <c r="D13" s="385"/>
      <c r="E13" s="385"/>
      <c r="F13" s="385"/>
      <c r="G13" s="385"/>
      <c r="H13" s="385"/>
      <c r="I13" s="385"/>
      <c r="J13" s="761"/>
      <c r="K13" s="761"/>
      <c r="L13" s="761"/>
      <c r="M13" s="761"/>
      <c r="N13" s="761"/>
      <c r="O13" s="761"/>
      <c r="P13" s="761"/>
      <c r="Q13" s="761"/>
      <c r="R13" s="759"/>
      <c r="S13" s="759"/>
      <c r="T13" s="759"/>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53" t="s">
        <v>1700</v>
      </c>
      <c r="C15" s="1353"/>
      <c r="D15" s="1353"/>
      <c r="E15" s="1353"/>
      <c r="F15" s="1353"/>
      <c r="G15" s="1353"/>
      <c r="H15" s="1353"/>
      <c r="I15" s="1353"/>
      <c r="J15" s="1353"/>
      <c r="K15" s="1353"/>
      <c r="L15" s="1353"/>
      <c r="M15" s="1353"/>
      <c r="N15" s="1353"/>
      <c r="O15" s="1353"/>
      <c r="P15" s="1353"/>
      <c r="Q15" s="1353"/>
      <c r="R15" s="1353"/>
      <c r="S15" s="1353"/>
      <c r="T15" s="1353"/>
      <c r="U15" s="1353"/>
      <c r="V15" s="1353"/>
      <c r="W15" s="1353"/>
      <c r="X15" s="1353"/>
      <c r="Y15" s="1353"/>
      <c r="Z15" s="1353"/>
      <c r="AA15" s="1353"/>
      <c r="AB15" s="1353"/>
      <c r="AC15" s="1353"/>
      <c r="AD15" s="1353"/>
      <c r="AE15" s="1353"/>
      <c r="AF15" s="1353"/>
    </row>
    <row r="16" spans="2:40" x14ac:dyDescent="0.35">
      <c r="B16" s="1417" t="s">
        <v>1647</v>
      </c>
      <c r="C16" s="1464"/>
      <c r="D16" s="1400" t="s">
        <v>246</v>
      </c>
      <c r="E16" s="1401"/>
      <c r="F16" s="1401"/>
      <c r="G16" s="1401"/>
      <c r="H16" s="1401"/>
      <c r="I16" s="1401"/>
      <c r="J16" s="1401"/>
      <c r="K16" s="1401"/>
      <c r="L16" s="1401"/>
      <c r="M16" s="1401"/>
      <c r="N16" s="1401"/>
      <c r="O16" s="1401"/>
      <c r="P16" s="1401"/>
      <c r="Q16" s="1401"/>
      <c r="R16" s="1401"/>
      <c r="S16" s="1401"/>
      <c r="T16" s="1401"/>
      <c r="U16" s="1401"/>
      <c r="V16" s="1401"/>
      <c r="W16" s="1496" t="s">
        <v>247</v>
      </c>
      <c r="X16" s="1496"/>
      <c r="Y16" s="1496"/>
      <c r="Z16" s="1496"/>
      <c r="AA16" s="1496"/>
      <c r="AB16" s="1496"/>
      <c r="AC16" s="1496"/>
      <c r="AD16" s="1496"/>
      <c r="AE16" s="1496"/>
      <c r="AF16" s="1496"/>
      <c r="AG16" s="1497"/>
      <c r="AH16" s="758"/>
    </row>
    <row r="17" spans="2:35" x14ac:dyDescent="0.35">
      <c r="B17" s="1419"/>
      <c r="C17" s="1420"/>
      <c r="D17" s="244">
        <v>2018</v>
      </c>
      <c r="E17" s="1423">
        <v>2019</v>
      </c>
      <c r="F17" s="1424"/>
      <c r="G17" s="1424"/>
      <c r="H17" s="1425"/>
      <c r="I17" s="1423">
        <v>2020</v>
      </c>
      <c r="J17" s="1424"/>
      <c r="K17" s="1424"/>
      <c r="L17" s="1424"/>
      <c r="M17" s="1423">
        <v>2021</v>
      </c>
      <c r="N17" s="1424"/>
      <c r="O17" s="1424"/>
      <c r="P17" s="1424"/>
      <c r="Q17" s="1408">
        <v>2022</v>
      </c>
      <c r="R17" s="1498"/>
      <c r="S17" s="277"/>
      <c r="T17" s="279"/>
      <c r="U17" s="283"/>
      <c r="V17" s="277">
        <v>2023</v>
      </c>
      <c r="W17" s="760"/>
      <c r="X17" s="760"/>
      <c r="Y17" s="1410">
        <v>2024</v>
      </c>
      <c r="Z17" s="1411"/>
      <c r="AA17" s="1411"/>
      <c r="AB17" s="1412"/>
      <c r="AC17" s="1410">
        <v>2025</v>
      </c>
      <c r="AD17" s="1411"/>
      <c r="AE17" s="1411"/>
      <c r="AF17" s="1412"/>
      <c r="AG17" s="1410">
        <v>2026</v>
      </c>
      <c r="AH17" s="1412"/>
    </row>
    <row r="18" spans="2:35" x14ac:dyDescent="0.35">
      <c r="B18" s="1421"/>
      <c r="C18" s="1422"/>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1335</v>
      </c>
      <c r="C19" s="768"/>
      <c r="D19" s="769"/>
      <c r="E19" s="768"/>
      <c r="F19" s="768"/>
      <c r="G19" s="768"/>
      <c r="H19" s="768"/>
      <c r="I19" s="768"/>
      <c r="J19" s="770"/>
      <c r="K19" s="770"/>
      <c r="L19" s="770"/>
      <c r="M19" s="770"/>
      <c r="N19" s="770"/>
      <c r="O19" s="770"/>
      <c r="P19" s="770"/>
      <c r="Q19" s="770"/>
      <c r="R19" s="771">
        <v>0</v>
      </c>
      <c r="S19" s="765">
        <v>0</v>
      </c>
      <c r="T19" s="767">
        <v>0</v>
      </c>
      <c r="U19" s="767">
        <v>-7.7999999999999999E-4</v>
      </c>
      <c r="V19" s="767">
        <v>-7.7999999999999999E-4</v>
      </c>
      <c r="W19" s="767">
        <v>-7.7999999999999999E-4</v>
      </c>
      <c r="X19" s="767">
        <v>-7.7999999999999999E-4</v>
      </c>
      <c r="Y19" s="767">
        <v>-9.5E-4</v>
      </c>
      <c r="Z19" s="767">
        <v>-9.5E-4</v>
      </c>
      <c r="AA19" s="767">
        <v>-9.5E-4</v>
      </c>
      <c r="AB19" s="767">
        <v>-9.5E-4</v>
      </c>
      <c r="AC19" s="767">
        <v>-9.3999999999999997E-4</v>
      </c>
      <c r="AD19" s="767">
        <v>-9.3999999999999997E-4</v>
      </c>
      <c r="AE19" s="767">
        <v>-9.3999999999999997E-4</v>
      </c>
      <c r="AF19" s="767">
        <v>-9.3999999999999997E-4</v>
      </c>
      <c r="AG19" s="765">
        <v>-9.3999999999999997E-4</v>
      </c>
      <c r="AH19" s="765">
        <v>-9.3999999999999997E-4</v>
      </c>
    </row>
    <row r="20" spans="2:35" x14ac:dyDescent="0.35">
      <c r="B20" s="44" t="s">
        <v>1334</v>
      </c>
      <c r="C20" s="772"/>
      <c r="D20" s="773"/>
      <c r="E20" s="772"/>
      <c r="F20" s="772"/>
      <c r="G20" s="772"/>
      <c r="H20" s="772"/>
      <c r="I20" s="772"/>
      <c r="J20" s="774"/>
      <c r="K20" s="774"/>
      <c r="L20" s="774"/>
      <c r="M20" s="774"/>
      <c r="N20" s="774"/>
      <c r="O20" s="774"/>
      <c r="P20" s="774"/>
      <c r="Q20" s="774"/>
      <c r="R20" s="766"/>
      <c r="S20" s="766"/>
      <c r="T20" s="766"/>
      <c r="U20" s="766">
        <v>26095</v>
      </c>
      <c r="V20" s="766">
        <v>26404</v>
      </c>
      <c r="W20" s="766">
        <v>26686</v>
      </c>
      <c r="X20" s="766">
        <v>26931</v>
      </c>
      <c r="Y20" s="766">
        <v>27174</v>
      </c>
      <c r="Z20" s="766">
        <v>27411</v>
      </c>
      <c r="AA20" s="766">
        <v>27647</v>
      </c>
      <c r="AB20" s="766">
        <v>27893</v>
      </c>
      <c r="AC20" s="766">
        <v>28143</v>
      </c>
      <c r="AD20" s="766">
        <v>28400</v>
      </c>
      <c r="AE20" s="766">
        <v>28649</v>
      </c>
      <c r="AF20" s="766">
        <v>28910</v>
      </c>
      <c r="AG20" s="766">
        <v>28910</v>
      </c>
      <c r="AH20" s="766">
        <v>28910</v>
      </c>
    </row>
    <row r="21" spans="2:35" x14ac:dyDescent="0.35">
      <c r="B21" s="44" t="s">
        <v>278</v>
      </c>
      <c r="C21" s="775"/>
      <c r="D21" s="776"/>
      <c r="E21" s="775"/>
      <c r="F21" s="775"/>
      <c r="G21" s="775"/>
      <c r="H21" s="775"/>
      <c r="I21" s="775"/>
      <c r="J21" s="777"/>
      <c r="K21" s="777"/>
      <c r="L21" s="777"/>
      <c r="M21" s="777"/>
      <c r="N21" s="777"/>
      <c r="O21" s="777"/>
      <c r="P21" s="777"/>
      <c r="Q21" s="777"/>
      <c r="R21" s="778">
        <f>R19*R20</f>
        <v>0</v>
      </c>
      <c r="S21" s="778">
        <f t="shared" ref="S21:T21" si="2">S19*S20</f>
        <v>0</v>
      </c>
      <c r="T21" s="778">
        <f t="shared" si="2"/>
        <v>0</v>
      </c>
      <c r="U21" s="779">
        <f>U19*U20*-1</f>
        <v>20.354099999999999</v>
      </c>
      <c r="V21" s="779">
        <f t="shared" ref="V21:AF21" si="3">V19*V20*-1</f>
        <v>20.595119999999998</v>
      </c>
      <c r="W21" s="779">
        <f t="shared" si="3"/>
        <v>20.815079999999998</v>
      </c>
      <c r="X21" s="779">
        <f t="shared" si="3"/>
        <v>21.006180000000001</v>
      </c>
      <c r="Y21" s="779">
        <f t="shared" si="3"/>
        <v>25.815300000000001</v>
      </c>
      <c r="Z21" s="779">
        <f t="shared" si="3"/>
        <v>26.04045</v>
      </c>
      <c r="AA21" s="779">
        <f t="shared" si="3"/>
        <v>26.26465</v>
      </c>
      <c r="AB21" s="779">
        <f t="shared" si="3"/>
        <v>26.498349999999999</v>
      </c>
      <c r="AC21" s="779">
        <f t="shared" si="3"/>
        <v>26.454419999999999</v>
      </c>
      <c r="AD21" s="779">
        <f t="shared" si="3"/>
        <v>26.695999999999998</v>
      </c>
      <c r="AE21" s="779">
        <f t="shared" si="3"/>
        <v>26.930059999999997</v>
      </c>
      <c r="AF21" s="779">
        <f t="shared" si="3"/>
        <v>27.1754</v>
      </c>
      <c r="AG21" s="779">
        <f>AG19*AG20*-1</f>
        <v>27.1754</v>
      </c>
      <c r="AH21" s="779">
        <f>AH19*AH20*-1</f>
        <v>27.1754</v>
      </c>
    </row>
    <row r="24" spans="2:35" x14ac:dyDescent="0.35">
      <c r="C24" t="s">
        <v>1788</v>
      </c>
      <c r="F24" s="136" t="s">
        <v>1787</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5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Normal="100" workbookViewId="0">
      <pane xSplit="3" ySplit="10" topLeftCell="AB11" activePane="bottomRight" state="frozen"/>
      <selection pane="topRight" activeCell="D1" sqref="D1"/>
      <selection pane="bottomLeft" activeCell="A11" sqref="A11"/>
      <selection pane="bottomRight" activeCell="AG64" sqref="AG64"/>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collapsed="1"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38"/>
      <c r="AD8" s="1439"/>
      <c r="AE8" s="1439"/>
      <c r="AF8" s="1440"/>
      <c r="AG8" s="1397" t="s">
        <v>247</v>
      </c>
      <c r="AH8" s="1398"/>
      <c r="AI8" s="1398"/>
      <c r="AJ8" s="1398"/>
      <c r="AK8" s="1398"/>
      <c r="AL8" s="1398"/>
      <c r="AM8" s="1398"/>
      <c r="AN8" s="1399"/>
    </row>
    <row r="9" spans="2:40" ht="14.9" customHeight="1" x14ac:dyDescent="0.35">
      <c r="B9" s="843"/>
      <c r="C9" s="844"/>
      <c r="D9" s="249">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80"/>
      <c r="Z9" s="277">
        <v>2024</v>
      </c>
      <c r="AA9" s="277"/>
      <c r="AB9" s="279"/>
      <c r="AC9" s="1403">
        <v>2025</v>
      </c>
      <c r="AD9" s="1404"/>
      <c r="AE9" s="1404"/>
      <c r="AF9" s="1404"/>
      <c r="AG9" s="1410">
        <v>2026</v>
      </c>
      <c r="AH9" s="1428"/>
      <c r="AI9" s="1428"/>
      <c r="AJ9" s="1412"/>
      <c r="AK9" s="1410">
        <v>2027</v>
      </c>
      <c r="AL9" s="1428"/>
      <c r="AM9" s="1428"/>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4" t="s">
        <v>226</v>
      </c>
      <c r="AF10" s="273" t="s">
        <v>248</v>
      </c>
      <c r="AG10" s="275" t="s">
        <v>249</v>
      </c>
      <c r="AH10" s="269" t="s">
        <v>250</v>
      </c>
      <c r="AI10" s="270" t="s">
        <v>226</v>
      </c>
      <c r="AJ10" s="276" t="s">
        <v>248</v>
      </c>
      <c r="AK10" s="275" t="s">
        <v>249</v>
      </c>
      <c r="AL10" s="269" t="s">
        <v>250</v>
      </c>
      <c r="AM10" s="270" t="s">
        <v>226</v>
      </c>
      <c r="AN10" s="276" t="s">
        <v>248</v>
      </c>
    </row>
    <row r="11" spans="2:40" x14ac:dyDescent="0.35">
      <c r="B11" s="1501" t="s">
        <v>431</v>
      </c>
      <c r="C11" s="1502"/>
      <c r="D11" s="794"/>
      <c r="E11" s="795"/>
      <c r="F11" s="795"/>
      <c r="G11" s="795"/>
      <c r="H11" s="422"/>
      <c r="I11" s="422"/>
      <c r="J11" s="422"/>
      <c r="K11" s="422"/>
      <c r="L11" s="422"/>
      <c r="M11" s="703"/>
      <c r="N11" s="703"/>
      <c r="O11" s="703"/>
      <c r="P11" s="422"/>
      <c r="Q11" s="422"/>
      <c r="R11" s="422"/>
      <c r="S11" s="422"/>
      <c r="T11" s="422"/>
      <c r="U11" s="422"/>
      <c r="V11" s="422"/>
      <c r="W11" s="422"/>
      <c r="X11" s="422"/>
      <c r="Y11" s="422"/>
      <c r="Z11" s="422"/>
      <c r="AA11" s="422"/>
      <c r="AB11" s="422"/>
      <c r="AC11" s="422"/>
      <c r="AD11" s="422"/>
      <c r="AE11" s="795"/>
      <c r="AF11" s="422"/>
      <c r="AG11" s="422"/>
      <c r="AH11" s="422"/>
      <c r="AI11" s="422"/>
      <c r="AJ11" s="422"/>
      <c r="AK11" s="422"/>
      <c r="AL11" s="422"/>
      <c r="AM11" s="422"/>
      <c r="AN11" s="422"/>
    </row>
    <row r="12" spans="2:40" ht="17.149999999999999" customHeight="1" x14ac:dyDescent="0.35">
      <c r="B12" s="835" t="s">
        <v>432</v>
      </c>
      <c r="C12" s="268" t="s">
        <v>433</v>
      </c>
      <c r="D12" s="682">
        <f>'Haver Pivoted'!GO31</f>
        <v>2223</v>
      </c>
      <c r="E12" s="682">
        <f>'Haver Pivoted'!GP31</f>
        <v>2303.8000000000002</v>
      </c>
      <c r="F12" s="682">
        <f>'Haver Pivoted'!GQ31</f>
        <v>2321.6999999999998</v>
      </c>
      <c r="G12" s="682">
        <f>'Haver Pivoted'!GR31</f>
        <v>2337.1</v>
      </c>
      <c r="H12" s="682">
        <f>'Haver Pivoted'!GS31</f>
        <v>2349.5</v>
      </c>
      <c r="I12" s="682">
        <f>'Haver Pivoted'!GT31</f>
        <v>2417</v>
      </c>
      <c r="J12" s="682">
        <f>'Haver Pivoted'!GU31</f>
        <v>4659.2</v>
      </c>
      <c r="K12" s="682">
        <f>'Haver Pivoted'!GV31</f>
        <v>3514.2</v>
      </c>
      <c r="L12" s="682">
        <f>'Haver Pivoted'!GW31</f>
        <v>2896.7</v>
      </c>
      <c r="M12" s="682">
        <f>'Haver Pivoted'!GX31</f>
        <v>5152.8</v>
      </c>
      <c r="N12" s="682">
        <f>'Haver Pivoted'!GY31</f>
        <v>3403.1</v>
      </c>
      <c r="O12" s="682">
        <f>'Haver Pivoted'!GZ31</f>
        <v>3121.9</v>
      </c>
      <c r="P12" s="682">
        <f>'Haver Pivoted'!HA31</f>
        <v>2958.3</v>
      </c>
      <c r="Q12" s="682">
        <f>'Haver Pivoted'!HB31</f>
        <v>2978.4</v>
      </c>
      <c r="R12" s="682">
        <f>'Haver Pivoted'!HC31</f>
        <v>2983.3</v>
      </c>
      <c r="S12" s="682">
        <f>'Haver Pivoted'!HD31</f>
        <v>2976.9</v>
      </c>
      <c r="T12" s="682">
        <f>'Haver Pivoted'!HE31</f>
        <v>3033.2</v>
      </c>
      <c r="U12" s="682">
        <f>'Haver Pivoted'!HF31</f>
        <v>3055.3</v>
      </c>
      <c r="V12" s="682">
        <f>'Haver Pivoted'!HG31</f>
        <v>3066.9</v>
      </c>
      <c r="W12" s="682">
        <f>'Haver Pivoted'!HH31</f>
        <v>3097.1</v>
      </c>
      <c r="X12" s="682">
        <f>'Haver Pivoted'!HI31</f>
        <v>3119.8</v>
      </c>
      <c r="Y12" s="682">
        <f>'Haver Pivoted'!HJ31</f>
        <v>3242.2</v>
      </c>
      <c r="Z12" s="682">
        <f>'Haver Pivoted'!HK31</f>
        <v>3291</v>
      </c>
      <c r="AA12" s="682">
        <f>'Haver Pivoted'!HL31</f>
        <v>3335.9</v>
      </c>
      <c r="AB12" s="682">
        <f>'Haver Pivoted'!HM31</f>
        <v>3393.7</v>
      </c>
      <c r="AC12" s="682">
        <f>'Haver Pivoted'!HN31</f>
        <v>3526.5</v>
      </c>
      <c r="AD12" s="682">
        <f>'Haver Pivoted'!HO31</f>
        <v>3657</v>
      </c>
      <c r="AE12" s="797">
        <f>'Haver Pivoted'!HP31</f>
        <v>3652</v>
      </c>
      <c r="AF12" s="797">
        <f>'Haver Pivoted'!HQ31</f>
        <v>3682.4</v>
      </c>
      <c r="AG12" s="725">
        <f>SUM(AG15:AG31)-AG29</f>
        <v>3790.9406048086544</v>
      </c>
      <c r="AH12" s="725">
        <f>SUM(AH15:AH31)-AH29</f>
        <v>3848.5238577265277</v>
      </c>
      <c r="AI12" s="725">
        <f>SUM(AI15:AI31)-AI29</f>
        <v>3908.9511989179364</v>
      </c>
      <c r="AJ12" s="725">
        <f>SUM(AJ15:AJ31)-AJ29</f>
        <v>3946.8568438578286</v>
      </c>
      <c r="AK12" s="725">
        <f>SUM(AK15:AK31)-AK29</f>
        <v>4032.9178493122536</v>
      </c>
      <c r="AL12" s="725">
        <f>SUM(AL15:AL31)-AL29</f>
        <v>4080.9645458102909</v>
      </c>
      <c r="AM12" s="725">
        <f>SUM(AM15:AM31)-AM29</f>
        <v>4129.5157619033744</v>
      </c>
      <c r="AN12" s="725">
        <f>SUM(AN15:AN31)-AN29</f>
        <v>4132.6765944494364</v>
      </c>
    </row>
    <row r="13" spans="2:40" ht="17.149999999999999" customHeight="1" x14ac:dyDescent="0.35">
      <c r="B13" s="835" t="s">
        <v>2075</v>
      </c>
      <c r="C13" s="268"/>
      <c r="D13" s="796"/>
      <c r="E13" s="796"/>
      <c r="F13" s="796"/>
      <c r="G13" s="796"/>
      <c r="H13" s="796"/>
      <c r="I13" s="796"/>
      <c r="J13" s="796"/>
      <c r="K13" s="796"/>
      <c r="L13" s="796"/>
      <c r="M13" s="796"/>
      <c r="N13" s="796"/>
      <c r="O13" s="796"/>
      <c r="P13" s="796"/>
      <c r="Q13" s="796"/>
      <c r="R13" s="796"/>
      <c r="S13" s="796"/>
      <c r="T13" s="796"/>
      <c r="U13" s="813">
        <f t="shared" ref="U13:AN13" si="0">(U12/Q12)-1</f>
        <v>2.581923180231005E-2</v>
      </c>
      <c r="V13" s="813">
        <f t="shared" si="0"/>
        <v>2.8022659471055533E-2</v>
      </c>
      <c r="W13" s="813">
        <f t="shared" si="0"/>
        <v>4.0377573986361659E-2</v>
      </c>
      <c r="X13" s="813">
        <f t="shared" si="0"/>
        <v>2.8550705525517639E-2</v>
      </c>
      <c r="Y13" s="813">
        <f t="shared" si="0"/>
        <v>6.1172388963440349E-2</v>
      </c>
      <c r="Z13" s="813">
        <f t="shared" si="0"/>
        <v>7.30705272424923E-2</v>
      </c>
      <c r="AA13" s="813">
        <f t="shared" si="0"/>
        <v>7.7104387975848399E-2</v>
      </c>
      <c r="AB13" s="813">
        <f t="shared" si="0"/>
        <v>8.7794089364702677E-2</v>
      </c>
      <c r="AC13" s="813">
        <f t="shared" si="0"/>
        <v>8.7687372771575012E-2</v>
      </c>
      <c r="AD13" s="813">
        <f t="shared" si="0"/>
        <v>0.11121239744758427</v>
      </c>
      <c r="AE13" s="798">
        <f t="shared" si="0"/>
        <v>9.4757037081447226E-2</v>
      </c>
      <c r="AF13" s="813">
        <f t="shared" si="0"/>
        <v>8.5069393287562356E-2</v>
      </c>
      <c r="AG13" s="813">
        <f t="shared" si="0"/>
        <v>7.4986702058316812E-2</v>
      </c>
      <c r="AH13" s="813">
        <f t="shared" si="0"/>
        <v>5.2371850622512373E-2</v>
      </c>
      <c r="AI13" s="813">
        <f t="shared" si="0"/>
        <v>7.0359035848284845E-2</v>
      </c>
      <c r="AJ13" s="813">
        <f t="shared" si="0"/>
        <v>7.1816435981378657E-2</v>
      </c>
      <c r="AK13" s="813">
        <f t="shared" si="0"/>
        <v>6.3830397183395782E-2</v>
      </c>
      <c r="AL13" s="813">
        <f t="shared" si="0"/>
        <v>6.0397361865667465E-2</v>
      </c>
      <c r="AM13" s="813">
        <f t="shared" si="0"/>
        <v>5.6425509493823744E-2</v>
      </c>
      <c r="AN13" s="813">
        <f t="shared" si="0"/>
        <v>4.708043842045706E-2</v>
      </c>
    </row>
    <row r="14" spans="2:40" ht="17.149999999999999" customHeight="1" x14ac:dyDescent="0.35">
      <c r="B14" s="835" t="s">
        <v>2076</v>
      </c>
      <c r="C14" s="268"/>
      <c r="D14" s="796"/>
      <c r="E14" s="796"/>
      <c r="F14" s="796"/>
      <c r="G14" s="796"/>
      <c r="H14" s="796"/>
      <c r="I14" s="796"/>
      <c r="J14" s="796"/>
      <c r="K14" s="796"/>
      <c r="L14" s="796"/>
      <c r="M14" s="796"/>
      <c r="N14" s="796"/>
      <c r="O14" s="796"/>
      <c r="P14" s="796"/>
      <c r="Q14" s="796"/>
      <c r="R14" s="796"/>
      <c r="S14" s="796"/>
      <c r="T14" s="796"/>
      <c r="U14" s="796"/>
      <c r="V14" s="796"/>
      <c r="W14" s="796"/>
      <c r="X14" s="796"/>
      <c r="Y14" s="796"/>
      <c r="Z14" s="796"/>
      <c r="AA14" s="796"/>
      <c r="AB14" s="725">
        <f t="shared" ref="AB14:AN14" si="1">AB12-AA12</f>
        <v>57.799999999999727</v>
      </c>
      <c r="AC14" s="725">
        <f t="shared" si="1"/>
        <v>132.80000000000018</v>
      </c>
      <c r="AD14" s="725">
        <f t="shared" si="1"/>
        <v>130.5</v>
      </c>
      <c r="AE14" s="855">
        <f t="shared" si="1"/>
        <v>-5</v>
      </c>
      <c r="AF14" s="725">
        <f t="shared" si="1"/>
        <v>30.400000000000091</v>
      </c>
      <c r="AG14" s="725">
        <f t="shared" si="1"/>
        <v>108.54060480865428</v>
      </c>
      <c r="AH14" s="725">
        <f t="shared" si="1"/>
        <v>57.583252917873324</v>
      </c>
      <c r="AI14" s="725">
        <f t="shared" si="1"/>
        <v>60.427341191408686</v>
      </c>
      <c r="AJ14" s="725">
        <f t="shared" si="1"/>
        <v>37.905644939892227</v>
      </c>
      <c r="AK14" s="725">
        <f t="shared" si="1"/>
        <v>86.061005454424958</v>
      </c>
      <c r="AL14" s="725">
        <f t="shared" si="1"/>
        <v>48.046696498037363</v>
      </c>
      <c r="AM14" s="725">
        <f t="shared" si="1"/>
        <v>48.55121609308344</v>
      </c>
      <c r="AN14" s="725">
        <f t="shared" si="1"/>
        <v>3.1608325460620108</v>
      </c>
    </row>
    <row r="15" spans="2:40" x14ac:dyDescent="0.35">
      <c r="B15" s="791" t="s">
        <v>1789</v>
      </c>
      <c r="C15" s="268"/>
      <c r="D15" s="796">
        <f t="shared" ref="D15:AC15" si="2">D16+D17</f>
        <v>27.1</v>
      </c>
      <c r="E15" s="796">
        <f t="shared" si="2"/>
        <v>29.6</v>
      </c>
      <c r="F15" s="796">
        <f t="shared" si="2"/>
        <v>27.3</v>
      </c>
      <c r="G15" s="796">
        <f t="shared" si="2"/>
        <v>26.4</v>
      </c>
      <c r="H15" s="796">
        <f t="shared" si="2"/>
        <v>26.7</v>
      </c>
      <c r="I15" s="796">
        <f t="shared" si="2"/>
        <v>39.200000000000003</v>
      </c>
      <c r="J15" s="796">
        <f t="shared" si="2"/>
        <v>949.8</v>
      </c>
      <c r="K15" s="796">
        <f t="shared" si="2"/>
        <v>801</v>
      </c>
      <c r="L15" s="796">
        <f t="shared" si="2"/>
        <v>322</v>
      </c>
      <c r="M15" s="796">
        <f t="shared" si="2"/>
        <v>588.5</v>
      </c>
      <c r="N15" s="796">
        <f t="shared" si="2"/>
        <v>437.5</v>
      </c>
      <c r="O15" s="796">
        <f t="shared" si="2"/>
        <v>203</v>
      </c>
      <c r="P15" s="796">
        <f t="shared" si="2"/>
        <v>30.7</v>
      </c>
      <c r="Q15" s="796">
        <f t="shared" si="2"/>
        <v>24.4</v>
      </c>
      <c r="R15" s="796">
        <f t="shared" si="2"/>
        <v>21.8</v>
      </c>
      <c r="S15" s="796">
        <f t="shared" si="2"/>
        <v>23.2</v>
      </c>
      <c r="T15" s="796">
        <f t="shared" si="2"/>
        <v>25.8</v>
      </c>
      <c r="U15" s="796">
        <f t="shared" si="2"/>
        <v>30</v>
      </c>
      <c r="V15" s="796">
        <f t="shared" si="2"/>
        <v>30.857142857142858</v>
      </c>
      <c r="W15" s="796">
        <f t="shared" si="2"/>
        <v>30.857142857142858</v>
      </c>
      <c r="X15" s="796">
        <f t="shared" si="2"/>
        <v>35.5</v>
      </c>
      <c r="Y15" s="796">
        <f t="shared" si="2"/>
        <v>35.5</v>
      </c>
      <c r="Z15" s="796">
        <f t="shared" si="2"/>
        <v>36.1</v>
      </c>
      <c r="AA15" s="796">
        <f t="shared" si="2"/>
        <v>37</v>
      </c>
      <c r="AB15" s="796">
        <f t="shared" si="2"/>
        <v>37.299999999999997</v>
      </c>
      <c r="AC15" s="796">
        <f t="shared" si="2"/>
        <v>37.1</v>
      </c>
      <c r="AD15" s="796">
        <f>AD16+AD17</f>
        <v>38</v>
      </c>
      <c r="AE15" s="799">
        <f>AE16+AE17</f>
        <v>38.5</v>
      </c>
      <c r="AF15" s="799">
        <f>AF16+AF17</f>
        <v>38.299999999999997</v>
      </c>
      <c r="AG15" s="725">
        <f>'Unemployment Insurance'!AG21+'Unemployment Insurance'!AG20</f>
        <v>35.700000000000003</v>
      </c>
      <c r="AH15" s="725">
        <f>'Unemployment Insurance'!AH21+'Unemployment Insurance'!AH20</f>
        <v>35.700000000000003</v>
      </c>
      <c r="AI15" s="725">
        <f>'Unemployment Insurance'!AI21+'Unemployment Insurance'!AI20</f>
        <v>35.700000000000003</v>
      </c>
      <c r="AJ15" s="725">
        <f>'Unemployment Insurance'!AJ21+'Unemployment Insurance'!AJ20</f>
        <v>35.700000000000003</v>
      </c>
      <c r="AK15" s="725">
        <f>'Unemployment Insurance'!AK21+'Unemployment Insurance'!AK20</f>
        <v>36.700000000000003</v>
      </c>
      <c r="AL15" s="725">
        <f>'Unemployment Insurance'!AL21+'Unemployment Insurance'!AL20</f>
        <v>37.700000000000003</v>
      </c>
      <c r="AM15" s="725">
        <f>'Unemployment Insurance'!AM21+'Unemployment Insurance'!AM20</f>
        <v>38.700000000000003</v>
      </c>
      <c r="AN15" s="725">
        <f>'Unemployment Insurance'!AN21+'Unemployment Insurance'!AN20</f>
        <v>39.700000000000003</v>
      </c>
    </row>
    <row r="16" spans="2:40" x14ac:dyDescent="0.35">
      <c r="B16" s="521" t="s">
        <v>191</v>
      </c>
      <c r="C16" s="268"/>
      <c r="D16" s="796">
        <f>'Unemployment Insurance'!D20</f>
        <v>0</v>
      </c>
      <c r="E16" s="796">
        <f>'Unemployment Insurance'!E20</f>
        <v>0</v>
      </c>
      <c r="F16" s="796">
        <f>'Unemployment Insurance'!F20</f>
        <v>0</v>
      </c>
      <c r="G16" s="796">
        <f>'Unemployment Insurance'!G20</f>
        <v>0</v>
      </c>
      <c r="H16" s="796">
        <f>'Unemployment Insurance'!H20</f>
        <v>0</v>
      </c>
      <c r="I16" s="796">
        <f>'Unemployment Insurance'!I20</f>
        <v>0</v>
      </c>
      <c r="J16" s="796">
        <f>'Unemployment Insurance'!J20</f>
        <v>779.80000000000007</v>
      </c>
      <c r="K16" s="796">
        <f>'Unemployment Insurance'!K20</f>
        <v>586.29999999999995</v>
      </c>
      <c r="L16" s="796">
        <f>'Unemployment Insurance'!L20</f>
        <v>229.4</v>
      </c>
      <c r="M16" s="796">
        <f>'Unemployment Insurance'!M20</f>
        <v>523.1</v>
      </c>
      <c r="N16" s="796">
        <f>'Unemployment Insurance'!N20</f>
        <v>405.3</v>
      </c>
      <c r="O16" s="796">
        <f>'Unemployment Insurance'!O20</f>
        <v>209.20000000000002</v>
      </c>
      <c r="P16" s="796">
        <f>'Unemployment Insurance'!P20</f>
        <v>6.1000000000000014</v>
      </c>
      <c r="Q16" s="796">
        <f>'Unemployment Insurance'!Q20</f>
        <v>0.19999999999999929</v>
      </c>
      <c r="R16" s="796">
        <f>'Unemployment Insurance'!R20</f>
        <v>1.1000000000000014</v>
      </c>
      <c r="S16" s="796">
        <f>'Unemployment Insurance'!S20</f>
        <v>0.5</v>
      </c>
      <c r="T16" s="796">
        <f>'Unemployment Insurance'!T20</f>
        <v>0.30000000000000071</v>
      </c>
      <c r="U16" s="796">
        <f>'Unemployment Insurance'!U20</f>
        <v>0</v>
      </c>
      <c r="V16" s="796">
        <f>'Unemployment Insurance'!V20</f>
        <v>0</v>
      </c>
      <c r="W16" s="796">
        <f>'Unemployment Insurance'!W20</f>
        <v>0</v>
      </c>
      <c r="X16" s="796">
        <f>'Unemployment Insurance'!X20</f>
        <v>5.2171428571428606</v>
      </c>
      <c r="Y16" s="796">
        <f>'Unemployment Insurance'!Y20</f>
        <v>4.0771428571428601</v>
      </c>
      <c r="Z16" s="796">
        <f>'Unemployment Insurance'!Z20</f>
        <v>1.2000000000000028</v>
      </c>
      <c r="AA16" s="796">
        <f>'Unemployment Insurance'!AA20</f>
        <v>1.2999999999999972</v>
      </c>
      <c r="AB16" s="796">
        <f>'Unemployment Insurance'!AB20</f>
        <v>1.5999999999999943</v>
      </c>
      <c r="AC16" s="796">
        <f>'Unemployment Insurance'!AC20</f>
        <v>1.3999999999999986</v>
      </c>
      <c r="AD16" s="796">
        <f>'Unemployment Insurance'!AD20</f>
        <v>2.2999999999999972</v>
      </c>
      <c r="AE16" s="799">
        <f>'Unemployment Insurance'!AE20</f>
        <v>2.7999999999999972</v>
      </c>
      <c r="AF16" s="799">
        <f>'Unemployment Insurance'!AF20</f>
        <v>2.5999999999999943</v>
      </c>
      <c r="AG16" s="725"/>
      <c r="AH16" s="725"/>
      <c r="AI16" s="725"/>
      <c r="AJ16" s="725"/>
      <c r="AK16" s="725"/>
      <c r="AL16" s="725"/>
      <c r="AM16" s="725"/>
      <c r="AN16" s="725"/>
    </row>
    <row r="17" spans="2:102" x14ac:dyDescent="0.35">
      <c r="B17" s="521" t="s">
        <v>193</v>
      </c>
      <c r="C17" s="268"/>
      <c r="D17" s="796">
        <f>'Unemployment Insurance'!D21</f>
        <v>27.1</v>
      </c>
      <c r="E17" s="796">
        <f>'Unemployment Insurance'!E21</f>
        <v>29.6</v>
      </c>
      <c r="F17" s="796">
        <f>'Unemployment Insurance'!F21</f>
        <v>27.3</v>
      </c>
      <c r="G17" s="796">
        <f>'Unemployment Insurance'!G21</f>
        <v>26.4</v>
      </c>
      <c r="H17" s="796">
        <f>'Unemployment Insurance'!H21</f>
        <v>26.7</v>
      </c>
      <c r="I17" s="796">
        <f>'Unemployment Insurance'!I21</f>
        <v>39.200000000000003</v>
      </c>
      <c r="J17" s="796">
        <f>'Unemployment Insurance'!J21</f>
        <v>169.99999999999991</v>
      </c>
      <c r="K17" s="796">
        <f>'Unemployment Insurance'!K21</f>
        <v>214.7</v>
      </c>
      <c r="L17" s="796">
        <f>'Unemployment Insurance'!L21</f>
        <v>92.6</v>
      </c>
      <c r="M17" s="796">
        <f>'Unemployment Insurance'!M21</f>
        <v>65.399999999999977</v>
      </c>
      <c r="N17" s="796">
        <f>'Unemployment Insurance'!N21</f>
        <v>32.199999999999989</v>
      </c>
      <c r="O17" s="796">
        <f>'Unemployment Insurance'!O21</f>
        <v>-6.2000000000000171</v>
      </c>
      <c r="P17" s="796">
        <f>'Unemployment Insurance'!P21</f>
        <v>24.599999999999998</v>
      </c>
      <c r="Q17" s="796">
        <f>'Unemployment Insurance'!Q21</f>
        <v>24.2</v>
      </c>
      <c r="R17" s="796">
        <f>'Unemployment Insurance'!R21</f>
        <v>20.7</v>
      </c>
      <c r="S17" s="796">
        <f>'Unemployment Insurance'!S21</f>
        <v>22.7</v>
      </c>
      <c r="T17" s="796">
        <f>'Unemployment Insurance'!T21</f>
        <v>25.5</v>
      </c>
      <c r="U17" s="796">
        <f>'Unemployment Insurance'!U21</f>
        <v>30</v>
      </c>
      <c r="V17" s="796">
        <f>'Unemployment Insurance'!V21</f>
        <v>30.857142857142858</v>
      </c>
      <c r="W17" s="796">
        <f>'Unemployment Insurance'!W21</f>
        <v>30.857142857142858</v>
      </c>
      <c r="X17" s="796">
        <f>'Unemployment Insurance'!X21</f>
        <v>30.282857142857139</v>
      </c>
      <c r="Y17" s="796">
        <f>'Unemployment Insurance'!Y21</f>
        <v>31.42285714285714</v>
      </c>
      <c r="Z17" s="796">
        <f>'Unemployment Insurance'!Z21</f>
        <v>34.9</v>
      </c>
      <c r="AA17" s="796">
        <f>'Unemployment Insurance'!AA21</f>
        <v>35.700000000000003</v>
      </c>
      <c r="AB17" s="796">
        <f>'Unemployment Insurance'!AB21</f>
        <v>35.700000000000003</v>
      </c>
      <c r="AC17" s="796">
        <f>'Unemployment Insurance'!AC21</f>
        <v>35.700000000000003</v>
      </c>
      <c r="AD17" s="796">
        <f>'Unemployment Insurance'!AD21</f>
        <v>35.700000000000003</v>
      </c>
      <c r="AE17" s="799">
        <f>'Unemployment Insurance'!AE21</f>
        <v>35.700000000000003</v>
      </c>
      <c r="AF17" s="799">
        <f>'Unemployment Insurance'!AF21</f>
        <v>35.700000000000003</v>
      </c>
      <c r="AG17" s="725"/>
      <c r="AH17" s="725"/>
      <c r="AI17" s="725"/>
      <c r="AJ17" s="725"/>
      <c r="AK17" s="725"/>
      <c r="AL17" s="725"/>
      <c r="AM17" s="725"/>
      <c r="AN17" s="725"/>
    </row>
    <row r="18" spans="2:102" ht="17.899999999999999" customHeight="1" x14ac:dyDescent="0.35">
      <c r="B18" s="791" t="s">
        <v>46</v>
      </c>
      <c r="C18" s="268"/>
      <c r="D18" s="816">
        <f>Medicare!D10</f>
        <v>755</v>
      </c>
      <c r="E18" s="816">
        <f>Medicare!E10</f>
        <v>773.5</v>
      </c>
      <c r="F18" s="816">
        <f>Medicare!F10</f>
        <v>788.5</v>
      </c>
      <c r="G18" s="816">
        <f>Medicare!G10</f>
        <v>798</v>
      </c>
      <c r="H18" s="816">
        <f>Medicare!H10</f>
        <v>802</v>
      </c>
      <c r="I18" s="816">
        <f>Medicare!I10</f>
        <v>805.1</v>
      </c>
      <c r="J18" s="816">
        <f>Medicare!J10</f>
        <v>821</v>
      </c>
      <c r="K18" s="816">
        <f>Medicare!K10</f>
        <v>835.4</v>
      </c>
      <c r="L18" s="816">
        <f>Medicare!L10</f>
        <v>848.1</v>
      </c>
      <c r="M18" s="816">
        <f>Medicare!M10</f>
        <v>863.4</v>
      </c>
      <c r="N18" s="816">
        <f>Medicare!N10</f>
        <v>878.9</v>
      </c>
      <c r="O18" s="816">
        <f>Medicare!O10</f>
        <v>894</v>
      </c>
      <c r="P18" s="816">
        <f>Medicare!P10</f>
        <v>908.8</v>
      </c>
      <c r="Q18" s="816">
        <f>Medicare!Q10</f>
        <v>923.7</v>
      </c>
      <c r="R18" s="816">
        <f>Medicare!R10</f>
        <v>933</v>
      </c>
      <c r="S18" s="816">
        <f>Medicare!S10</f>
        <v>945</v>
      </c>
      <c r="T18" s="816">
        <f>Medicare!T10</f>
        <v>968</v>
      </c>
      <c r="U18" s="816">
        <f>Medicare!U10</f>
        <v>993.1</v>
      </c>
      <c r="V18" s="816">
        <f>Medicare!V10</f>
        <v>1016.2</v>
      </c>
      <c r="W18" s="816">
        <f>Medicare!W10</f>
        <v>1036.4000000000001</v>
      </c>
      <c r="X18" s="816">
        <f>Medicare!X10</f>
        <v>1053.5999999999999</v>
      </c>
      <c r="Y18" s="816">
        <f>Medicare!Y10</f>
        <v>1069.0999999999999</v>
      </c>
      <c r="Z18" s="816">
        <f>Medicare!Z10</f>
        <v>1088.2</v>
      </c>
      <c r="AA18" s="816">
        <f>Medicare!AA10</f>
        <v>1111.9000000000001</v>
      </c>
      <c r="AB18" s="816">
        <f>Medicare!AB10</f>
        <v>1140.3</v>
      </c>
      <c r="AC18" s="816">
        <f>Medicare!AC10</f>
        <v>1172.5999999999999</v>
      </c>
      <c r="AD18" s="816">
        <f>Medicare!AD10</f>
        <v>1205.3</v>
      </c>
      <c r="AE18" s="812">
        <f>Medicare!AE10</f>
        <v>1237.5999999999999</v>
      </c>
      <c r="AF18" s="816">
        <f>Medicare!AF10</f>
        <v>1269.5</v>
      </c>
      <c r="AG18" s="816">
        <f>Medicare!AG10</f>
        <v>1304.7202989964987</v>
      </c>
      <c r="AH18" s="816">
        <f>Medicare!AH10</f>
        <v>1340.9177302981591</v>
      </c>
      <c r="AI18" s="816">
        <f>Medicare!AI10</f>
        <v>1378.1194029179367</v>
      </c>
      <c r="AJ18" s="816">
        <f>Medicare!AJ10</f>
        <v>1400.841159718721</v>
      </c>
      <c r="AK18" s="816">
        <f>Medicare!AK10</f>
        <v>1423.9375417014894</v>
      </c>
      <c r="AL18" s="816">
        <f>Medicare!AL10</f>
        <v>1447.4147255025032</v>
      </c>
      <c r="AM18" s="816">
        <f>Medicare!AM10</f>
        <v>1471.2789895953731</v>
      </c>
      <c r="AN18" s="816">
        <f>Medicare!AN10</f>
        <v>1471.2789895953731</v>
      </c>
    </row>
    <row r="19" spans="2:102" ht="17.899999999999999" customHeight="1" x14ac:dyDescent="0.35">
      <c r="B19" s="693" t="s">
        <v>440</v>
      </c>
      <c r="C19" s="268" t="s">
        <v>441</v>
      </c>
      <c r="D19" s="816">
        <f>D66</f>
        <v>983.86099999999999</v>
      </c>
      <c r="E19" s="816">
        <f t="shared" ref="E19:AN19" si="3">E66</f>
        <v>1019.19</v>
      </c>
      <c r="F19" s="816">
        <f t="shared" si="3"/>
        <v>1026.704</v>
      </c>
      <c r="G19" s="816">
        <f t="shared" si="3"/>
        <v>1034.4169999999999</v>
      </c>
      <c r="H19" s="816">
        <f t="shared" si="3"/>
        <v>1042.6610000000001</v>
      </c>
      <c r="I19" s="816">
        <f t="shared" si="3"/>
        <v>1068.44</v>
      </c>
      <c r="J19" s="816">
        <f t="shared" si="3"/>
        <v>1075.0129999999999</v>
      </c>
      <c r="K19" s="816">
        <f t="shared" si="3"/>
        <v>1080.2349999999999</v>
      </c>
      <c r="L19" s="816">
        <f t="shared" si="3"/>
        <v>1088.0239999999999</v>
      </c>
      <c r="M19" s="816">
        <f t="shared" si="3"/>
        <v>1106.018</v>
      </c>
      <c r="N19" s="816">
        <f t="shared" si="3"/>
        <v>1109.463</v>
      </c>
      <c r="O19" s="816">
        <f t="shared" si="3"/>
        <v>1116.6780000000001</v>
      </c>
      <c r="P19" s="816">
        <f t="shared" si="3"/>
        <v>1126.241</v>
      </c>
      <c r="Q19" s="816">
        <f t="shared" si="3"/>
        <v>1199.182</v>
      </c>
      <c r="R19" s="816">
        <f t="shared" si="3"/>
        <v>1206.8019999999999</v>
      </c>
      <c r="S19" s="816">
        <f t="shared" si="3"/>
        <v>1214.2470000000001</v>
      </c>
      <c r="T19" s="816">
        <f t="shared" si="3"/>
        <v>1225.7829999999999</v>
      </c>
      <c r="U19" s="816">
        <f t="shared" si="3"/>
        <v>1340.874</v>
      </c>
      <c r="V19" s="816">
        <f t="shared" si="3"/>
        <v>1352.623</v>
      </c>
      <c r="W19" s="816">
        <f t="shared" si="3"/>
        <v>1359.8879999999999</v>
      </c>
      <c r="X19" s="816">
        <f t="shared" si="3"/>
        <v>1374.508</v>
      </c>
      <c r="Y19" s="816">
        <f t="shared" si="3"/>
        <v>1427.5630000000001</v>
      </c>
      <c r="Z19" s="816">
        <f t="shared" si="3"/>
        <v>1440.9880000000001</v>
      </c>
      <c r="AA19" s="816">
        <f t="shared" si="3"/>
        <v>1454.2329999999999</v>
      </c>
      <c r="AB19" s="816">
        <f t="shared" si="3"/>
        <v>1469.078</v>
      </c>
      <c r="AC19" s="816">
        <f t="shared" si="3"/>
        <v>1529.8430000000001</v>
      </c>
      <c r="AD19" s="816">
        <f t="shared" si="3"/>
        <v>1607.5219999999999</v>
      </c>
      <c r="AE19" s="812">
        <f t="shared" si="3"/>
        <v>1575.4390000000001</v>
      </c>
      <c r="AF19" s="816">
        <f t="shared" si="3"/>
        <v>1578.2070000000001</v>
      </c>
      <c r="AG19" s="816">
        <f t="shared" si="3"/>
        <v>1635.396796</v>
      </c>
      <c r="AH19" s="816">
        <f t="shared" si="3"/>
        <v>1648.396796</v>
      </c>
      <c r="AI19" s="816">
        <f t="shared" si="3"/>
        <v>1661.396796</v>
      </c>
      <c r="AJ19" s="816">
        <f t="shared" si="3"/>
        <v>1674.396796</v>
      </c>
      <c r="AK19" s="816">
        <f t="shared" si="3"/>
        <v>1725.907922308</v>
      </c>
      <c r="AL19" s="816">
        <f t="shared" si="3"/>
        <v>1738.907922308</v>
      </c>
      <c r="AM19" s="816">
        <f t="shared" si="3"/>
        <v>1751.907922308</v>
      </c>
      <c r="AN19" s="816">
        <f t="shared" si="3"/>
        <v>1764.907922308</v>
      </c>
    </row>
    <row r="20" spans="2:102" ht="18" customHeight="1" x14ac:dyDescent="0.35">
      <c r="B20" s="832" t="s">
        <v>2078</v>
      </c>
      <c r="C20" s="268"/>
      <c r="D20" s="725">
        <f>'Rebate Checks (expired)'!D10 +'Rebate Checks (expired)'!D11</f>
        <v>0</v>
      </c>
      <c r="E20" s="725">
        <f>'Rebate Checks (expired)'!E10 +'Rebate Checks (expired)'!E11</f>
        <v>0</v>
      </c>
      <c r="F20" s="725">
        <f>'Rebate Checks (expired)'!F10 +'Rebate Checks (expired)'!F11</f>
        <v>0</v>
      </c>
      <c r="G20" s="725">
        <f>'Rebate Checks (expired)'!G10 +'Rebate Checks (expired)'!G11</f>
        <v>0</v>
      </c>
      <c r="H20" s="725">
        <f>'Rebate Checks (expired)'!H10 +'Rebate Checks (expired)'!H11</f>
        <v>0</v>
      </c>
      <c r="I20" s="725">
        <f>'Rebate Checks (expired)'!I10 +'Rebate Checks (expired)'!I11</f>
        <v>0</v>
      </c>
      <c r="J20" s="725">
        <f>'Rebate Checks (expired)'!J10 +'Rebate Checks (expired)'!J11</f>
        <v>1078.0999999999999</v>
      </c>
      <c r="K20" s="725">
        <f>'Rebate Checks (expired)'!K10 +'Rebate Checks (expired)'!K11</f>
        <v>15.6</v>
      </c>
      <c r="L20" s="725">
        <f>'Rebate Checks (expired)'!L10 +'Rebate Checks (expired)'!L11</f>
        <v>5</v>
      </c>
      <c r="M20" s="725">
        <f>'Rebate Checks (expired)'!M10 +'Rebate Checks (expired)'!M11</f>
        <v>1933.6999999999998</v>
      </c>
      <c r="N20" s="725">
        <f>'Rebate Checks (expired)'!N10 +'Rebate Checks (expired)'!N11</f>
        <v>290.10000000000002</v>
      </c>
      <c r="O20" s="725">
        <f>'Rebate Checks (expired)'!O10 +'Rebate Checks (expired)'!O11</f>
        <v>38.9</v>
      </c>
      <c r="P20" s="725">
        <f>'Rebate Checks (expired)'!P10 +'Rebate Checks (expired)'!P11</f>
        <v>14.2</v>
      </c>
      <c r="Q20" s="725">
        <f>'Rebate Checks (expired)'!Q10 +'Rebate Checks (expired)'!Q11</f>
        <v>0</v>
      </c>
      <c r="R20" s="725">
        <f>'Rebate Checks (expired)'!R10 +'Rebate Checks (expired)'!R11</f>
        <v>0</v>
      </c>
      <c r="S20" s="725">
        <f>'Rebate Checks (expired)'!S10 +'Rebate Checks (expired)'!S11</f>
        <v>0</v>
      </c>
      <c r="T20" s="725">
        <f>'Rebate Checks (expired)'!T10 +'Rebate Checks (expired)'!T11</f>
        <v>0</v>
      </c>
      <c r="U20" s="725">
        <f>'Rebate Checks (expired)'!U10 +'Rebate Checks (expired)'!U11</f>
        <v>0</v>
      </c>
      <c r="V20" s="725">
        <f>'Rebate Checks (expired)'!V10 +'Rebate Checks (expired)'!V11</f>
        <v>0</v>
      </c>
      <c r="W20" s="725">
        <f>'Rebate Checks (expired)'!W10 +'Rebate Checks (expired)'!W11</f>
        <v>0</v>
      </c>
      <c r="X20" s="725">
        <f>'Rebate Checks (expired)'!X10 +'Rebate Checks (expired)'!X11</f>
        <v>0</v>
      </c>
      <c r="Y20" s="725">
        <f>'Rebate Checks (expired)'!Y10 +'Rebate Checks (expired)'!Y11</f>
        <v>0</v>
      </c>
      <c r="Z20" s="725">
        <f>'Rebate Checks (expired)'!Z10 +'Rebate Checks (expired)'!Z11</f>
        <v>0</v>
      </c>
      <c r="AA20" s="725">
        <f>'Rebate Checks (expired)'!AA10 +'Rebate Checks (expired)'!AA11</f>
        <v>0</v>
      </c>
      <c r="AB20" s="725">
        <f>'Rebate Checks (expired)'!AB10 +'Rebate Checks (expired)'!AB11</f>
        <v>0</v>
      </c>
      <c r="AC20" s="725">
        <f>'Rebate Checks (expired)'!AC10 +'Rebate Checks (expired)'!AC11</f>
        <v>0</v>
      </c>
      <c r="AD20" s="725">
        <f>'Rebate Checks (expired)'!AD10 +'Rebate Checks (expired)'!AD11</f>
        <v>0</v>
      </c>
      <c r="AE20" s="855">
        <f>'Rebate Checks (expired)'!AE10 +'Rebate Checks (expired)'!AE11</f>
        <v>0</v>
      </c>
      <c r="AF20" s="725">
        <f>'Rebate Checks (expired)'!AF10 +'Rebate Checks (expired)'!AF11</f>
        <v>0</v>
      </c>
      <c r="AG20" s="725">
        <f>'Rebate Checks (expired)'!AG10 +'Rebate Checks (expired)'!AG11</f>
        <v>0</v>
      </c>
      <c r="AH20" s="725">
        <f>'Rebate Checks (expired)'!AH10 +'Rebate Checks (expired)'!AH11</f>
        <v>0</v>
      </c>
      <c r="AI20" s="725">
        <f>'Rebate Checks (expired)'!AI10 +'Rebate Checks (expired)'!AI11</f>
        <v>0</v>
      </c>
      <c r="AJ20" s="725">
        <f>'Rebate Checks (expired)'!AJ10 +'Rebate Checks (expired)'!AJ11</f>
        <v>0</v>
      </c>
      <c r="AK20" s="725">
        <f>'Rebate Checks (expired)'!AK10 +'Rebate Checks (expired)'!AK11</f>
        <v>0</v>
      </c>
      <c r="AL20" s="725">
        <f>'Rebate Checks (expired)'!AL10 +'Rebate Checks (expired)'!AL11</f>
        <v>0</v>
      </c>
      <c r="AM20" s="725">
        <f>'Rebate Checks (expired)'!AM10 +'Rebate Checks (expired)'!AM11</f>
        <v>0</v>
      </c>
      <c r="AN20" s="725">
        <f>'Rebate Checks (expired)'!AN10 +'Rebate Checks (expired)'!AN11</f>
        <v>0</v>
      </c>
    </row>
    <row r="21" spans="2:102" ht="18" customHeight="1" x14ac:dyDescent="0.35">
      <c r="B21" s="833" t="s">
        <v>1790</v>
      </c>
      <c r="C21" s="268"/>
      <c r="D21" s="725">
        <f>'Rebate Checks (expired)'!D10</f>
        <v>0</v>
      </c>
      <c r="E21" s="725">
        <f>'Rebate Checks (expired)'!E10</f>
        <v>0</v>
      </c>
      <c r="F21" s="725">
        <f>'Rebate Checks (expired)'!F10</f>
        <v>0</v>
      </c>
      <c r="G21" s="725">
        <f>'Rebate Checks (expired)'!G10</f>
        <v>0</v>
      </c>
      <c r="H21" s="725">
        <f>'Rebate Checks (expired)'!H10</f>
        <v>0</v>
      </c>
      <c r="I21" s="725">
        <f>'Rebate Checks (expired)'!I10</f>
        <v>0</v>
      </c>
      <c r="J21" s="725">
        <f>'Rebate Checks (expired)'!J10</f>
        <v>0</v>
      </c>
      <c r="K21" s="725">
        <f>'Rebate Checks (expired)'!K10</f>
        <v>0</v>
      </c>
      <c r="L21" s="725">
        <f>'Rebate Checks (expired)'!L10</f>
        <v>0</v>
      </c>
      <c r="M21" s="725">
        <f>'Rebate Checks (expired)'!M10</f>
        <v>1348.1</v>
      </c>
      <c r="N21" s="725">
        <f>'Rebate Checks (expired)'!N10</f>
        <v>290.10000000000002</v>
      </c>
      <c r="O21" s="725">
        <f>'Rebate Checks (expired)'!O10</f>
        <v>38.9</v>
      </c>
      <c r="P21" s="725">
        <f>'Rebate Checks (expired)'!P10</f>
        <v>14.2</v>
      </c>
      <c r="Q21" s="725">
        <f>'Rebate Checks (expired)'!Q10</f>
        <v>0</v>
      </c>
      <c r="R21" s="725">
        <f>'Rebate Checks (expired)'!R10</f>
        <v>0</v>
      </c>
      <c r="S21" s="725">
        <f>'Rebate Checks (expired)'!S10</f>
        <v>0</v>
      </c>
      <c r="T21" s="725">
        <f>'Rebate Checks (expired)'!T10</f>
        <v>0</v>
      </c>
      <c r="U21" s="725">
        <f>'Rebate Checks (expired)'!U10</f>
        <v>0</v>
      </c>
      <c r="V21" s="725">
        <f>'Rebate Checks (expired)'!V10</f>
        <v>0</v>
      </c>
      <c r="W21" s="725">
        <f>'Rebate Checks (expired)'!W10</f>
        <v>0</v>
      </c>
      <c r="X21" s="725"/>
      <c r="Y21" s="725"/>
      <c r="Z21" s="725"/>
      <c r="AA21" s="725"/>
      <c r="AB21" s="725"/>
      <c r="AC21" s="725"/>
      <c r="AD21" s="725"/>
      <c r="AE21" s="855"/>
      <c r="AF21" s="725"/>
      <c r="AG21" s="725"/>
      <c r="AH21" s="725"/>
      <c r="AI21" s="725"/>
      <c r="AJ21" s="725"/>
      <c r="AK21" s="725"/>
      <c r="AL21" s="725"/>
      <c r="AM21" s="725"/>
      <c r="AN21" s="725"/>
    </row>
    <row r="22" spans="2:102" ht="18" customHeight="1" x14ac:dyDescent="0.35">
      <c r="B22" s="833" t="s">
        <v>1791</v>
      </c>
      <c r="C22" s="268"/>
      <c r="D22" s="725">
        <f>'Rebate Checks (expired)'!D11</f>
        <v>0</v>
      </c>
      <c r="E22" s="725">
        <f>'Rebate Checks (expired)'!E11</f>
        <v>0</v>
      </c>
      <c r="F22" s="725">
        <f>'Rebate Checks (expired)'!F11</f>
        <v>0</v>
      </c>
      <c r="G22" s="725">
        <f>'Rebate Checks (expired)'!G11</f>
        <v>0</v>
      </c>
      <c r="H22" s="725">
        <f>'Rebate Checks (expired)'!H11</f>
        <v>0</v>
      </c>
      <c r="I22" s="725">
        <f>'Rebate Checks (expired)'!I11</f>
        <v>0</v>
      </c>
      <c r="J22" s="725">
        <f>'Rebate Checks (expired)'!J11</f>
        <v>1078.0999999999999</v>
      </c>
      <c r="K22" s="725">
        <f>'Rebate Checks (expired)'!K11</f>
        <v>15.6</v>
      </c>
      <c r="L22" s="725">
        <f>'Rebate Checks (expired)'!L11</f>
        <v>5</v>
      </c>
      <c r="M22" s="725">
        <f>'Rebate Checks (expired)'!M11</f>
        <v>585.6</v>
      </c>
      <c r="N22" s="725">
        <f>'Rebate Checks (expired)'!N11</f>
        <v>0</v>
      </c>
      <c r="O22" s="725">
        <f>'Rebate Checks (expired)'!O11</f>
        <v>0</v>
      </c>
      <c r="P22" s="725">
        <f>'Rebate Checks (expired)'!P11</f>
        <v>0</v>
      </c>
      <c r="Q22" s="725">
        <f>'Rebate Checks (expired)'!Q11</f>
        <v>0</v>
      </c>
      <c r="R22" s="725">
        <f>'Rebate Checks (expired)'!R11</f>
        <v>0</v>
      </c>
      <c r="S22" s="725">
        <f>'Rebate Checks (expired)'!S11</f>
        <v>0</v>
      </c>
      <c r="T22" s="725">
        <f>'Rebate Checks (expired)'!T11</f>
        <v>0</v>
      </c>
      <c r="U22" s="725">
        <f>'Rebate Checks (expired)'!U11</f>
        <v>0</v>
      </c>
      <c r="V22" s="725">
        <f>'Rebate Checks (expired)'!V11</f>
        <v>0</v>
      </c>
      <c r="W22" s="725">
        <f>'Rebate Checks (expired)'!W11</f>
        <v>0</v>
      </c>
      <c r="X22" s="725"/>
      <c r="Y22" s="725"/>
      <c r="Z22" s="725"/>
      <c r="AA22" s="725"/>
      <c r="AB22" s="725"/>
      <c r="AC22" s="725"/>
      <c r="AD22" s="725"/>
      <c r="AE22" s="855"/>
      <c r="AF22" s="725"/>
      <c r="AG22" s="725"/>
      <c r="AH22" s="725"/>
      <c r="AI22" s="725"/>
      <c r="AJ22" s="725"/>
      <c r="AK22" s="725"/>
      <c r="AL22" s="725"/>
      <c r="AM22" s="725"/>
      <c r="AN22" s="725"/>
    </row>
    <row r="23" spans="2:102" ht="18" customHeight="1" x14ac:dyDescent="0.35">
      <c r="B23" s="834" t="s">
        <v>40</v>
      </c>
      <c r="C23" s="268"/>
      <c r="D23" s="817">
        <f>'Provider Relief (expired)'!D11</f>
        <v>0</v>
      </c>
      <c r="E23" s="817">
        <f>'Provider Relief (expired)'!E11</f>
        <v>0</v>
      </c>
      <c r="F23" s="817">
        <f>'Provider Relief (expired)'!F11</f>
        <v>0</v>
      </c>
      <c r="G23" s="817">
        <f>'Provider Relief (expired)'!G11</f>
        <v>0</v>
      </c>
      <c r="H23" s="817">
        <f>'Provider Relief (expired)'!H11</f>
        <v>0</v>
      </c>
      <c r="I23" s="817">
        <f>'Provider Relief (expired)'!I11</f>
        <v>0</v>
      </c>
      <c r="J23" s="817">
        <f>'Provider Relief (expired)'!J11</f>
        <v>160.9</v>
      </c>
      <c r="K23" s="817">
        <f>'Provider Relief (expired)'!K11</f>
        <v>58.4</v>
      </c>
      <c r="L23" s="817">
        <f>'Provider Relief (expired)'!L11</f>
        <v>34.5</v>
      </c>
      <c r="M23" s="817">
        <f>'Provider Relief (expired)'!M11</f>
        <v>21.4</v>
      </c>
      <c r="N23" s="817">
        <f>'Provider Relief (expired)'!N11</f>
        <v>13.3</v>
      </c>
      <c r="O23" s="817">
        <f>'Provider Relief (expired)'!O11</f>
        <v>18.7</v>
      </c>
      <c r="P23" s="817">
        <f>'Provider Relief (expired)'!P11</f>
        <v>32.200000000000003</v>
      </c>
      <c r="Q23" s="817">
        <f>'Provider Relief (expired)'!Q11</f>
        <v>26.9</v>
      </c>
      <c r="R23" s="817">
        <f>'Provider Relief (expired)'!R11</f>
        <v>20</v>
      </c>
      <c r="S23" s="817">
        <f>'Provider Relief (expired)'!S11</f>
        <v>8.1</v>
      </c>
      <c r="T23" s="817">
        <f>'Provider Relief (expired)'!T11</f>
        <v>4.9000000000000004</v>
      </c>
      <c r="U23" s="817">
        <f>'Provider Relief (expired)'!U11</f>
        <v>0</v>
      </c>
      <c r="V23" s="817">
        <f>'Provider Relief (expired)'!V11</f>
        <v>0</v>
      </c>
      <c r="W23" s="817">
        <f>'Provider Relief (expired)'!W11</f>
        <v>0</v>
      </c>
      <c r="X23" s="817">
        <f>'Provider Relief (expired)'!X11</f>
        <v>0</v>
      </c>
      <c r="Y23" s="817">
        <f>'Provider Relief (expired)'!Y11</f>
        <v>0</v>
      </c>
      <c r="Z23" s="817">
        <f>'Provider Relief (expired)'!Z11</f>
        <v>0</v>
      </c>
      <c r="AA23" s="817">
        <f>'Provider Relief (expired)'!AA11</f>
        <v>0</v>
      </c>
      <c r="AB23" s="817">
        <f>'Provider Relief (expired)'!AB11</f>
        <v>0</v>
      </c>
      <c r="AC23" s="817">
        <f>'Provider Relief (expired)'!AC11</f>
        <v>0</v>
      </c>
      <c r="AD23" s="817">
        <f>'Provider Relief (expired)'!AD11</f>
        <v>0</v>
      </c>
      <c r="AE23" s="800">
        <f>'Provider Relief (expired)'!AE11</f>
        <v>0</v>
      </c>
      <c r="AF23" s="817">
        <f>'Provider Relief (expired)'!AF11</f>
        <v>0</v>
      </c>
      <c r="AG23" s="817">
        <f>'Provider Relief (expired)'!AG11</f>
        <v>0</v>
      </c>
      <c r="AH23" s="817">
        <f>'Provider Relief (expired)'!AH11</f>
        <v>0</v>
      </c>
      <c r="AI23" s="817">
        <f>'Provider Relief (expired)'!AI11</f>
        <v>0</v>
      </c>
      <c r="AJ23" s="817">
        <f>'Provider Relief (expired)'!AJ11</f>
        <v>0</v>
      </c>
      <c r="AK23" s="817">
        <f>'Provider Relief (expired)'!AK11</f>
        <v>0</v>
      </c>
      <c r="AL23" s="817">
        <f>'Provider Relief (expired)'!AL11</f>
        <v>0</v>
      </c>
      <c r="AM23" s="817">
        <f>'Provider Relief (expired)'!AM11</f>
        <v>0</v>
      </c>
      <c r="AN23" s="817">
        <f>'Provider Relief (expired)'!AN11</f>
        <v>0</v>
      </c>
    </row>
    <row r="24" spans="2:102" ht="20.149999999999999" customHeight="1" x14ac:dyDescent="0.35">
      <c r="B24" s="389" t="s">
        <v>437</v>
      </c>
      <c r="C24" s="385"/>
      <c r="D24" s="819"/>
      <c r="E24" s="814"/>
      <c r="F24" s="814"/>
      <c r="G24" s="814"/>
      <c r="H24" s="696"/>
      <c r="I24" s="696"/>
      <c r="J24" s="696"/>
      <c r="K24" s="696"/>
      <c r="L24" s="696"/>
      <c r="M24" s="696">
        <f>'ARP Quarterly'!C5</f>
        <v>0</v>
      </c>
      <c r="N24" s="696">
        <f>'ARP Quarterly'!D5</f>
        <v>33.921840000000024</v>
      </c>
      <c r="O24" s="696">
        <f>'ARP Quarterly'!E5</f>
        <v>44.966160000000031</v>
      </c>
      <c r="P24" s="696">
        <f>'ARP Quarterly'!F5</f>
        <v>52.756999999999998</v>
      </c>
      <c r="Q24" s="696">
        <f>'ARP Quarterly'!G5</f>
        <v>52.756999999999998</v>
      </c>
      <c r="R24" s="696">
        <f>'ARP Quarterly'!H5</f>
        <v>52.756999999999998</v>
      </c>
      <c r="S24" s="696">
        <f>'ARP Quarterly'!I5</f>
        <v>52.756999999999998</v>
      </c>
      <c r="T24" s="696">
        <f>'ARP Quarterly'!J5</f>
        <v>12</v>
      </c>
      <c r="U24" s="696">
        <f>'ARP Quarterly'!K5</f>
        <v>12</v>
      </c>
      <c r="V24" s="696">
        <f>'ARP Quarterly'!L5</f>
        <v>12</v>
      </c>
      <c r="W24" s="696">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801">
        <f>'ARP Quarterly'!U5</f>
        <v>2.3719999999999999</v>
      </c>
      <c r="AF24" s="696">
        <f>'ARP Quarterly'!V5</f>
        <v>0.49</v>
      </c>
      <c r="AG24" s="353">
        <v>0</v>
      </c>
      <c r="AH24" s="353">
        <v>0</v>
      </c>
      <c r="AI24" s="353">
        <v>0</v>
      </c>
      <c r="AJ24" s="353">
        <v>0</v>
      </c>
      <c r="AK24" s="353">
        <v>0</v>
      </c>
      <c r="AL24" s="353">
        <v>0</v>
      </c>
      <c r="AM24" s="353">
        <v>0</v>
      </c>
      <c r="AN24" s="353">
        <v>0</v>
      </c>
    </row>
    <row r="25" spans="2:102" ht="22.4" customHeight="1" x14ac:dyDescent="0.35">
      <c r="B25" s="374" t="s">
        <v>206</v>
      </c>
      <c r="C25" s="837"/>
      <c r="D25" s="817"/>
      <c r="E25" s="818"/>
      <c r="F25" s="818"/>
      <c r="G25" s="818"/>
      <c r="H25" s="818"/>
      <c r="I25" s="818"/>
      <c r="J25" s="818"/>
      <c r="K25" s="818"/>
      <c r="L25" s="818"/>
      <c r="M25" s="725">
        <f>'ARP Quarterly'!C4</f>
        <v>0</v>
      </c>
      <c r="N25" s="725">
        <f>'ARP Quarterly'!D4</f>
        <v>0</v>
      </c>
      <c r="O25" s="725">
        <f>'ARP Quarterly'!E4</f>
        <v>3.1040000000000418</v>
      </c>
      <c r="P25" s="725">
        <f>'ARP Quarterly'!F4</f>
        <v>19.719000000000005</v>
      </c>
      <c r="Q25" s="725">
        <f>'ARP Quarterly'!G4</f>
        <v>19.719000000000005</v>
      </c>
      <c r="R25" s="725">
        <f>'ARP Quarterly'!H4</f>
        <v>19.719000000000005</v>
      </c>
      <c r="S25" s="725">
        <f>'ARP Quarterly'!I4</f>
        <v>19.719000000000005</v>
      </c>
      <c r="T25" s="725">
        <f>'ARP Quarterly'!J4</f>
        <v>1.4159999999999999</v>
      </c>
      <c r="U25" s="725">
        <f>'ARP Quarterly'!K4</f>
        <v>1.4159999999999999</v>
      </c>
      <c r="V25" s="725">
        <f>'ARP Quarterly'!L4</f>
        <v>1.4159999999999999</v>
      </c>
      <c r="W25" s="725">
        <f>'ARP Quarterly'!M4</f>
        <v>1.4159999999999999</v>
      </c>
      <c r="X25" s="725">
        <f>'ARP Quarterly'!N4</f>
        <v>1.4790000000000001</v>
      </c>
      <c r="Y25" s="725">
        <f>'ARP Quarterly'!O4</f>
        <v>1.4790000000000001</v>
      </c>
      <c r="Z25" s="725">
        <f>'ARP Quarterly'!P4</f>
        <v>1.4790000000000001</v>
      </c>
      <c r="AA25" s="725">
        <f>'ARP Quarterly'!Q4</f>
        <v>1.4790000000000001</v>
      </c>
      <c r="AB25" s="725">
        <f>'ARP Quarterly'!R4</f>
        <v>1.63</v>
      </c>
      <c r="AC25" s="725">
        <f>'ARP Quarterly'!S4</f>
        <v>1.63</v>
      </c>
      <c r="AD25" s="725">
        <f>'ARP Quarterly'!T4</f>
        <v>1.63</v>
      </c>
      <c r="AE25" s="855">
        <f>'ARP Quarterly'!U4</f>
        <v>1.63</v>
      </c>
      <c r="AF25" s="725">
        <f>'ARP Quarterly'!V4</f>
        <v>1.671</v>
      </c>
      <c r="AG25" s="815">
        <v>0</v>
      </c>
      <c r="AH25" s="815">
        <v>0</v>
      </c>
      <c r="AI25" s="815">
        <v>0</v>
      </c>
      <c r="AJ25" s="815">
        <v>0</v>
      </c>
      <c r="AK25" s="815">
        <v>0</v>
      </c>
      <c r="AL25" s="815">
        <v>0</v>
      </c>
      <c r="AM25" s="815">
        <v>0</v>
      </c>
      <c r="AN25" s="815">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430">
        <f>D48</f>
        <v>0</v>
      </c>
      <c r="E26" s="247">
        <f t="shared" ref="E26:AE26" si="4">E48</f>
        <v>0</v>
      </c>
      <c r="F26" s="247">
        <f t="shared" si="4"/>
        <v>0</v>
      </c>
      <c r="G26" s="247">
        <f t="shared" si="4"/>
        <v>0</v>
      </c>
      <c r="H26" s="247">
        <f t="shared" si="4"/>
        <v>0</v>
      </c>
      <c r="I26" s="725">
        <f t="shared" si="4"/>
        <v>6.9950000000000045</v>
      </c>
      <c r="J26" s="725">
        <f t="shared" si="4"/>
        <v>51.122999999999998</v>
      </c>
      <c r="K26" s="725">
        <f t="shared" si="4"/>
        <v>51.055</v>
      </c>
      <c r="L26" s="725">
        <f t="shared" si="4"/>
        <v>51.762999999999998</v>
      </c>
      <c r="M26" s="725">
        <f t="shared" si="4"/>
        <v>91.453000000000003</v>
      </c>
      <c r="N26" s="725">
        <f t="shared" si="4"/>
        <v>101.11800000000002</v>
      </c>
      <c r="O26" s="725">
        <f t="shared" si="4"/>
        <v>93.417000000000002</v>
      </c>
      <c r="P26" s="725">
        <f t="shared" si="4"/>
        <v>99.84</v>
      </c>
      <c r="Q26" s="725">
        <f t="shared" si="4"/>
        <v>77.435000000000002</v>
      </c>
      <c r="R26" s="725">
        <f t="shared" si="4"/>
        <v>74.290999999999997</v>
      </c>
      <c r="S26" s="725">
        <f t="shared" si="4"/>
        <v>69.937000000000012</v>
      </c>
      <c r="T26" s="725">
        <f t="shared" si="4"/>
        <v>91.18</v>
      </c>
      <c r="U26" s="725">
        <f t="shared" si="4"/>
        <v>84.404000000000025</v>
      </c>
      <c r="V26" s="725">
        <f>V48</f>
        <v>52.51</v>
      </c>
      <c r="W26" s="725">
        <f>W48</f>
        <v>50.475000000000001</v>
      </c>
      <c r="X26" s="725">
        <f t="shared" si="4"/>
        <v>38.360999999999997</v>
      </c>
      <c r="Y26" s="725">
        <f t="shared" si="4"/>
        <v>37.854999999999997</v>
      </c>
      <c r="Z26" s="725">
        <f t="shared" si="4"/>
        <v>42.399000000000008</v>
      </c>
      <c r="AA26" s="725">
        <f t="shared" si="4"/>
        <v>47.041000000000004</v>
      </c>
      <c r="AB26" s="725">
        <f t="shared" si="4"/>
        <v>43.420000000000009</v>
      </c>
      <c r="AC26" s="725">
        <f t="shared" si="4"/>
        <v>41.592000000000006</v>
      </c>
      <c r="AD26" s="725">
        <f t="shared" si="4"/>
        <v>41.488000000000007</v>
      </c>
      <c r="AE26" s="855">
        <f t="shared" si="4"/>
        <v>37.719000000000001</v>
      </c>
      <c r="AF26" s="725">
        <f>AF48</f>
        <v>37.758000000000003</v>
      </c>
      <c r="AG26" s="725">
        <f>AG48</f>
        <v>37.758000000000003</v>
      </c>
      <c r="AH26" s="725">
        <f>AH48</f>
        <v>37.758000000000003</v>
      </c>
      <c r="AI26" s="725">
        <f>AI48</f>
        <v>37.758000000000003</v>
      </c>
      <c r="AJ26" s="725">
        <f>AJ48</f>
        <v>29.603000000000002</v>
      </c>
      <c r="AK26" s="725">
        <f t="shared" ref="AK26:AN26" si="5">AK48</f>
        <v>29.603000000000002</v>
      </c>
      <c r="AL26" s="725">
        <f t="shared" si="5"/>
        <v>29.603000000000002</v>
      </c>
      <c r="AM26" s="725">
        <f t="shared" si="5"/>
        <v>29.603000000000002</v>
      </c>
      <c r="AN26" s="725">
        <f t="shared" si="5"/>
        <v>7.958000000000002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817">
        <v>30</v>
      </c>
      <c r="E27" s="818">
        <v>30</v>
      </c>
      <c r="F27" s="818">
        <v>30</v>
      </c>
      <c r="G27" s="818">
        <v>30</v>
      </c>
      <c r="H27" s="818">
        <v>30</v>
      </c>
      <c r="I27" s="818">
        <v>30</v>
      </c>
      <c r="J27" s="818">
        <v>30</v>
      </c>
      <c r="K27" s="357">
        <v>30.2</v>
      </c>
      <c r="L27" s="357">
        <v>30.2</v>
      </c>
      <c r="M27" s="582">
        <f>'Haver Pivoted'!K89</f>
        <v>0</v>
      </c>
      <c r="N27" s="582">
        <f>'Haver Pivoted'!L89</f>
        <v>0</v>
      </c>
      <c r="O27" s="582">
        <f>'Haver Pivoted'!M89</f>
        <v>0</v>
      </c>
      <c r="P27" s="582">
        <f>'Haver Pivoted'!N89</f>
        <v>0</v>
      </c>
      <c r="Q27" s="582">
        <f>'Haver Pivoted'!O89</f>
        <v>0</v>
      </c>
      <c r="R27" s="582">
        <f>'Haver Pivoted'!P89</f>
        <v>0</v>
      </c>
      <c r="S27" s="582">
        <f>'Haver Pivoted'!Q89</f>
        <v>0</v>
      </c>
      <c r="T27" s="582">
        <f>'Haver Pivoted'!R89</f>
        <v>0</v>
      </c>
      <c r="U27" s="725">
        <v>34</v>
      </c>
      <c r="V27" s="725">
        <v>34</v>
      </c>
      <c r="W27" s="725">
        <v>34</v>
      </c>
      <c r="X27" s="725">
        <v>34</v>
      </c>
      <c r="Y27" s="725">
        <v>34</v>
      </c>
      <c r="Z27" s="725">
        <v>34</v>
      </c>
      <c r="AA27" s="725">
        <v>34</v>
      </c>
      <c r="AB27" s="725">
        <v>34</v>
      </c>
      <c r="AC27" s="725">
        <v>34</v>
      </c>
      <c r="AD27" s="725">
        <v>34</v>
      </c>
      <c r="AE27" s="85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430"/>
      <c r="E28" s="247"/>
      <c r="F28" s="247"/>
      <c r="G28" s="247"/>
      <c r="H28" s="725"/>
      <c r="I28" s="725"/>
      <c r="J28" s="725">
        <f>'PPP (expired)'!J53</f>
        <v>57.2</v>
      </c>
      <c r="K28" s="725">
        <f>'PPP (expired)'!K53</f>
        <v>81.2</v>
      </c>
      <c r="L28" s="725">
        <f>'PPP (expired)'!L53</f>
        <v>24.4</v>
      </c>
      <c r="M28" s="725">
        <f>'PPP (expired)'!M53</f>
        <v>11.7</v>
      </c>
      <c r="N28" s="725">
        <f>'PPP (expired)'!N53</f>
        <v>28.5</v>
      </c>
      <c r="O28" s="725">
        <f>'PPP (expired)'!O53</f>
        <v>18.8</v>
      </c>
      <c r="P28" s="725">
        <f>'PPP (expired)'!P53</f>
        <v>1.6</v>
      </c>
      <c r="Q28" s="725">
        <f>'PPP (expired)'!Q53</f>
        <v>0</v>
      </c>
      <c r="R28" s="725">
        <f>'PPP (expired)'!R53</f>
        <v>0</v>
      </c>
      <c r="S28" s="725">
        <f>'PPP (expired)'!S53</f>
        <v>0</v>
      </c>
      <c r="T28" s="725">
        <f>'PPP (expired)'!T53</f>
        <v>0</v>
      </c>
      <c r="U28" s="725">
        <f>'PPP (expired)'!U53</f>
        <v>0</v>
      </c>
      <c r="V28" s="725">
        <f>'PPP (expired)'!V53</f>
        <v>0</v>
      </c>
      <c r="W28" s="725">
        <f>'PPP (expired)'!W53</f>
        <v>0</v>
      </c>
      <c r="X28" s="725">
        <f>'PPP (expired)'!X53</f>
        <v>0</v>
      </c>
      <c r="Y28" s="725">
        <f>'PPP (expired)'!Y53</f>
        <v>0</v>
      </c>
      <c r="Z28" s="725">
        <f>'PPP (expired)'!Z53</f>
        <v>0</v>
      </c>
      <c r="AA28" s="725">
        <f>'PPP (expired)'!AA53</f>
        <v>0</v>
      </c>
      <c r="AB28" s="725">
        <f>'PPP (expired)'!AB53</f>
        <v>0</v>
      </c>
      <c r="AC28" s="725">
        <f>'PPP (expired)'!AC53</f>
        <v>0</v>
      </c>
      <c r="AD28" s="725">
        <f>'PPP (expired)'!AD53</f>
        <v>0</v>
      </c>
      <c r="AE28" s="855">
        <f>'PPP (expired)'!AE53</f>
        <v>0</v>
      </c>
      <c r="AF28" s="725">
        <f>'PPP (expired)'!AF53</f>
        <v>0</v>
      </c>
      <c r="AG28" s="725">
        <f>'PPP (expired)'!AG53</f>
        <v>0</v>
      </c>
      <c r="AH28" s="725">
        <f>'PPP (expired)'!AH53</f>
        <v>0</v>
      </c>
      <c r="AI28" s="725">
        <f>'PPP (expired)'!AI53</f>
        <v>0</v>
      </c>
      <c r="AJ28" s="725">
        <f>'PPP (expired)'!AJ53</f>
        <v>0</v>
      </c>
      <c r="AK28" s="725">
        <f>'PPP (expired)'!AK53</f>
        <v>0</v>
      </c>
      <c r="AL28" s="725">
        <f>'PPP (expired)'!AL53</f>
        <v>0</v>
      </c>
      <c r="AM28" s="725">
        <f>'PPP (expired)'!AM53</f>
        <v>0</v>
      </c>
      <c r="AN28" s="725">
        <f>'PPP (expired)'!AN53</f>
        <v>0</v>
      </c>
    </row>
    <row r="29" spans="2:102" ht="21" customHeight="1" x14ac:dyDescent="0.35">
      <c r="B29" s="389" t="s">
        <v>761</v>
      </c>
      <c r="C29" s="385"/>
      <c r="D29" s="819">
        <f t="shared" ref="D29:AN29" si="6">D25+D23</f>
        <v>0</v>
      </c>
      <c r="E29" s="814">
        <f t="shared" si="6"/>
        <v>0</v>
      </c>
      <c r="F29" s="814">
        <f t="shared" si="6"/>
        <v>0</v>
      </c>
      <c r="G29" s="814">
        <f t="shared" si="6"/>
        <v>0</v>
      </c>
      <c r="H29" s="814">
        <f t="shared" si="6"/>
        <v>0</v>
      </c>
      <c r="I29" s="814">
        <f t="shared" si="6"/>
        <v>0</v>
      </c>
      <c r="J29" s="814">
        <f t="shared" si="6"/>
        <v>160.9</v>
      </c>
      <c r="K29" s="814">
        <f t="shared" si="6"/>
        <v>58.4</v>
      </c>
      <c r="L29" s="814">
        <f t="shared" si="6"/>
        <v>34.5</v>
      </c>
      <c r="M29" s="814">
        <f t="shared" si="6"/>
        <v>21.4</v>
      </c>
      <c r="N29" s="814">
        <f t="shared" si="6"/>
        <v>13.3</v>
      </c>
      <c r="O29" s="814">
        <f t="shared" si="6"/>
        <v>21.804000000000041</v>
      </c>
      <c r="P29" s="696">
        <f t="shared" si="6"/>
        <v>51.919000000000011</v>
      </c>
      <c r="Q29" s="814">
        <f t="shared" si="6"/>
        <v>46.619</v>
      </c>
      <c r="R29" s="814">
        <f t="shared" si="6"/>
        <v>39.719000000000008</v>
      </c>
      <c r="S29" s="814">
        <f t="shared" si="6"/>
        <v>27.819000000000003</v>
      </c>
      <c r="T29" s="696">
        <f t="shared" si="6"/>
        <v>6.3160000000000007</v>
      </c>
      <c r="U29" s="696">
        <f t="shared" si="6"/>
        <v>1.4159999999999999</v>
      </c>
      <c r="V29" s="696">
        <f t="shared" si="6"/>
        <v>1.4159999999999999</v>
      </c>
      <c r="W29" s="696">
        <f t="shared" si="6"/>
        <v>1.4159999999999999</v>
      </c>
      <c r="X29" s="696">
        <f t="shared" si="6"/>
        <v>1.4790000000000001</v>
      </c>
      <c r="Y29" s="696">
        <f t="shared" si="6"/>
        <v>1.4790000000000001</v>
      </c>
      <c r="Z29" s="696">
        <f t="shared" si="6"/>
        <v>1.4790000000000001</v>
      </c>
      <c r="AA29" s="696">
        <f t="shared" si="6"/>
        <v>1.4790000000000001</v>
      </c>
      <c r="AB29" s="696">
        <f t="shared" si="6"/>
        <v>1.63</v>
      </c>
      <c r="AC29" s="696">
        <f t="shared" si="6"/>
        <v>1.63</v>
      </c>
      <c r="AD29" s="696">
        <f t="shared" si="6"/>
        <v>1.63</v>
      </c>
      <c r="AE29" s="801">
        <f t="shared" si="6"/>
        <v>1.63</v>
      </c>
      <c r="AF29" s="696">
        <f t="shared" si="6"/>
        <v>1.671</v>
      </c>
      <c r="AG29" s="696">
        <f t="shared" si="6"/>
        <v>0</v>
      </c>
      <c r="AH29" s="696">
        <f t="shared" si="6"/>
        <v>0</v>
      </c>
      <c r="AI29" s="696">
        <f t="shared" si="6"/>
        <v>0</v>
      </c>
      <c r="AJ29" s="696">
        <f t="shared" si="6"/>
        <v>0</v>
      </c>
      <c r="AK29" s="696">
        <f t="shared" si="6"/>
        <v>0</v>
      </c>
      <c r="AL29" s="696">
        <f t="shared" si="6"/>
        <v>0</v>
      </c>
      <c r="AM29" s="696">
        <f t="shared" si="6"/>
        <v>0</v>
      </c>
      <c r="AN29" s="696">
        <f t="shared" si="6"/>
        <v>0</v>
      </c>
    </row>
    <row r="30" spans="2:102" ht="44.9" customHeight="1" x14ac:dyDescent="0.35">
      <c r="B30" s="374" t="s">
        <v>1138</v>
      </c>
      <c r="D30" s="816"/>
      <c r="E30" s="725"/>
      <c r="F30" s="725"/>
      <c r="G30" s="725"/>
      <c r="H30" s="725"/>
      <c r="I30" s="725"/>
      <c r="J30" s="725"/>
      <c r="K30" s="725"/>
      <c r="L30" s="725"/>
      <c r="M30" s="725"/>
      <c r="N30" s="725"/>
      <c r="O30" s="725"/>
      <c r="P30" s="725"/>
      <c r="Q30" s="725"/>
      <c r="R30" s="725"/>
      <c r="S30" s="725">
        <f>'IRA and CHIPS'!E191</f>
        <v>-0.622</v>
      </c>
      <c r="T30" s="725">
        <f>'IRA and CHIPS'!F191</f>
        <v>21.89</v>
      </c>
      <c r="U30" s="725">
        <f>'IRA and CHIPS'!G191</f>
        <v>21.89</v>
      </c>
      <c r="V30" s="725">
        <f>'IRA and CHIPS'!H191</f>
        <v>21.89</v>
      </c>
      <c r="W30" s="725">
        <f>'IRA and CHIPS'!I191</f>
        <v>21.89</v>
      </c>
      <c r="X30" s="725">
        <f>'IRA and CHIPS'!J191</f>
        <v>15.439</v>
      </c>
      <c r="Y30" s="725">
        <f>'IRA and CHIPS'!K191</f>
        <v>15.439</v>
      </c>
      <c r="Z30" s="725">
        <f>'IRA and CHIPS'!L191</f>
        <v>15.439</v>
      </c>
      <c r="AA30" s="725">
        <f>'IRA and CHIPS'!M191</f>
        <v>15.439</v>
      </c>
      <c r="AB30" s="725">
        <f>'IRA and CHIPS'!N191</f>
        <v>16.966999999999999</v>
      </c>
      <c r="AC30" s="725">
        <f>'IRA and CHIPS'!O191</f>
        <v>16.966999999999999</v>
      </c>
      <c r="AD30" s="725">
        <f>'IRA and CHIPS'!P191</f>
        <v>16.966999999999999</v>
      </c>
      <c r="AE30" s="855">
        <v>0</v>
      </c>
      <c r="AF30" s="725">
        <f>'IRA and CHIPS'!R191</f>
        <v>0.72799999999999998</v>
      </c>
      <c r="AG30" s="725">
        <f>'IRA and CHIPS'!S191</f>
        <v>0.72799999999999998</v>
      </c>
      <c r="AH30" s="725">
        <f>0</f>
        <v>0</v>
      </c>
      <c r="AI30" s="725">
        <f>0</f>
        <v>0</v>
      </c>
      <c r="AJ30" s="725">
        <f>0</f>
        <v>0</v>
      </c>
      <c r="AK30" s="725">
        <f>0</f>
        <v>0</v>
      </c>
      <c r="AL30" s="725">
        <f>0</f>
        <v>0</v>
      </c>
      <c r="AM30" s="725">
        <f>0</f>
        <v>0</v>
      </c>
      <c r="AN30" s="725">
        <f>0</f>
        <v>0</v>
      </c>
    </row>
    <row r="31" spans="2:102" ht="44.9" customHeight="1" x14ac:dyDescent="0.35">
      <c r="B31" s="374" t="s">
        <v>768</v>
      </c>
      <c r="C31" s="268"/>
      <c r="D31" s="725">
        <f t="shared" ref="D31:AN31" si="7">D64</f>
        <v>427.03899999999999</v>
      </c>
      <c r="E31" s="725">
        <f t="shared" si="7"/>
        <v>451.51000000000022</v>
      </c>
      <c r="F31" s="725">
        <f t="shared" si="7"/>
        <v>449.19599999999991</v>
      </c>
      <c r="G31" s="725">
        <f t="shared" si="7"/>
        <v>448.2829999999999</v>
      </c>
      <c r="H31" s="725">
        <f t="shared" si="7"/>
        <v>448.1389999999999</v>
      </c>
      <c r="I31" s="725">
        <f t="shared" si="7"/>
        <v>467.26499999999987</v>
      </c>
      <c r="J31" s="725">
        <f t="shared" si="7"/>
        <v>436.0639999999994</v>
      </c>
      <c r="K31" s="725">
        <f t="shared" si="7"/>
        <v>561.10999999999967</v>
      </c>
      <c r="L31" s="725">
        <f t="shared" si="7"/>
        <v>492.71299999999974</v>
      </c>
      <c r="M31" s="725">
        <f t="shared" si="7"/>
        <v>536.62899999999991</v>
      </c>
      <c r="N31" s="725">
        <f t="shared" si="7"/>
        <v>510.29715999999962</v>
      </c>
      <c r="O31" s="725">
        <f t="shared" si="7"/>
        <v>690.33483999999999</v>
      </c>
      <c r="P31" s="725">
        <f t="shared" si="7"/>
        <v>672.24300000000039</v>
      </c>
      <c r="Q31" s="725">
        <f t="shared" si="7"/>
        <v>654.30700000000024</v>
      </c>
      <c r="R31" s="725">
        <f t="shared" si="7"/>
        <v>654.93100000000049</v>
      </c>
      <c r="S31" s="725">
        <f t="shared" si="7"/>
        <v>644.5619999999999</v>
      </c>
      <c r="T31" s="725">
        <f t="shared" si="7"/>
        <v>682.23099999999977</v>
      </c>
      <c r="U31" s="725">
        <f t="shared" si="7"/>
        <v>537.61599999999999</v>
      </c>
      <c r="V31" s="725">
        <f t="shared" si="7"/>
        <v>545.40385714285685</v>
      </c>
      <c r="W31" s="725">
        <f t="shared" si="7"/>
        <v>550.17385714285729</v>
      </c>
      <c r="X31" s="725">
        <f t="shared" si="7"/>
        <v>562.69100000000026</v>
      </c>
      <c r="Y31" s="725">
        <f t="shared" si="7"/>
        <v>617.04199999999992</v>
      </c>
      <c r="Z31" s="725">
        <f t="shared" si="7"/>
        <v>628.17299999999977</v>
      </c>
      <c r="AA31" s="725">
        <f t="shared" si="7"/>
        <v>630.58599999999979</v>
      </c>
      <c r="AB31" s="725">
        <f t="shared" si="7"/>
        <v>648.63299999999981</v>
      </c>
      <c r="AC31" s="725">
        <f t="shared" si="7"/>
        <v>690.39600000000019</v>
      </c>
      <c r="AD31" s="725">
        <f t="shared" si="7"/>
        <v>709.721</v>
      </c>
      <c r="AE31" s="855">
        <f t="shared" si="7"/>
        <v>724.73999999999978</v>
      </c>
      <c r="AF31" s="725">
        <f t="shared" si="7"/>
        <v>733.6341791801018</v>
      </c>
      <c r="AG31" s="725">
        <f t="shared" si="7"/>
        <v>742.63750981215583</v>
      </c>
      <c r="AH31" s="725">
        <f t="shared" si="7"/>
        <v>751.75133142836864</v>
      </c>
      <c r="AI31" s="725">
        <f t="shared" si="7"/>
        <v>760.97700000000009</v>
      </c>
      <c r="AJ31" s="725">
        <f t="shared" si="7"/>
        <v>770.31588813910719</v>
      </c>
      <c r="AK31" s="725">
        <f t="shared" si="7"/>
        <v>779.76938530276402</v>
      </c>
      <c r="AL31" s="725">
        <f t="shared" si="7"/>
        <v>789.33889799978749</v>
      </c>
      <c r="AM31" s="725">
        <f t="shared" si="7"/>
        <v>799.02585000000045</v>
      </c>
      <c r="AN31" s="725">
        <f t="shared" si="7"/>
        <v>808.83168254606289</v>
      </c>
    </row>
    <row r="32" spans="2:102" ht="44.9" customHeight="1" x14ac:dyDescent="0.35">
      <c r="B32" s="374"/>
      <c r="C32" s="268"/>
      <c r="D32" s="725"/>
      <c r="E32" s="725"/>
      <c r="F32" s="725"/>
      <c r="G32" s="725"/>
      <c r="H32" s="725"/>
      <c r="I32" s="725"/>
      <c r="J32" s="725"/>
      <c r="K32" s="725"/>
      <c r="L32" s="725"/>
      <c r="M32" s="725"/>
      <c r="N32" s="725"/>
      <c r="O32" s="725"/>
      <c r="P32" s="725"/>
      <c r="Q32" s="725"/>
      <c r="R32" s="725"/>
      <c r="S32" s="725"/>
      <c r="T32" s="725"/>
      <c r="U32" s="725"/>
      <c r="V32" s="725"/>
      <c r="W32" s="725"/>
      <c r="X32" s="725"/>
      <c r="Y32" s="725"/>
      <c r="Z32" s="725"/>
      <c r="AA32" s="725"/>
      <c r="AB32" s="725"/>
      <c r="AC32" s="725"/>
      <c r="AD32" s="725"/>
      <c r="AE32" s="855"/>
      <c r="AF32" s="725"/>
      <c r="AG32" s="725"/>
      <c r="AH32" s="725"/>
      <c r="AI32" s="725"/>
      <c r="AJ32" s="725"/>
      <c r="AK32" s="725"/>
      <c r="AL32" s="725"/>
      <c r="AM32" s="725"/>
      <c r="AN32" s="725"/>
    </row>
    <row r="33" spans="1:40" ht="44.9" customHeight="1" x14ac:dyDescent="0.35">
      <c r="A33" t="s">
        <v>2414</v>
      </c>
      <c r="B33" s="1573" t="s">
        <v>765</v>
      </c>
      <c r="C33" s="385"/>
      <c r="D33" s="696">
        <f>D12-D15-D18-D20-D24-D25</f>
        <v>1440.9</v>
      </c>
      <c r="E33" s="696">
        <f>E12-E15-E18-E20-E24-E25</f>
        <v>1500.7000000000003</v>
      </c>
      <c r="F33" s="696">
        <f>F12-F15-F18-F20-F24-F25</f>
        <v>1505.8999999999996</v>
      </c>
      <c r="G33" s="696">
        <f>G12-G15-G18-G20-G24-G25</f>
        <v>1512.6999999999998</v>
      </c>
      <c r="H33" s="696">
        <f>H12-H15-H18-H20-H24-H25</f>
        <v>1520.8000000000002</v>
      </c>
      <c r="I33" s="696">
        <f>I12-I15-I18-I20-I24-I25</f>
        <v>1572.7000000000003</v>
      </c>
      <c r="J33" s="696">
        <f>J12-J15-J18-J20-J24-J25</f>
        <v>1810.2999999999997</v>
      </c>
      <c r="K33" s="696">
        <f>K12-K15-K18-K20-K24-K25</f>
        <v>1862.1999999999998</v>
      </c>
      <c r="L33" s="696">
        <f>L12-L15-L18-L20-L24-L25</f>
        <v>1721.6</v>
      </c>
      <c r="M33" s="696">
        <f>M12-M15-M18-M20-M24-M25</f>
        <v>1767.2000000000003</v>
      </c>
      <c r="N33" s="696">
        <f>N12-N15-N18-N20-N24-N25</f>
        <v>1762.6781599999999</v>
      </c>
      <c r="O33" s="696">
        <f>O12-O15-O18-O20-O24-O25</f>
        <v>1937.92984</v>
      </c>
      <c r="P33" s="696">
        <f>P12-P15-P18-P20-P24-P25</f>
        <v>1932.1240000000003</v>
      </c>
      <c r="Q33" s="696">
        <f>Q12-Q15-Q18-Q20-Q24-Q25</f>
        <v>1957.8239999999998</v>
      </c>
      <c r="R33" s="696">
        <f>R12-R15-R18-R20-R24-R25</f>
        <v>1956.0239999999999</v>
      </c>
      <c r="S33" s="696">
        <f>S12-S15-S18-S20-S24-S25</f>
        <v>1936.2240000000002</v>
      </c>
      <c r="T33" s="696">
        <f>T12-T15-T18-T20-T24-T25</f>
        <v>2025.9839999999997</v>
      </c>
      <c r="U33" s="696">
        <f>U12-U15-U18-U20-U24-U25</f>
        <v>2018.7840000000003</v>
      </c>
      <c r="V33" s="696">
        <f>V12-V15-V18-V20-V24-V25</f>
        <v>2006.4268571428574</v>
      </c>
      <c r="W33" s="696">
        <f>W12-W15-W18-W20-W24-W25</f>
        <v>2016.4268571428572</v>
      </c>
      <c r="X33" s="696">
        <f>X12-X15-X18-X20-X24-X25</f>
        <v>2024.9990000000003</v>
      </c>
      <c r="Y33" s="696">
        <f>Y12-Y15-Y18-Y20-Y24-Y25</f>
        <v>2131.8989999999999</v>
      </c>
      <c r="Z33" s="696">
        <f>Z12-Z15-Z18-Z20-Z24-Z25</f>
        <v>2160.9989999999998</v>
      </c>
      <c r="AA33" s="696">
        <f>AA12-AA15-AA18-AA20-AA24-AA25</f>
        <v>2181.299</v>
      </c>
      <c r="AB33" s="696">
        <f>AB12-AB15-AB18-AB20-AB24-AB25</f>
        <v>2212.0979999999995</v>
      </c>
      <c r="AC33" s="696">
        <f>AC12-AC15-AC18-AC20-AC24-AC25</f>
        <v>2312.7980000000002</v>
      </c>
      <c r="AD33" s="696">
        <f>AD12-AD15-AD18-AD20-AD24-AD25</f>
        <v>2409.6979999999999</v>
      </c>
      <c r="AE33" s="801">
        <f>AE12-AE15-AE18-AE20-AE24-AE25</f>
        <v>2371.8980000000001</v>
      </c>
      <c r="AF33" s="696">
        <f>AF12-AF15-AF18-AF20-AF24-AF25</f>
        <v>2372.4390000000003</v>
      </c>
      <c r="AG33" s="696">
        <f>AG12-AG15-AG18-AG20-AG24-AG25</f>
        <v>2450.520305812156</v>
      </c>
      <c r="AH33" s="696">
        <f>AH12-AH15-AH18-AH20-AH24-AH25</f>
        <v>2471.9061274283686</v>
      </c>
      <c r="AI33" s="696">
        <f>AI12-AI15-AI18-AI20-AI24-AI25</f>
        <v>2495.1317959999997</v>
      </c>
      <c r="AJ33" s="696">
        <f>AJ12-AJ15-AJ18-AJ20-AJ24-AJ25</f>
        <v>2510.3156841391078</v>
      </c>
      <c r="AK33" s="696">
        <f>AK12-AK15-AK18-AK20-AK24-AK25</f>
        <v>2572.2803076107643</v>
      </c>
      <c r="AL33" s="696">
        <f>AL12-AL15-AL18-AL20-AL24-AL25</f>
        <v>2595.8498203077879</v>
      </c>
      <c r="AM33" s="696">
        <f>AM12-AM15-AM18-AM20-AM24-AM25</f>
        <v>2619.5367723080017</v>
      </c>
      <c r="AN33" s="696">
        <f>AN12-AN15-AN18-AN20-AN24-AN25</f>
        <v>2621.6976048540637</v>
      </c>
    </row>
    <row r="34" spans="1:40" ht="44.9" customHeight="1" x14ac:dyDescent="0.35">
      <c r="B34" s="709" t="s">
        <v>2016</v>
      </c>
      <c r="C34" s="385"/>
      <c r="D34" s="696"/>
      <c r="E34" s="696"/>
      <c r="F34" s="696"/>
      <c r="G34" s="696"/>
      <c r="H34" s="696"/>
      <c r="I34" s="696"/>
      <c r="J34" s="696"/>
      <c r="K34" s="696"/>
      <c r="L34" s="696"/>
      <c r="M34" s="696"/>
      <c r="N34" s="696"/>
      <c r="O34" s="696"/>
      <c r="P34" s="696"/>
      <c r="Q34" s="696"/>
      <c r="R34" s="696"/>
      <c r="S34" s="696"/>
      <c r="T34" s="696"/>
      <c r="U34" s="696"/>
      <c r="V34" s="696"/>
      <c r="W34" s="696"/>
      <c r="X34" s="696"/>
      <c r="Y34" s="696"/>
      <c r="Z34" s="696"/>
      <c r="AA34" s="571">
        <f t="shared" ref="AA34:AL34" si="8">AA33/Z33-1</f>
        <v>9.3938035140230802E-3</v>
      </c>
      <c r="AB34" s="571">
        <f t="shared" si="8"/>
        <v>1.411956820224991E-2</v>
      </c>
      <c r="AC34" s="571">
        <f t="shared" si="8"/>
        <v>4.5522395481574884E-2</v>
      </c>
      <c r="AD34" s="571">
        <f t="shared" si="8"/>
        <v>4.1897303612334236E-2</v>
      </c>
      <c r="AE34" s="802">
        <f t="shared" si="8"/>
        <v>-1.5686613011256845E-2</v>
      </c>
      <c r="AF34" s="571">
        <f t="shared" si="8"/>
        <v>2.2808737981150351E-4</v>
      </c>
      <c r="AG34" s="571">
        <f t="shared" si="8"/>
        <v>3.291182863380504E-2</v>
      </c>
      <c r="AH34" s="571">
        <f t="shared" si="8"/>
        <v>8.7270534202428252E-3</v>
      </c>
      <c r="AI34" s="571">
        <f t="shared" si="8"/>
        <v>9.3958537963549915E-3</v>
      </c>
      <c r="AJ34" s="571">
        <f t="shared" si="8"/>
        <v>6.0854052533216851E-3</v>
      </c>
      <c r="AK34" s="571">
        <f t="shared" si="8"/>
        <v>2.4683996464335722E-2</v>
      </c>
      <c r="AL34" s="571">
        <f t="shared" si="8"/>
        <v>9.1628865747201971E-3</v>
      </c>
      <c r="AM34" s="571">
        <f>AM33/AL33-1</f>
        <v>9.1249315792101271E-3</v>
      </c>
      <c r="AN34" s="696">
        <f>AN33-AM33</f>
        <v>2.1608325460620108</v>
      </c>
    </row>
    <row r="35" spans="1:40" ht="44.9" customHeight="1" x14ac:dyDescent="0.35">
      <c r="B35" s="1501" t="s">
        <v>438</v>
      </c>
      <c r="C35" s="1502"/>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f>AD12-AD17</f>
        <v>3621.3</v>
      </c>
      <c r="AE35" s="801">
        <f>AE12-AE17</f>
        <v>3616.3</v>
      </c>
      <c r="AF35" s="696">
        <f>AF12-AF17</f>
        <v>3646.7000000000003</v>
      </c>
      <c r="AG35" s="696">
        <f>AG12-AG17</f>
        <v>3790.9406048086544</v>
      </c>
      <c r="AH35" s="696">
        <f>AH12-AH17</f>
        <v>3848.5238577265277</v>
      </c>
      <c r="AI35" s="696">
        <f>AI12-AI17</f>
        <v>3908.9511989179364</v>
      </c>
      <c r="AJ35" s="696">
        <f>AJ12-AJ17</f>
        <v>3946.8568438578286</v>
      </c>
      <c r="AK35" s="696">
        <f>AK12-AK17</f>
        <v>4032.9178493122536</v>
      </c>
      <c r="AL35" s="696">
        <f>AL12-AL17</f>
        <v>4080.9645458102909</v>
      </c>
      <c r="AM35" s="696"/>
      <c r="AN35" s="696"/>
    </row>
    <row r="36" spans="1:40" ht="31.4" customHeight="1" x14ac:dyDescent="0.35">
      <c r="B36" s="403" t="s">
        <v>770</v>
      </c>
      <c r="C36" s="268" t="s">
        <v>439</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93" t="s">
        <v>197</v>
      </c>
      <c r="C37" s="268"/>
      <c r="D37" s="719">
        <f>Medicaid!D30</f>
        <v>589.5</v>
      </c>
      <c r="E37" s="719">
        <f>Medicaid!E30</f>
        <v>598.70000000000005</v>
      </c>
      <c r="F37" s="719">
        <f>Medicaid!F30</f>
        <v>614.4</v>
      </c>
      <c r="G37" s="719">
        <f>Medicaid!G30</f>
        <v>622.4</v>
      </c>
      <c r="H37" s="719">
        <f>Medicaid!H30</f>
        <v>620.6</v>
      </c>
      <c r="I37" s="719">
        <f>Medicaid!I30</f>
        <v>606.5</v>
      </c>
      <c r="J37" s="719">
        <f>Medicaid!J30</f>
        <v>654.6</v>
      </c>
      <c r="K37" s="719">
        <f>Medicaid!K30</f>
        <v>690.7</v>
      </c>
      <c r="L37" s="719">
        <f>Medicaid!L30</f>
        <v>678.5</v>
      </c>
      <c r="M37" s="719">
        <f>Medicaid!M30</f>
        <v>704.8</v>
      </c>
      <c r="N37" s="719">
        <f>Medicaid!N30</f>
        <v>745.5</v>
      </c>
      <c r="O37" s="719">
        <f>Medicaid!O30</f>
        <v>749.2</v>
      </c>
      <c r="P37" s="719">
        <f>Medicaid!P30</f>
        <v>746.4</v>
      </c>
      <c r="Q37" s="719">
        <f>Medicaid!Q30</f>
        <v>792.1</v>
      </c>
      <c r="R37" s="719">
        <f>Medicaid!R30</f>
        <v>819.3</v>
      </c>
      <c r="S37" s="719">
        <f>Medicaid!S30</f>
        <v>818.9</v>
      </c>
      <c r="T37" s="719">
        <f>Medicaid!T30</f>
        <v>827.1</v>
      </c>
      <c r="U37" s="719">
        <f>Medicaid!U30</f>
        <v>876.8</v>
      </c>
      <c r="V37" s="719">
        <f>Medicaid!V30</f>
        <v>910.9</v>
      </c>
      <c r="W37" s="719">
        <f>Medicaid!W30</f>
        <v>867.3</v>
      </c>
      <c r="X37" s="719">
        <f>Medicaid!X30</f>
        <v>857.7</v>
      </c>
      <c r="Y37" s="719">
        <f>Medicaid!Y30</f>
        <v>909.4</v>
      </c>
      <c r="Z37" s="719">
        <f>Medicaid!Z30</f>
        <v>934.7</v>
      </c>
      <c r="AA37" s="719">
        <f>Medicaid!AA30</f>
        <v>947.9</v>
      </c>
      <c r="AB37" s="719">
        <f>Medicaid!AB30</f>
        <v>960.7</v>
      </c>
      <c r="AC37" s="719">
        <f>Medicaid!AC30</f>
        <v>955.2</v>
      </c>
      <c r="AD37" s="719">
        <f>Medicaid!AD30</f>
        <v>991.5</v>
      </c>
      <c r="AE37" s="803">
        <f>Medicaid!AE30</f>
        <v>1045.5999999999999</v>
      </c>
      <c r="AF37" s="719">
        <f>Medicaid!AF30</f>
        <v>1078.4000000000001</v>
      </c>
      <c r="AG37" s="719">
        <f>Medicaid!AG30</f>
        <v>1093.1629366212339</v>
      </c>
      <c r="AH37" s="719">
        <f>Medicaid!AH30</f>
        <v>1113.2648695925188</v>
      </c>
      <c r="AI37" s="719">
        <f>Medicaid!AI30</f>
        <v>1136.8283964919679</v>
      </c>
      <c r="AJ37" s="719">
        <f>Medicaid!AJ30</f>
        <v>1138.6910007857018</v>
      </c>
      <c r="AK37" s="719">
        <f>Medicaid!AK30</f>
        <v>1145.5730410275178</v>
      </c>
      <c r="AL37" s="719">
        <f>Medicaid!AL30</f>
        <v>1152.5268941483698</v>
      </c>
      <c r="AM37" s="719">
        <f>Medicaid!AM30</f>
        <v>1160.5533095030155</v>
      </c>
      <c r="AN37" s="719">
        <f>Medicaid!AN30</f>
        <v>1170.7284082425656</v>
      </c>
    </row>
    <row r="38" spans="1:40" ht="31.4" customHeight="1" x14ac:dyDescent="0.35">
      <c r="B38" s="709" t="s">
        <v>771</v>
      </c>
      <c r="C38" s="385"/>
      <c r="D38" s="718">
        <f t="shared" ref="D38:T38" si="9">D36-D37</f>
        <v>144.10000000000002</v>
      </c>
      <c r="E38" s="694">
        <f t="shared" si="9"/>
        <v>145.59999999999991</v>
      </c>
      <c r="F38" s="694">
        <f t="shared" si="9"/>
        <v>147.89999999999998</v>
      </c>
      <c r="G38" s="694">
        <f t="shared" si="9"/>
        <v>149.80000000000007</v>
      </c>
      <c r="H38" s="694">
        <f t="shared" si="9"/>
        <v>151.5</v>
      </c>
      <c r="I38" s="694">
        <f t="shared" si="9"/>
        <v>154.20000000000005</v>
      </c>
      <c r="J38" s="694">
        <f t="shared" si="9"/>
        <v>156.60000000000002</v>
      </c>
      <c r="K38" s="694">
        <f t="shared" si="9"/>
        <v>159.59999999999991</v>
      </c>
      <c r="L38" s="694">
        <f t="shared" si="9"/>
        <v>162.29999999999995</v>
      </c>
      <c r="M38" s="694">
        <f t="shared" si="9"/>
        <v>165.90000000000009</v>
      </c>
      <c r="N38" s="694">
        <f t="shared" si="9"/>
        <v>169.20000000000005</v>
      </c>
      <c r="O38" s="694">
        <f t="shared" si="9"/>
        <v>174.5</v>
      </c>
      <c r="P38" s="694">
        <f t="shared" si="9"/>
        <v>175.30000000000007</v>
      </c>
      <c r="Q38" s="694">
        <f t="shared" si="9"/>
        <v>177.19999999999993</v>
      </c>
      <c r="R38" s="694">
        <f t="shared" si="9"/>
        <v>184.40000000000009</v>
      </c>
      <c r="S38" s="759">
        <f t="shared" si="9"/>
        <v>204.10000000000002</v>
      </c>
      <c r="T38" s="759">
        <f t="shared" si="9"/>
        <v>256.99999999999989</v>
      </c>
      <c r="U38" s="694">
        <f>T38*(1+AVERAGE($F$40:$I$40))+U39</f>
        <v>190.71451531976618</v>
      </c>
      <c r="V38" s="694">
        <f>U38*(1+AVERAGE($F$40:$I$40))+V39</f>
        <v>193.47098220247852</v>
      </c>
      <c r="W38" s="694">
        <f t="shared" ref="W38:AN38" si="10">V38*(1+AVERAGE($F$40:$I$40))</f>
        <v>196.26728931267826</v>
      </c>
      <c r="X38" s="696">
        <f t="shared" si="10"/>
        <v>199.10401247579478</v>
      </c>
      <c r="Y38" s="696">
        <f t="shared" si="10"/>
        <v>201.98173583987366</v>
      </c>
      <c r="Z38" s="696">
        <f t="shared" si="10"/>
        <v>204.90105199586665</v>
      </c>
      <c r="AA38" s="696">
        <f t="shared" si="10"/>
        <v>207.86256209965993</v>
      </c>
      <c r="AB38" s="696">
        <f t="shared" si="10"/>
        <v>210.86687599586637</v>
      </c>
      <c r="AC38" s="696">
        <f t="shared" si="10"/>
        <v>213.91461234340684</v>
      </c>
      <c r="AD38" s="696">
        <f t="shared" si="10"/>
        <v>217.00639874290664</v>
      </c>
      <c r="AE38" s="801">
        <f>AD38*(1+AVERAGE($F$40:$I$40))</f>
        <v>220.14287186593324</v>
      </c>
      <c r="AF38" s="696">
        <f t="shared" si="10"/>
        <v>223.32467758610193</v>
      </c>
      <c r="AG38" s="696">
        <f t="shared" si="10"/>
        <v>226.5524711120764</v>
      </c>
      <c r="AH38" s="696">
        <f t="shared" si="10"/>
        <v>229.82691712249164</v>
      </c>
      <c r="AI38" s="696">
        <f t="shared" si="10"/>
        <v>233.14868990282685</v>
      </c>
      <c r="AJ38" s="696">
        <f t="shared" si="10"/>
        <v>236.51847348425676</v>
      </c>
      <c r="AK38" s="696">
        <f t="shared" si="10"/>
        <v>239.93696178450969</v>
      </c>
      <c r="AL38" s="696">
        <f t="shared" si="10"/>
        <v>243.40485875076158</v>
      </c>
      <c r="AM38" s="696">
        <f t="shared" si="10"/>
        <v>246.92287850459525</v>
      </c>
      <c r="AN38" s="696">
        <f t="shared" si="10"/>
        <v>250.49174548905481</v>
      </c>
    </row>
    <row r="39" spans="1:40" ht="31.4" customHeight="1" x14ac:dyDescent="0.35">
      <c r="B39" s="709" t="s">
        <v>2007</v>
      </c>
      <c r="C39" s="385"/>
      <c r="D39" s="718"/>
      <c r="E39" s="694"/>
      <c r="F39" s="694"/>
      <c r="G39" s="694"/>
      <c r="H39" s="694"/>
      <c r="I39" s="694"/>
      <c r="J39" s="694"/>
      <c r="K39" s="694"/>
      <c r="L39" s="694"/>
      <c r="M39" s="694"/>
      <c r="N39" s="694"/>
      <c r="O39" s="694"/>
      <c r="P39" s="694"/>
      <c r="Q39" s="694"/>
      <c r="R39" s="694"/>
      <c r="S39" s="759"/>
      <c r="T39" s="694"/>
      <c r="U39" s="694">
        <v>-70</v>
      </c>
      <c r="V39" s="694"/>
      <c r="W39" s="694"/>
      <c r="X39" s="696"/>
      <c r="Y39" s="696"/>
      <c r="Z39" s="696"/>
      <c r="AA39" s="696"/>
      <c r="AB39" s="696"/>
      <c r="AC39" s="696"/>
      <c r="AD39" s="696"/>
      <c r="AE39" s="801"/>
      <c r="AF39" s="696"/>
      <c r="AG39" s="696"/>
      <c r="AH39" s="696"/>
      <c r="AI39" s="696"/>
      <c r="AJ39" s="696"/>
      <c r="AK39" s="696"/>
      <c r="AL39" s="696"/>
      <c r="AM39" s="696"/>
      <c r="AN39" s="696"/>
    </row>
    <row r="40" spans="1:40" x14ac:dyDescent="0.35">
      <c r="B40" s="820" t="s">
        <v>772</v>
      </c>
      <c r="C40" s="468"/>
      <c r="D40" s="720"/>
      <c r="E40" s="708">
        <f>E38/D38-1</f>
        <v>1.0409437890353201E-2</v>
      </c>
      <c r="F40" s="708">
        <f t="shared" ref="F40:N40" si="11">F38/E38-1</f>
        <v>1.5796703296703685E-2</v>
      </c>
      <c r="G40" s="708">
        <f>G38/F38-1</f>
        <v>1.2846517917512346E-2</v>
      </c>
      <c r="H40" s="708">
        <f t="shared" si="11"/>
        <v>1.1348464619492127E-2</v>
      </c>
      <c r="I40" s="708">
        <f t="shared" si="11"/>
        <v>1.782178217821806E-2</v>
      </c>
      <c r="J40" s="708">
        <f t="shared" si="11"/>
        <v>1.5564202334630295E-2</v>
      </c>
      <c r="K40" s="708">
        <f t="shared" si="11"/>
        <v>1.9157088122604637E-2</v>
      </c>
      <c r="L40" s="708">
        <f t="shared" si="11"/>
        <v>1.6917293233082997E-2</v>
      </c>
      <c r="M40" s="708">
        <f t="shared" si="11"/>
        <v>2.2181146025878951E-2</v>
      </c>
      <c r="N40" s="708">
        <f t="shared" si="11"/>
        <v>1.9891500904158921E-2</v>
      </c>
      <c r="O40" s="708">
        <f>O38/N38-1</f>
        <v>3.1323877068557548E-2</v>
      </c>
      <c r="P40" s="708">
        <f t="shared" ref="P40:S40" si="12">P38/O38-1</f>
        <v>4.5845272206308518E-3</v>
      </c>
      <c r="Q40" s="708">
        <f t="shared" si="12"/>
        <v>1.0838562464346113E-2</v>
      </c>
      <c r="R40" s="708">
        <f t="shared" si="12"/>
        <v>4.0632054176073185E-2</v>
      </c>
      <c r="S40" s="708">
        <f t="shared" si="12"/>
        <v>0.1068329718004335</v>
      </c>
      <c r="T40" s="695"/>
      <c r="U40" s="695"/>
      <c r="V40" s="695"/>
      <c r="W40" s="695"/>
      <c r="X40" s="716"/>
      <c r="Y40" s="716"/>
      <c r="Z40" s="716"/>
      <c r="AA40" s="716"/>
      <c r="AB40" s="716"/>
      <c r="AC40" s="716"/>
      <c r="AD40" s="716"/>
      <c r="AE40" s="804"/>
      <c r="AF40" s="716"/>
      <c r="AG40" s="716"/>
      <c r="AH40" s="716"/>
      <c r="AI40" s="716"/>
      <c r="AJ40" s="716"/>
      <c r="AK40" s="716"/>
      <c r="AL40" s="716"/>
      <c r="AM40" s="716"/>
      <c r="AN40" s="716"/>
    </row>
    <row r="42" spans="1:40" ht="14.9" customHeight="1" x14ac:dyDescent="0.35">
      <c r="P42" s="611"/>
      <c r="Q42" s="611"/>
    </row>
    <row r="43" spans="1:40" ht="14.9" customHeight="1" x14ac:dyDescent="0.35">
      <c r="B43" s="644" t="s">
        <v>318</v>
      </c>
      <c r="D43" s="620"/>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row>
    <row r="44" spans="1:40" x14ac:dyDescent="0.35">
      <c r="B44" s="1414" t="s">
        <v>442</v>
      </c>
      <c r="C44" s="1414"/>
      <c r="D44" s="1416"/>
      <c r="E44" s="1416"/>
      <c r="F44" s="1416"/>
      <c r="G44" s="1416"/>
      <c r="H44" s="1416"/>
      <c r="I44" s="1416"/>
      <c r="J44" s="1416"/>
      <c r="K44" s="1416"/>
      <c r="L44" s="1416"/>
      <c r="M44" s="1416"/>
      <c r="N44" s="1416"/>
      <c r="O44" s="1416"/>
      <c r="P44" s="1416"/>
      <c r="Q44" s="1416"/>
      <c r="R44" s="1416"/>
      <c r="S44" s="1416"/>
      <c r="T44" s="1416"/>
      <c r="U44" s="1416"/>
      <c r="V44" s="1416"/>
      <c r="W44" s="1416"/>
      <c r="X44" s="1416"/>
      <c r="Y44" s="1416"/>
      <c r="Z44" s="1416"/>
      <c r="AA44" s="1416"/>
      <c r="AB44" s="1416"/>
      <c r="AC44" s="1416"/>
    </row>
    <row r="45" spans="1:40" x14ac:dyDescent="0.35">
      <c r="B45" s="1419" t="s">
        <v>443</v>
      </c>
      <c r="C45" s="1420"/>
      <c r="D45" s="1437" t="s">
        <v>246</v>
      </c>
      <c r="E45" s="1437"/>
      <c r="F45" s="1437"/>
      <c r="G45" s="1437"/>
      <c r="H45" s="1437"/>
      <c r="I45" s="1437"/>
      <c r="J45" s="1437"/>
      <c r="K45" s="1437"/>
      <c r="L45" s="1437"/>
      <c r="M45" s="1437"/>
      <c r="N45" s="1437"/>
      <c r="O45" s="1437"/>
      <c r="P45" s="1437"/>
      <c r="Q45" s="1437"/>
      <c r="R45" s="1437"/>
      <c r="S45" s="1437"/>
      <c r="T45" s="1437"/>
      <c r="U45" s="1437"/>
      <c r="V45" s="1437"/>
      <c r="W45" s="1437"/>
      <c r="X45" s="1437"/>
      <c r="Y45" s="1437"/>
      <c r="Z45" s="1437"/>
      <c r="AA45" s="1437"/>
      <c r="AB45" s="1437"/>
      <c r="AC45" s="259"/>
      <c r="AD45" s="260"/>
      <c r="AE45" s="260"/>
      <c r="AF45" s="260"/>
      <c r="AG45" s="1397" t="s">
        <v>247</v>
      </c>
      <c r="AH45" s="1398"/>
      <c r="AI45" s="1398"/>
      <c r="AJ45" s="1398"/>
      <c r="AK45" s="1398"/>
      <c r="AL45" s="1398"/>
      <c r="AM45" s="1398"/>
      <c r="AN45" s="1399"/>
    </row>
    <row r="46" spans="1:40" x14ac:dyDescent="0.35">
      <c r="B46" s="1419"/>
      <c r="C46" s="1420"/>
      <c r="D46" s="249">
        <v>2018</v>
      </c>
      <c r="E46" s="1403">
        <v>2019</v>
      </c>
      <c r="F46" s="1404"/>
      <c r="G46" s="1404"/>
      <c r="H46" s="1405"/>
      <c r="I46" s="1403">
        <v>2020</v>
      </c>
      <c r="J46" s="1404"/>
      <c r="K46" s="1404"/>
      <c r="L46" s="1404"/>
      <c r="M46" s="1403">
        <v>2021</v>
      </c>
      <c r="N46" s="1404"/>
      <c r="O46" s="1404"/>
      <c r="P46" s="1404"/>
      <c r="Q46" s="1403">
        <v>2022</v>
      </c>
      <c r="R46" s="1404"/>
      <c r="S46" s="1404"/>
      <c r="T46" s="1405"/>
      <c r="U46" s="277"/>
      <c r="V46" s="277">
        <v>2023</v>
      </c>
      <c r="W46" s="277"/>
      <c r="X46" s="279"/>
      <c r="Y46" s="283"/>
      <c r="Z46" s="277">
        <v>2024</v>
      </c>
      <c r="AA46" s="277"/>
      <c r="AB46" s="279"/>
      <c r="AC46" s="1403">
        <v>2025</v>
      </c>
      <c r="AD46" s="1404"/>
      <c r="AE46" s="1404"/>
      <c r="AF46" s="1405"/>
      <c r="AG46" s="1410">
        <v>2026</v>
      </c>
      <c r="AH46" s="1428"/>
      <c r="AI46" s="1428"/>
      <c r="AJ46" s="1412"/>
      <c r="AK46" s="1410">
        <v>2027</v>
      </c>
      <c r="AL46" s="1428"/>
      <c r="AM46" s="1428"/>
      <c r="AN46" s="1412"/>
    </row>
    <row r="47" spans="1:40" x14ac:dyDescent="0.35">
      <c r="B47" s="1421"/>
      <c r="C47" s="1422"/>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4" t="s">
        <v>226</v>
      </c>
      <c r="AF47" s="273" t="s">
        <v>248</v>
      </c>
      <c r="AG47" s="275" t="s">
        <v>249</v>
      </c>
      <c r="AH47" s="269" t="s">
        <v>250</v>
      </c>
      <c r="AI47" s="270" t="s">
        <v>226</v>
      </c>
      <c r="AJ47" s="276" t="s">
        <v>248</v>
      </c>
      <c r="AK47" s="275" t="s">
        <v>249</v>
      </c>
      <c r="AL47" s="269" t="s">
        <v>250</v>
      </c>
      <c r="AM47" s="270" t="s">
        <v>226</v>
      </c>
      <c r="AN47" s="276" t="s">
        <v>248</v>
      </c>
    </row>
    <row r="48" spans="1:40" x14ac:dyDescent="0.35">
      <c r="B48" s="693" t="s">
        <v>1931</v>
      </c>
      <c r="D48" s="378"/>
      <c r="E48" s="422"/>
      <c r="F48" s="422"/>
      <c r="G48" s="422"/>
      <c r="H48" s="422"/>
      <c r="I48" s="703">
        <f>(I49-AVERAGE($E49:$H49))</f>
        <v>6.9950000000000045</v>
      </c>
      <c r="J48" s="703">
        <f t="shared" ref="J48:AD48" si="13">(J49-AVERAGE($E49:$H49))</f>
        <v>51.122999999999998</v>
      </c>
      <c r="K48" s="703">
        <f t="shared" si="13"/>
        <v>51.055</v>
      </c>
      <c r="L48" s="703">
        <f t="shared" si="13"/>
        <v>51.762999999999998</v>
      </c>
      <c r="M48" s="703">
        <f t="shared" si="13"/>
        <v>91.453000000000003</v>
      </c>
      <c r="N48" s="703">
        <f t="shared" si="13"/>
        <v>101.11800000000002</v>
      </c>
      <c r="O48" s="703">
        <f t="shared" si="13"/>
        <v>93.417000000000002</v>
      </c>
      <c r="P48" s="703">
        <f t="shared" si="13"/>
        <v>99.84</v>
      </c>
      <c r="Q48" s="703">
        <f t="shared" si="13"/>
        <v>77.435000000000002</v>
      </c>
      <c r="R48" s="703">
        <f t="shared" si="13"/>
        <v>74.290999999999997</v>
      </c>
      <c r="S48" s="704">
        <f t="shared" si="13"/>
        <v>69.937000000000012</v>
      </c>
      <c r="T48" s="704">
        <f t="shared" si="13"/>
        <v>91.18</v>
      </c>
      <c r="U48" s="704">
        <f t="shared" si="13"/>
        <v>84.404000000000025</v>
      </c>
      <c r="V48" s="704">
        <f t="shared" si="13"/>
        <v>52.51</v>
      </c>
      <c r="W48" s="704">
        <f t="shared" si="13"/>
        <v>50.475000000000001</v>
      </c>
      <c r="X48" s="704">
        <f t="shared" si="13"/>
        <v>38.360999999999997</v>
      </c>
      <c r="Y48" s="704">
        <f t="shared" si="13"/>
        <v>37.854999999999997</v>
      </c>
      <c r="Z48" s="704">
        <f t="shared" si="13"/>
        <v>42.399000000000008</v>
      </c>
      <c r="AA48" s="704">
        <f t="shared" si="13"/>
        <v>47.041000000000004</v>
      </c>
      <c r="AB48" s="704">
        <f t="shared" si="13"/>
        <v>43.420000000000009</v>
      </c>
      <c r="AC48" s="704">
        <f t="shared" si="13"/>
        <v>41.592000000000006</v>
      </c>
      <c r="AD48" s="704">
        <f t="shared" si="13"/>
        <v>41.488000000000007</v>
      </c>
      <c r="AE48" s="805">
        <f>(AE49-AVERAGE($E49:$H49))</f>
        <v>37.719000000000001</v>
      </c>
      <c r="AF48" s="805">
        <f>(AF49-AVERAGE($E49:$H49))</f>
        <v>37.758000000000003</v>
      </c>
      <c r="AG48" s="854">
        <f t="shared" ref="AG48:AM48" si="14">AF48+AG50</f>
        <v>37.758000000000003</v>
      </c>
      <c r="AH48" s="854">
        <f t="shared" si="14"/>
        <v>37.758000000000003</v>
      </c>
      <c r="AI48" s="854">
        <f t="shared" si="14"/>
        <v>37.758000000000003</v>
      </c>
      <c r="AJ48" s="854">
        <f t="shared" si="14"/>
        <v>29.603000000000002</v>
      </c>
      <c r="AK48" s="854">
        <f t="shared" si="14"/>
        <v>29.603000000000002</v>
      </c>
      <c r="AL48" s="854">
        <f t="shared" si="14"/>
        <v>29.603000000000002</v>
      </c>
      <c r="AM48" s="854">
        <f t="shared" si="14"/>
        <v>29.603000000000002</v>
      </c>
      <c r="AN48" s="854">
        <f>AM48+AN50</f>
        <v>7.958000000000002</v>
      </c>
    </row>
    <row r="49" spans="2:40" x14ac:dyDescent="0.35">
      <c r="B49" s="693" t="s">
        <v>1926</v>
      </c>
      <c r="C49" s="268" t="s">
        <v>444</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23" t="s">
        <v>1930</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3">
        <v>0</v>
      </c>
      <c r="AF50" s="543">
        <v>1</v>
      </c>
      <c r="AG50" s="353">
        <v>0</v>
      </c>
      <c r="AH50" s="353">
        <v>0</v>
      </c>
      <c r="AI50" s="353">
        <v>0</v>
      </c>
      <c r="AJ50" s="353">
        <v>-8.1549999999999994</v>
      </c>
      <c r="AK50" s="353">
        <v>0</v>
      </c>
      <c r="AL50" s="353">
        <v>0</v>
      </c>
      <c r="AM50" s="353">
        <v>0</v>
      </c>
      <c r="AN50" s="353">
        <v>-21.645</v>
      </c>
    </row>
    <row r="51" spans="2:40" ht="14.9" customHeight="1" x14ac:dyDescent="0.35">
      <c r="B51" s="692" t="s">
        <v>445</v>
      </c>
      <c r="C51" s="468"/>
      <c r="D51" s="852"/>
      <c r="E51" s="690"/>
      <c r="F51" s="690"/>
      <c r="G51" s="690"/>
      <c r="H51" s="690"/>
      <c r="I51" s="690"/>
      <c r="J51" s="690">
        <f t="shared" ref="J51:AD51" si="15">J49-$H49</f>
        <v>51.543999999999997</v>
      </c>
      <c r="K51" s="690">
        <f t="shared" si="15"/>
        <v>51.475999999999999</v>
      </c>
      <c r="L51" s="690">
        <f t="shared" si="15"/>
        <v>52.183999999999997</v>
      </c>
      <c r="M51" s="690">
        <f t="shared" si="15"/>
        <v>91.873999999999995</v>
      </c>
      <c r="N51" s="690">
        <f>N49-$H49</f>
        <v>101.53900000000002</v>
      </c>
      <c r="O51" s="690">
        <f>O49-$H49</f>
        <v>93.837999999999994</v>
      </c>
      <c r="P51" s="690">
        <f t="shared" si="15"/>
        <v>100.261</v>
      </c>
      <c r="Q51" s="690">
        <f t="shared" si="15"/>
        <v>77.855999999999995</v>
      </c>
      <c r="R51" s="690">
        <f t="shared" si="15"/>
        <v>74.711999999999989</v>
      </c>
      <c r="S51" s="273">
        <f t="shared" si="15"/>
        <v>70.358000000000004</v>
      </c>
      <c r="T51" s="273">
        <f t="shared" si="15"/>
        <v>91.600999999999999</v>
      </c>
      <c r="U51" s="273">
        <f t="shared" si="15"/>
        <v>84.825000000000017</v>
      </c>
      <c r="V51" s="273">
        <f t="shared" si="15"/>
        <v>52.930999999999997</v>
      </c>
      <c r="W51" s="273">
        <f t="shared" si="15"/>
        <v>50.896000000000001</v>
      </c>
      <c r="X51" s="273">
        <f t="shared" si="15"/>
        <v>38.781999999999996</v>
      </c>
      <c r="Y51" s="273">
        <f t="shared" si="15"/>
        <v>38.275999999999996</v>
      </c>
      <c r="Z51" s="273">
        <f t="shared" si="15"/>
        <v>42.820000000000007</v>
      </c>
      <c r="AA51" s="273">
        <f t="shared" si="15"/>
        <v>47.462000000000003</v>
      </c>
      <c r="AB51" s="273">
        <f t="shared" si="15"/>
        <v>43.841000000000008</v>
      </c>
      <c r="AC51" s="273">
        <f t="shared" si="15"/>
        <v>42.013000000000005</v>
      </c>
      <c r="AD51" s="273">
        <f t="shared" si="15"/>
        <v>41.909000000000006</v>
      </c>
      <c r="AE51" s="544">
        <f>AE49-$H49</f>
        <v>38.14</v>
      </c>
      <c r="AF51" s="544">
        <f>AF49-$H49</f>
        <v>38.179000000000002</v>
      </c>
      <c r="AG51" s="827"/>
      <c r="AH51" s="827"/>
      <c r="AI51" s="827"/>
      <c r="AJ51" s="827"/>
      <c r="AK51" s="827"/>
      <c r="AL51" s="827"/>
      <c r="AM51" s="827"/>
      <c r="AN51" s="827"/>
    </row>
    <row r="52" spans="2:40" x14ac:dyDescent="0.35">
      <c r="B52" s="268"/>
      <c r="C52" s="268"/>
      <c r="D52" s="265"/>
      <c r="E52" s="265"/>
      <c r="F52" s="265"/>
      <c r="G52" s="265"/>
      <c r="H52" s="265"/>
      <c r="I52" s="265"/>
      <c r="J52" s="265"/>
      <c r="K52" s="265"/>
      <c r="L52" s="265"/>
      <c r="M52" s="265"/>
      <c r="N52" s="265"/>
      <c r="O52" s="265"/>
      <c r="P52" s="265"/>
      <c r="Q52" s="265" t="s">
        <v>1929</v>
      </c>
      <c r="R52" s="265"/>
      <c r="S52" s="265"/>
      <c r="T52" s="265"/>
      <c r="U52" s="265" t="s">
        <v>1927</v>
      </c>
      <c r="V52" s="265"/>
      <c r="W52" s="265" t="s">
        <v>1928</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44" t="s">
        <v>331</v>
      </c>
    </row>
    <row r="57" spans="2:40" ht="29.15" customHeight="1" x14ac:dyDescent="0.35">
      <c r="B57" s="1504" t="s">
        <v>769</v>
      </c>
      <c r="C57" s="1505"/>
      <c r="D57" s="1437" t="s">
        <v>246</v>
      </c>
      <c r="E57" s="1437"/>
      <c r="F57" s="1437"/>
      <c r="G57" s="1437"/>
      <c r="H57" s="1437"/>
      <c r="I57" s="1437"/>
      <c r="J57" s="1437"/>
      <c r="K57" s="1437"/>
      <c r="L57" s="1437"/>
      <c r="M57" s="1437"/>
      <c r="N57" s="1437"/>
      <c r="O57" s="1437"/>
      <c r="P57" s="1437"/>
      <c r="Q57" s="1437"/>
      <c r="R57" s="1437"/>
      <c r="S57" s="1437"/>
      <c r="T57" s="1437"/>
      <c r="U57" s="1437"/>
      <c r="V57" s="1437"/>
      <c r="W57" s="1437"/>
      <c r="X57" s="1437"/>
      <c r="Y57" s="1437"/>
      <c r="Z57" s="1437"/>
      <c r="AA57" s="1437"/>
      <c r="AB57" s="1437"/>
      <c r="AC57" s="259"/>
      <c r="AD57" s="260"/>
      <c r="AE57" s="260"/>
      <c r="AF57" s="260"/>
      <c r="AG57" s="1397" t="s">
        <v>247</v>
      </c>
      <c r="AH57" s="1398"/>
      <c r="AI57" s="1398"/>
      <c r="AJ57" s="1398"/>
      <c r="AK57" s="1398"/>
      <c r="AL57" s="1398"/>
      <c r="AM57" s="1398"/>
      <c r="AN57" s="1399"/>
    </row>
    <row r="58" spans="2:40" ht="29.15" customHeight="1" x14ac:dyDescent="0.35">
      <c r="B58" s="1506"/>
      <c r="C58" s="1507"/>
      <c r="D58" s="249">
        <v>2018</v>
      </c>
      <c r="E58" s="1403">
        <v>2019</v>
      </c>
      <c r="F58" s="1404"/>
      <c r="G58" s="1404"/>
      <c r="H58" s="1405"/>
      <c r="I58" s="1403">
        <v>2020</v>
      </c>
      <c r="J58" s="1404"/>
      <c r="K58" s="1404"/>
      <c r="L58" s="1404"/>
      <c r="M58" s="1403">
        <v>2021</v>
      </c>
      <c r="N58" s="1404"/>
      <c r="O58" s="1404"/>
      <c r="P58" s="1404"/>
      <c r="Q58" s="1403">
        <v>2022</v>
      </c>
      <c r="R58" s="1404"/>
      <c r="S58" s="1404"/>
      <c r="T58" s="1405"/>
      <c r="U58" s="277"/>
      <c r="V58" s="277">
        <v>2023</v>
      </c>
      <c r="W58" s="277"/>
      <c r="X58" s="279"/>
      <c r="Y58" s="283"/>
      <c r="Z58" s="277">
        <v>2024</v>
      </c>
      <c r="AA58" s="277"/>
      <c r="AB58" s="279"/>
      <c r="AC58" s="1403">
        <v>2025</v>
      </c>
      <c r="AD58" s="1404"/>
      <c r="AE58" s="1404"/>
      <c r="AF58" s="1405"/>
      <c r="AG58" s="1410">
        <v>2026</v>
      </c>
      <c r="AH58" s="1428"/>
      <c r="AI58" s="1428"/>
      <c r="AJ58" s="1412"/>
      <c r="AK58" s="1410">
        <v>2027</v>
      </c>
      <c r="AL58" s="1428"/>
      <c r="AM58" s="1428"/>
      <c r="AN58" s="1412"/>
    </row>
    <row r="59" spans="2:40" ht="29" customHeight="1" x14ac:dyDescent="0.35">
      <c r="B59" s="1506"/>
      <c r="C59" s="1507"/>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4"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36" t="s">
        <v>432</v>
      </c>
      <c r="C60" s="724" t="s">
        <v>433</v>
      </c>
      <c r="D60" s="821">
        <f>'Haver Pivoted'!GO31</f>
        <v>2223</v>
      </c>
      <c r="E60" s="821">
        <f>'Haver Pivoted'!GP31</f>
        <v>2303.8000000000002</v>
      </c>
      <c r="F60" s="821">
        <f>'Haver Pivoted'!GQ31</f>
        <v>2321.6999999999998</v>
      </c>
      <c r="G60" s="821">
        <f>'Haver Pivoted'!GR31</f>
        <v>2337.1</v>
      </c>
      <c r="H60" s="821">
        <f>'Haver Pivoted'!GS31</f>
        <v>2349.5</v>
      </c>
      <c r="I60" s="821">
        <f>'Haver Pivoted'!GT31</f>
        <v>2417</v>
      </c>
      <c r="J60" s="821">
        <f>'Haver Pivoted'!GU31</f>
        <v>4659.2</v>
      </c>
      <c r="K60" s="821">
        <f>'Haver Pivoted'!GV31</f>
        <v>3514.2</v>
      </c>
      <c r="L60" s="821">
        <f>'Haver Pivoted'!GW31</f>
        <v>2896.7</v>
      </c>
      <c r="M60" s="821">
        <f>'Haver Pivoted'!GX31</f>
        <v>5152.8</v>
      </c>
      <c r="N60" s="821">
        <f>'Haver Pivoted'!GY31</f>
        <v>3403.1</v>
      </c>
      <c r="O60" s="821">
        <f>'Haver Pivoted'!GZ31</f>
        <v>3121.9</v>
      </c>
      <c r="P60" s="821">
        <f>'Haver Pivoted'!HA31</f>
        <v>2958.3</v>
      </c>
      <c r="Q60" s="821">
        <f>'Haver Pivoted'!HB31</f>
        <v>2978.4</v>
      </c>
      <c r="R60" s="821">
        <f>'Haver Pivoted'!HC31</f>
        <v>2983.3</v>
      </c>
      <c r="S60" s="821">
        <f>'Haver Pivoted'!HD31</f>
        <v>2976.9</v>
      </c>
      <c r="T60" s="821">
        <f>'Haver Pivoted'!HE31</f>
        <v>3033.2</v>
      </c>
      <c r="U60" s="821">
        <f>'Haver Pivoted'!HF31</f>
        <v>3055.3</v>
      </c>
      <c r="V60" s="821">
        <f>'Haver Pivoted'!HG31</f>
        <v>3066.9</v>
      </c>
      <c r="W60" s="821">
        <f>'Haver Pivoted'!HH31</f>
        <v>3097.1</v>
      </c>
      <c r="X60" s="821">
        <f>'Haver Pivoted'!HI31</f>
        <v>3119.8</v>
      </c>
      <c r="Y60" s="821">
        <f>'Haver Pivoted'!HJ31</f>
        <v>3242.2</v>
      </c>
      <c r="Z60" s="821">
        <f>'Haver Pivoted'!HK31</f>
        <v>3291</v>
      </c>
      <c r="AA60" s="821">
        <f>'Haver Pivoted'!HL31</f>
        <v>3335.9</v>
      </c>
      <c r="AB60" s="821">
        <f>'Haver Pivoted'!HM31</f>
        <v>3393.7</v>
      </c>
      <c r="AC60" s="821">
        <f>'Haver Pivoted'!HN31</f>
        <v>3526.5</v>
      </c>
      <c r="AD60" s="821">
        <f>'Haver Pivoted'!HO31</f>
        <v>3657</v>
      </c>
      <c r="AE60" s="806">
        <f>'Haver Pivoted'!HP31</f>
        <v>3652</v>
      </c>
      <c r="AF60" s="806">
        <f>'Haver Pivoted'!HQ31</f>
        <v>3682.4</v>
      </c>
      <c r="AG60" s="353"/>
      <c r="AH60" s="353"/>
      <c r="AI60" s="353"/>
      <c r="AJ60" s="353"/>
      <c r="AK60" s="353"/>
      <c r="AL60" s="353"/>
      <c r="AM60" s="353"/>
      <c r="AN60" s="353"/>
    </row>
    <row r="61" spans="2:40" ht="35.9" customHeight="1" x14ac:dyDescent="0.35">
      <c r="B61" s="606" t="s">
        <v>2077</v>
      </c>
      <c r="C61" s="268"/>
      <c r="D61" s="790">
        <f t="shared" ref="D61:AD61" si="16">D62+D63</f>
        <v>1795.961</v>
      </c>
      <c r="E61" s="828">
        <f t="shared" si="16"/>
        <v>1852.29</v>
      </c>
      <c r="F61" s="828">
        <f t="shared" si="16"/>
        <v>1872.5039999999999</v>
      </c>
      <c r="G61" s="828">
        <f t="shared" si="16"/>
        <v>1888.817</v>
      </c>
      <c r="H61" s="828">
        <f t="shared" si="16"/>
        <v>1901.3610000000001</v>
      </c>
      <c r="I61" s="828">
        <f t="shared" si="16"/>
        <v>1949.7350000000001</v>
      </c>
      <c r="J61" s="828">
        <f t="shared" si="16"/>
        <v>4223.1360000000004</v>
      </c>
      <c r="K61" s="828">
        <f t="shared" si="16"/>
        <v>2953.09</v>
      </c>
      <c r="L61" s="828">
        <f t="shared" si="16"/>
        <v>2403.9870000000001</v>
      </c>
      <c r="M61" s="828">
        <f t="shared" si="16"/>
        <v>4616.1710000000003</v>
      </c>
      <c r="N61" s="828">
        <f t="shared" si="16"/>
        <v>2892.8028400000003</v>
      </c>
      <c r="O61" s="828">
        <f t="shared" si="16"/>
        <v>2431.5651600000001</v>
      </c>
      <c r="P61" s="828">
        <f t="shared" si="16"/>
        <v>2286.0569999999998</v>
      </c>
      <c r="Q61" s="828">
        <f t="shared" si="16"/>
        <v>2324.0929999999998</v>
      </c>
      <c r="R61" s="828">
        <f t="shared" si="16"/>
        <v>2328.3689999999997</v>
      </c>
      <c r="S61" s="828">
        <f t="shared" si="16"/>
        <v>2332.3380000000002</v>
      </c>
      <c r="T61" s="828">
        <f t="shared" si="16"/>
        <v>2350.9690000000001</v>
      </c>
      <c r="U61" s="828">
        <f t="shared" si="16"/>
        <v>2517.6840000000002</v>
      </c>
      <c r="V61" s="828">
        <f t="shared" si="16"/>
        <v>2521.4961428571432</v>
      </c>
      <c r="W61" s="828">
        <f t="shared" si="16"/>
        <v>2546.9261428571426</v>
      </c>
      <c r="X61" s="828">
        <f t="shared" si="16"/>
        <v>2557.1089999999999</v>
      </c>
      <c r="Y61" s="828">
        <f t="shared" si="16"/>
        <v>2625.1579999999999</v>
      </c>
      <c r="Z61" s="828">
        <f t="shared" si="16"/>
        <v>2662.8270000000002</v>
      </c>
      <c r="AA61" s="828">
        <f t="shared" si="16"/>
        <v>2705.3140000000003</v>
      </c>
      <c r="AB61" s="828">
        <f t="shared" si="16"/>
        <v>2745.067</v>
      </c>
      <c r="AC61" s="828">
        <f t="shared" si="16"/>
        <v>2836.1039999999998</v>
      </c>
      <c r="AD61" s="828">
        <f t="shared" si="16"/>
        <v>2947.279</v>
      </c>
      <c r="AE61" s="807">
        <f t="shared" ref="AE61" si="17">AE62+AE63</f>
        <v>2927.26</v>
      </c>
      <c r="AF61" s="828"/>
      <c r="AG61" s="353"/>
      <c r="AH61" s="353"/>
      <c r="AI61" s="353"/>
      <c r="AJ61" s="353"/>
      <c r="AK61" s="353"/>
      <c r="AL61" s="353"/>
      <c r="AM61" s="353"/>
      <c r="AN61" s="353"/>
    </row>
    <row r="62" spans="2:40" x14ac:dyDescent="0.35">
      <c r="B62" s="792" t="s">
        <v>1794</v>
      </c>
      <c r="C62" s="268"/>
      <c r="D62" s="790">
        <f>D15+D18+D27</f>
        <v>812.1</v>
      </c>
      <c r="E62" s="790">
        <f>E15+E18+E27</f>
        <v>833.1</v>
      </c>
      <c r="F62" s="828">
        <f>F15+F18+F27</f>
        <v>845.8</v>
      </c>
      <c r="G62" s="828">
        <f>G15+G18+G27</f>
        <v>854.4</v>
      </c>
      <c r="H62" s="828">
        <f>H15+H18+H27</f>
        <v>858.7</v>
      </c>
      <c r="I62" s="828">
        <f>I15+I18+I27</f>
        <v>874.30000000000007</v>
      </c>
      <c r="J62" s="828">
        <f>J15+J18+J27</f>
        <v>1800.8</v>
      </c>
      <c r="K62" s="828">
        <f>K15+K18+K27</f>
        <v>1666.6000000000001</v>
      </c>
      <c r="L62" s="828">
        <f>L15+L18+L27</f>
        <v>1200.3</v>
      </c>
      <c r="M62" s="828">
        <f>M15+M18+M27</f>
        <v>1451.9</v>
      </c>
      <c r="N62" s="828">
        <f>N15+N18+N27</f>
        <v>1316.4</v>
      </c>
      <c r="O62" s="828">
        <f>O15+O18+O27</f>
        <v>1097</v>
      </c>
      <c r="P62" s="828">
        <f>P15+P18+P27</f>
        <v>939.5</v>
      </c>
      <c r="Q62" s="828">
        <f>Q15+Q18+Q27</f>
        <v>948.1</v>
      </c>
      <c r="R62" s="828">
        <f>R15+R18+R27</f>
        <v>954.8</v>
      </c>
      <c r="S62" s="828">
        <f>S15+S18+S27</f>
        <v>968.2</v>
      </c>
      <c r="T62" s="828">
        <f>T15+T18+T27</f>
        <v>993.8</v>
      </c>
      <c r="U62" s="828">
        <f>U15+U18+U27</f>
        <v>1057.0999999999999</v>
      </c>
      <c r="V62" s="828">
        <f>V15+V18+V27</f>
        <v>1081.0571428571429</v>
      </c>
      <c r="W62" s="828">
        <f>W15+W18+W27</f>
        <v>1101.257142857143</v>
      </c>
      <c r="X62" s="828">
        <f>X15+X18+X27</f>
        <v>1123.0999999999999</v>
      </c>
      <c r="Y62" s="828">
        <f>Y15+Y18+Y27</f>
        <v>1138.5999999999999</v>
      </c>
      <c r="Z62" s="828">
        <f>Z15+Z18+Z27</f>
        <v>1158.3</v>
      </c>
      <c r="AA62" s="828">
        <f>AA15+AA18+AA27</f>
        <v>1182.9000000000001</v>
      </c>
      <c r="AB62" s="828">
        <f>AB15+AB18+AB27</f>
        <v>1211.5999999999999</v>
      </c>
      <c r="AC62" s="828">
        <f>AC15+AC18+AC27</f>
        <v>1243.6999999999998</v>
      </c>
      <c r="AD62" s="828">
        <f>AD15+AD18+AD27</f>
        <v>1277.3</v>
      </c>
      <c r="AE62" s="807">
        <f>AE15+AE18+AE27</f>
        <v>1310.0999999999999</v>
      </c>
      <c r="AF62" s="828"/>
      <c r="AG62" s="828"/>
      <c r="AH62" s="828"/>
      <c r="AI62" s="828"/>
      <c r="AJ62" s="828"/>
      <c r="AK62" s="828"/>
      <c r="AL62" s="828"/>
      <c r="AM62" s="828"/>
      <c r="AN62" s="828"/>
    </row>
    <row r="63" spans="2:40" ht="32" customHeight="1" x14ac:dyDescent="0.35">
      <c r="B63" s="793" t="s">
        <v>2074</v>
      </c>
      <c r="C63" s="268"/>
      <c r="D63" s="828">
        <f t="shared" ref="D63:AN63" si="18">D20+D23+D24+D25+D26+D28+D30+D66</f>
        <v>983.86099999999999</v>
      </c>
      <c r="E63" s="828">
        <f t="shared" si="18"/>
        <v>1019.19</v>
      </c>
      <c r="F63" s="828">
        <f t="shared" si="18"/>
        <v>1026.704</v>
      </c>
      <c r="G63" s="828">
        <f t="shared" si="18"/>
        <v>1034.4169999999999</v>
      </c>
      <c r="H63" s="828">
        <f t="shared" si="18"/>
        <v>1042.6610000000001</v>
      </c>
      <c r="I63" s="828">
        <f t="shared" si="18"/>
        <v>1075.4349999999999</v>
      </c>
      <c r="J63" s="828">
        <f t="shared" si="18"/>
        <v>2422.3360000000002</v>
      </c>
      <c r="K63" s="828">
        <f t="shared" si="18"/>
        <v>1286.4899999999998</v>
      </c>
      <c r="L63" s="828">
        <f t="shared" si="18"/>
        <v>1203.6869999999999</v>
      </c>
      <c r="M63" s="828">
        <f t="shared" si="18"/>
        <v>3164.2709999999997</v>
      </c>
      <c r="N63" s="828">
        <f t="shared" si="18"/>
        <v>1576.4028400000002</v>
      </c>
      <c r="O63" s="828">
        <f t="shared" si="18"/>
        <v>1334.5651600000001</v>
      </c>
      <c r="P63" s="828">
        <f t="shared" si="18"/>
        <v>1346.557</v>
      </c>
      <c r="Q63" s="828">
        <f t="shared" si="18"/>
        <v>1375.9929999999999</v>
      </c>
      <c r="R63" s="828">
        <f t="shared" si="18"/>
        <v>1373.569</v>
      </c>
      <c r="S63" s="828">
        <f t="shared" si="18"/>
        <v>1364.1380000000001</v>
      </c>
      <c r="T63" s="828">
        <f t="shared" si="18"/>
        <v>1357.1689999999999</v>
      </c>
      <c r="U63" s="828">
        <f t="shared" si="18"/>
        <v>1460.5840000000001</v>
      </c>
      <c r="V63" s="828">
        <f t="shared" si="18"/>
        <v>1440.4390000000001</v>
      </c>
      <c r="W63" s="828">
        <f t="shared" si="18"/>
        <v>1445.6689999999999</v>
      </c>
      <c r="X63" s="828">
        <f t="shared" si="18"/>
        <v>1434.009</v>
      </c>
      <c r="Y63" s="828">
        <f t="shared" si="18"/>
        <v>1486.558</v>
      </c>
      <c r="Z63" s="828">
        <f t="shared" si="18"/>
        <v>1504.527</v>
      </c>
      <c r="AA63" s="828">
        <f t="shared" si="18"/>
        <v>1522.414</v>
      </c>
      <c r="AB63" s="828">
        <f t="shared" si="18"/>
        <v>1533.4670000000001</v>
      </c>
      <c r="AC63" s="828">
        <f t="shared" si="18"/>
        <v>1592.404</v>
      </c>
      <c r="AD63" s="828">
        <f t="shared" si="18"/>
        <v>1669.979</v>
      </c>
      <c r="AE63" s="807">
        <f>AE20+AE23+AE24+AE25+AE26+AE28+AE30+AE66</f>
        <v>1617.16</v>
      </c>
      <c r="AF63" s="828">
        <f t="shared" si="18"/>
        <v>1618.854</v>
      </c>
      <c r="AG63" s="828">
        <f t="shared" si="18"/>
        <v>1673.8827960000001</v>
      </c>
      <c r="AH63" s="828">
        <f t="shared" si="18"/>
        <v>1686.154796</v>
      </c>
      <c r="AI63" s="828">
        <f t="shared" si="18"/>
        <v>1699.154796</v>
      </c>
      <c r="AJ63" s="828">
        <f t="shared" si="18"/>
        <v>1703.9997960000001</v>
      </c>
      <c r="AK63" s="828">
        <f t="shared" si="18"/>
        <v>1755.5109223080001</v>
      </c>
      <c r="AL63" s="828">
        <f t="shared" si="18"/>
        <v>1768.5109223080001</v>
      </c>
      <c r="AM63" s="828">
        <f t="shared" si="18"/>
        <v>1781.5109223080001</v>
      </c>
      <c r="AN63" s="828">
        <f t="shared" si="18"/>
        <v>1772.8659223080001</v>
      </c>
    </row>
    <row r="64" spans="2:40" ht="17.5" customHeight="1" x14ac:dyDescent="0.35">
      <c r="B64" s="606" t="s">
        <v>766</v>
      </c>
      <c r="C64" s="268"/>
      <c r="D64" s="828">
        <f t="shared" ref="D64:AE64" si="19">D60-D61</f>
        <v>427.03899999999999</v>
      </c>
      <c r="E64" s="828">
        <f t="shared" si="19"/>
        <v>451.51000000000022</v>
      </c>
      <c r="F64" s="828">
        <f t="shared" si="19"/>
        <v>449.19599999999991</v>
      </c>
      <c r="G64" s="828">
        <f t="shared" si="19"/>
        <v>448.2829999999999</v>
      </c>
      <c r="H64" s="828">
        <f t="shared" si="19"/>
        <v>448.1389999999999</v>
      </c>
      <c r="I64" s="828">
        <f t="shared" si="19"/>
        <v>467.26499999999987</v>
      </c>
      <c r="J64" s="828">
        <f t="shared" si="19"/>
        <v>436.0639999999994</v>
      </c>
      <c r="K64" s="828">
        <f t="shared" si="19"/>
        <v>561.10999999999967</v>
      </c>
      <c r="L64" s="828">
        <f t="shared" si="19"/>
        <v>492.71299999999974</v>
      </c>
      <c r="M64" s="828">
        <f t="shared" si="19"/>
        <v>536.62899999999991</v>
      </c>
      <c r="N64" s="828">
        <f t="shared" si="19"/>
        <v>510.29715999999962</v>
      </c>
      <c r="O64" s="828">
        <f t="shared" si="19"/>
        <v>690.33483999999999</v>
      </c>
      <c r="P64" s="828">
        <f t="shared" si="19"/>
        <v>672.24300000000039</v>
      </c>
      <c r="Q64" s="828">
        <f t="shared" si="19"/>
        <v>654.30700000000024</v>
      </c>
      <c r="R64" s="828">
        <f t="shared" si="19"/>
        <v>654.93100000000049</v>
      </c>
      <c r="S64" s="828">
        <f t="shared" si="19"/>
        <v>644.5619999999999</v>
      </c>
      <c r="T64" s="828">
        <f t="shared" si="19"/>
        <v>682.23099999999977</v>
      </c>
      <c r="U64" s="828">
        <f t="shared" si="19"/>
        <v>537.61599999999999</v>
      </c>
      <c r="V64" s="828">
        <f t="shared" si="19"/>
        <v>545.40385714285685</v>
      </c>
      <c r="W64" s="828">
        <f t="shared" si="19"/>
        <v>550.17385714285729</v>
      </c>
      <c r="X64" s="828">
        <f t="shared" si="19"/>
        <v>562.69100000000026</v>
      </c>
      <c r="Y64" s="828">
        <f t="shared" si="19"/>
        <v>617.04199999999992</v>
      </c>
      <c r="Z64" s="828">
        <f t="shared" si="19"/>
        <v>628.17299999999977</v>
      </c>
      <c r="AA64" s="828">
        <f t="shared" si="19"/>
        <v>630.58599999999979</v>
      </c>
      <c r="AB64" s="828">
        <f t="shared" si="19"/>
        <v>648.63299999999981</v>
      </c>
      <c r="AC64" s="828">
        <f t="shared" si="19"/>
        <v>690.39600000000019</v>
      </c>
      <c r="AD64" s="828">
        <f t="shared" si="19"/>
        <v>709.721</v>
      </c>
      <c r="AE64" s="807">
        <f t="shared" si="19"/>
        <v>724.73999999999978</v>
      </c>
      <c r="AF64" s="828">
        <f>AE64*(1.05)^0.25</f>
        <v>733.6341791801018</v>
      </c>
      <c r="AG64" s="828">
        <f t="shared" ref="AG64:AN64" si="20">AF64*(1.05)^0.25</f>
        <v>742.63750981215583</v>
      </c>
      <c r="AH64" s="828">
        <f t="shared" si="20"/>
        <v>751.75133142836864</v>
      </c>
      <c r="AI64" s="828">
        <f t="shared" si="20"/>
        <v>760.97700000000009</v>
      </c>
      <c r="AJ64" s="828">
        <f t="shared" si="20"/>
        <v>770.31588813910719</v>
      </c>
      <c r="AK64" s="828">
        <f t="shared" si="20"/>
        <v>779.76938530276402</v>
      </c>
      <c r="AL64" s="828">
        <f t="shared" si="20"/>
        <v>789.33889799978749</v>
      </c>
      <c r="AM64" s="828">
        <f t="shared" si="20"/>
        <v>799.02585000000045</v>
      </c>
      <c r="AN64" s="828">
        <f t="shared" si="20"/>
        <v>808.83168254606289</v>
      </c>
    </row>
    <row r="65" spans="2:40" x14ac:dyDescent="0.35">
      <c r="B65" s="606" t="s">
        <v>2075</v>
      </c>
      <c r="C65" s="268"/>
      <c r="D65" s="828"/>
      <c r="E65" s="828"/>
      <c r="F65" s="828"/>
      <c r="G65" s="828"/>
      <c r="H65" s="828"/>
      <c r="I65" s="828"/>
      <c r="J65" s="828"/>
      <c r="K65" s="828"/>
      <c r="L65" s="828"/>
      <c r="M65" s="828"/>
      <c r="N65" s="828"/>
      <c r="O65" s="828"/>
      <c r="P65" s="828"/>
      <c r="Q65" s="828"/>
      <c r="R65" s="828"/>
      <c r="S65" s="828"/>
      <c r="T65" s="788">
        <f t="shared" ref="T65:AK65" si="21">(T64/P64)-1</f>
        <v>1.4857722579483035E-2</v>
      </c>
      <c r="U65" s="788">
        <f t="shared" si="21"/>
        <v>-0.17834288797154885</v>
      </c>
      <c r="V65" s="788">
        <f t="shared" si="21"/>
        <v>-0.16723462907870223</v>
      </c>
      <c r="W65" s="788">
        <f t="shared" si="21"/>
        <v>-0.14643764735920306</v>
      </c>
      <c r="X65" s="788">
        <f t="shared" si="21"/>
        <v>-0.17521924392177946</v>
      </c>
      <c r="Y65" s="788">
        <f t="shared" si="21"/>
        <v>0.14773741852921041</v>
      </c>
      <c r="Z65" s="788">
        <f t="shared" si="21"/>
        <v>0.15175753118200497</v>
      </c>
      <c r="AA65" s="788">
        <f t="shared" si="21"/>
        <v>0.14615769508703291</v>
      </c>
      <c r="AB65" s="788">
        <f t="shared" si="21"/>
        <v>0.15273391612803389</v>
      </c>
      <c r="AC65" s="788">
        <f t="shared" si="21"/>
        <v>0.11888007623468133</v>
      </c>
      <c r="AD65" s="788">
        <f t="shared" si="21"/>
        <v>0.1298177412910142</v>
      </c>
      <c r="AE65" s="789">
        <f t="shared" si="21"/>
        <v>0.14931190987430742</v>
      </c>
      <c r="AF65" s="788">
        <f t="shared" si="21"/>
        <v>0.13104664606966043</v>
      </c>
      <c r="AG65" s="788">
        <f t="shared" si="21"/>
        <v>7.5668905689134425E-2</v>
      </c>
      <c r="AH65" s="788">
        <f t="shared" si="21"/>
        <v>5.9220921218857248E-2</v>
      </c>
      <c r="AI65" s="788">
        <f t="shared" si="21"/>
        <v>5.0000000000000488E-2</v>
      </c>
      <c r="AJ65" s="788">
        <f t="shared" si="21"/>
        <v>5.0000000000000488E-2</v>
      </c>
      <c r="AK65" s="788">
        <f t="shared" si="21"/>
        <v>5.0000000000000488E-2</v>
      </c>
      <c r="AL65" s="828"/>
      <c r="AM65" s="828"/>
      <c r="AN65" s="828"/>
    </row>
    <row r="66" spans="2:40" x14ac:dyDescent="0.35">
      <c r="B66" s="693" t="s">
        <v>440</v>
      </c>
      <c r="C66" s="268" t="s">
        <v>441</v>
      </c>
      <c r="D66" s="822">
        <f>'Haver Pivoted'!GO88/1000</f>
        <v>983.86099999999999</v>
      </c>
      <c r="E66" s="822">
        <f>'Haver Pivoted'!GP88/1000</f>
        <v>1019.19</v>
      </c>
      <c r="F66" s="822">
        <f>'Haver Pivoted'!GQ88/1000</f>
        <v>1026.704</v>
      </c>
      <c r="G66" s="822">
        <f>'Haver Pivoted'!GR88/1000</f>
        <v>1034.4169999999999</v>
      </c>
      <c r="H66" s="822">
        <f>'Haver Pivoted'!GS88/1000</f>
        <v>1042.6610000000001</v>
      </c>
      <c r="I66" s="822">
        <f>'Haver Pivoted'!GT88/1000</f>
        <v>1068.44</v>
      </c>
      <c r="J66" s="822">
        <f>'Haver Pivoted'!GU88/1000</f>
        <v>1075.0129999999999</v>
      </c>
      <c r="K66" s="822">
        <f>'Haver Pivoted'!GV88/1000</f>
        <v>1080.2349999999999</v>
      </c>
      <c r="L66" s="822">
        <f>'Haver Pivoted'!GW88/1000</f>
        <v>1088.0239999999999</v>
      </c>
      <c r="M66" s="822">
        <f>'Haver Pivoted'!GX88/1000</f>
        <v>1106.018</v>
      </c>
      <c r="N66" s="822">
        <f>'Haver Pivoted'!GY88/1000</f>
        <v>1109.463</v>
      </c>
      <c r="O66" s="822">
        <f>'Haver Pivoted'!GZ88/1000</f>
        <v>1116.6780000000001</v>
      </c>
      <c r="P66" s="822">
        <f>'Haver Pivoted'!HA88/1000</f>
        <v>1126.241</v>
      </c>
      <c r="Q66" s="822">
        <f>'Haver Pivoted'!HB88/1000</f>
        <v>1199.182</v>
      </c>
      <c r="R66" s="822">
        <f>'Haver Pivoted'!HC88/1000</f>
        <v>1206.8019999999999</v>
      </c>
      <c r="S66" s="822">
        <f>'Haver Pivoted'!HD88/1000</f>
        <v>1214.2470000000001</v>
      </c>
      <c r="T66" s="822">
        <f>'Haver Pivoted'!HE88/1000</f>
        <v>1225.7829999999999</v>
      </c>
      <c r="U66" s="822">
        <f>'Haver Pivoted'!HF88/1000</f>
        <v>1340.874</v>
      </c>
      <c r="V66" s="822">
        <f>'Haver Pivoted'!HG88/1000</f>
        <v>1352.623</v>
      </c>
      <c r="W66" s="822">
        <f>'Haver Pivoted'!HH88/1000</f>
        <v>1359.8879999999999</v>
      </c>
      <c r="X66" s="822">
        <f>'Haver Pivoted'!HI88/1000</f>
        <v>1374.508</v>
      </c>
      <c r="Y66" s="822">
        <f>'Haver Pivoted'!HJ88/1000</f>
        <v>1427.5630000000001</v>
      </c>
      <c r="Z66" s="822">
        <f>'Haver Pivoted'!HK88/1000</f>
        <v>1440.9880000000001</v>
      </c>
      <c r="AA66" s="822">
        <f>'Haver Pivoted'!HL88/1000</f>
        <v>1454.2329999999999</v>
      </c>
      <c r="AB66" s="822">
        <f>'Haver Pivoted'!HM88/1000</f>
        <v>1469.078</v>
      </c>
      <c r="AC66" s="822">
        <f>'Haver Pivoted'!HN88/1000</f>
        <v>1529.8430000000001</v>
      </c>
      <c r="AD66" s="822">
        <f>'Haver Pivoted'!HO88/1000</f>
        <v>1607.5219999999999</v>
      </c>
      <c r="AE66" s="808">
        <f>'Haver Pivoted'!HP88/1000</f>
        <v>1575.4390000000001</v>
      </c>
      <c r="AF66" s="808">
        <f>'Haver Pivoted'!HQ88/1000</f>
        <v>1578.2070000000001</v>
      </c>
      <c r="AG66" s="828">
        <f t="shared" ref="AG66:AN66" si="22">AF66+AG67</f>
        <v>1635.396796</v>
      </c>
      <c r="AH66" s="828">
        <f t="shared" si="22"/>
        <v>1648.396796</v>
      </c>
      <c r="AI66" s="828">
        <f t="shared" si="22"/>
        <v>1661.396796</v>
      </c>
      <c r="AJ66" s="828">
        <f t="shared" si="22"/>
        <v>1674.396796</v>
      </c>
      <c r="AK66" s="828">
        <f t="shared" si="22"/>
        <v>1725.907922308</v>
      </c>
      <c r="AL66" s="828">
        <f t="shared" si="22"/>
        <v>1738.907922308</v>
      </c>
      <c r="AM66" s="828">
        <f t="shared" si="22"/>
        <v>1751.907922308</v>
      </c>
      <c r="AN66" s="828">
        <f t="shared" si="22"/>
        <v>1764.907922308</v>
      </c>
    </row>
    <row r="67" spans="2:40" ht="25.75" customHeight="1" x14ac:dyDescent="0.35">
      <c r="B67" s="529" t="s">
        <v>1755</v>
      </c>
      <c r="C67" s="268"/>
      <c r="D67" s="851"/>
      <c r="E67" s="580"/>
      <c r="F67" s="580"/>
      <c r="G67" s="580"/>
      <c r="H67" s="580"/>
      <c r="I67" s="580"/>
      <c r="J67" s="580"/>
      <c r="K67" s="580"/>
      <c r="L67" s="580"/>
      <c r="M67" s="580"/>
      <c r="N67" s="580"/>
      <c r="O67" s="580"/>
      <c r="P67" s="580"/>
      <c r="Q67" s="580"/>
      <c r="R67" s="580"/>
      <c r="S67" s="838"/>
      <c r="T67" s="838"/>
      <c r="U67" s="838">
        <f t="shared" ref="U67:AN67" si="23">U69+U68</f>
        <v>114.64312099999998</v>
      </c>
      <c r="V67" s="580">
        <f t="shared" si="23"/>
        <v>8</v>
      </c>
      <c r="W67" s="580">
        <f t="shared" si="23"/>
        <v>11</v>
      </c>
      <c r="X67" s="828">
        <f t="shared" si="23"/>
        <v>14</v>
      </c>
      <c r="Y67" s="828">
        <f t="shared" si="23"/>
        <v>52.984256000000002</v>
      </c>
      <c r="Z67" s="828">
        <f t="shared" si="23"/>
        <v>13</v>
      </c>
      <c r="AA67" s="828">
        <f t="shared" si="23"/>
        <v>11</v>
      </c>
      <c r="AB67" s="828">
        <f t="shared" si="23"/>
        <v>14</v>
      </c>
      <c r="AC67" s="828">
        <f t="shared" si="23"/>
        <v>43.726950000000002</v>
      </c>
      <c r="AD67" s="828">
        <f t="shared" si="23"/>
        <v>68.28</v>
      </c>
      <c r="AE67" s="807">
        <v>-29</v>
      </c>
      <c r="AF67" s="828">
        <f>AF69+AF68</f>
        <v>4</v>
      </c>
      <c r="AG67" s="828">
        <f t="shared" si="23"/>
        <v>57.189796000000001</v>
      </c>
      <c r="AH67" s="828">
        <f t="shared" si="23"/>
        <v>13</v>
      </c>
      <c r="AI67" s="828">
        <f t="shared" si="23"/>
        <v>13</v>
      </c>
      <c r="AJ67" s="828">
        <f t="shared" si="23"/>
        <v>13</v>
      </c>
      <c r="AK67" s="828">
        <f t="shared" si="23"/>
        <v>51.511126308000001</v>
      </c>
      <c r="AL67" s="828">
        <f t="shared" si="23"/>
        <v>13</v>
      </c>
      <c r="AM67" s="828">
        <f t="shared" si="23"/>
        <v>13</v>
      </c>
      <c r="AN67" s="828">
        <f t="shared" si="23"/>
        <v>13</v>
      </c>
    </row>
    <row r="68" spans="2:40" ht="37" customHeight="1" x14ac:dyDescent="0.35">
      <c r="B68" s="521" t="s">
        <v>2034</v>
      </c>
      <c r="C68" s="268"/>
      <c r="D68" s="851"/>
      <c r="E68" s="580"/>
      <c r="F68" s="838"/>
      <c r="G68" s="838"/>
      <c r="H68" s="838"/>
      <c r="I68" s="838"/>
      <c r="J68" s="838"/>
      <c r="K68" s="838"/>
      <c r="L68" s="838"/>
      <c r="M68" s="838"/>
      <c r="N68" s="838"/>
      <c r="O68" s="838"/>
      <c r="P68" s="838"/>
      <c r="Q68" s="838"/>
      <c r="R68" s="838"/>
      <c r="S68" s="838"/>
      <c r="T68" s="838"/>
      <c r="U68" s="838">
        <v>8</v>
      </c>
      <c r="V68" s="580">
        <v>8</v>
      </c>
      <c r="W68" s="580">
        <v>11</v>
      </c>
      <c r="X68" s="828">
        <v>14</v>
      </c>
      <c r="Y68" s="828">
        <v>9</v>
      </c>
      <c r="Z68" s="828">
        <v>13</v>
      </c>
      <c r="AA68" s="828">
        <v>11</v>
      </c>
      <c r="AB68" s="828">
        <v>14</v>
      </c>
      <c r="AC68" s="828">
        <v>7</v>
      </c>
      <c r="AD68" s="828">
        <f>158-89.72</f>
        <v>68.28</v>
      </c>
      <c r="AE68" s="807">
        <v>4</v>
      </c>
      <c r="AF68" s="828">
        <v>4</v>
      </c>
      <c r="AG68" s="828">
        <v>13</v>
      </c>
      <c r="AH68" s="828">
        <v>13</v>
      </c>
      <c r="AI68" s="828">
        <v>13</v>
      </c>
      <c r="AJ68" s="828">
        <v>13</v>
      </c>
      <c r="AK68" s="828">
        <v>13</v>
      </c>
      <c r="AL68" s="828">
        <v>13</v>
      </c>
      <c r="AM68" s="828">
        <v>13</v>
      </c>
      <c r="AN68" s="828">
        <v>13</v>
      </c>
    </row>
    <row r="69" spans="2:40" ht="33" customHeight="1" x14ac:dyDescent="0.35">
      <c r="B69" s="787" t="s">
        <v>1754</v>
      </c>
      <c r="C69" s="845"/>
      <c r="D69" s="846"/>
      <c r="E69" s="830"/>
      <c r="F69" s="830"/>
      <c r="G69" s="830"/>
      <c r="H69" s="830"/>
      <c r="I69" s="830"/>
      <c r="J69" s="847"/>
      <c r="K69" s="847"/>
      <c r="L69" s="847"/>
      <c r="M69" s="848"/>
      <c r="N69" s="847"/>
      <c r="O69" s="847"/>
      <c r="P69" s="847"/>
      <c r="Q69" s="848"/>
      <c r="R69" s="847"/>
      <c r="S69" s="847"/>
      <c r="T69" s="847"/>
      <c r="U69" s="847">
        <f t="shared" ref="U69:AN69" si="24">U70*T66</f>
        <v>106.64312099999998</v>
      </c>
      <c r="V69" s="847">
        <f t="shared" si="24"/>
        <v>0</v>
      </c>
      <c r="W69" s="847">
        <f t="shared" si="24"/>
        <v>0</v>
      </c>
      <c r="X69" s="847">
        <f t="shared" si="24"/>
        <v>0</v>
      </c>
      <c r="Y69" s="847">
        <f t="shared" si="24"/>
        <v>43.984256000000002</v>
      </c>
      <c r="Z69" s="847">
        <f t="shared" si="24"/>
        <v>0</v>
      </c>
      <c r="AA69" s="847">
        <f t="shared" si="24"/>
        <v>0</v>
      </c>
      <c r="AB69" s="847">
        <f t="shared" si="24"/>
        <v>0</v>
      </c>
      <c r="AC69" s="847">
        <f t="shared" si="24"/>
        <v>36.726950000000002</v>
      </c>
      <c r="AD69" s="847">
        <f t="shared" si="24"/>
        <v>0</v>
      </c>
      <c r="AE69" s="809">
        <f t="shared" si="24"/>
        <v>0</v>
      </c>
      <c r="AF69" s="847">
        <f t="shared" si="24"/>
        <v>0</v>
      </c>
      <c r="AG69" s="847">
        <f>AG70*AF66</f>
        <v>44.189796000000001</v>
      </c>
      <c r="AH69" s="847">
        <f t="shared" si="24"/>
        <v>0</v>
      </c>
      <c r="AI69" s="847">
        <f t="shared" si="24"/>
        <v>0</v>
      </c>
      <c r="AJ69" s="847">
        <f t="shared" si="24"/>
        <v>0</v>
      </c>
      <c r="AK69" s="847">
        <f t="shared" si="24"/>
        <v>38.511126308000001</v>
      </c>
      <c r="AL69" s="847">
        <f t="shared" si="24"/>
        <v>0</v>
      </c>
      <c r="AM69" s="847">
        <f t="shared" si="24"/>
        <v>0</v>
      </c>
      <c r="AN69" s="847">
        <f t="shared" si="24"/>
        <v>0</v>
      </c>
    </row>
    <row r="70" spans="2:40" ht="49.5" customHeight="1" x14ac:dyDescent="0.35">
      <c r="B70" s="521" t="s">
        <v>1759</v>
      </c>
      <c r="C70" s="268"/>
      <c r="D70" s="851"/>
      <c r="E70" s="580"/>
      <c r="F70" s="580"/>
      <c r="G70" s="580"/>
      <c r="H70" s="580"/>
      <c r="I70" s="830"/>
      <c r="J70" s="830"/>
      <c r="K70" s="830"/>
      <c r="L70" s="830"/>
      <c r="M70" s="830"/>
      <c r="N70" s="830"/>
      <c r="O70" s="830"/>
      <c r="P70" s="830"/>
      <c r="Q70" s="830"/>
      <c r="R70" s="830"/>
      <c r="S70" s="849"/>
      <c r="T70" s="849"/>
      <c r="U70" s="839">
        <v>8.6999999999999994E-2</v>
      </c>
      <c r="V70" s="831">
        <v>0</v>
      </c>
      <c r="W70" s="831">
        <v>0</v>
      </c>
      <c r="X70" s="850">
        <v>0</v>
      </c>
      <c r="Y70" s="850">
        <v>3.2000000000000001E-2</v>
      </c>
      <c r="Z70" s="850">
        <v>0</v>
      </c>
      <c r="AA70" s="850">
        <v>0</v>
      </c>
      <c r="AB70" s="850">
        <v>0</v>
      </c>
      <c r="AC70" s="850">
        <v>2.5000000000000001E-2</v>
      </c>
      <c r="AD70" s="850">
        <v>0</v>
      </c>
      <c r="AE70" s="810">
        <v>0</v>
      </c>
      <c r="AF70" s="850">
        <v>0</v>
      </c>
      <c r="AG70" s="850">
        <v>2.8000000000000001E-2</v>
      </c>
      <c r="AH70" s="850">
        <v>0</v>
      </c>
      <c r="AI70" s="850">
        <v>0</v>
      </c>
      <c r="AJ70" s="850">
        <v>0</v>
      </c>
      <c r="AK70" s="850">
        <v>2.3E-2</v>
      </c>
      <c r="AL70" s="850">
        <v>0</v>
      </c>
      <c r="AM70" s="850">
        <v>0</v>
      </c>
      <c r="AN70" s="850">
        <v>0</v>
      </c>
    </row>
    <row r="71" spans="2:40" ht="25.75" customHeight="1" x14ac:dyDescent="0.35">
      <c r="B71" s="399" t="s">
        <v>1803</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811">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47"/>
    </row>
    <row r="73" spans="2:40" ht="17.5" customHeight="1" x14ac:dyDescent="0.35">
      <c r="B73" s="356"/>
      <c r="C73" s="268"/>
      <c r="S73" s="360"/>
      <c r="T73" s="360"/>
      <c r="U73" s="360"/>
      <c r="V73" s="360"/>
      <c r="W73" s="360"/>
      <c r="X73" s="360"/>
      <c r="Y73" s="360"/>
      <c r="Z73" s="360"/>
      <c r="AA73" s="360"/>
      <c r="AB73" s="360"/>
      <c r="AC73" s="360"/>
      <c r="AD73" s="647"/>
    </row>
    <row r="74" spans="2:40" ht="17.5" customHeight="1" x14ac:dyDescent="0.35">
      <c r="B74" s="268"/>
      <c r="C74" s="268"/>
      <c r="S74" s="268"/>
      <c r="T74" s="268"/>
      <c r="U74" s="580"/>
      <c r="V74" s="580"/>
      <c r="W74" s="580"/>
      <c r="X74" s="580"/>
      <c r="Y74" s="580"/>
      <c r="Z74" s="580"/>
      <c r="AA74" s="580"/>
      <c r="AB74" s="580"/>
      <c r="AC74" s="580"/>
      <c r="AD74" s="647"/>
    </row>
    <row r="75" spans="2:40" ht="30.65" customHeight="1" x14ac:dyDescent="0.35">
      <c r="B75" s="356"/>
      <c r="C75" s="268"/>
      <c r="S75" s="268"/>
      <c r="T75" s="268"/>
      <c r="U75" s="580"/>
      <c r="V75" s="580"/>
      <c r="W75" s="580"/>
      <c r="X75" s="580"/>
      <c r="Y75" s="580"/>
      <c r="Z75" s="580"/>
      <c r="AA75" s="580"/>
      <c r="AB75" s="580"/>
      <c r="AC75" s="580"/>
      <c r="AD75" s="647"/>
    </row>
    <row r="76" spans="2:40" ht="39" customHeight="1" x14ac:dyDescent="0.35">
      <c r="B76" s="356"/>
      <c r="C76" s="268"/>
      <c r="S76" s="268"/>
      <c r="T76" s="268"/>
      <c r="U76" s="360"/>
      <c r="V76" s="360"/>
      <c r="W76" s="360"/>
      <c r="X76" s="360"/>
      <c r="Y76" s="360"/>
      <c r="Z76" s="360"/>
      <c r="AA76" s="360"/>
      <c r="AB76" s="360"/>
      <c r="AC76" s="360"/>
      <c r="AD76" s="647"/>
    </row>
    <row r="77" spans="2:40" ht="29.5" customHeight="1" x14ac:dyDescent="0.35">
      <c r="B77" s="356"/>
      <c r="C77" s="268"/>
      <c r="S77" s="268"/>
      <c r="T77" s="268"/>
      <c r="U77" s="840"/>
      <c r="V77" s="840"/>
      <c r="W77" s="840"/>
      <c r="X77" s="840"/>
      <c r="Y77" s="840"/>
      <c r="Z77" s="840"/>
      <c r="AA77" s="840"/>
      <c r="AB77" s="840"/>
      <c r="AC77" s="840"/>
      <c r="AD77" s="647"/>
    </row>
    <row r="78" spans="2:40" ht="16.75" customHeight="1" x14ac:dyDescent="0.35">
      <c r="B78" s="268"/>
      <c r="C78" s="268"/>
      <c r="S78" s="360"/>
      <c r="T78" s="360"/>
      <c r="U78" s="360"/>
      <c r="V78" s="360"/>
      <c r="W78" s="360"/>
      <c r="X78" s="360"/>
      <c r="Y78" s="360"/>
      <c r="Z78" s="360"/>
      <c r="AA78" s="360"/>
      <c r="AB78" s="360"/>
      <c r="AC78" s="360"/>
      <c r="AD78" s="647"/>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24"/>
      <c r="C81" s="825">
        <v>2016</v>
      </c>
      <c r="D81" s="826">
        <f>C81+1</f>
        <v>2017</v>
      </c>
      <c r="E81" s="826">
        <f t="shared" ref="E81:R81" si="25">D81+1</f>
        <v>2018</v>
      </c>
      <c r="F81" s="826">
        <f t="shared" si="25"/>
        <v>2019</v>
      </c>
      <c r="G81" s="826">
        <f t="shared" si="25"/>
        <v>2020</v>
      </c>
      <c r="H81" s="826">
        <f t="shared" si="25"/>
        <v>2021</v>
      </c>
      <c r="I81" s="826">
        <f t="shared" si="25"/>
        <v>2022</v>
      </c>
      <c r="J81" s="826">
        <f t="shared" si="25"/>
        <v>2023</v>
      </c>
      <c r="K81" s="826">
        <f t="shared" si="25"/>
        <v>2024</v>
      </c>
      <c r="L81" s="826">
        <f t="shared" si="25"/>
        <v>2025</v>
      </c>
      <c r="M81" s="826">
        <f t="shared" si="25"/>
        <v>2026</v>
      </c>
      <c r="N81" s="826">
        <f t="shared" si="25"/>
        <v>2027</v>
      </c>
      <c r="O81" s="826">
        <f t="shared" si="25"/>
        <v>2028</v>
      </c>
      <c r="P81" s="826">
        <f t="shared" si="25"/>
        <v>2029</v>
      </c>
      <c r="Q81" s="826">
        <f t="shared" si="25"/>
        <v>2030</v>
      </c>
      <c r="R81" s="826">
        <f t="shared" si="25"/>
        <v>2031</v>
      </c>
      <c r="S81" s="360"/>
      <c r="T81" s="360"/>
      <c r="U81" s="360"/>
      <c r="V81" s="360"/>
      <c r="W81" s="360"/>
      <c r="X81" s="360"/>
      <c r="Y81" s="360"/>
      <c r="Z81" s="360"/>
      <c r="AA81" s="360"/>
      <c r="AB81" s="360"/>
      <c r="AC81" s="360"/>
    </row>
    <row r="82" spans="2:29" ht="16.75" customHeight="1" x14ac:dyDescent="0.35">
      <c r="B82" s="829" t="s">
        <v>2042</v>
      </c>
      <c r="C82">
        <v>910.3</v>
      </c>
      <c r="D82">
        <v>939.2</v>
      </c>
      <c r="E82">
        <v>982</v>
      </c>
      <c r="F82">
        <v>1038.5</v>
      </c>
      <c r="G82">
        <v>1089.9000000000001</v>
      </c>
      <c r="H82">
        <v>1128.8</v>
      </c>
      <c r="I82">
        <v>1212.5</v>
      </c>
      <c r="J82">
        <v>1348</v>
      </c>
      <c r="K82">
        <v>1454.424</v>
      </c>
      <c r="L82" s="786">
        <v>1575</v>
      </c>
      <c r="M82" s="786">
        <v>1666</v>
      </c>
      <c r="N82" s="786">
        <v>1769</v>
      </c>
      <c r="O82" s="786">
        <v>1875</v>
      </c>
      <c r="P82" s="786">
        <v>1979</v>
      </c>
      <c r="Q82" s="786">
        <v>2083</v>
      </c>
      <c r="R82" s="786">
        <v>2190</v>
      </c>
      <c r="S82" s="388">
        <v>2298</v>
      </c>
      <c r="T82" s="388">
        <v>2409</v>
      </c>
      <c r="U82" s="388">
        <v>2519</v>
      </c>
      <c r="V82" s="360">
        <v>2632</v>
      </c>
      <c r="W82" s="360">
        <v>2747</v>
      </c>
      <c r="X82" s="360"/>
      <c r="Y82" s="360"/>
      <c r="Z82" s="360"/>
      <c r="AA82" s="360"/>
      <c r="AB82" s="360"/>
      <c r="AC82" s="360"/>
    </row>
    <row r="83" spans="2:29" ht="16.75" customHeight="1" x14ac:dyDescent="0.35">
      <c r="B83" s="506" t="s">
        <v>1916</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1917</v>
      </c>
      <c r="C84" s="268">
        <f>C83/C82</f>
        <v>0.97813220916181476</v>
      </c>
      <c r="D84" s="268">
        <f t="shared" ref="D84:M84" si="26">D83/D82</f>
        <v>0.97818755323679718</v>
      </c>
      <c r="E84" s="268">
        <f t="shared" si="26"/>
        <v>0.97822199592668024</v>
      </c>
      <c r="F84" s="268">
        <f t="shared" si="26"/>
        <v>0.97837554164660567</v>
      </c>
      <c r="G84" s="268">
        <f t="shared" si="26"/>
        <v>0.97861684558216333</v>
      </c>
      <c r="H84" s="268">
        <f t="shared" si="26"/>
        <v>0.9789646084337349</v>
      </c>
      <c r="I84" s="268">
        <f t="shared" si="26"/>
        <v>0.97867422680412364</v>
      </c>
      <c r="J84" s="268">
        <f t="shared" si="26"/>
        <v>0.97914113501483691</v>
      </c>
      <c r="K84" s="268">
        <f t="shared" si="26"/>
        <v>0.97863415345181315</v>
      </c>
      <c r="L84" s="268">
        <f t="shared" si="26"/>
        <v>0.98125111111111119</v>
      </c>
      <c r="M84" s="268">
        <f t="shared" si="26"/>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27">M82*$K$84</f>
        <v>1630.4044996507207</v>
      </c>
      <c r="N85" s="268">
        <f t="shared" si="27"/>
        <v>1731.2038174562574</v>
      </c>
      <c r="P85" s="268"/>
    </row>
    <row r="86" spans="2:29" ht="22.5" customHeight="1" x14ac:dyDescent="0.35">
      <c r="L86" s="81">
        <f>L85-L83</f>
        <v>-4.1217083133944925</v>
      </c>
      <c r="M86" s="81">
        <f t="shared" ref="M86:N86" si="28">M85-M83</f>
        <v>-0.44484734927937097</v>
      </c>
      <c r="N86" s="81">
        <f t="shared" si="28"/>
        <v>8.4236767252575646</v>
      </c>
      <c r="R86" s="647"/>
    </row>
    <row r="87" spans="2:29" ht="38.5" customHeight="1" x14ac:dyDescent="0.35"/>
    <row r="88" spans="2:29" ht="38.5" customHeight="1" x14ac:dyDescent="0.35">
      <c r="C88" t="e">
        <f t="shared" ref="C88:M88" si="29">C82/B82-1</f>
        <v>#VALUE!</v>
      </c>
      <c r="D88">
        <f t="shared" si="29"/>
        <v>3.1747775458640159E-2</v>
      </c>
      <c r="E88">
        <f t="shared" si="29"/>
        <v>4.557069846678008E-2</v>
      </c>
      <c r="F88">
        <f t="shared" si="29"/>
        <v>5.7535641547861616E-2</v>
      </c>
      <c r="G88">
        <f t="shared" si="29"/>
        <v>4.9494463168030967E-2</v>
      </c>
      <c r="H88">
        <f t="shared" si="29"/>
        <v>3.5691347830075992E-2</v>
      </c>
      <c r="I88">
        <f t="shared" si="29"/>
        <v>7.4149539333805858E-2</v>
      </c>
      <c r="J88">
        <f t="shared" si="29"/>
        <v>0.11175257731958754</v>
      </c>
      <c r="K88">
        <f t="shared" si="29"/>
        <v>7.8949554896142526E-2</v>
      </c>
      <c r="L88">
        <f t="shared" si="29"/>
        <v>8.2902922394019862E-2</v>
      </c>
      <c r="M88">
        <f t="shared" si="29"/>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46:AJ46"/>
    <mergeCell ref="AK46:AN46"/>
    <mergeCell ref="B57:C59"/>
    <mergeCell ref="D57:AB57"/>
    <mergeCell ref="E58:H58"/>
    <mergeCell ref="I58:L58"/>
    <mergeCell ref="M58:P58"/>
    <mergeCell ref="Q58:T58"/>
    <mergeCell ref="AC58:AF58"/>
    <mergeCell ref="AG58:AJ58"/>
    <mergeCell ref="AK58:AN58"/>
    <mergeCell ref="B1:AC1"/>
    <mergeCell ref="B2:AC6"/>
    <mergeCell ref="D8:AB8"/>
    <mergeCell ref="E9:H9"/>
    <mergeCell ref="I9:L9"/>
    <mergeCell ref="M9:P9"/>
    <mergeCell ref="Q9:T9"/>
    <mergeCell ref="U9:X9"/>
    <mergeCell ref="AC9:AF9"/>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41" t="s">
        <v>247</v>
      </c>
      <c r="AD8" s="1442"/>
      <c r="AE8" s="1442"/>
      <c r="AF8" s="1442"/>
      <c r="AG8" s="1442"/>
      <c r="AH8" s="1442"/>
      <c r="AI8" s="1442"/>
      <c r="AJ8" s="1442"/>
      <c r="AK8" s="1442"/>
      <c r="AL8" s="1442"/>
      <c r="AM8" s="1442"/>
      <c r="AN8" s="1443"/>
    </row>
    <row r="9" spans="2:40" ht="14.9" customHeight="1" x14ac:dyDescent="0.35">
      <c r="B9" s="843"/>
      <c r="C9" s="844"/>
      <c r="D9" s="249">
        <v>2018</v>
      </c>
      <c r="E9" s="1403">
        <v>2019</v>
      </c>
      <c r="F9" s="1404"/>
      <c r="G9" s="1404"/>
      <c r="H9" s="1405"/>
      <c r="I9" s="1403">
        <v>2020</v>
      </c>
      <c r="J9" s="1404"/>
      <c r="K9" s="1404"/>
      <c r="L9" s="1404"/>
      <c r="M9" s="1403">
        <v>2021</v>
      </c>
      <c r="N9" s="1404"/>
      <c r="O9" s="1404"/>
      <c r="P9" s="1404"/>
      <c r="Q9" s="1403">
        <v>2022</v>
      </c>
      <c r="R9" s="1404"/>
      <c r="S9" s="1404"/>
      <c r="T9" s="1405"/>
      <c r="U9" s="1403">
        <v>2023</v>
      </c>
      <c r="V9" s="1404"/>
      <c r="W9" s="1404"/>
      <c r="X9" s="1405"/>
      <c r="Y9" s="80"/>
      <c r="Z9" s="277">
        <v>2024</v>
      </c>
      <c r="AA9" s="277"/>
      <c r="AB9" s="279"/>
      <c r="AC9" s="1410">
        <v>2025</v>
      </c>
      <c r="AD9" s="1428"/>
      <c r="AE9" s="1428"/>
      <c r="AF9" s="1428"/>
      <c r="AG9" s="1410">
        <v>2026</v>
      </c>
      <c r="AH9" s="1428"/>
      <c r="AI9" s="1428"/>
      <c r="AJ9" s="1412"/>
      <c r="AK9" s="1410">
        <v>2027</v>
      </c>
      <c r="AL9" s="1428"/>
      <c r="AM9" s="1428"/>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1" t="s">
        <v>431</v>
      </c>
      <c r="C11" s="1502"/>
      <c r="D11" s="794"/>
      <c r="E11" s="795"/>
      <c r="F11" s="795"/>
      <c r="G11" s="795"/>
      <c r="H11" s="422"/>
      <c r="I11" s="422"/>
      <c r="J11" s="422"/>
      <c r="K11" s="422"/>
      <c r="L11" s="422"/>
      <c r="M11" s="703"/>
      <c r="N11" s="703"/>
      <c r="O11" s="703"/>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35" t="s">
        <v>432</v>
      </c>
      <c r="C12" s="268" t="s">
        <v>433</v>
      </c>
      <c r="D12" s="719">
        <f>'[1]Haver Pivoted'!GO31</f>
        <v>2223</v>
      </c>
      <c r="E12" s="620">
        <f>'[1]Haver Pivoted'!GP31</f>
        <v>2303.8000000000002</v>
      </c>
      <c r="F12" s="620">
        <f>'[1]Haver Pivoted'!GQ31</f>
        <v>2321.6999999999998</v>
      </c>
      <c r="G12" s="620">
        <f>'[1]Haver Pivoted'!GR31</f>
        <v>2337.1</v>
      </c>
      <c r="H12" s="620">
        <f>'[1]Haver Pivoted'!GS31</f>
        <v>2349.5</v>
      </c>
      <c r="I12" s="620">
        <f>'[1]Haver Pivoted'!GT31</f>
        <v>2414.4</v>
      </c>
      <c r="J12" s="620">
        <f>'[1]Haver Pivoted'!GU31</f>
        <v>4654.1000000000004</v>
      </c>
      <c r="K12" s="620">
        <f>'[1]Haver Pivoted'!GV31</f>
        <v>3504.7</v>
      </c>
      <c r="L12" s="620">
        <f>'[1]Haver Pivoted'!GW31</f>
        <v>2888.4</v>
      </c>
      <c r="M12" s="620">
        <f>'[1]Haver Pivoted'!GX31</f>
        <v>5138.1000000000004</v>
      </c>
      <c r="N12" s="620">
        <f>'[1]Haver Pivoted'!GY31</f>
        <v>3397.8</v>
      </c>
      <c r="O12" s="620">
        <f>'[1]Haver Pivoted'!GZ31</f>
        <v>3124.9</v>
      </c>
      <c r="P12" s="620">
        <f>'[1]Haver Pivoted'!HA31</f>
        <v>2952.6</v>
      </c>
      <c r="Q12" s="620">
        <f>'[1]Haver Pivoted'!HB31</f>
        <v>2970.9</v>
      </c>
      <c r="R12" s="620">
        <f>'[1]Haver Pivoted'!HC31</f>
        <v>2976.2</v>
      </c>
      <c r="S12" s="796">
        <f>'[1]Haver Pivoted'!HD31</f>
        <v>2970.4</v>
      </c>
      <c r="T12" s="796">
        <f>'[1]Haver Pivoted'!HE31</f>
        <v>3024.4</v>
      </c>
      <c r="U12" s="796">
        <f>'[1]Haver Pivoted'!HF31</f>
        <v>3038.4</v>
      </c>
      <c r="V12" s="796">
        <f>'[1]Haver Pivoted'!HG31</f>
        <v>3049.1</v>
      </c>
      <c r="W12" s="796">
        <f>'[1]Haver Pivoted'!HH31</f>
        <v>3078</v>
      </c>
      <c r="X12" s="796">
        <f>'[1]Haver Pivoted'!HI31</f>
        <v>3095.6</v>
      </c>
      <c r="Y12" s="796">
        <f>'[1]Haver Pivoted'!HJ31</f>
        <v>3201.1</v>
      </c>
      <c r="Z12" s="796">
        <f>'[1]Haver Pivoted'!HK31</f>
        <v>3243.1</v>
      </c>
      <c r="AA12" s="796">
        <f>'[1]Haver Pivoted'!HL31</f>
        <v>3283.8</v>
      </c>
      <c r="AB12" s="796">
        <f>'[1]Haver Pivoted'!HM31</f>
        <v>3328.6</v>
      </c>
      <c r="AC12" s="796">
        <f>'[1]Haver Pivoted'!HN31</f>
        <v>3452.4</v>
      </c>
      <c r="AD12" s="725">
        <f t="shared" ref="AD12:AJ12" si="0">SUM(AD14:AD31)-AD30</f>
        <v>3471.6821604763954</v>
      </c>
      <c r="AE12" s="725">
        <f t="shared" si="0"/>
        <v>3493.4089053306125</v>
      </c>
      <c r="AF12" s="725">
        <f t="shared" si="0"/>
        <v>3516.1507157717829</v>
      </c>
      <c r="AG12" s="725">
        <f t="shared" si="0"/>
        <v>3577.3973329126129</v>
      </c>
      <c r="AH12" s="725">
        <f t="shared" si="0"/>
        <v>3602.5193806266243</v>
      </c>
      <c r="AI12" s="725">
        <f t="shared" si="0"/>
        <v>3628.9171142232867</v>
      </c>
      <c r="AJ12" s="725">
        <f t="shared" si="0"/>
        <v>3655.7583604310757</v>
      </c>
      <c r="AK12" s="725">
        <f t="shared" ref="AK12:AN12" si="1">SUM(AK14:AK31)-AK30</f>
        <v>3724.7603951253282</v>
      </c>
      <c r="AL12" s="725">
        <f t="shared" si="1"/>
        <v>3753.1838415181583</v>
      </c>
      <c r="AM12" s="725">
        <f t="shared" si="1"/>
        <v>3781.9049952942123</v>
      </c>
      <c r="AN12" s="725">
        <f t="shared" si="1"/>
        <v>3790.6049952942121</v>
      </c>
    </row>
    <row r="13" spans="2:40" x14ac:dyDescent="0.35">
      <c r="B13" s="403"/>
      <c r="C13" s="268"/>
      <c r="D13" s="719"/>
      <c r="E13" s="620"/>
      <c r="F13" s="620"/>
      <c r="G13" s="620"/>
      <c r="H13" s="620"/>
      <c r="I13" s="620"/>
      <c r="J13" s="620"/>
      <c r="K13" s="620"/>
      <c r="L13" s="620"/>
      <c r="M13" s="620"/>
      <c r="N13" s="620"/>
      <c r="O13" s="620"/>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56" t="s">
        <v>1789</v>
      </c>
      <c r="C14" s="268"/>
      <c r="D14" s="719">
        <f>'[1]Unemployment Insurance'!D21+'[1]Unemployment Insurance'!D20</f>
        <v>27.1</v>
      </c>
      <c r="E14" s="620">
        <f>'[1]Unemployment Insurance'!E21+'[1]Unemployment Insurance'!E20</f>
        <v>29.6</v>
      </c>
      <c r="F14" s="620">
        <f>'[1]Unemployment Insurance'!F21+'[1]Unemployment Insurance'!F20</f>
        <v>27.3</v>
      </c>
      <c r="G14" s="620">
        <f>'[1]Unemployment Insurance'!G21+'[1]Unemployment Insurance'!G20</f>
        <v>26.4</v>
      </c>
      <c r="H14" s="620">
        <f>'[1]Unemployment Insurance'!H21+'[1]Unemployment Insurance'!H20</f>
        <v>26.7</v>
      </c>
      <c r="I14" s="620">
        <f>'[1]Unemployment Insurance'!I21+'[1]Unemployment Insurance'!I20</f>
        <v>40.1</v>
      </c>
      <c r="J14" s="620">
        <f>'[1]Unemployment Insurance'!J21+'[1]Unemployment Insurance'!J20</f>
        <v>951.5</v>
      </c>
      <c r="K14" s="620">
        <f>'[1]Unemployment Insurance'!K21+'[1]Unemployment Insurance'!K20</f>
        <v>800</v>
      </c>
      <c r="L14" s="620">
        <f>'[1]Unemployment Insurance'!L21+'[1]Unemployment Insurance'!L20</f>
        <v>322.7</v>
      </c>
      <c r="M14" s="620">
        <f>'[1]Unemployment Insurance'!M21+'[1]Unemployment Insurance'!M20</f>
        <v>583.79999999999995</v>
      </c>
      <c r="N14" s="620">
        <f>'[1]Unemployment Insurance'!N21+'[1]Unemployment Insurance'!N20</f>
        <v>440.8</v>
      </c>
      <c r="O14" s="620">
        <f>'[1]Unemployment Insurance'!O21+'[1]Unemployment Insurance'!O20</f>
        <v>212.8</v>
      </c>
      <c r="P14" s="620">
        <f>'[1]Unemployment Insurance'!P21+'[1]Unemployment Insurance'!P20</f>
        <v>31.8</v>
      </c>
      <c r="Q14" s="620">
        <f>'[1]Unemployment Insurance'!Q21+'[1]Unemployment Insurance'!Q20</f>
        <v>24.5</v>
      </c>
      <c r="R14" s="620">
        <f>'[1]Unemployment Insurance'!R21+'[1]Unemployment Insurance'!R20</f>
        <v>21.7</v>
      </c>
      <c r="S14" s="620">
        <f>'[1]Unemployment Insurance'!S21+'[1]Unemployment Insurance'!S20</f>
        <v>23.1</v>
      </c>
      <c r="T14" s="620">
        <f>'[1]Unemployment Insurance'!T21+'[1]Unemployment Insurance'!T20</f>
        <v>25.9</v>
      </c>
      <c r="U14" s="620">
        <f>'[1]Unemployment Insurance'!U21+'[1]Unemployment Insurance'!U20</f>
        <v>30.1</v>
      </c>
      <c r="V14" s="796">
        <f t="shared" ref="V14:AC14" si="2">V15+V16</f>
        <v>30.960000000000004</v>
      </c>
      <c r="W14" s="796">
        <f t="shared" si="2"/>
        <v>30.960000000000004</v>
      </c>
      <c r="X14" s="796">
        <f t="shared" si="2"/>
        <v>35.299999999999997</v>
      </c>
      <c r="Y14" s="796">
        <f t="shared" si="2"/>
        <v>34.9</v>
      </c>
      <c r="Z14" s="796">
        <f t="shared" si="2"/>
        <v>34.9</v>
      </c>
      <c r="AA14" s="796">
        <f t="shared" si="2"/>
        <v>35.700000000000003</v>
      </c>
      <c r="AB14" s="796">
        <f t="shared" si="2"/>
        <v>36.1</v>
      </c>
      <c r="AC14" s="796">
        <f t="shared" si="2"/>
        <v>35.799999999999997</v>
      </c>
      <c r="AD14" s="725">
        <f>'[1]Unemployment Insurance'!AD21+'[1]Unemployment Insurance'!AD20</f>
        <v>35.700000000000003</v>
      </c>
      <c r="AE14" s="725">
        <f>'[1]Unemployment Insurance'!AE21+'[1]Unemployment Insurance'!AE20</f>
        <v>35.700000000000003</v>
      </c>
      <c r="AF14" s="725">
        <f>'[1]Unemployment Insurance'!AF21+'[1]Unemployment Insurance'!AF20</f>
        <v>35.700000000000003</v>
      </c>
      <c r="AG14" s="725">
        <f>'[1]Unemployment Insurance'!AG21+'[1]Unemployment Insurance'!AG20</f>
        <v>35.700000000000003</v>
      </c>
      <c r="AH14" s="725">
        <f>'[1]Unemployment Insurance'!AH21+'[1]Unemployment Insurance'!AH20</f>
        <v>35.700000000000003</v>
      </c>
      <c r="AI14" s="725">
        <f>'[1]Unemployment Insurance'!AI21+'[1]Unemployment Insurance'!AI20</f>
        <v>35.700000000000003</v>
      </c>
      <c r="AJ14" s="725">
        <f>'[1]Unemployment Insurance'!AJ21+'[1]Unemployment Insurance'!AJ20</f>
        <v>35.700000000000003</v>
      </c>
      <c r="AK14" s="725">
        <f>'[1]Unemployment Insurance'!AK21+'[1]Unemployment Insurance'!AK20</f>
        <v>36.700000000000003</v>
      </c>
      <c r="AL14" s="725">
        <f>'[1]Unemployment Insurance'!AL21+'[1]Unemployment Insurance'!AL20</f>
        <v>37.700000000000003</v>
      </c>
      <c r="AM14" s="725">
        <f>'[1]Unemployment Insurance'!AM21+'[1]Unemployment Insurance'!AM20</f>
        <v>38.700000000000003</v>
      </c>
      <c r="AN14" s="725">
        <f>'[1]Unemployment Insurance'!AN21+'[1]Unemployment Insurance'!AN20</f>
        <v>39.700000000000003</v>
      </c>
    </row>
    <row r="15" spans="2:40" x14ac:dyDescent="0.35">
      <c r="B15" s="521" t="s">
        <v>191</v>
      </c>
      <c r="C15" s="268"/>
      <c r="D15" s="719"/>
      <c r="E15" s="620"/>
      <c r="F15" s="620"/>
      <c r="G15" s="620"/>
      <c r="H15" s="620"/>
      <c r="I15" s="620"/>
      <c r="J15" s="620"/>
      <c r="K15" s="620"/>
      <c r="L15" s="620"/>
      <c r="M15" s="620"/>
      <c r="N15" s="620"/>
      <c r="O15" s="620"/>
      <c r="P15" s="620"/>
      <c r="Q15" s="620"/>
      <c r="R15" s="620"/>
      <c r="S15" s="620"/>
      <c r="T15" s="620"/>
      <c r="U15" s="620"/>
      <c r="V15" s="796">
        <f>'[1]Unemployment Insurance'!V20</f>
        <v>0</v>
      </c>
      <c r="W15" s="796">
        <f>'[1]Unemployment Insurance'!W20</f>
        <v>0</v>
      </c>
      <c r="X15" s="796">
        <f>'[1]Unemployment Insurance'!X20</f>
        <v>4.632399999999997</v>
      </c>
      <c r="Y15" s="796">
        <f>'[1]Unemployment Insurance'!Y20</f>
        <v>3.0799999999999947</v>
      </c>
      <c r="Z15" s="796">
        <f>'[1]Unemployment Insurance'!Z20</f>
        <v>0</v>
      </c>
      <c r="AA15" s="796">
        <f>'[1]Unemployment Insurance'!AA20</f>
        <v>0</v>
      </c>
      <c r="AB15" s="796">
        <f>'[1]Unemployment Insurance'!AB20</f>
        <v>0.39999999999999858</v>
      </c>
      <c r="AC15" s="796">
        <f>'[1]Unemployment Insurance'!AC20</f>
        <v>9.9999999999994316E-2</v>
      </c>
      <c r="AD15" s="725"/>
      <c r="AE15" s="725"/>
      <c r="AF15" s="725"/>
      <c r="AG15" s="725"/>
      <c r="AH15" s="725"/>
      <c r="AI15" s="725"/>
      <c r="AJ15" s="725"/>
      <c r="AK15" s="725"/>
      <c r="AL15" s="725"/>
      <c r="AM15" s="725"/>
      <c r="AN15" s="725"/>
    </row>
    <row r="16" spans="2:40" x14ac:dyDescent="0.35">
      <c r="B16" s="521" t="s">
        <v>193</v>
      </c>
      <c r="C16" s="268"/>
      <c r="D16" s="719"/>
      <c r="E16" s="620"/>
      <c r="F16" s="620"/>
      <c r="G16" s="620"/>
      <c r="H16" s="620"/>
      <c r="I16" s="620"/>
      <c r="J16" s="620"/>
      <c r="K16" s="620"/>
      <c r="L16" s="620"/>
      <c r="M16" s="620"/>
      <c r="N16" s="620"/>
      <c r="O16" s="620"/>
      <c r="P16" s="620"/>
      <c r="Q16" s="620"/>
      <c r="R16" s="620"/>
      <c r="S16" s="620"/>
      <c r="T16" s="620"/>
      <c r="U16" s="620"/>
      <c r="V16" s="796">
        <f>'[1]Unemployment Insurance'!V21</f>
        <v>30.960000000000004</v>
      </c>
      <c r="W16" s="796">
        <f>'[1]Unemployment Insurance'!W21</f>
        <v>30.960000000000004</v>
      </c>
      <c r="X16" s="796">
        <f>'[1]Unemployment Insurance'!X21</f>
        <v>30.6676</v>
      </c>
      <c r="Y16" s="796">
        <f>'[1]Unemployment Insurance'!Y21</f>
        <v>31.820000000000004</v>
      </c>
      <c r="Z16" s="796">
        <f>'[1]Unemployment Insurance'!Z21</f>
        <v>34.9</v>
      </c>
      <c r="AA16" s="796">
        <f>'[1]Unemployment Insurance'!AA21</f>
        <v>35.700000000000003</v>
      </c>
      <c r="AB16" s="796">
        <f>'[1]Unemployment Insurance'!AB21</f>
        <v>35.700000000000003</v>
      </c>
      <c r="AC16" s="796">
        <f>'[1]Unemployment Insurance'!AC21</f>
        <v>35.700000000000003</v>
      </c>
      <c r="AD16" s="725"/>
      <c r="AE16" s="725"/>
      <c r="AF16" s="725"/>
      <c r="AG16" s="725"/>
      <c r="AH16" s="725"/>
      <c r="AI16" s="725"/>
      <c r="AJ16" s="725"/>
      <c r="AK16" s="725"/>
      <c r="AL16" s="725"/>
      <c r="AM16" s="725"/>
      <c r="AN16" s="725"/>
    </row>
    <row r="17" spans="2:102" ht="17.899999999999999" customHeight="1" x14ac:dyDescent="0.35">
      <c r="B17" s="856" t="s">
        <v>46</v>
      </c>
      <c r="C17" s="268"/>
      <c r="D17" s="719">
        <f>[1]Medicare!D10</f>
        <v>755</v>
      </c>
      <c r="E17" s="620">
        <f>[1]Medicare!E10</f>
        <v>773.5</v>
      </c>
      <c r="F17" s="620">
        <f>[1]Medicare!F10</f>
        <v>788.5</v>
      </c>
      <c r="G17" s="620">
        <f>[1]Medicare!G10</f>
        <v>798</v>
      </c>
      <c r="H17" s="620">
        <f>[1]Medicare!H10</f>
        <v>802</v>
      </c>
      <c r="I17" s="620">
        <f>[1]Medicare!I10</f>
        <v>801.9</v>
      </c>
      <c r="J17" s="620">
        <f>[1]Medicare!J10</f>
        <v>814.3</v>
      </c>
      <c r="K17" s="620">
        <f>[1]Medicare!K10</f>
        <v>826.6</v>
      </c>
      <c r="L17" s="620">
        <f>[1]Medicare!L10</f>
        <v>838.8</v>
      </c>
      <c r="M17" s="620">
        <f>[1]Medicare!M10</f>
        <v>854.9</v>
      </c>
      <c r="N17" s="620">
        <f>[1]Medicare!N10</f>
        <v>871.2</v>
      </c>
      <c r="O17" s="620">
        <f>[1]Medicare!O10</f>
        <v>887.1</v>
      </c>
      <c r="P17" s="620">
        <f>[1]Medicare!P10</f>
        <v>902.4</v>
      </c>
      <c r="Q17" s="620">
        <f>[1]Medicare!Q10</f>
        <v>917.6</v>
      </c>
      <c r="R17" s="620">
        <f>[1]Medicare!R10</f>
        <v>926.6</v>
      </c>
      <c r="S17" s="620">
        <f>[1]Medicare!S10</f>
        <v>937.4</v>
      </c>
      <c r="T17" s="620">
        <f>[1]Medicare!T10</f>
        <v>958.5</v>
      </c>
      <c r="U17" s="620">
        <f>[1]Medicare!U10</f>
        <v>981.1</v>
      </c>
      <c r="V17" s="620">
        <f>[1]Medicare!V10</f>
        <v>1001.8</v>
      </c>
      <c r="W17" s="620">
        <f>[1]Medicare!W10</f>
        <v>1019.9</v>
      </c>
      <c r="X17" s="725">
        <f>[1]Medicare!X10</f>
        <v>1035.3</v>
      </c>
      <c r="Y17" s="725">
        <f>[1]Medicare!Y10</f>
        <v>1049.2</v>
      </c>
      <c r="Z17" s="725">
        <f>[1]Medicare!Z10</f>
        <v>1067.0999999999999</v>
      </c>
      <c r="AA17" s="725">
        <f>[1]Medicare!AA10</f>
        <v>1090.2</v>
      </c>
      <c r="AB17" s="725">
        <f>[1]Medicare!AB10</f>
        <v>1118.5</v>
      </c>
      <c r="AC17" s="725">
        <f>[1]Medicare!AC10</f>
        <v>1150.3</v>
      </c>
      <c r="AD17" s="725">
        <f>[1]Medicare!AD10</f>
        <v>1179.9491604763948</v>
      </c>
      <c r="AE17" s="725">
        <f>[1]Medicare!AE10</f>
        <v>1194.9759053306122</v>
      </c>
      <c r="AF17" s="725">
        <f>[1]Medicare!AF10</f>
        <v>1212.8587157717825</v>
      </c>
      <c r="AG17" s="725">
        <f>[1]Medicare!AG10</f>
        <v>1231.0091424116126</v>
      </c>
      <c r="AH17" s="725">
        <f>[1]Medicare!AH10</f>
        <v>1249.431190125624</v>
      </c>
      <c r="AI17" s="725">
        <f>[1]Medicare!AI10</f>
        <v>1268.1289237222863</v>
      </c>
      <c r="AJ17" s="725">
        <f>[1]Medicare!AJ10</f>
        <v>1287.2701699300753</v>
      </c>
      <c r="AK17" s="725">
        <f>[1]Medicare!AK10</f>
        <v>1306.7003357418046</v>
      </c>
      <c r="AL17" s="725">
        <f>[1]Medicare!AL10</f>
        <v>1326.4237821346351</v>
      </c>
      <c r="AM17" s="725">
        <f>[1]Medicare!AM10</f>
        <v>1346.4449359106889</v>
      </c>
      <c r="AN17" s="725">
        <f>[1]Medicare!AN10</f>
        <v>1346.4449359106889</v>
      </c>
    </row>
    <row r="18" spans="2:102" ht="18" customHeight="1" x14ac:dyDescent="0.35">
      <c r="B18" s="832" t="s">
        <v>434</v>
      </c>
      <c r="C18" s="268"/>
      <c r="D18" s="392"/>
      <c r="E18" s="265"/>
      <c r="F18" s="265"/>
      <c r="G18" s="265"/>
      <c r="H18" s="620">
        <f>'[1]Rebate Checks (expired)'!H10 +'[1]Rebate Checks (expired)'!H11</f>
        <v>0</v>
      </c>
      <c r="I18" s="620">
        <f>'[1]Rebate Checks (expired)'!I10 +'[1]Rebate Checks (expired)'!I11</f>
        <v>0</v>
      </c>
      <c r="J18" s="620">
        <f>'[1]Rebate Checks (expired)'!J10 +'[1]Rebate Checks (expired)'!J11</f>
        <v>1078.0999999999999</v>
      </c>
      <c r="K18" s="620">
        <f>'[1]Rebate Checks (expired)'!K10 +'[1]Rebate Checks (expired)'!K11</f>
        <v>15.6</v>
      </c>
      <c r="L18" s="620">
        <f>'[1]Rebate Checks (expired)'!L10 +'[1]Rebate Checks (expired)'!L11</f>
        <v>5</v>
      </c>
      <c r="M18" s="620">
        <f>'[1]Rebate Checks (expired)'!M10 +'[1]Rebate Checks (expired)'!M11</f>
        <v>1933.6999999999998</v>
      </c>
      <c r="N18" s="620">
        <f>'[1]Rebate Checks (expired)'!N10 +'[1]Rebate Checks (expired)'!N11</f>
        <v>290.10000000000002</v>
      </c>
      <c r="O18" s="620">
        <f>'[1]Rebate Checks (expired)'!O10 +'[1]Rebate Checks (expired)'!O11</f>
        <v>38.9</v>
      </c>
      <c r="P18" s="620">
        <f>'[1]Rebate Checks (expired)'!P10 +'[1]Rebate Checks (expired)'!P11</f>
        <v>14.2</v>
      </c>
      <c r="Q18" s="620">
        <f>'[1]Rebate Checks (expired)'!Q10 +'[1]Rebate Checks (expired)'!Q11</f>
        <v>0</v>
      </c>
      <c r="R18" s="620">
        <f>'[1]Rebate Checks (expired)'!Q10 +'[1]Rebate Checks (expired)'!R11</f>
        <v>0</v>
      </c>
      <c r="S18" s="620">
        <f>'[1]Rebate Checks (expired)'!S10 +'[1]Rebate Checks (expired)'!S11</f>
        <v>0</v>
      </c>
      <c r="T18" s="620">
        <f>'[1]Rebate Checks (expired)'!T10 +'[1]Rebate Checks (expired)'!T11</f>
        <v>0</v>
      </c>
      <c r="U18" s="620">
        <f>'[1]Rebate Checks (expired)'!U10 +'[1]Rebate Checks (expired)'!U11</f>
        <v>0</v>
      </c>
      <c r="V18" s="796">
        <f t="shared" ref="V18:AA18" si="3">V19+V20</f>
        <v>0</v>
      </c>
      <c r="W18" s="796">
        <f t="shared" si="3"/>
        <v>0</v>
      </c>
      <c r="X18" s="796">
        <f t="shared" si="3"/>
        <v>0</v>
      </c>
      <c r="Y18" s="796">
        <f t="shared" si="3"/>
        <v>0</v>
      </c>
      <c r="Z18" s="796">
        <f t="shared" si="3"/>
        <v>0</v>
      </c>
      <c r="AA18" s="796">
        <f t="shared" si="3"/>
        <v>0</v>
      </c>
      <c r="AB18" s="796">
        <f>AB19+AB20</f>
        <v>0</v>
      </c>
      <c r="AC18" s="796">
        <f>AC19+AC20</f>
        <v>0</v>
      </c>
      <c r="AD18" s="725">
        <f>'[1]Rebate Checks (expired)'!AD10 +'[1]Rebate Checks (expired)'!AD11</f>
        <v>0</v>
      </c>
      <c r="AE18" s="725">
        <f>'[1]Rebate Checks (expired)'!AE10 +'[1]Rebate Checks (expired)'!AE11</f>
        <v>0</v>
      </c>
      <c r="AF18" s="725">
        <f>'[1]Rebate Checks (expired)'!AF10 +'[1]Rebate Checks (expired)'!AF11</f>
        <v>0</v>
      </c>
      <c r="AG18" s="725">
        <f>'[1]Rebate Checks (expired)'!AG10 +'[1]Rebate Checks (expired)'!AG11</f>
        <v>0</v>
      </c>
      <c r="AH18" s="725">
        <f>'[1]Rebate Checks (expired)'!AH10 +'[1]Rebate Checks (expired)'!AH11</f>
        <v>0</v>
      </c>
      <c r="AI18" s="725">
        <f>'[1]Rebate Checks (expired)'!AI10 +'[1]Rebate Checks (expired)'!AI11</f>
        <v>0</v>
      </c>
      <c r="AJ18" s="725">
        <f>'[1]Rebate Checks (expired)'!AJ10 +'[1]Rebate Checks (expired)'!AJ11</f>
        <v>0</v>
      </c>
      <c r="AK18" s="725">
        <f>'[1]Rebate Checks (expired)'!AK10 +'[1]Rebate Checks (expired)'!AK11</f>
        <v>0</v>
      </c>
      <c r="AL18" s="725">
        <f>'[1]Rebate Checks (expired)'!AL10 +'[1]Rebate Checks (expired)'!AL11</f>
        <v>0</v>
      </c>
      <c r="AM18" s="725">
        <f>'[1]Rebate Checks (expired)'!AM10 +'[1]Rebate Checks (expired)'!AM11</f>
        <v>0</v>
      </c>
      <c r="AN18" s="725">
        <f>'[1]Rebate Checks (expired)'!AN10 +'[1]Rebate Checks (expired)'!AN11</f>
        <v>0</v>
      </c>
    </row>
    <row r="19" spans="2:102" ht="18" customHeight="1" x14ac:dyDescent="0.35">
      <c r="B19" s="833" t="s">
        <v>1790</v>
      </c>
      <c r="C19" s="268"/>
      <c r="D19" s="392"/>
      <c r="E19" s="265"/>
      <c r="F19" s="265"/>
      <c r="G19" s="265"/>
      <c r="H19" s="620"/>
      <c r="I19" s="620"/>
      <c r="J19" s="620"/>
      <c r="K19" s="620"/>
      <c r="L19" s="620"/>
      <c r="M19" s="620"/>
      <c r="N19" s="620"/>
      <c r="O19" s="620"/>
      <c r="P19" s="620"/>
      <c r="Q19" s="620"/>
      <c r="R19" s="620"/>
      <c r="S19" s="620"/>
      <c r="T19" s="620"/>
      <c r="U19" s="620"/>
      <c r="V19" s="620">
        <v>0</v>
      </c>
      <c r="W19" s="620"/>
      <c r="X19" s="725"/>
      <c r="Y19" s="725"/>
      <c r="Z19" s="725"/>
      <c r="AA19" s="725"/>
      <c r="AB19" s="725"/>
      <c r="AC19" s="725"/>
      <c r="AD19" s="725"/>
      <c r="AE19" s="725"/>
      <c r="AF19" s="725"/>
      <c r="AG19" s="725"/>
      <c r="AH19" s="725"/>
      <c r="AI19" s="725"/>
      <c r="AJ19" s="725"/>
      <c r="AK19" s="725"/>
      <c r="AL19" s="725"/>
      <c r="AM19" s="725"/>
      <c r="AN19" s="725"/>
    </row>
    <row r="20" spans="2:102" ht="18" customHeight="1" x14ac:dyDescent="0.35">
      <c r="B20" s="833" t="s">
        <v>1791</v>
      </c>
      <c r="C20" s="268"/>
      <c r="D20" s="392"/>
      <c r="E20" s="265"/>
      <c r="F20" s="265"/>
      <c r="G20" s="265"/>
      <c r="H20" s="620"/>
      <c r="I20" s="620"/>
      <c r="J20" s="620"/>
      <c r="K20" s="620"/>
      <c r="L20" s="620"/>
      <c r="M20" s="620"/>
      <c r="N20" s="620"/>
      <c r="O20" s="620"/>
      <c r="P20" s="620"/>
      <c r="Q20" s="620"/>
      <c r="R20" s="620"/>
      <c r="S20" s="620"/>
      <c r="T20" s="620"/>
      <c r="U20" s="620"/>
      <c r="V20" s="620">
        <v>0</v>
      </c>
      <c r="W20" s="620"/>
      <c r="X20" s="725"/>
      <c r="Y20" s="725"/>
      <c r="Z20" s="725"/>
      <c r="AA20" s="725"/>
      <c r="AB20" s="725"/>
      <c r="AC20" s="725"/>
      <c r="AD20" s="725"/>
      <c r="AE20" s="725"/>
      <c r="AF20" s="725"/>
      <c r="AG20" s="725"/>
      <c r="AH20" s="725"/>
      <c r="AI20" s="725"/>
      <c r="AJ20" s="725"/>
      <c r="AK20" s="725"/>
      <c r="AL20" s="725"/>
      <c r="AM20" s="725"/>
      <c r="AN20" s="725"/>
    </row>
    <row r="21" spans="2:102" ht="18" customHeight="1" x14ac:dyDescent="0.35">
      <c r="B21" s="834" t="s">
        <v>40</v>
      </c>
      <c r="C21" s="268"/>
      <c r="D21" s="391">
        <f>'[1]Provider Relief (expired)'!D11</f>
        <v>0</v>
      </c>
      <c r="E21" s="365">
        <f>'[1]Provider Relief (expired)'!E11</f>
        <v>0</v>
      </c>
      <c r="F21" s="365">
        <f>'[1]Provider Relief (expired)'!F11</f>
        <v>0</v>
      </c>
      <c r="G21" s="365">
        <f>'[1]Provider Relief (expired)'!G11</f>
        <v>0</v>
      </c>
      <c r="H21" s="365">
        <f>'[1]Provider Relief (expired)'!H11</f>
        <v>0</v>
      </c>
      <c r="I21" s="365">
        <f>'[1]Provider Relief (expired)'!I11</f>
        <v>0</v>
      </c>
      <c r="J21" s="365">
        <f>'[1]Provider Relief (expired)'!J11</f>
        <v>160.9</v>
      </c>
      <c r="K21" s="365">
        <f>'[1]Provider Relief (expired)'!K11</f>
        <v>58.4</v>
      </c>
      <c r="L21" s="365">
        <f>'[1]Provider Relief (expired)'!L11</f>
        <v>34.5</v>
      </c>
      <c r="M21" s="365">
        <f>'[1]Provider Relief (expired)'!M11</f>
        <v>21.4</v>
      </c>
      <c r="N21" s="365">
        <f>'[1]Provider Relief (expired)'!N11</f>
        <v>13.3</v>
      </c>
      <c r="O21" s="365">
        <f>'[1]Provider Relief (expired)'!O11</f>
        <v>18.7</v>
      </c>
      <c r="P21" s="365">
        <f>'[1]Provider Relief (expired)'!P11</f>
        <v>32.200000000000003</v>
      </c>
      <c r="Q21" s="365">
        <f>'[1]Provider Relief (expired)'!Q11</f>
        <v>26.9</v>
      </c>
      <c r="R21" s="365">
        <f>'[1]Provider Relief (expired)'!R11</f>
        <v>20</v>
      </c>
      <c r="S21" s="365">
        <f>'[1]Provider Relief (expired)'!S11</f>
        <v>8.1</v>
      </c>
      <c r="T21" s="365">
        <f>'[1]Provider Relief (expired)'!T11</f>
        <v>4.9000000000000004</v>
      </c>
      <c r="U21" s="365">
        <v>0</v>
      </c>
      <c r="V21" s="620">
        <v>0</v>
      </c>
      <c r="W21" s="620">
        <v>0</v>
      </c>
      <c r="X21" s="725">
        <v>0</v>
      </c>
      <c r="Y21" s="725">
        <v>0</v>
      </c>
      <c r="Z21" s="725">
        <v>0</v>
      </c>
      <c r="AA21" s="725">
        <v>0</v>
      </c>
      <c r="AB21" s="725">
        <v>0</v>
      </c>
      <c r="AC21" s="725">
        <v>0</v>
      </c>
      <c r="AD21" s="725">
        <v>0</v>
      </c>
      <c r="AE21" s="725">
        <v>0</v>
      </c>
      <c r="AF21" s="725">
        <v>0</v>
      </c>
      <c r="AG21" s="725">
        <v>0</v>
      </c>
      <c r="AH21" s="725">
        <v>0</v>
      </c>
      <c r="AI21" s="725">
        <v>0</v>
      </c>
      <c r="AJ21" s="725">
        <v>0</v>
      </c>
      <c r="AK21" s="725">
        <v>0</v>
      </c>
      <c r="AL21" s="725">
        <v>0</v>
      </c>
      <c r="AM21" s="725">
        <v>0</v>
      </c>
      <c r="AN21" s="725">
        <v>0</v>
      </c>
    </row>
    <row r="22" spans="2:102" ht="18" customHeight="1" x14ac:dyDescent="0.35">
      <c r="B22" s="403" t="s">
        <v>1792</v>
      </c>
      <c r="C22" s="268"/>
      <c r="D22" s="391"/>
      <c r="E22" s="365"/>
      <c r="F22" s="365"/>
      <c r="G22" s="365"/>
      <c r="H22" s="365"/>
      <c r="I22" s="365"/>
      <c r="J22" s="365"/>
      <c r="K22" s="365"/>
      <c r="L22" s="365"/>
      <c r="M22" s="365"/>
      <c r="N22" s="365"/>
      <c r="O22" s="365"/>
      <c r="P22" s="365"/>
      <c r="Q22" s="365"/>
      <c r="R22" s="365"/>
      <c r="S22" s="365"/>
      <c r="T22" s="365"/>
      <c r="U22" s="365"/>
      <c r="V22" s="620"/>
      <c r="W22" s="620"/>
      <c r="X22" s="725"/>
      <c r="Y22" s="725"/>
      <c r="Z22" s="725"/>
      <c r="AA22" s="725"/>
      <c r="AB22" s="725"/>
      <c r="AC22" s="725"/>
      <c r="AD22" s="725"/>
      <c r="AE22" s="725"/>
      <c r="AF22" s="725"/>
      <c r="AG22" s="725"/>
      <c r="AH22" s="725"/>
      <c r="AI22" s="725"/>
      <c r="AJ22" s="725"/>
      <c r="AK22" s="725"/>
      <c r="AL22" s="725"/>
      <c r="AM22" s="725"/>
      <c r="AN22" s="725"/>
    </row>
    <row r="23" spans="2:102" ht="18" customHeight="1" x14ac:dyDescent="0.35">
      <c r="B23" s="403" t="s">
        <v>1793</v>
      </c>
      <c r="C23" s="268"/>
      <c r="D23" s="391"/>
      <c r="E23" s="365"/>
      <c r="F23" s="365"/>
      <c r="G23" s="365"/>
      <c r="H23" s="365"/>
      <c r="I23" s="365"/>
      <c r="J23" s="365"/>
      <c r="K23" s="365"/>
      <c r="L23" s="365"/>
      <c r="M23" s="365"/>
      <c r="N23" s="365"/>
      <c r="O23" s="365"/>
      <c r="P23" s="365"/>
      <c r="Q23" s="365"/>
      <c r="R23" s="365"/>
      <c r="S23" s="365"/>
      <c r="T23" s="365"/>
      <c r="U23" s="365"/>
      <c r="V23" s="620"/>
      <c r="W23" s="620"/>
      <c r="X23" s="725"/>
      <c r="Y23" s="725"/>
      <c r="Z23" s="725"/>
      <c r="AA23" s="725"/>
      <c r="AB23" s="725"/>
      <c r="AC23" s="725"/>
      <c r="AD23" s="725"/>
      <c r="AE23" s="725"/>
      <c r="AF23" s="725"/>
      <c r="AG23" s="725"/>
      <c r="AH23" s="725"/>
      <c r="AI23" s="725"/>
      <c r="AJ23" s="725"/>
      <c r="AK23" s="725"/>
      <c r="AL23" s="725"/>
      <c r="AM23" s="725"/>
      <c r="AN23" s="725"/>
    </row>
    <row r="24" spans="2:102" ht="20.149999999999999" customHeight="1" x14ac:dyDescent="0.35">
      <c r="B24" s="389" t="s">
        <v>437</v>
      </c>
      <c r="C24" s="385"/>
      <c r="D24" s="875"/>
      <c r="E24" s="761"/>
      <c r="F24" s="761"/>
      <c r="G24" s="761"/>
      <c r="H24" s="694"/>
      <c r="I24" s="694"/>
      <c r="J24" s="694"/>
      <c r="K24" s="694"/>
      <c r="L24" s="694"/>
      <c r="M24" s="694">
        <f>'[1]ARP Quarterly'!C5</f>
        <v>0</v>
      </c>
      <c r="N24" s="694">
        <f>'[1]ARP Quarterly'!D5</f>
        <v>33.921840000000024</v>
      </c>
      <c r="O24" s="694">
        <f>'[1]ARP Quarterly'!E5</f>
        <v>44.966160000000031</v>
      </c>
      <c r="P24" s="694">
        <f>'[1]ARP Quarterly'!F5</f>
        <v>52.756999999999998</v>
      </c>
      <c r="Q24" s="694">
        <f>'[1]ARP Quarterly'!G5</f>
        <v>52.756999999999998</v>
      </c>
      <c r="R24" s="694">
        <f>'[1]ARP Quarterly'!H5</f>
        <v>52.756999999999998</v>
      </c>
      <c r="S24" s="694">
        <f>'[1]ARP Quarterly'!I5</f>
        <v>52.756999999999998</v>
      </c>
      <c r="T24" s="694">
        <v>30</v>
      </c>
      <c r="U24" s="694">
        <f>'[1]ARP Quarterly'!K5</f>
        <v>12</v>
      </c>
      <c r="V24" s="694">
        <f>'[1]ARP Quarterly'!L5</f>
        <v>12</v>
      </c>
      <c r="W24" s="694">
        <f>'[1]ARP Quarterly'!M5</f>
        <v>12</v>
      </c>
      <c r="X24" s="696">
        <f>'[1]ARP Quarterly'!N5</f>
        <v>4.2219999999999995</v>
      </c>
      <c r="Y24" s="696">
        <f>'[1]ARP Quarterly'!O5</f>
        <v>4.2219999999999995</v>
      </c>
      <c r="Z24" s="696">
        <f>'[1]ARP Quarterly'!P5</f>
        <v>4.2219999999999995</v>
      </c>
      <c r="AA24" s="696">
        <f>'[1]ARP Quarterly'!Q5</f>
        <v>4.2219999999999995</v>
      </c>
      <c r="AB24" s="696">
        <f>'[1]ARP Quarterly'!R5</f>
        <v>2.3719999999999999</v>
      </c>
      <c r="AC24" s="696">
        <f>'[1]ARP Quarterly'!S5</f>
        <v>2.3719999999999999</v>
      </c>
      <c r="AD24" s="696">
        <f>'[1]ARP Quarterly'!T5</f>
        <v>2.3719999999999999</v>
      </c>
      <c r="AE24" s="696">
        <f>'[1]ARP Quarterly'!U5</f>
        <v>2.3719999999999999</v>
      </c>
      <c r="AF24" s="696">
        <f>'[1]ARP Quarterly'!V5</f>
        <v>0.49</v>
      </c>
      <c r="AG24" s="635">
        <v>0</v>
      </c>
      <c r="AH24" s="635">
        <v>0</v>
      </c>
      <c r="AI24" s="635">
        <v>0</v>
      </c>
      <c r="AJ24" s="635">
        <v>0</v>
      </c>
      <c r="AK24" s="635">
        <v>0</v>
      </c>
      <c r="AL24" s="635">
        <v>0</v>
      </c>
      <c r="AM24" s="635">
        <v>0</v>
      </c>
      <c r="AN24" s="635">
        <v>0</v>
      </c>
    </row>
    <row r="25" spans="2:102" ht="22.4" customHeight="1" x14ac:dyDescent="0.35">
      <c r="B25" s="374" t="s">
        <v>206</v>
      </c>
      <c r="C25" s="837"/>
      <c r="D25" s="391"/>
      <c r="E25" s="365"/>
      <c r="F25" s="365"/>
      <c r="G25" s="365"/>
      <c r="H25" s="365"/>
      <c r="I25" s="365"/>
      <c r="J25" s="365"/>
      <c r="K25" s="365"/>
      <c r="L25" s="365"/>
      <c r="M25" s="620">
        <f>'[1]ARP Quarterly'!C4</f>
        <v>0</v>
      </c>
      <c r="N25" s="620">
        <f>'[1]ARP Quarterly'!D4</f>
        <v>0</v>
      </c>
      <c r="O25" s="620">
        <f>'[1]ARP Quarterly'!E4</f>
        <v>3.1040000000000418</v>
      </c>
      <c r="P25" s="620">
        <f>'[1]ARP Quarterly'!F4</f>
        <v>19.719000000000005</v>
      </c>
      <c r="Q25" s="620">
        <f>'[1]ARP Quarterly'!G4</f>
        <v>19.719000000000005</v>
      </c>
      <c r="R25" s="620">
        <f>'[1]ARP Quarterly'!H4</f>
        <v>19.719000000000005</v>
      </c>
      <c r="S25" s="620">
        <f>'[1]ARP Quarterly'!I4</f>
        <v>19.719000000000005</v>
      </c>
      <c r="T25" s="620">
        <f>'[1]ARP Quarterly'!J4</f>
        <v>1.4159999999999999</v>
      </c>
      <c r="U25" s="620">
        <f>'[1]ARP Quarterly'!K4</f>
        <v>1.4159999999999999</v>
      </c>
      <c r="V25" s="620">
        <f>'[1]ARP Quarterly'!L4</f>
        <v>1.4159999999999999</v>
      </c>
      <c r="W25" s="620">
        <f>'[1]ARP Quarterly'!M4</f>
        <v>1.4159999999999999</v>
      </c>
      <c r="X25" s="725">
        <f>'[1]ARP Quarterly'!N4</f>
        <v>1.4790000000000001</v>
      </c>
      <c r="Y25" s="725">
        <f>'[1]ARP Quarterly'!O4</f>
        <v>1.4790000000000001</v>
      </c>
      <c r="Z25" s="725">
        <f>'[1]ARP Quarterly'!P4</f>
        <v>1.4790000000000001</v>
      </c>
      <c r="AA25" s="725">
        <f>'[1]ARP Quarterly'!Q4</f>
        <v>1.4790000000000001</v>
      </c>
      <c r="AB25" s="725">
        <f>'[1]ARP Quarterly'!R4</f>
        <v>1.63</v>
      </c>
      <c r="AC25" s="725">
        <f>'[1]ARP Quarterly'!S4</f>
        <v>1.63</v>
      </c>
      <c r="AD25" s="725">
        <f>'[1]ARP Quarterly'!T4</f>
        <v>1.63</v>
      </c>
      <c r="AE25" s="725">
        <f>'[1]ARP Quarterly'!U4</f>
        <v>1.63</v>
      </c>
      <c r="AF25" s="725">
        <f>'[1]ARP Quarterly'!V4</f>
        <v>1.671</v>
      </c>
      <c r="AG25" s="861">
        <v>0</v>
      </c>
      <c r="AH25" s="861">
        <v>0</v>
      </c>
      <c r="AI25" s="861">
        <v>0</v>
      </c>
      <c r="AJ25" s="861">
        <v>0</v>
      </c>
      <c r="AK25" s="861">
        <v>0</v>
      </c>
      <c r="AL25" s="861">
        <v>0</v>
      </c>
      <c r="AM25" s="861">
        <v>0</v>
      </c>
      <c r="AN25" s="861">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392">
        <f>D50</f>
        <v>0</v>
      </c>
      <c r="E26" s="265">
        <f t="shared" ref="E26:AF26" si="4">E50</f>
        <v>0</v>
      </c>
      <c r="F26" s="265">
        <f t="shared" si="4"/>
        <v>0</v>
      </c>
      <c r="G26" s="265">
        <f t="shared" si="4"/>
        <v>0</v>
      </c>
      <c r="H26" s="265">
        <f t="shared" si="4"/>
        <v>0</v>
      </c>
      <c r="I26" s="620">
        <f t="shared" si="4"/>
        <v>6.9120000000000061</v>
      </c>
      <c r="J26" s="620">
        <f t="shared" si="4"/>
        <v>50.955000000000005</v>
      </c>
      <c r="K26" s="620">
        <f t="shared" si="4"/>
        <v>51.173999999999999</v>
      </c>
      <c r="L26" s="620">
        <f t="shared" si="4"/>
        <v>51.893999999999998</v>
      </c>
      <c r="M26" s="620">
        <f t="shared" si="4"/>
        <v>91.075000000000017</v>
      </c>
      <c r="N26" s="620">
        <f t="shared" si="4"/>
        <v>100.63400000000001</v>
      </c>
      <c r="O26" s="620">
        <f t="shared" si="4"/>
        <v>93.89100000000002</v>
      </c>
      <c r="P26" s="620">
        <f t="shared" si="4"/>
        <v>100.22800000000001</v>
      </c>
      <c r="Q26" s="620">
        <f t="shared" si="4"/>
        <v>76.838999999999999</v>
      </c>
      <c r="R26" s="620">
        <f t="shared" si="4"/>
        <v>73.637</v>
      </c>
      <c r="S26" s="620">
        <f t="shared" si="4"/>
        <v>70.649000000000001</v>
      </c>
      <c r="T26" s="620">
        <f t="shared" si="4"/>
        <v>91.718000000000018</v>
      </c>
      <c r="U26" s="620">
        <f t="shared" si="4"/>
        <v>83.695999999999998</v>
      </c>
      <c r="V26" s="620">
        <f>V50</f>
        <v>51.979000000000006</v>
      </c>
      <c r="W26" s="620">
        <f>W50</f>
        <v>51.58400000000001</v>
      </c>
      <c r="X26" s="725">
        <f t="shared" si="4"/>
        <v>38.777999999999999</v>
      </c>
      <c r="Y26" s="725">
        <f t="shared" si="4"/>
        <v>37.295999999999999</v>
      </c>
      <c r="Z26" s="725">
        <f t="shared" si="4"/>
        <v>41.408000000000008</v>
      </c>
      <c r="AA26" s="725">
        <f t="shared" si="4"/>
        <v>48.07800000000001</v>
      </c>
      <c r="AB26" s="725">
        <f t="shared" si="4"/>
        <v>43.804000000000009</v>
      </c>
      <c r="AC26" s="725">
        <f t="shared" si="4"/>
        <v>40.554000000000009</v>
      </c>
      <c r="AD26" s="725">
        <f t="shared" si="4"/>
        <v>40.554000000000009</v>
      </c>
      <c r="AE26" s="725">
        <f t="shared" si="4"/>
        <v>40.554000000000009</v>
      </c>
      <c r="AF26" s="725">
        <f t="shared" si="4"/>
        <v>40.554000000000009</v>
      </c>
      <c r="AG26" s="725">
        <f>AG50</f>
        <v>40.554000000000009</v>
      </c>
      <c r="AH26" s="725">
        <f>AH50</f>
        <v>40.554000000000009</v>
      </c>
      <c r="AI26" s="725">
        <f>AI50</f>
        <v>40.554000000000009</v>
      </c>
      <c r="AJ26" s="725">
        <f>AJ50</f>
        <v>40.554000000000009</v>
      </c>
      <c r="AK26" s="725">
        <f t="shared" ref="AK26:AN26" si="5">AK50</f>
        <v>40.554000000000009</v>
      </c>
      <c r="AL26" s="725">
        <f t="shared" si="5"/>
        <v>40.554000000000009</v>
      </c>
      <c r="AM26" s="725">
        <f t="shared" si="5"/>
        <v>40.554000000000009</v>
      </c>
      <c r="AN26" s="725">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391">
        <v>30</v>
      </c>
      <c r="E27" s="365">
        <v>30</v>
      </c>
      <c r="F27" s="365">
        <v>30</v>
      </c>
      <c r="G27" s="365">
        <v>30</v>
      </c>
      <c r="H27" s="365">
        <v>30</v>
      </c>
      <c r="I27" s="365">
        <v>30</v>
      </c>
      <c r="J27" s="365">
        <v>30</v>
      </c>
      <c r="K27" s="361">
        <v>30.2</v>
      </c>
      <c r="L27" s="361">
        <v>30.2</v>
      </c>
      <c r="M27" s="361">
        <f>'[1]Haver Pivoted'!GX89</f>
        <v>34.4</v>
      </c>
      <c r="N27" s="361">
        <f>'[1]Haver Pivoted'!GY89</f>
        <v>34.4</v>
      </c>
      <c r="O27" s="361">
        <f>'[1]Haver Pivoted'!GZ89</f>
        <v>218.933333333333</v>
      </c>
      <c r="P27" s="361">
        <f>'[1]Haver Pivoted'!HA89</f>
        <v>223.13333333333301</v>
      </c>
      <c r="Q27" s="361">
        <f>'[1]Haver Pivoted'!HB89</f>
        <v>94.3</v>
      </c>
      <c r="R27" s="361">
        <f>'[1]Haver Pivoted'!HC89</f>
        <v>94.3</v>
      </c>
      <c r="S27" s="582">
        <f>'[1]Haver Pivoted'!HD89</f>
        <v>94.3</v>
      </c>
      <c r="T27" s="582">
        <f>'[1]Haver Pivoted'!HE89</f>
        <v>94.3</v>
      </c>
      <c r="U27" s="725">
        <v>34</v>
      </c>
      <c r="V27" s="620">
        <v>34</v>
      </c>
      <c r="W27" s="620">
        <v>34</v>
      </c>
      <c r="X27" s="725">
        <v>34</v>
      </c>
      <c r="Y27" s="725">
        <v>34</v>
      </c>
      <c r="Z27" s="725">
        <v>34</v>
      </c>
      <c r="AA27" s="725">
        <v>34</v>
      </c>
      <c r="AB27" s="725">
        <v>34</v>
      </c>
      <c r="AC27" s="725">
        <v>34</v>
      </c>
      <c r="AD27" s="725">
        <v>34</v>
      </c>
      <c r="AE27" s="72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392"/>
      <c r="E28" s="265"/>
      <c r="F28" s="265"/>
      <c r="G28" s="265"/>
      <c r="H28" s="620"/>
      <c r="I28" s="620"/>
      <c r="J28" s="620">
        <f>'[1]PPP (expired)'!J53</f>
        <v>57.2</v>
      </c>
      <c r="K28" s="620">
        <f>'[1]PPP (expired)'!K53</f>
        <v>81.2</v>
      </c>
      <c r="L28" s="620">
        <f>'[1]PPP (expired)'!L53</f>
        <v>24.4</v>
      </c>
      <c r="M28" s="620">
        <f>'[1]PPP (expired)'!M53</f>
        <v>11.7</v>
      </c>
      <c r="N28" s="620">
        <f>'[1]PPP (expired)'!N53</f>
        <v>28.5</v>
      </c>
      <c r="O28" s="620">
        <f>'[1]PPP (expired)'!O53</f>
        <v>18.8</v>
      </c>
      <c r="P28" s="620">
        <f>'[1]PPP (expired)'!P53</f>
        <v>1.6</v>
      </c>
      <c r="Q28" s="620">
        <f>'[1]PPP (expired)'!Q53</f>
        <v>0</v>
      </c>
      <c r="R28" s="620">
        <f>'[1]PPP (expired)'!Q61</f>
        <v>0</v>
      </c>
      <c r="S28" s="620">
        <f>'[1]PPP (expired)'!S53</f>
        <v>0</v>
      </c>
      <c r="T28" s="620">
        <f>'[1]PPP (expired)'!T53</f>
        <v>0</v>
      </c>
      <c r="U28" s="620">
        <f>'[1]PPP (expired)'!U53</f>
        <v>0</v>
      </c>
      <c r="V28" s="620">
        <f>'[1]PPP (expired)'!V53</f>
        <v>0</v>
      </c>
      <c r="W28" s="620">
        <f>'[1]PPP (expired)'!W53</f>
        <v>0</v>
      </c>
      <c r="X28" s="725">
        <f>'[1]PPP (expired)'!X53</f>
        <v>0</v>
      </c>
      <c r="Y28" s="725">
        <f>'[1]PPP (expired)'!Y53</f>
        <v>0</v>
      </c>
      <c r="Z28" s="725">
        <f>'[1]PPP (expired)'!Z53</f>
        <v>0</v>
      </c>
      <c r="AA28" s="725">
        <f>'[1]PPP (expired)'!AA53</f>
        <v>0</v>
      </c>
      <c r="AB28" s="725">
        <f>'[1]PPP (expired)'!AB53</f>
        <v>0</v>
      </c>
      <c r="AC28" s="725">
        <f>'[1]PPP (expired)'!AC53</f>
        <v>0</v>
      </c>
      <c r="AD28" s="725">
        <f>'[1]PPP (expired)'!AD53</f>
        <v>0</v>
      </c>
      <c r="AE28" s="725">
        <f>'[1]PPP (expired)'!AE53</f>
        <v>0</v>
      </c>
      <c r="AF28" s="725">
        <f>'[1]PPP (expired)'!AF53</f>
        <v>0</v>
      </c>
      <c r="AG28" s="725">
        <f>'[1]PPP (expired)'!AG53</f>
        <v>0</v>
      </c>
      <c r="AH28" s="725">
        <f>'[1]PPP (expired)'!AH53</f>
        <v>0</v>
      </c>
      <c r="AI28" s="725">
        <f>'[1]PPP (expired)'!AI53</f>
        <v>0</v>
      </c>
      <c r="AJ28" s="725">
        <f>'[1]PPP (expired)'!AJ53</f>
        <v>0</v>
      </c>
      <c r="AK28" s="725">
        <f>'[1]PPP (expired)'!AK53</f>
        <v>0</v>
      </c>
      <c r="AL28" s="725">
        <f>'[1]PPP (expired)'!AL53</f>
        <v>0</v>
      </c>
      <c r="AM28" s="725">
        <f>'[1]PPP (expired)'!AM53</f>
        <v>0</v>
      </c>
      <c r="AN28" s="725">
        <f>'[1]PPP (expired)'!AN53</f>
        <v>0</v>
      </c>
    </row>
    <row r="29" spans="2:102" ht="21.65" customHeight="1" x14ac:dyDescent="0.35">
      <c r="B29" s="403" t="s">
        <v>764</v>
      </c>
      <c r="C29" s="268"/>
      <c r="D29" s="719">
        <f t="shared" ref="D29:AE29" si="6">D74</f>
        <v>0</v>
      </c>
      <c r="E29" s="620">
        <f t="shared" si="6"/>
        <v>0</v>
      </c>
      <c r="F29" s="620">
        <f t="shared" si="6"/>
        <v>0</v>
      </c>
      <c r="G29" s="620">
        <f t="shared" si="6"/>
        <v>0</v>
      </c>
      <c r="H29" s="620">
        <f t="shared" si="6"/>
        <v>0</v>
      </c>
      <c r="I29" s="620">
        <f t="shared" si="6"/>
        <v>-6.9120000000000346</v>
      </c>
      <c r="J29" s="620">
        <f t="shared" si="6"/>
        <v>-37.9549999999997</v>
      </c>
      <c r="K29" s="620">
        <f t="shared" si="6"/>
        <v>85.725999999999658</v>
      </c>
      <c r="L29" s="620">
        <f t="shared" si="6"/>
        <v>18.405999999999722</v>
      </c>
      <c r="M29" s="620">
        <f t="shared" si="6"/>
        <v>20.282000000000153</v>
      </c>
      <c r="N29" s="620">
        <f t="shared" si="6"/>
        <v>-8.5988400000003367</v>
      </c>
      <c r="O29" s="620">
        <f t="shared" si="6"/>
        <v>-12.537493333333487</v>
      </c>
      <c r="P29" s="620">
        <f t="shared" si="6"/>
        <v>-32.38033333333351</v>
      </c>
      <c r="Q29" s="620">
        <f t="shared" si="6"/>
        <v>72.734879999999521</v>
      </c>
      <c r="R29" s="620">
        <f t="shared" si="6"/>
        <v>75.236879999999019</v>
      </c>
      <c r="S29" s="620">
        <f t="shared" si="6"/>
        <v>66.046879999999419</v>
      </c>
      <c r="T29" s="620">
        <f t="shared" si="6"/>
        <v>90.12587999999937</v>
      </c>
      <c r="U29" s="620">
        <f t="shared" si="6"/>
        <v>55.219026999999414</v>
      </c>
      <c r="V29" s="620">
        <f>V74</f>
        <v>69.376026999999112</v>
      </c>
      <c r="W29" s="620">
        <f t="shared" si="6"/>
        <v>73.871026999999231</v>
      </c>
      <c r="X29" s="725">
        <f t="shared" si="6"/>
        <v>92.003026999999292</v>
      </c>
      <c r="Y29" s="725">
        <f t="shared" si="6"/>
        <v>133.13552299999901</v>
      </c>
      <c r="Z29" s="725">
        <f t="shared" si="6"/>
        <v>146.42352299999902</v>
      </c>
      <c r="AA29" s="725">
        <f t="shared" si="6"/>
        <v>149.85352299999886</v>
      </c>
      <c r="AB29" s="725">
        <f t="shared" si="6"/>
        <v>163.69852299999889</v>
      </c>
      <c r="AC29" s="725">
        <f t="shared" si="6"/>
        <v>214.3287979999991</v>
      </c>
      <c r="AD29" s="725">
        <f t="shared" si="6"/>
        <v>214.3287979999991</v>
      </c>
      <c r="AE29" s="725">
        <f t="shared" si="6"/>
        <v>214.3287979999991</v>
      </c>
      <c r="AF29" s="725">
        <f>AF74</f>
        <v>214.3287979999991</v>
      </c>
      <c r="AG29" s="725">
        <f>AG74</f>
        <v>214.3287979999991</v>
      </c>
      <c r="AH29" s="725">
        <f>AH74</f>
        <v>214.3287979999991</v>
      </c>
      <c r="AI29" s="725">
        <f t="shared" ref="AI29:AN29" si="7">AI74</f>
        <v>214.3287979999991</v>
      </c>
      <c r="AJ29" s="725">
        <f t="shared" si="7"/>
        <v>214.3287979999991</v>
      </c>
      <c r="AK29" s="725">
        <f t="shared" si="7"/>
        <v>214.3287979999991</v>
      </c>
      <c r="AL29" s="725">
        <f t="shared" si="7"/>
        <v>214.3287979999991</v>
      </c>
      <c r="AM29" s="725">
        <f t="shared" si="7"/>
        <v>214.3287979999991</v>
      </c>
      <c r="AN29" s="725">
        <f t="shared" si="7"/>
        <v>214.3287979999991</v>
      </c>
    </row>
    <row r="30" spans="2:102" ht="21" customHeight="1" x14ac:dyDescent="0.35">
      <c r="B30" s="389" t="s">
        <v>761</v>
      </c>
      <c r="C30" s="385"/>
      <c r="D30" s="875">
        <f t="shared" ref="D30:AB30" si="8">D25+D21</f>
        <v>0</v>
      </c>
      <c r="E30" s="761">
        <f t="shared" si="8"/>
        <v>0</v>
      </c>
      <c r="F30" s="761">
        <f t="shared" si="8"/>
        <v>0</v>
      </c>
      <c r="G30" s="761">
        <f t="shared" si="8"/>
        <v>0</v>
      </c>
      <c r="H30" s="761">
        <f t="shared" si="8"/>
        <v>0</v>
      </c>
      <c r="I30" s="761">
        <f t="shared" si="8"/>
        <v>0</v>
      </c>
      <c r="J30" s="761">
        <f t="shared" si="8"/>
        <v>160.9</v>
      </c>
      <c r="K30" s="761">
        <f t="shared" si="8"/>
        <v>58.4</v>
      </c>
      <c r="L30" s="761">
        <f t="shared" si="8"/>
        <v>34.5</v>
      </c>
      <c r="M30" s="761">
        <f t="shared" si="8"/>
        <v>21.4</v>
      </c>
      <c r="N30" s="761">
        <f t="shared" si="8"/>
        <v>13.3</v>
      </c>
      <c r="O30" s="761">
        <f t="shared" si="8"/>
        <v>21.804000000000041</v>
      </c>
      <c r="P30" s="694">
        <f t="shared" si="8"/>
        <v>51.919000000000011</v>
      </c>
      <c r="Q30" s="761">
        <f t="shared" si="8"/>
        <v>46.619</v>
      </c>
      <c r="R30" s="761">
        <f t="shared" si="8"/>
        <v>39.719000000000008</v>
      </c>
      <c r="S30" s="761">
        <f t="shared" si="8"/>
        <v>27.819000000000003</v>
      </c>
      <c r="T30" s="694">
        <f t="shared" si="8"/>
        <v>6.3160000000000007</v>
      </c>
      <c r="U30" s="694">
        <f t="shared" si="8"/>
        <v>1.4159999999999999</v>
      </c>
      <c r="V30" s="694">
        <f t="shared" si="8"/>
        <v>1.4159999999999999</v>
      </c>
      <c r="W30" s="694">
        <f t="shared" si="8"/>
        <v>1.4159999999999999</v>
      </c>
      <c r="X30" s="696">
        <f t="shared" si="8"/>
        <v>1.4790000000000001</v>
      </c>
      <c r="Y30" s="696">
        <f t="shared" si="8"/>
        <v>1.4790000000000001</v>
      </c>
      <c r="Z30" s="696">
        <f t="shared" si="8"/>
        <v>1.4790000000000001</v>
      </c>
      <c r="AA30" s="696">
        <f t="shared" si="8"/>
        <v>1.4790000000000001</v>
      </c>
      <c r="AB30" s="696">
        <f t="shared" si="8"/>
        <v>1.63</v>
      </c>
      <c r="AC30" s="696">
        <f>AC25+AC21</f>
        <v>1.63</v>
      </c>
      <c r="AD30" s="696">
        <f t="shared" ref="AD30:AE30" si="9">AD25+AD21</f>
        <v>1.63</v>
      </c>
      <c r="AE30" s="696">
        <f t="shared" si="9"/>
        <v>1.63</v>
      </c>
      <c r="AF30" s="696">
        <f>AF25+AF21</f>
        <v>1.671</v>
      </c>
      <c r="AG30" s="696">
        <f>AG25+AG21</f>
        <v>0</v>
      </c>
      <c r="AH30" s="696">
        <f>AH25+AH21</f>
        <v>0</v>
      </c>
      <c r="AI30" s="696">
        <f t="shared" ref="AI30:AN30" si="10">AI25+AI21</f>
        <v>0</v>
      </c>
      <c r="AJ30" s="696">
        <f t="shared" si="10"/>
        <v>0</v>
      </c>
      <c r="AK30" s="696">
        <f t="shared" si="10"/>
        <v>0</v>
      </c>
      <c r="AL30" s="696">
        <f t="shared" si="10"/>
        <v>0</v>
      </c>
      <c r="AM30" s="696">
        <f t="shared" si="10"/>
        <v>0</v>
      </c>
      <c r="AN30" s="696">
        <f t="shared" si="10"/>
        <v>0</v>
      </c>
    </row>
    <row r="31" spans="2:102" ht="44.9" customHeight="1" x14ac:dyDescent="0.35">
      <c r="B31" s="374" t="s">
        <v>768</v>
      </c>
      <c r="C31" s="268"/>
      <c r="D31" s="719">
        <f t="shared" ref="D31:AE31" si="11">D66</f>
        <v>1410.9</v>
      </c>
      <c r="E31" s="620">
        <f t="shared" si="11"/>
        <v>1470.7000000000003</v>
      </c>
      <c r="F31" s="620">
        <f t="shared" si="11"/>
        <v>1475.8999999999996</v>
      </c>
      <c r="G31" s="620">
        <f t="shared" si="11"/>
        <v>1482.6999999999998</v>
      </c>
      <c r="H31" s="620">
        <f t="shared" si="11"/>
        <v>1490.8000000000002</v>
      </c>
      <c r="I31" s="620">
        <f t="shared" si="11"/>
        <v>1542.4</v>
      </c>
      <c r="J31" s="620">
        <f t="shared" si="11"/>
        <v>1549.1000000000001</v>
      </c>
      <c r="K31" s="620">
        <f t="shared" si="11"/>
        <v>1555.8000000000002</v>
      </c>
      <c r="L31" s="620">
        <f t="shared" si="11"/>
        <v>1562.5000000000002</v>
      </c>
      <c r="M31" s="620">
        <f t="shared" si="11"/>
        <v>1586.8430000000003</v>
      </c>
      <c r="N31" s="620">
        <f t="shared" si="11"/>
        <v>1593.5430000000003</v>
      </c>
      <c r="O31" s="620">
        <f t="shared" si="11"/>
        <v>1600.2430000000004</v>
      </c>
      <c r="P31" s="620">
        <f t="shared" si="11"/>
        <v>1606.9430000000004</v>
      </c>
      <c r="Q31" s="620">
        <f t="shared" si="11"/>
        <v>1685.5501200000006</v>
      </c>
      <c r="R31" s="620">
        <f t="shared" si="11"/>
        <v>1692.2501200000006</v>
      </c>
      <c r="S31" s="620">
        <f t="shared" si="11"/>
        <v>1698.9501200000007</v>
      </c>
      <c r="T31" s="620">
        <f t="shared" si="11"/>
        <v>1705.6501200000007</v>
      </c>
      <c r="U31" s="620">
        <f t="shared" si="11"/>
        <v>1818.9789730000007</v>
      </c>
      <c r="V31" s="620">
        <f t="shared" si="11"/>
        <v>1825.6789730000007</v>
      </c>
      <c r="W31" s="620">
        <f t="shared" si="11"/>
        <v>1832.3789730000008</v>
      </c>
      <c r="X31" s="725">
        <f t="shared" si="11"/>
        <v>1839.0789730000008</v>
      </c>
      <c r="Y31" s="725">
        <f t="shared" si="11"/>
        <v>1891.4284770000008</v>
      </c>
      <c r="Z31" s="725">
        <f t="shared" si="11"/>
        <v>1898.1284770000009</v>
      </c>
      <c r="AA31" s="725">
        <f t="shared" si="11"/>
        <v>1904.8284770000009</v>
      </c>
      <c r="AB31" s="725">
        <f>AB66</f>
        <v>1911.528477000001</v>
      </c>
      <c r="AC31" s="725">
        <f t="shared" si="11"/>
        <v>1956.4482020000009</v>
      </c>
      <c r="AD31" s="725">
        <f t="shared" si="11"/>
        <v>1963.148202000001</v>
      </c>
      <c r="AE31" s="725">
        <f t="shared" si="11"/>
        <v>1969.848202000001</v>
      </c>
      <c r="AF31" s="725">
        <f>AF66</f>
        <v>1976.5482020000011</v>
      </c>
      <c r="AG31" s="725">
        <f>AG66</f>
        <v>2021.8053925010011</v>
      </c>
      <c r="AH31" s="725">
        <f>AH66</f>
        <v>2028.5053925010011</v>
      </c>
      <c r="AI31" s="725">
        <f t="shared" ref="AI31:AN31" si="12">AI66</f>
        <v>2035.2053925010011</v>
      </c>
      <c r="AJ31" s="725">
        <f t="shared" si="12"/>
        <v>2041.9053925010012</v>
      </c>
      <c r="AK31" s="725">
        <f t="shared" si="12"/>
        <v>2089.4772613835244</v>
      </c>
      <c r="AL31" s="725">
        <f t="shared" si="12"/>
        <v>2096.1772613835242</v>
      </c>
      <c r="AM31" s="725">
        <f t="shared" si="12"/>
        <v>2102.877261383524</v>
      </c>
      <c r="AN31" s="725">
        <f t="shared" si="12"/>
        <v>2109.5772613835238</v>
      </c>
    </row>
    <row r="32" spans="2:102" ht="44.9" customHeight="1" x14ac:dyDescent="0.35">
      <c r="B32" s="530" t="s">
        <v>1138</v>
      </c>
      <c r="D32" s="719"/>
      <c r="E32" s="620"/>
      <c r="F32" s="620"/>
      <c r="G32" s="620"/>
      <c r="H32" s="620"/>
      <c r="I32" s="620"/>
      <c r="J32" s="620"/>
      <c r="K32" s="620"/>
      <c r="L32" s="620"/>
      <c r="M32" s="620"/>
      <c r="N32" s="620"/>
      <c r="O32" s="620"/>
      <c r="P32" s="620"/>
      <c r="Q32" s="620"/>
      <c r="R32" s="620"/>
      <c r="S32" s="859">
        <f>'[1]IRA and CHIPS'!E191</f>
        <v>-0.622</v>
      </c>
      <c r="T32" s="859">
        <f>'[1]IRA and CHIPS'!F191</f>
        <v>21.89</v>
      </c>
      <c r="U32" s="859">
        <f>'[1]IRA and CHIPS'!G191</f>
        <v>21.89</v>
      </c>
      <c r="V32" s="859">
        <f>'[1]IRA and CHIPS'!H191</f>
        <v>21.89</v>
      </c>
      <c r="W32" s="859">
        <f>'[1]IRA and CHIPS'!I191</f>
        <v>21.89</v>
      </c>
      <c r="X32" s="855">
        <f>'[1]IRA and CHIPS'!J191</f>
        <v>15.439</v>
      </c>
      <c r="Y32" s="855">
        <f>'[1]IRA and CHIPS'!K191</f>
        <v>15.439</v>
      </c>
      <c r="Z32" s="855">
        <f>'[1]IRA and CHIPS'!L191</f>
        <v>15.439</v>
      </c>
      <c r="AA32" s="855">
        <f>'[1]IRA and CHIPS'!M191</f>
        <v>15.439</v>
      </c>
      <c r="AB32" s="855">
        <f>'[1]IRA and CHIPS'!N191</f>
        <v>16.966999999999999</v>
      </c>
      <c r="AC32" s="855">
        <f>'[1]IRA and CHIPS'!O191</f>
        <v>16.966999999999999</v>
      </c>
      <c r="AD32" s="855">
        <f>'[1]IRA and CHIPS'!P191</f>
        <v>16.966999999999999</v>
      </c>
      <c r="AE32" s="855">
        <f>'[1]IRA and CHIPS'!Q191</f>
        <v>16.966999999999999</v>
      </c>
      <c r="AF32" s="855">
        <f>'[1]IRA and CHIPS'!R191</f>
        <v>0.72799999999999998</v>
      </c>
      <c r="AG32" s="855">
        <f>'[1]IRA and CHIPS'!S191</f>
        <v>0.72799999999999998</v>
      </c>
      <c r="AH32" s="855">
        <f>0</f>
        <v>0</v>
      </c>
      <c r="AI32" s="855">
        <f>0</f>
        <v>0</v>
      </c>
      <c r="AJ32" s="855">
        <f>0</f>
        <v>0</v>
      </c>
      <c r="AK32" s="855">
        <f>0</f>
        <v>0</v>
      </c>
      <c r="AL32" s="855">
        <f>0</f>
        <v>0</v>
      </c>
      <c r="AM32" s="855">
        <f>0</f>
        <v>0</v>
      </c>
      <c r="AN32" s="855">
        <f>0</f>
        <v>0</v>
      </c>
    </row>
    <row r="33" spans="2:40" ht="31.4" customHeight="1" x14ac:dyDescent="0.35">
      <c r="B33" s="709" t="s">
        <v>765</v>
      </c>
      <c r="C33" s="385"/>
      <c r="D33" s="694">
        <f t="shared" ref="D33:R33" si="13">D31+SUM(D26:D29)+D32</f>
        <v>1440.9</v>
      </c>
      <c r="E33" s="694">
        <f t="shared" si="13"/>
        <v>1500.7000000000003</v>
      </c>
      <c r="F33" s="694">
        <f t="shared" si="13"/>
        <v>1505.8999999999996</v>
      </c>
      <c r="G33" s="694">
        <f t="shared" si="13"/>
        <v>1512.6999999999998</v>
      </c>
      <c r="H33" s="694">
        <f t="shared" si="13"/>
        <v>1520.8000000000002</v>
      </c>
      <c r="I33" s="694">
        <f t="shared" si="13"/>
        <v>1572.4</v>
      </c>
      <c r="J33" s="694">
        <f t="shared" si="13"/>
        <v>1649.3000000000004</v>
      </c>
      <c r="K33" s="694">
        <f t="shared" si="13"/>
        <v>1804.1</v>
      </c>
      <c r="L33" s="694">
        <f t="shared" si="13"/>
        <v>1687.3999999999999</v>
      </c>
      <c r="M33" s="694">
        <f t="shared" si="13"/>
        <v>1744.3000000000004</v>
      </c>
      <c r="N33" s="694">
        <f t="shared" si="13"/>
        <v>1748.4781600000001</v>
      </c>
      <c r="O33" s="694">
        <f t="shared" si="13"/>
        <v>1919.3298399999999</v>
      </c>
      <c r="P33" s="694">
        <f t="shared" si="13"/>
        <v>1899.5239999999999</v>
      </c>
      <c r="Q33" s="694">
        <f t="shared" si="13"/>
        <v>1929.424</v>
      </c>
      <c r="R33" s="694">
        <f t="shared" si="13"/>
        <v>1935.4239999999995</v>
      </c>
      <c r="S33" s="694">
        <f>S31+SUM(S26:S29)+S32</f>
        <v>1929.3240000000001</v>
      </c>
      <c r="T33" s="863">
        <f>T31+SUM(T26:T29)+T32</f>
        <v>2003.6840000000002</v>
      </c>
      <c r="U33" s="863">
        <f>U31+SUM(U26:U29)+U32</f>
        <v>2013.7840000000001</v>
      </c>
      <c r="V33" s="694">
        <f>V31+SUM(V26:V29)+V32</f>
        <v>2002.924</v>
      </c>
      <c r="W33" s="694">
        <f>W31+SUM(W26:W29)+W32</f>
        <v>2013.7240000000002</v>
      </c>
      <c r="X33" s="696">
        <f t="shared" ref="X33" si="14">X31+SUM(X26:X29)+X32</f>
        <v>2019.2990000000002</v>
      </c>
      <c r="Y33" s="696">
        <f>Y31+SUM(Y26:Y29)+Y32</f>
        <v>2111.2989999999995</v>
      </c>
      <c r="Z33" s="696">
        <f t="shared" ref="Z33:AB33" si="15">Z31+SUM(Z26:Z29)+Z32</f>
        <v>2135.3989999999999</v>
      </c>
      <c r="AA33" s="696">
        <f t="shared" si="15"/>
        <v>2152.1989999999996</v>
      </c>
      <c r="AB33" s="696">
        <f t="shared" si="15"/>
        <v>2169.998</v>
      </c>
      <c r="AC33" s="696">
        <f>AC31+SUM(AC26:AC29)+AC32</f>
        <v>2262.2980000000002</v>
      </c>
      <c r="AD33" s="696">
        <f>AD31+SUM(AD26:AD29)+AD32</f>
        <v>2268.998</v>
      </c>
      <c r="AE33" s="696">
        <f t="shared" ref="AE33" si="16">AE31+SUM(AE26:AE29)+AE32</f>
        <v>2275.6980000000003</v>
      </c>
      <c r="AF33" s="696">
        <f>AF31+SUM(AF26:AF29)+AF32</f>
        <v>2266.1590000000001</v>
      </c>
      <c r="AG33" s="696">
        <f>AG31+SUM(AG26:AG29)+AG32</f>
        <v>2311.4161905010001</v>
      </c>
      <c r="AH33" s="696">
        <f>AH31+SUM(AH26:AH29)+AH32</f>
        <v>2317.3881905010003</v>
      </c>
      <c r="AI33" s="696">
        <f>AI31+SUM(AI26:AI29)+AI32</f>
        <v>2325.0881905010001</v>
      </c>
      <c r="AJ33" s="696">
        <f t="shared" ref="AJ33:AN33" si="17">AJ31+SUM(AJ26:AJ29)+AJ32</f>
        <v>2332.7881905010004</v>
      </c>
      <c r="AK33" s="696">
        <f t="shared" si="17"/>
        <v>2381.3600593835235</v>
      </c>
      <c r="AL33" s="696">
        <f t="shared" si="17"/>
        <v>2389.0600593835234</v>
      </c>
      <c r="AM33" s="696">
        <f t="shared" si="17"/>
        <v>2396.7600593835232</v>
      </c>
      <c r="AN33" s="696">
        <f t="shared" si="17"/>
        <v>2404.460059383523</v>
      </c>
    </row>
    <row r="34" spans="2:40" ht="31.4" customHeight="1" x14ac:dyDescent="0.35">
      <c r="B34" s="709"/>
      <c r="C34" s="385"/>
      <c r="D34" s="694"/>
      <c r="E34" s="694"/>
      <c r="F34" s="694"/>
      <c r="G34" s="694"/>
      <c r="H34" s="694"/>
      <c r="I34" s="694"/>
      <c r="J34" s="694"/>
      <c r="K34" s="694"/>
      <c r="L34" s="694"/>
      <c r="M34" s="694"/>
      <c r="N34" s="694"/>
      <c r="O34" s="694"/>
      <c r="P34" s="694"/>
      <c r="Q34" s="694"/>
      <c r="R34" s="694"/>
      <c r="S34" s="694"/>
      <c r="T34" s="694"/>
      <c r="U34" s="694"/>
      <c r="V34" s="694"/>
      <c r="W34" s="694"/>
      <c r="X34" s="696"/>
      <c r="Y34" s="696"/>
      <c r="Z34" s="696"/>
      <c r="AA34" s="696"/>
      <c r="AB34" s="696"/>
      <c r="AC34" s="696"/>
      <c r="AD34" s="696">
        <f>AD31+AD29-AD70</f>
        <v>580.4079999999999</v>
      </c>
      <c r="AE34" s="696">
        <f t="shared" ref="AE34:AN34" si="18">AE31+AE29-AE70</f>
        <v>577.10800000000017</v>
      </c>
      <c r="AF34" s="696">
        <f t="shared" si="18"/>
        <v>567.80800000000045</v>
      </c>
      <c r="AG34" s="696">
        <f t="shared" si="18"/>
        <v>559.73460350100049</v>
      </c>
      <c r="AH34" s="696">
        <f t="shared" si="18"/>
        <v>550.43460350100031</v>
      </c>
      <c r="AI34" s="696">
        <f t="shared" si="18"/>
        <v>541.13460350100013</v>
      </c>
      <c r="AJ34" s="696">
        <f t="shared" si="18"/>
        <v>532.8346035010004</v>
      </c>
      <c r="AK34" s="696">
        <f t="shared" si="18"/>
        <v>526.76828188252352</v>
      </c>
      <c r="AL34" s="696">
        <f t="shared" si="18"/>
        <v>520.46828188252334</v>
      </c>
      <c r="AM34" s="696">
        <f t="shared" si="18"/>
        <v>515.16828188252316</v>
      </c>
      <c r="AN34" s="696">
        <f t="shared" si="18"/>
        <v>510.86828188252298</v>
      </c>
    </row>
    <row r="35" spans="2:40" ht="31.4" customHeight="1" x14ac:dyDescent="0.35">
      <c r="B35" s="1501" t="s">
        <v>438</v>
      </c>
      <c r="C35" s="1502"/>
      <c r="D35" s="705"/>
      <c r="E35" s="706"/>
      <c r="F35" s="706"/>
      <c r="G35" s="706"/>
      <c r="H35" s="706"/>
      <c r="I35" s="706"/>
      <c r="J35" s="706"/>
      <c r="K35" s="706"/>
      <c r="L35" s="706"/>
      <c r="M35" s="706"/>
      <c r="N35" s="706"/>
      <c r="O35" s="706"/>
      <c r="P35" s="706"/>
      <c r="Q35" s="706"/>
      <c r="R35" s="706"/>
      <c r="S35" s="706"/>
      <c r="T35" s="694"/>
      <c r="U35" s="706"/>
      <c r="V35" s="694"/>
      <c r="W35" s="694"/>
      <c r="X35" s="696"/>
      <c r="Y35" s="696"/>
      <c r="Z35" s="696"/>
      <c r="AA35" s="696"/>
      <c r="AB35" s="696"/>
      <c r="AC35" s="696"/>
      <c r="AD35" s="696"/>
      <c r="AE35" s="696"/>
      <c r="AF35" s="696"/>
      <c r="AG35" s="696"/>
      <c r="AH35" s="696"/>
      <c r="AI35" s="696"/>
      <c r="AJ35" s="696"/>
      <c r="AK35" s="696"/>
      <c r="AL35" s="696"/>
      <c r="AM35" s="696"/>
      <c r="AN35" s="696"/>
    </row>
    <row r="36" spans="2:40" x14ac:dyDescent="0.35">
      <c r="B36" s="403" t="s">
        <v>770</v>
      </c>
      <c r="C36" s="268" t="s">
        <v>439</v>
      </c>
      <c r="D36" s="392">
        <f>'[1]Haver Pivoted'!GO37</f>
        <v>733.6</v>
      </c>
      <c r="E36" s="265">
        <f>'[1]Haver Pivoted'!GP37</f>
        <v>744.3</v>
      </c>
      <c r="F36" s="265">
        <f>'[1]Haver Pivoted'!GQ37</f>
        <v>762.3</v>
      </c>
      <c r="G36" s="265">
        <f>'[1]Haver Pivoted'!GR37</f>
        <v>772.2</v>
      </c>
      <c r="H36" s="265">
        <f>'[1]Haver Pivoted'!GS37</f>
        <v>772.1</v>
      </c>
      <c r="I36" s="265">
        <f>'[1]Haver Pivoted'!GT37</f>
        <v>760.8</v>
      </c>
      <c r="J36" s="265">
        <f>'[1]Haver Pivoted'!GU37</f>
        <v>811.3</v>
      </c>
      <c r="K36" s="265">
        <f>'[1]Haver Pivoted'!GV37</f>
        <v>850.3</v>
      </c>
      <c r="L36" s="265">
        <f>'[1]Haver Pivoted'!GW37</f>
        <v>840.3</v>
      </c>
      <c r="M36" s="265">
        <f>'[1]Haver Pivoted'!GX37</f>
        <v>869.7</v>
      </c>
      <c r="N36" s="265">
        <f>'[1]Haver Pivoted'!GY37</f>
        <v>913.8</v>
      </c>
      <c r="O36" s="265">
        <f>'[1]Haver Pivoted'!GZ37</f>
        <v>923.8</v>
      </c>
      <c r="P36" s="265">
        <f>'[1]Haver Pivoted'!HA37</f>
        <v>923.5</v>
      </c>
      <c r="Q36" s="265">
        <f>'[1]Haver Pivoted'!HB37</f>
        <v>973.6</v>
      </c>
      <c r="R36" s="265">
        <f>'[1]Haver Pivoted'!HC37</f>
        <v>1010.5</v>
      </c>
      <c r="S36" s="759">
        <f>'[1]Haver Pivoted'!HD37</f>
        <v>1032.5999999999999</v>
      </c>
      <c r="T36" s="759">
        <f>'[1]Haver Pivoted'!HE37</f>
        <v>1096.5999999999999</v>
      </c>
      <c r="U36" s="759">
        <f>'[1]Haver Pivoted'!HF37</f>
        <v>1083.2</v>
      </c>
      <c r="V36" s="621">
        <f>'[1]Haver Pivoted'!HG37</f>
        <v>1111.0999999999999</v>
      </c>
      <c r="W36" s="621">
        <f>'[1]Haver Pivoted'!HH37</f>
        <v>1069.4000000000001</v>
      </c>
      <c r="X36" s="621">
        <f>'[1]Haver Pivoted'!HI37</f>
        <v>1061</v>
      </c>
      <c r="Y36" s="621">
        <f>'[1]Haver Pivoted'!HJ37</f>
        <v>1113.5</v>
      </c>
      <c r="Z36" s="621">
        <f>'[1]Haver Pivoted'!HK37</f>
        <v>1136.9000000000001</v>
      </c>
      <c r="AA36" s="621">
        <f>'[1]Haver Pivoted'!HL37</f>
        <v>1154</v>
      </c>
      <c r="AB36" s="621">
        <f>'[1]Haver Pivoted'!HM37</f>
        <v>1162.5</v>
      </c>
      <c r="AC36" s="621">
        <f>'[1]Haver Pivoted'!HN37</f>
        <v>1176.2</v>
      </c>
      <c r="AD36" s="405"/>
      <c r="AE36" s="405"/>
      <c r="AF36" s="405"/>
      <c r="AG36" s="405"/>
      <c r="AH36" s="405"/>
      <c r="AI36" s="405"/>
      <c r="AJ36" s="405"/>
      <c r="AK36" s="405"/>
      <c r="AL36" s="405"/>
      <c r="AM36" s="405"/>
      <c r="AN36" s="405"/>
    </row>
    <row r="37" spans="2:40" x14ac:dyDescent="0.35">
      <c r="B37" s="693" t="s">
        <v>197</v>
      </c>
      <c r="C37" s="268"/>
      <c r="D37" s="719">
        <f>[1]Medicaid!D27</f>
        <v>589.5</v>
      </c>
      <c r="E37" s="620">
        <f>[1]Medicaid!E27</f>
        <v>598.70000000000005</v>
      </c>
      <c r="F37" s="620">
        <f>[1]Medicaid!F27</f>
        <v>614.4</v>
      </c>
      <c r="G37" s="620">
        <f>[1]Medicaid!G27</f>
        <v>622.4</v>
      </c>
      <c r="H37" s="620">
        <f>[1]Medicaid!H27</f>
        <v>620.6</v>
      </c>
      <c r="I37" s="620">
        <f>[1]Medicaid!I27</f>
        <v>606.5</v>
      </c>
      <c r="J37" s="620">
        <f>[1]Medicaid!J27</f>
        <v>654.6</v>
      </c>
      <c r="K37" s="620">
        <f>[1]Medicaid!K27</f>
        <v>690.8</v>
      </c>
      <c r="L37" s="620">
        <f>[1]Medicaid!L27</f>
        <v>678.6</v>
      </c>
      <c r="M37" s="620">
        <f>[1]Medicaid!M27</f>
        <v>704.9</v>
      </c>
      <c r="N37" s="620">
        <f>[1]Medicaid!N27</f>
        <v>745.6</v>
      </c>
      <c r="O37" s="620">
        <f>[1]Medicaid!O27</f>
        <v>749.2</v>
      </c>
      <c r="P37" s="620">
        <f>[1]Medicaid!P27</f>
        <v>746.3</v>
      </c>
      <c r="Q37" s="620">
        <f>[1]Medicaid!Q27</f>
        <v>791.9</v>
      </c>
      <c r="R37" s="620">
        <f>[1]Medicaid!R27</f>
        <v>819.2</v>
      </c>
      <c r="S37" s="759">
        <f>[1]Medicaid!S27</f>
        <v>819</v>
      </c>
      <c r="T37" s="620">
        <f>[1]Medicaid!T27</f>
        <v>827.5</v>
      </c>
      <c r="U37" s="620">
        <f>[1]Medicaid!U27</f>
        <v>877.6</v>
      </c>
      <c r="V37" s="620">
        <f>[1]Medicaid!V27</f>
        <v>911.6</v>
      </c>
      <c r="W37" s="620">
        <f>[1]Medicaid!W27</f>
        <v>867.2</v>
      </c>
      <c r="X37" s="725">
        <f>[1]Medicaid!X27</f>
        <v>856.2</v>
      </c>
      <c r="Y37" s="725">
        <f>[1]Medicaid!Y27</f>
        <v>904.8</v>
      </c>
      <c r="Z37" s="725">
        <f>[1]Medicaid!Z27</f>
        <v>924.7</v>
      </c>
      <c r="AA37" s="725">
        <f>[1]Medicaid!AA27</f>
        <v>932.4</v>
      </c>
      <c r="AB37" s="725">
        <f>[1]Medicaid!AB27</f>
        <v>944.8</v>
      </c>
      <c r="AC37" s="725">
        <f>[1]Medicaid!AC27</f>
        <v>957.6</v>
      </c>
      <c r="AD37" s="725">
        <f>[1]Medicaid!AD27</f>
        <v>969.02169234293717</v>
      </c>
      <c r="AE37" s="725">
        <f>[1]Medicaid!AE27</f>
        <v>985.63925302097391</v>
      </c>
      <c r="AF37" s="725">
        <f>[1]Medicaid!AF27</f>
        <v>1000.6374493152194</v>
      </c>
      <c r="AG37" s="725">
        <f>[1]Medicaid!AG27</f>
        <v>1015.8638689593278</v>
      </c>
      <c r="AH37" s="725">
        <f>[1]Medicaid!AH27</f>
        <v>1031.3219847640555</v>
      </c>
      <c r="AI37" s="725">
        <f>[1]Medicaid!AI27</f>
        <v>1047.0153223849477</v>
      </c>
      <c r="AJ37" s="725">
        <f>[1]Medicaid!AJ27</f>
        <v>1062.6373302089942</v>
      </c>
      <c r="AK37" s="725">
        <f>[1]Medicaid!AK27</f>
        <v>1078.4924264351268</v>
      </c>
      <c r="AL37" s="725">
        <f>[1]Medicaid!AL27</f>
        <v>1094.5840888623457</v>
      </c>
      <c r="AM37" s="725">
        <f>[1]Medicaid!AM27</f>
        <v>1110.9158471802029</v>
      </c>
      <c r="AN37" s="725" t="e">
        <f>[1]Medicaid!AN27</f>
        <v>#DIV/0!</v>
      </c>
    </row>
    <row r="38" spans="2:40" ht="14.9" customHeight="1" x14ac:dyDescent="0.35">
      <c r="B38" s="709" t="s">
        <v>771</v>
      </c>
      <c r="C38" s="385"/>
      <c r="D38" s="718">
        <f>D36-D37</f>
        <v>144.10000000000002</v>
      </c>
      <c r="E38" s="694">
        <f t="shared" ref="E38:O38" si="19">E36-E37</f>
        <v>145.59999999999991</v>
      </c>
      <c r="F38" s="694">
        <f t="shared" si="19"/>
        <v>147.89999999999998</v>
      </c>
      <c r="G38" s="694">
        <f t="shared" si="19"/>
        <v>149.80000000000007</v>
      </c>
      <c r="H38" s="694">
        <f t="shared" si="19"/>
        <v>151.5</v>
      </c>
      <c r="I38" s="694">
        <f t="shared" si="19"/>
        <v>154.29999999999995</v>
      </c>
      <c r="J38" s="694">
        <f t="shared" si="19"/>
        <v>156.69999999999993</v>
      </c>
      <c r="K38" s="694">
        <f t="shared" si="19"/>
        <v>159.5</v>
      </c>
      <c r="L38" s="694">
        <f t="shared" si="19"/>
        <v>161.69999999999993</v>
      </c>
      <c r="M38" s="694">
        <f t="shared" si="19"/>
        <v>164.80000000000007</v>
      </c>
      <c r="N38" s="694">
        <f t="shared" si="19"/>
        <v>168.19999999999993</v>
      </c>
      <c r="O38" s="694">
        <f t="shared" si="19"/>
        <v>174.59999999999991</v>
      </c>
      <c r="P38" s="694">
        <f>P36-P37</f>
        <v>177.20000000000005</v>
      </c>
      <c r="Q38" s="694">
        <f>Q36-Q37</f>
        <v>181.70000000000005</v>
      </c>
      <c r="R38" s="694">
        <f>R36-R37</f>
        <v>191.29999999999995</v>
      </c>
      <c r="S38" s="759">
        <f>S36-S37</f>
        <v>213.59999999999991</v>
      </c>
      <c r="T38" s="759">
        <f>T36-T37</f>
        <v>269.09999999999991</v>
      </c>
      <c r="U38" s="694">
        <f>T38*(1+AVERAGE($F$40:$I$40))+U39</f>
        <v>203.03380700109631</v>
      </c>
      <c r="V38" s="694">
        <f>U38*(1+AVERAGE($F$40:$I$40))+V39</f>
        <v>206.0018330562437</v>
      </c>
      <c r="W38" s="694">
        <f t="shared" ref="W38:AA38" si="20">V38*(1+AVERAGE($F$40:$I$40))</f>
        <v>209.01324685451698</v>
      </c>
      <c r="X38" s="696">
        <f>W38*(1+AVERAGE($F$40:$I$40))</f>
        <v>212.06868265458453</v>
      </c>
      <c r="Y38" s="696">
        <f t="shared" si="20"/>
        <v>215.16878398695127</v>
      </c>
      <c r="Z38" s="696">
        <f t="shared" si="20"/>
        <v>218.31420378949775</v>
      </c>
      <c r="AA38" s="696">
        <f t="shared" si="20"/>
        <v>221.50560454500092</v>
      </c>
      <c r="AB38" s="696">
        <f>AA38*(1+AVERAGE($F$40:$I$40))</f>
        <v>224.74365842066501</v>
      </c>
      <c r="AC38" s="696">
        <f>AB38*(1+AVERAGE($F$40:$I$40))</f>
        <v>228.02904740969223</v>
      </c>
      <c r="AD38" s="696">
        <f>AC38*(1+AVERAGE($F$40:$I$40))</f>
        <v>231.36246347492295</v>
      </c>
      <c r="AE38" s="696">
        <f>AD38*(1+AVERAGE($F$40:$I$40))</f>
        <v>234.7446086945757</v>
      </c>
      <c r="AF38" s="696">
        <f t="shared" ref="AF38:AI38" si="21">AE38*(1+AVERAGE($F$40:$I$40))</f>
        <v>238.17619541011769</v>
      </c>
      <c r="AG38" s="696">
        <f t="shared" si="21"/>
        <v>241.65794637629688</v>
      </c>
      <c r="AH38" s="696">
        <f t="shared" si="21"/>
        <v>245.19059491336728</v>
      </c>
      <c r="AI38" s="696">
        <f t="shared" si="21"/>
        <v>248.77488506153966</v>
      </c>
      <c r="AJ38" s="696">
        <f>AI38*(1+AVERAGE($F$40:$I$40))</f>
        <v>252.41157173768991</v>
      </c>
      <c r="AK38" s="696">
        <f t="shared" ref="AK38:AN38" si="22">AJ38*(1+AVERAGE($F$40:$I$40))</f>
        <v>256.10142089435828</v>
      </c>
      <c r="AL38" s="696">
        <f t="shared" si="22"/>
        <v>259.84520968107307</v>
      </c>
      <c r="AM38" s="696">
        <f t="shared" si="22"/>
        <v>263.64372660803241</v>
      </c>
      <c r="AN38" s="696">
        <f t="shared" si="22"/>
        <v>267.49777171217886</v>
      </c>
    </row>
    <row r="39" spans="2:40" ht="14.9" customHeight="1" x14ac:dyDescent="0.35">
      <c r="B39" s="709" t="s">
        <v>1646</v>
      </c>
      <c r="C39" s="385"/>
      <c r="D39" s="718"/>
      <c r="E39" s="694"/>
      <c r="F39" s="694"/>
      <c r="G39" s="694"/>
      <c r="H39" s="694"/>
      <c r="I39" s="694"/>
      <c r="J39" s="694"/>
      <c r="K39" s="694"/>
      <c r="L39" s="694"/>
      <c r="M39" s="694"/>
      <c r="N39" s="694"/>
      <c r="O39" s="694"/>
      <c r="P39" s="694"/>
      <c r="Q39" s="694"/>
      <c r="R39" s="694"/>
      <c r="S39" s="759"/>
      <c r="T39" s="694"/>
      <c r="U39" s="694">
        <v>-70</v>
      </c>
      <c r="V39" s="694"/>
      <c r="W39" s="694"/>
      <c r="X39" s="696"/>
      <c r="Y39" s="696"/>
      <c r="Z39" s="696"/>
      <c r="AA39" s="696"/>
      <c r="AB39" s="696"/>
      <c r="AC39" s="696"/>
      <c r="AD39" s="696"/>
      <c r="AE39" s="696"/>
      <c r="AF39" s="696"/>
      <c r="AG39" s="696"/>
      <c r="AH39" s="696"/>
      <c r="AI39" s="696"/>
      <c r="AJ39" s="696"/>
      <c r="AK39" s="696"/>
      <c r="AL39" s="696"/>
      <c r="AM39" s="696"/>
      <c r="AN39" s="696"/>
    </row>
    <row r="40" spans="2:40" x14ac:dyDescent="0.35">
      <c r="B40" s="874" t="s">
        <v>772</v>
      </c>
      <c r="C40" s="468"/>
      <c r="D40" s="720"/>
      <c r="E40" s="708">
        <f>E38/D38-1</f>
        <v>1.0409437890353201E-2</v>
      </c>
      <c r="F40" s="708">
        <f t="shared" ref="F40:N40" si="23">F38/E38-1</f>
        <v>1.5796703296703685E-2</v>
      </c>
      <c r="G40" s="708">
        <f t="shared" si="23"/>
        <v>1.2846517917512346E-2</v>
      </c>
      <c r="H40" s="708">
        <f t="shared" si="23"/>
        <v>1.1348464619492127E-2</v>
      </c>
      <c r="I40" s="708">
        <f t="shared" si="23"/>
        <v>1.8481848184818128E-2</v>
      </c>
      <c r="J40" s="708">
        <f t="shared" si="23"/>
        <v>1.5554115359688758E-2</v>
      </c>
      <c r="K40" s="708">
        <f t="shared" si="23"/>
        <v>1.7868538608807105E-2</v>
      </c>
      <c r="L40" s="708">
        <f t="shared" si="23"/>
        <v>1.3793103448275446E-2</v>
      </c>
      <c r="M40" s="708">
        <f t="shared" si="23"/>
        <v>1.9171304885591489E-2</v>
      </c>
      <c r="N40" s="708">
        <f t="shared" si="23"/>
        <v>2.0631067961164318E-2</v>
      </c>
      <c r="O40" s="708">
        <f>O38/N38-1</f>
        <v>3.8049940546967864E-2</v>
      </c>
      <c r="P40" s="708">
        <f t="shared" ref="P40:S40" si="24">P38/O38-1</f>
        <v>1.4891179839634283E-2</v>
      </c>
      <c r="Q40" s="708">
        <f t="shared" si="24"/>
        <v>2.5395033860045046E-2</v>
      </c>
      <c r="R40" s="708">
        <f t="shared" si="24"/>
        <v>5.2834342322509054E-2</v>
      </c>
      <c r="S40" s="780">
        <f t="shared" si="24"/>
        <v>0.11657083115525335</v>
      </c>
      <c r="T40" s="695"/>
      <c r="U40" s="695"/>
      <c r="V40" s="695"/>
      <c r="W40" s="695"/>
      <c r="X40" s="716"/>
      <c r="Y40" s="716"/>
      <c r="Z40" s="716"/>
      <c r="AA40" s="716"/>
      <c r="AB40" s="716"/>
      <c r="AC40" s="716"/>
      <c r="AD40" s="716"/>
      <c r="AE40" s="716"/>
      <c r="AF40" s="716"/>
      <c r="AG40" s="716"/>
      <c r="AH40" s="716"/>
      <c r="AI40" s="716"/>
      <c r="AJ40" s="716"/>
      <c r="AK40" s="716"/>
      <c r="AL40" s="716"/>
      <c r="AM40" s="716"/>
      <c r="AN40" s="716"/>
    </row>
    <row r="44" spans="2:40" x14ac:dyDescent="0.35">
      <c r="P44" s="611"/>
      <c r="Q44" s="611"/>
    </row>
    <row r="45" spans="2:40" x14ac:dyDescent="0.35">
      <c r="B45" s="644" t="s">
        <v>318</v>
      </c>
      <c r="D45" s="620"/>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row>
    <row r="46" spans="2:40" ht="45.75" customHeight="1" x14ac:dyDescent="0.35">
      <c r="B46" s="1414" t="s">
        <v>442</v>
      </c>
      <c r="C46" s="1414"/>
      <c r="D46" s="1416"/>
      <c r="E46" s="1416"/>
      <c r="F46" s="1416"/>
      <c r="G46" s="1416"/>
      <c r="H46" s="1416"/>
      <c r="I46" s="1416"/>
      <c r="J46" s="1416"/>
      <c r="K46" s="1416"/>
      <c r="L46" s="1416"/>
      <c r="M46" s="1416"/>
      <c r="N46" s="1416"/>
      <c r="O46" s="1416"/>
      <c r="P46" s="1416"/>
      <c r="Q46" s="1416"/>
      <c r="R46" s="1416"/>
      <c r="S46" s="1416"/>
      <c r="T46" s="1416"/>
      <c r="U46" s="1416"/>
      <c r="V46" s="1416"/>
      <c r="W46" s="1416"/>
      <c r="X46" s="1416"/>
      <c r="Y46" s="1416"/>
      <c r="Z46" s="1416"/>
      <c r="AA46" s="1416"/>
      <c r="AB46" s="1416"/>
      <c r="AC46" s="1416"/>
    </row>
    <row r="47" spans="2:40" ht="14.9" customHeight="1" x14ac:dyDescent="0.35">
      <c r="B47" s="1419" t="s">
        <v>443</v>
      </c>
      <c r="C47" s="1420"/>
      <c r="D47" s="1437" t="s">
        <v>246</v>
      </c>
      <c r="E47" s="1437"/>
      <c r="F47" s="1437"/>
      <c r="G47" s="1437"/>
      <c r="H47" s="1437"/>
      <c r="I47" s="1437"/>
      <c r="J47" s="1437"/>
      <c r="K47" s="1437"/>
      <c r="L47" s="1437"/>
      <c r="M47" s="1437"/>
      <c r="N47" s="1437"/>
      <c r="O47" s="1437"/>
      <c r="P47" s="1437"/>
      <c r="Q47" s="1437"/>
      <c r="R47" s="1437"/>
      <c r="S47" s="1437"/>
      <c r="T47" s="1437"/>
      <c r="U47" s="1437"/>
      <c r="V47" s="1437"/>
      <c r="W47" s="1437"/>
      <c r="X47" s="1437"/>
      <c r="Y47" s="1437"/>
      <c r="Z47" s="1437"/>
      <c r="AA47" s="1437"/>
      <c r="AB47" s="1437"/>
      <c r="AC47" s="1441" t="s">
        <v>247</v>
      </c>
      <c r="AD47" s="1442"/>
      <c r="AE47" s="1442"/>
      <c r="AF47" s="1442"/>
      <c r="AG47" s="1442"/>
      <c r="AH47" s="1442"/>
      <c r="AI47" s="1442"/>
      <c r="AJ47" s="1442"/>
      <c r="AK47" s="1442"/>
      <c r="AL47" s="1442"/>
      <c r="AM47" s="1442"/>
      <c r="AN47" s="1443"/>
    </row>
    <row r="48" spans="2:40" x14ac:dyDescent="0.35">
      <c r="B48" s="1419"/>
      <c r="C48" s="1420"/>
      <c r="D48" s="249">
        <v>2018</v>
      </c>
      <c r="E48" s="1403">
        <v>2019</v>
      </c>
      <c r="F48" s="1404"/>
      <c r="G48" s="1404"/>
      <c r="H48" s="1405"/>
      <c r="I48" s="1403">
        <v>2020</v>
      </c>
      <c r="J48" s="1404"/>
      <c r="K48" s="1404"/>
      <c r="L48" s="1404"/>
      <c r="M48" s="1403">
        <v>2021</v>
      </c>
      <c r="N48" s="1404"/>
      <c r="O48" s="1404"/>
      <c r="P48" s="1404"/>
      <c r="Q48" s="1403">
        <v>2022</v>
      </c>
      <c r="R48" s="1404"/>
      <c r="S48" s="1404"/>
      <c r="T48" s="1405"/>
      <c r="U48" s="277"/>
      <c r="V48" s="277">
        <v>2023</v>
      </c>
      <c r="W48" s="277"/>
      <c r="X48" s="279"/>
      <c r="Y48" s="283"/>
      <c r="Z48" s="277">
        <v>2024</v>
      </c>
      <c r="AA48" s="277"/>
      <c r="AB48" s="279"/>
      <c r="AC48" s="1410">
        <v>2025</v>
      </c>
      <c r="AD48" s="1428"/>
      <c r="AE48" s="1428"/>
      <c r="AF48" s="1412"/>
      <c r="AG48" s="1410">
        <v>2026</v>
      </c>
      <c r="AH48" s="1428"/>
      <c r="AI48" s="1428"/>
      <c r="AJ48" s="1412"/>
      <c r="AK48" s="1410">
        <v>2027</v>
      </c>
      <c r="AL48" s="1428"/>
      <c r="AM48" s="1428"/>
      <c r="AN48" s="1412"/>
    </row>
    <row r="49" spans="2:40" x14ac:dyDescent="0.35">
      <c r="B49" s="1421"/>
      <c r="C49" s="1422"/>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93" t="s">
        <v>1386</v>
      </c>
      <c r="D50" s="378"/>
      <c r="E50" s="422"/>
      <c r="F50" s="422"/>
      <c r="G50" s="422"/>
      <c r="H50" s="422"/>
      <c r="I50" s="703">
        <f>(I51-AVERAGE($E51:$H51))</f>
        <v>6.9120000000000061</v>
      </c>
      <c r="J50" s="703">
        <f t="shared" ref="J50:AC50" si="25">(J51-AVERAGE($E51:$H51))</f>
        <v>50.955000000000005</v>
      </c>
      <c r="K50" s="703">
        <f t="shared" si="25"/>
        <v>51.173999999999999</v>
      </c>
      <c r="L50" s="703">
        <f t="shared" si="25"/>
        <v>51.893999999999998</v>
      </c>
      <c r="M50" s="703">
        <f t="shared" si="25"/>
        <v>91.075000000000017</v>
      </c>
      <c r="N50" s="703">
        <f t="shared" si="25"/>
        <v>100.63400000000001</v>
      </c>
      <c r="O50" s="703">
        <f t="shared" si="25"/>
        <v>93.89100000000002</v>
      </c>
      <c r="P50" s="703">
        <f t="shared" si="25"/>
        <v>100.22800000000001</v>
      </c>
      <c r="Q50" s="703">
        <f t="shared" si="25"/>
        <v>76.838999999999999</v>
      </c>
      <c r="R50" s="703">
        <f t="shared" si="25"/>
        <v>73.637</v>
      </c>
      <c r="S50" s="704">
        <f t="shared" si="25"/>
        <v>70.649000000000001</v>
      </c>
      <c r="T50" s="704">
        <f t="shared" si="25"/>
        <v>91.718000000000018</v>
      </c>
      <c r="U50" s="704">
        <f t="shared" si="25"/>
        <v>83.695999999999998</v>
      </c>
      <c r="V50" s="704">
        <f t="shared" si="25"/>
        <v>51.979000000000006</v>
      </c>
      <c r="W50" s="704">
        <f t="shared" si="25"/>
        <v>51.58400000000001</v>
      </c>
      <c r="X50" s="704">
        <f t="shared" si="25"/>
        <v>38.777999999999999</v>
      </c>
      <c r="Y50" s="704">
        <f t="shared" si="25"/>
        <v>37.295999999999999</v>
      </c>
      <c r="Z50" s="704">
        <f t="shared" si="25"/>
        <v>41.408000000000008</v>
      </c>
      <c r="AA50" s="704">
        <f t="shared" si="25"/>
        <v>48.07800000000001</v>
      </c>
      <c r="AB50" s="704">
        <f t="shared" si="25"/>
        <v>43.804000000000009</v>
      </c>
      <c r="AC50" s="704">
        <f t="shared" si="25"/>
        <v>40.554000000000009</v>
      </c>
      <c r="AD50" s="854">
        <f t="shared" ref="AD50:AG50" si="26">AC50</f>
        <v>40.554000000000009</v>
      </c>
      <c r="AE50" s="854">
        <f t="shared" si="26"/>
        <v>40.554000000000009</v>
      </c>
      <c r="AF50" s="854">
        <f t="shared" si="26"/>
        <v>40.554000000000009</v>
      </c>
      <c r="AG50" s="725">
        <f t="shared" si="26"/>
        <v>40.554000000000009</v>
      </c>
      <c r="AH50" s="725">
        <f>AG50</f>
        <v>40.554000000000009</v>
      </c>
      <c r="AI50" s="725">
        <f t="shared" ref="AI50" si="27">AH50</f>
        <v>40.554000000000009</v>
      </c>
      <c r="AJ50" s="725">
        <f>AI50</f>
        <v>40.554000000000009</v>
      </c>
      <c r="AK50" s="725">
        <f t="shared" ref="AK50:AN50" si="28">AJ50</f>
        <v>40.554000000000009</v>
      </c>
      <c r="AL50" s="725">
        <f t="shared" si="28"/>
        <v>40.554000000000009</v>
      </c>
      <c r="AM50" s="725">
        <f t="shared" si="28"/>
        <v>40.554000000000009</v>
      </c>
      <c r="AN50" s="725">
        <f t="shared" si="28"/>
        <v>40.554000000000009</v>
      </c>
    </row>
    <row r="51" spans="2:40" x14ac:dyDescent="0.35">
      <c r="B51" s="693" t="s">
        <v>148</v>
      </c>
      <c r="C51" s="268" t="s">
        <v>444</v>
      </c>
      <c r="D51" s="392">
        <f>'[1]Haver Pivoted'!GO66</f>
        <v>57.017000000000003</v>
      </c>
      <c r="E51" s="265">
        <f>'[1]Haver Pivoted'!GP66</f>
        <v>55.875</v>
      </c>
      <c r="F51" s="265">
        <f>'[1]Haver Pivoted'!GQ66</f>
        <v>54.335999999999999</v>
      </c>
      <c r="G51" s="265">
        <f>'[1]Haver Pivoted'!GR66</f>
        <v>54.345999999999997</v>
      </c>
      <c r="H51" s="265">
        <f>'[1]Haver Pivoted'!GS66</f>
        <v>54.290999999999997</v>
      </c>
      <c r="I51" s="265">
        <f>'[1]Haver Pivoted'!GT66</f>
        <v>61.624000000000002</v>
      </c>
      <c r="J51" s="265">
        <f>'[1]Haver Pivoted'!GU66</f>
        <v>105.667</v>
      </c>
      <c r="K51" s="265">
        <f>'[1]Haver Pivoted'!GV66</f>
        <v>105.886</v>
      </c>
      <c r="L51" s="265">
        <f>'[1]Haver Pivoted'!GW66</f>
        <v>106.60599999999999</v>
      </c>
      <c r="M51" s="265">
        <f>'[1]Haver Pivoted'!GX66</f>
        <v>145.78700000000001</v>
      </c>
      <c r="N51" s="265">
        <f>'[1]Haver Pivoted'!GY66</f>
        <v>155.346</v>
      </c>
      <c r="O51" s="265">
        <f>'[1]Haver Pivoted'!GZ66</f>
        <v>148.60300000000001</v>
      </c>
      <c r="P51" s="265">
        <f>'[1]Haver Pivoted'!HA66</f>
        <v>154.94</v>
      </c>
      <c r="Q51" s="265">
        <f>'[1]Haver Pivoted'!HB66</f>
        <v>131.55099999999999</v>
      </c>
      <c r="R51" s="265">
        <f>'[1]Haver Pivoted'!HC66</f>
        <v>128.34899999999999</v>
      </c>
      <c r="S51" s="245">
        <f>'[1]Haver Pivoted'!HD66</f>
        <v>125.361</v>
      </c>
      <c r="T51" s="245">
        <f>'[1]Haver Pivoted'!HE66</f>
        <v>146.43</v>
      </c>
      <c r="U51" s="245">
        <f>'[1]Haver Pivoted'!HF66</f>
        <v>138.40799999999999</v>
      </c>
      <c r="V51" s="245">
        <f>'[1]Haver Pivoted'!HG66</f>
        <v>106.691</v>
      </c>
      <c r="W51" s="245">
        <f>'[1]Haver Pivoted'!HH66</f>
        <v>106.29600000000001</v>
      </c>
      <c r="X51" s="245">
        <f>'[1]Haver Pivoted'!HI66</f>
        <v>93.49</v>
      </c>
      <c r="Y51" s="245">
        <f>'[1]Haver Pivoted'!HJ66</f>
        <v>92.007999999999996</v>
      </c>
      <c r="Z51" s="245">
        <f>'[1]Haver Pivoted'!HK66</f>
        <v>96.12</v>
      </c>
      <c r="AA51" s="245">
        <f>'[1]Haver Pivoted'!HL66</f>
        <v>102.79</v>
      </c>
      <c r="AB51" s="245">
        <f>'[1]Haver Pivoted'!HM66</f>
        <v>98.516000000000005</v>
      </c>
      <c r="AC51" s="245">
        <f>'[1]Haver Pivoted'!HN66</f>
        <v>95.266000000000005</v>
      </c>
      <c r="AD51" s="353"/>
      <c r="AE51" s="353"/>
      <c r="AF51" s="353"/>
      <c r="AG51" s="353"/>
      <c r="AH51" s="353"/>
      <c r="AI51" s="353"/>
      <c r="AJ51" s="353"/>
      <c r="AK51" s="353"/>
      <c r="AL51" s="353"/>
      <c r="AM51" s="353"/>
      <c r="AN51" s="353"/>
    </row>
    <row r="52" spans="2:40" ht="29.15" customHeight="1" x14ac:dyDescent="0.35">
      <c r="B52" s="692" t="s">
        <v>445</v>
      </c>
      <c r="C52" s="468"/>
      <c r="D52" s="852"/>
      <c r="E52" s="690"/>
      <c r="F52" s="690"/>
      <c r="G52" s="690"/>
      <c r="H52" s="690"/>
      <c r="I52" s="690"/>
      <c r="J52" s="690">
        <f t="shared" ref="J52:AC52" si="29">J51-$H51</f>
        <v>51.376000000000005</v>
      </c>
      <c r="K52" s="690">
        <f t="shared" si="29"/>
        <v>51.594999999999999</v>
      </c>
      <c r="L52" s="690">
        <f t="shared" si="29"/>
        <v>52.314999999999998</v>
      </c>
      <c r="M52" s="690">
        <f t="shared" si="29"/>
        <v>91.496000000000009</v>
      </c>
      <c r="N52" s="690">
        <f>N51-$H51</f>
        <v>101.05500000000001</v>
      </c>
      <c r="O52" s="690">
        <f>O51-$H51</f>
        <v>94.312000000000012</v>
      </c>
      <c r="P52" s="690">
        <f t="shared" si="29"/>
        <v>100.649</v>
      </c>
      <c r="Q52" s="690">
        <f t="shared" si="29"/>
        <v>77.259999999999991</v>
      </c>
      <c r="R52" s="690">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27"/>
      <c r="AE52" s="827"/>
      <c r="AF52" s="827"/>
      <c r="AG52" s="827"/>
      <c r="AH52" s="827"/>
      <c r="AI52" s="827"/>
      <c r="AJ52" s="827"/>
      <c r="AK52" s="827"/>
      <c r="AL52" s="827"/>
      <c r="AM52" s="827"/>
      <c r="AN52" s="827"/>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44" t="s">
        <v>331</v>
      </c>
    </row>
    <row r="58" spans="2:40" x14ac:dyDescent="0.35">
      <c r="B58" s="1504" t="s">
        <v>769</v>
      </c>
      <c r="C58" s="1505"/>
      <c r="D58" s="1437" t="s">
        <v>246</v>
      </c>
      <c r="E58" s="1437"/>
      <c r="F58" s="1437"/>
      <c r="G58" s="1437"/>
      <c r="H58" s="1437"/>
      <c r="I58" s="1437"/>
      <c r="J58" s="1437"/>
      <c r="K58" s="1437"/>
      <c r="L58" s="1437"/>
      <c r="M58" s="1437"/>
      <c r="N58" s="1437"/>
      <c r="O58" s="1437"/>
      <c r="P58" s="1437"/>
      <c r="Q58" s="1437"/>
      <c r="R58" s="1437"/>
      <c r="S58" s="1437"/>
      <c r="T58" s="1437"/>
      <c r="U58" s="1437"/>
      <c r="V58" s="1437"/>
      <c r="W58" s="1437"/>
      <c r="X58" s="1437"/>
      <c r="Y58" s="1437"/>
      <c r="Z58" s="1437"/>
      <c r="AA58" s="1437"/>
      <c r="AB58" s="1437"/>
      <c r="AC58" s="1441" t="s">
        <v>247</v>
      </c>
      <c r="AD58" s="1442"/>
      <c r="AE58" s="1442"/>
      <c r="AF58" s="1442"/>
      <c r="AG58" s="1442"/>
      <c r="AH58" s="1442"/>
      <c r="AI58" s="1442"/>
      <c r="AJ58" s="1442"/>
      <c r="AK58" s="1442"/>
      <c r="AL58" s="1442"/>
      <c r="AM58" s="1442"/>
      <c r="AN58" s="1443"/>
    </row>
    <row r="59" spans="2:40" x14ac:dyDescent="0.35">
      <c r="B59" s="1506"/>
      <c r="C59" s="1507"/>
      <c r="D59" s="249">
        <v>2018</v>
      </c>
      <c r="E59" s="1403">
        <v>2019</v>
      </c>
      <c r="F59" s="1404"/>
      <c r="G59" s="1404"/>
      <c r="H59" s="1405"/>
      <c r="I59" s="1403">
        <v>2020</v>
      </c>
      <c r="J59" s="1404"/>
      <c r="K59" s="1404"/>
      <c r="L59" s="1404"/>
      <c r="M59" s="1403">
        <v>2021</v>
      </c>
      <c r="N59" s="1404"/>
      <c r="O59" s="1404"/>
      <c r="P59" s="1404"/>
      <c r="Q59" s="1403">
        <v>2022</v>
      </c>
      <c r="R59" s="1404"/>
      <c r="S59" s="1404"/>
      <c r="T59" s="1405"/>
      <c r="U59" s="277"/>
      <c r="V59" s="277">
        <v>2023</v>
      </c>
      <c r="W59" s="277"/>
      <c r="X59" s="279"/>
      <c r="Y59" s="283"/>
      <c r="Z59" s="277">
        <v>2024</v>
      </c>
      <c r="AA59" s="277"/>
      <c r="AB59" s="279"/>
      <c r="AC59" s="1410">
        <v>2025</v>
      </c>
      <c r="AD59" s="1428"/>
      <c r="AE59" s="1428"/>
      <c r="AF59" s="1412"/>
      <c r="AG59" s="1410">
        <v>2026</v>
      </c>
      <c r="AH59" s="1428"/>
      <c r="AI59" s="1428"/>
      <c r="AJ59" s="1412"/>
      <c r="AK59" s="1410">
        <v>2027</v>
      </c>
      <c r="AL59" s="1428"/>
      <c r="AM59" s="1428"/>
      <c r="AN59" s="1412"/>
    </row>
    <row r="60" spans="2:40" x14ac:dyDescent="0.35">
      <c r="B60" s="1506"/>
      <c r="C60" s="1507"/>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36" t="s">
        <v>432</v>
      </c>
      <c r="C61" s="724" t="s">
        <v>433</v>
      </c>
      <c r="D61" s="475">
        <f>'[1]Haver Pivoted'!GO31</f>
        <v>2223</v>
      </c>
      <c r="E61" s="476">
        <f>'[1]Haver Pivoted'!GP31</f>
        <v>2303.8000000000002</v>
      </c>
      <c r="F61" s="476">
        <f>'[1]Haver Pivoted'!GQ31</f>
        <v>2321.6999999999998</v>
      </c>
      <c r="G61" s="476">
        <f>'[1]Haver Pivoted'!GR31</f>
        <v>2337.1</v>
      </c>
      <c r="H61" s="476">
        <f>'[1]Haver Pivoted'!GS31</f>
        <v>2349.5</v>
      </c>
      <c r="I61" s="476">
        <f>'[1]Haver Pivoted'!GT31</f>
        <v>2414.4</v>
      </c>
      <c r="J61" s="476">
        <f>'[1]Haver Pivoted'!GU31</f>
        <v>4654.1000000000004</v>
      </c>
      <c r="K61" s="476">
        <f>'[1]Haver Pivoted'!GV31</f>
        <v>3504.7</v>
      </c>
      <c r="L61" s="476">
        <f>'[1]Haver Pivoted'!GW31</f>
        <v>2888.4</v>
      </c>
      <c r="M61" s="476">
        <f>'[1]Haver Pivoted'!GX31</f>
        <v>5138.1000000000004</v>
      </c>
      <c r="N61" s="476">
        <f>'[1]Haver Pivoted'!GY31</f>
        <v>3397.8</v>
      </c>
      <c r="O61" s="476">
        <f>'[1]Haver Pivoted'!GZ31</f>
        <v>3124.9</v>
      </c>
      <c r="P61" s="476">
        <f>'[1]Haver Pivoted'!HA31</f>
        <v>2952.6</v>
      </c>
      <c r="Q61" s="476">
        <f>'[1]Haver Pivoted'!HB31</f>
        <v>2970.9</v>
      </c>
      <c r="R61" s="476">
        <f>'[1]Haver Pivoted'!HC31</f>
        <v>2976.2</v>
      </c>
      <c r="S61" s="477">
        <f>'[1]Haver Pivoted'!HD31</f>
        <v>2970.4</v>
      </c>
      <c r="T61" s="477">
        <f>'[1]Haver Pivoted'!HE31</f>
        <v>3024.4</v>
      </c>
      <c r="U61" s="477">
        <f>'[1]Haver Pivoted'!HF31</f>
        <v>3038.4</v>
      </c>
      <c r="V61" s="477">
        <f>'[1]Haver Pivoted'!HG31</f>
        <v>3049.1</v>
      </c>
      <c r="W61" s="477">
        <f>'[1]Haver Pivoted'!HH31</f>
        <v>3078</v>
      </c>
      <c r="X61" s="477">
        <f>'[1]Haver Pivoted'!HI31</f>
        <v>3095.6</v>
      </c>
      <c r="Y61" s="477">
        <f>'[1]Haver Pivoted'!HJ31</f>
        <v>3201.1</v>
      </c>
      <c r="Z61" s="477">
        <f>'[1]Haver Pivoted'!HK31</f>
        <v>3243.1</v>
      </c>
      <c r="AA61" s="477">
        <f>'[1]Haver Pivoted'!HL31</f>
        <v>3283.8</v>
      </c>
      <c r="AB61" s="477">
        <f>'[1]Haver Pivoted'!HM31</f>
        <v>3328.6</v>
      </c>
      <c r="AC61" s="477">
        <f>'[1]Haver Pivoted'!HN31</f>
        <v>3452.4</v>
      </c>
      <c r="AD61" s="858"/>
      <c r="AE61" s="858"/>
      <c r="AF61" s="858"/>
      <c r="AG61" s="353"/>
      <c r="AH61" s="353"/>
      <c r="AI61" s="353"/>
      <c r="AJ61" s="353"/>
      <c r="AK61" s="353"/>
      <c r="AL61" s="353"/>
      <c r="AM61" s="353"/>
      <c r="AN61" s="353"/>
    </row>
    <row r="62" spans="2:40" ht="25.75" customHeight="1" x14ac:dyDescent="0.35">
      <c r="B62" s="606" t="s">
        <v>1796</v>
      </c>
      <c r="C62" s="268"/>
      <c r="D62" s="851">
        <f>D63+D64</f>
        <v>812.1</v>
      </c>
      <c r="E62" s="580">
        <f>E63+E64</f>
        <v>833.1</v>
      </c>
      <c r="F62" s="580">
        <f>F63+F64</f>
        <v>845.8</v>
      </c>
      <c r="G62" s="580">
        <f t="shared" ref="G62:N62" si="30">G63+G64</f>
        <v>854.4</v>
      </c>
      <c r="H62" s="580">
        <f t="shared" si="30"/>
        <v>858.7</v>
      </c>
      <c r="I62" s="580">
        <f t="shared" si="30"/>
        <v>878.91200000000003</v>
      </c>
      <c r="J62" s="580">
        <f t="shared" si="30"/>
        <v>3142.9549999999999</v>
      </c>
      <c r="K62" s="580">
        <f t="shared" si="30"/>
        <v>1863.174</v>
      </c>
      <c r="L62" s="580">
        <f t="shared" si="30"/>
        <v>1307.4940000000001</v>
      </c>
      <c r="M62" s="580">
        <f t="shared" si="30"/>
        <v>3530.9749999999999</v>
      </c>
      <c r="N62" s="580">
        <f t="shared" si="30"/>
        <v>1812.8558400000002</v>
      </c>
      <c r="O62" s="580">
        <f>O63+O64</f>
        <v>1537.1944933333332</v>
      </c>
      <c r="P62" s="580">
        <f t="shared" ref="P62:R62" si="31">P63+P64</f>
        <v>1378.037333333333</v>
      </c>
      <c r="Q62" s="580">
        <f t="shared" si="31"/>
        <v>1212.615</v>
      </c>
      <c r="R62" s="580">
        <f t="shared" si="31"/>
        <v>1208.7130000000002</v>
      </c>
      <c r="S62" s="838">
        <f>S63+S64</f>
        <v>1205.403</v>
      </c>
      <c r="T62" s="838">
        <f t="shared" ref="T62:AC62" si="32">T63+T64</f>
        <v>1228.624</v>
      </c>
      <c r="U62" s="838">
        <f t="shared" si="32"/>
        <v>1164.202</v>
      </c>
      <c r="V62" s="838">
        <f t="shared" si="32"/>
        <v>1154.0450000000001</v>
      </c>
      <c r="W62" s="838">
        <f t="shared" si="32"/>
        <v>1171.75</v>
      </c>
      <c r="X62" s="838">
        <f t="shared" si="32"/>
        <v>1164.5179999999998</v>
      </c>
      <c r="Y62" s="838">
        <f t="shared" si="32"/>
        <v>1176.5360000000001</v>
      </c>
      <c r="Z62" s="838">
        <f t="shared" si="32"/>
        <v>1198.548</v>
      </c>
      <c r="AA62" s="838">
        <f t="shared" si="32"/>
        <v>1229.1180000000002</v>
      </c>
      <c r="AB62" s="838">
        <f t="shared" si="32"/>
        <v>1253.3729999999998</v>
      </c>
      <c r="AC62" s="838">
        <f t="shared" si="32"/>
        <v>1281.6229999999998</v>
      </c>
      <c r="AD62" s="828"/>
      <c r="AE62" s="828"/>
      <c r="AF62" s="828"/>
      <c r="AG62" s="353"/>
      <c r="AH62" s="353"/>
      <c r="AI62" s="353"/>
      <c r="AJ62" s="353"/>
      <c r="AK62" s="353"/>
      <c r="AL62" s="353"/>
      <c r="AM62" s="353"/>
      <c r="AN62" s="353"/>
    </row>
    <row r="63" spans="2:40" ht="25.75" customHeight="1" x14ac:dyDescent="0.35">
      <c r="B63" s="529" t="s">
        <v>1794</v>
      </c>
      <c r="C63" s="268"/>
      <c r="D63" s="851">
        <f t="shared" ref="D63:AC63" si="33">D14+D17+D27</f>
        <v>812.1</v>
      </c>
      <c r="E63" s="851">
        <f t="shared" si="33"/>
        <v>833.1</v>
      </c>
      <c r="F63" s="580">
        <f t="shared" si="33"/>
        <v>845.8</v>
      </c>
      <c r="G63" s="580">
        <f t="shared" si="33"/>
        <v>854.4</v>
      </c>
      <c r="H63" s="580">
        <f t="shared" si="33"/>
        <v>858.7</v>
      </c>
      <c r="I63" s="580">
        <f t="shared" si="33"/>
        <v>872</v>
      </c>
      <c r="J63" s="580">
        <f t="shared" si="33"/>
        <v>1795.8</v>
      </c>
      <c r="K63" s="580">
        <f t="shared" si="33"/>
        <v>1656.8</v>
      </c>
      <c r="L63" s="580">
        <f t="shared" si="33"/>
        <v>1191.7</v>
      </c>
      <c r="M63" s="580">
        <f t="shared" si="33"/>
        <v>1473.1</v>
      </c>
      <c r="N63" s="580">
        <f t="shared" si="33"/>
        <v>1346.4</v>
      </c>
      <c r="O63" s="580">
        <f t="shared" si="33"/>
        <v>1318.833333333333</v>
      </c>
      <c r="P63" s="580">
        <f t="shared" si="33"/>
        <v>1157.333333333333</v>
      </c>
      <c r="Q63" s="580">
        <f t="shared" si="33"/>
        <v>1036.4000000000001</v>
      </c>
      <c r="R63" s="580">
        <f t="shared" si="33"/>
        <v>1042.6000000000001</v>
      </c>
      <c r="S63" s="838">
        <f t="shared" si="33"/>
        <v>1054.8</v>
      </c>
      <c r="T63" s="838">
        <f t="shared" si="33"/>
        <v>1078.7</v>
      </c>
      <c r="U63" s="838">
        <f t="shared" si="33"/>
        <v>1045.2</v>
      </c>
      <c r="V63" s="838">
        <f t="shared" si="33"/>
        <v>1066.76</v>
      </c>
      <c r="W63" s="838">
        <f t="shared" si="33"/>
        <v>1084.8599999999999</v>
      </c>
      <c r="X63" s="838">
        <f t="shared" si="33"/>
        <v>1104.5999999999999</v>
      </c>
      <c r="Y63" s="838">
        <f t="shared" si="33"/>
        <v>1118.1000000000001</v>
      </c>
      <c r="Z63" s="838">
        <f t="shared" si="33"/>
        <v>1136</v>
      </c>
      <c r="AA63" s="838">
        <f t="shared" si="33"/>
        <v>1159.9000000000001</v>
      </c>
      <c r="AB63" s="838">
        <f t="shared" si="33"/>
        <v>1188.5999999999999</v>
      </c>
      <c r="AC63" s="838">
        <f t="shared" si="33"/>
        <v>1220.0999999999999</v>
      </c>
      <c r="AD63" s="828"/>
      <c r="AE63" s="828"/>
      <c r="AF63" s="828"/>
      <c r="AG63" s="828"/>
      <c r="AH63" s="828"/>
      <c r="AI63" s="828"/>
      <c r="AJ63" s="828"/>
      <c r="AK63" s="828"/>
      <c r="AL63" s="828"/>
      <c r="AM63" s="828"/>
      <c r="AN63" s="828"/>
    </row>
    <row r="64" spans="2:40" ht="36" customHeight="1" x14ac:dyDescent="0.35">
      <c r="B64" s="529" t="s">
        <v>1795</v>
      </c>
      <c r="C64" s="268"/>
      <c r="D64" s="580">
        <f t="shared" ref="D64:AF64" si="34">D18+D21+D24+D25+D26+D28+D32</f>
        <v>0</v>
      </c>
      <c r="E64" s="580">
        <f t="shared" si="34"/>
        <v>0</v>
      </c>
      <c r="F64" s="580">
        <f t="shared" si="34"/>
        <v>0</v>
      </c>
      <c r="G64" s="580">
        <f t="shared" si="34"/>
        <v>0</v>
      </c>
      <c r="H64" s="580">
        <f t="shared" si="34"/>
        <v>0</v>
      </c>
      <c r="I64" s="580">
        <f t="shared" si="34"/>
        <v>6.9120000000000061</v>
      </c>
      <c r="J64" s="580">
        <f t="shared" si="34"/>
        <v>1347.155</v>
      </c>
      <c r="K64" s="580">
        <f t="shared" si="34"/>
        <v>206.37400000000002</v>
      </c>
      <c r="L64" s="580">
        <f t="shared" si="34"/>
        <v>115.79400000000001</v>
      </c>
      <c r="M64" s="580">
        <f t="shared" si="34"/>
        <v>2057.875</v>
      </c>
      <c r="N64" s="580">
        <f t="shared" si="34"/>
        <v>466.45584000000008</v>
      </c>
      <c r="O64" s="580">
        <f t="shared" si="34"/>
        <v>218.3611600000001</v>
      </c>
      <c r="P64" s="580">
        <f t="shared" si="34"/>
        <v>220.70400000000004</v>
      </c>
      <c r="Q64" s="580">
        <f t="shared" si="34"/>
        <v>176.215</v>
      </c>
      <c r="R64" s="580">
        <f t="shared" si="34"/>
        <v>166.113</v>
      </c>
      <c r="S64" s="580">
        <f t="shared" si="34"/>
        <v>150.60300000000001</v>
      </c>
      <c r="T64" s="580">
        <f t="shared" si="34"/>
        <v>149.92400000000004</v>
      </c>
      <c r="U64" s="580">
        <f t="shared" si="34"/>
        <v>119.002</v>
      </c>
      <c r="V64" s="580">
        <f t="shared" si="34"/>
        <v>87.285000000000011</v>
      </c>
      <c r="W64" s="580">
        <f t="shared" si="34"/>
        <v>86.890000000000015</v>
      </c>
      <c r="X64" s="828">
        <f t="shared" si="34"/>
        <v>59.917999999999999</v>
      </c>
      <c r="Y64" s="828">
        <f t="shared" si="34"/>
        <v>58.436</v>
      </c>
      <c r="Z64" s="828">
        <f t="shared" si="34"/>
        <v>62.548000000000009</v>
      </c>
      <c r="AA64" s="828">
        <f t="shared" si="34"/>
        <v>69.218000000000018</v>
      </c>
      <c r="AB64" s="828">
        <f>AB18+AB21+AB24+AB25+AB26+AB28+AB32</f>
        <v>64.77300000000001</v>
      </c>
      <c r="AC64" s="828">
        <f t="shared" si="34"/>
        <v>61.52300000000001</v>
      </c>
      <c r="AD64" s="828">
        <f t="shared" si="34"/>
        <v>61.52300000000001</v>
      </c>
      <c r="AE64" s="828">
        <f t="shared" si="34"/>
        <v>61.52300000000001</v>
      </c>
      <c r="AF64" s="828">
        <f t="shared" si="34"/>
        <v>43.443000000000012</v>
      </c>
      <c r="AG64" s="828">
        <f>AG18+AG21+AG24+AG25+AG26+AG28+AG32</f>
        <v>41.282000000000011</v>
      </c>
      <c r="AH64" s="828">
        <f t="shared" ref="AH64:AI64" si="35">AH18+AH21+AH24+AH25+AH26+AH28+AH32</f>
        <v>40.554000000000009</v>
      </c>
      <c r="AI64" s="828">
        <f t="shared" si="35"/>
        <v>40.554000000000009</v>
      </c>
      <c r="AJ64" s="828">
        <f>AJ18+AJ21+AJ24+AJ25+AJ26+AJ28+AJ32</f>
        <v>40.554000000000009</v>
      </c>
      <c r="AK64" s="828">
        <f t="shared" ref="AK64:AN64" si="36">AK18+AK21+AK24+AK25+AK26+AK28+AK32</f>
        <v>40.554000000000009</v>
      </c>
      <c r="AL64" s="828">
        <f t="shared" si="36"/>
        <v>40.554000000000009</v>
      </c>
      <c r="AM64" s="828">
        <f t="shared" si="36"/>
        <v>40.554000000000009</v>
      </c>
      <c r="AN64" s="828">
        <f t="shared" si="36"/>
        <v>40.554000000000009</v>
      </c>
    </row>
    <row r="65" spans="2:40" ht="25.75" customHeight="1" x14ac:dyDescent="0.35">
      <c r="B65" s="606" t="s">
        <v>766</v>
      </c>
      <c r="C65" s="268"/>
      <c r="D65" s="838">
        <f t="shared" ref="D65:AC65" si="37">D61-D62</f>
        <v>1410.9</v>
      </c>
      <c r="E65" s="838">
        <f t="shared" si="37"/>
        <v>1470.7000000000003</v>
      </c>
      <c r="F65" s="838">
        <f t="shared" si="37"/>
        <v>1475.8999999999999</v>
      </c>
      <c r="G65" s="838">
        <f t="shared" si="37"/>
        <v>1482.6999999999998</v>
      </c>
      <c r="H65" s="838">
        <f t="shared" si="37"/>
        <v>1490.8</v>
      </c>
      <c r="I65" s="838">
        <f t="shared" si="37"/>
        <v>1535.4880000000001</v>
      </c>
      <c r="J65" s="838">
        <f t="shared" si="37"/>
        <v>1511.1450000000004</v>
      </c>
      <c r="K65" s="838">
        <f t="shared" si="37"/>
        <v>1641.5259999999998</v>
      </c>
      <c r="L65" s="838">
        <f t="shared" si="37"/>
        <v>1580.9059999999999</v>
      </c>
      <c r="M65" s="838">
        <f t="shared" si="37"/>
        <v>1607.1250000000005</v>
      </c>
      <c r="N65" s="838">
        <f t="shared" si="37"/>
        <v>1584.94416</v>
      </c>
      <c r="O65" s="838">
        <f t="shared" si="37"/>
        <v>1587.7055066666669</v>
      </c>
      <c r="P65" s="838">
        <f t="shared" si="37"/>
        <v>1574.5626666666669</v>
      </c>
      <c r="Q65" s="838">
        <f t="shared" si="37"/>
        <v>1758.2850000000001</v>
      </c>
      <c r="R65" s="838">
        <f t="shared" si="37"/>
        <v>1767.4869999999996</v>
      </c>
      <c r="S65" s="838">
        <f t="shared" si="37"/>
        <v>1764.9970000000001</v>
      </c>
      <c r="T65" s="838">
        <f t="shared" si="37"/>
        <v>1795.7760000000001</v>
      </c>
      <c r="U65" s="838">
        <f t="shared" si="37"/>
        <v>1874.1980000000001</v>
      </c>
      <c r="V65" s="838">
        <f t="shared" si="37"/>
        <v>1895.0549999999998</v>
      </c>
      <c r="W65" s="838">
        <f t="shared" si="37"/>
        <v>1906.25</v>
      </c>
      <c r="X65" s="838">
        <f t="shared" si="37"/>
        <v>1931.0820000000001</v>
      </c>
      <c r="Y65" s="838">
        <f t="shared" si="37"/>
        <v>2024.5639999999999</v>
      </c>
      <c r="Z65" s="838">
        <f t="shared" si="37"/>
        <v>2044.5519999999999</v>
      </c>
      <c r="AA65" s="838">
        <f t="shared" si="37"/>
        <v>2054.6819999999998</v>
      </c>
      <c r="AB65" s="838">
        <f t="shared" si="37"/>
        <v>2075.2269999999999</v>
      </c>
      <c r="AC65" s="838">
        <f t="shared" si="37"/>
        <v>2170.777</v>
      </c>
      <c r="AD65" s="828"/>
      <c r="AE65" s="828"/>
      <c r="AF65" s="828"/>
      <c r="AG65" s="353"/>
      <c r="AH65" s="353"/>
      <c r="AI65" s="353"/>
      <c r="AJ65" s="353"/>
      <c r="AK65" s="353"/>
      <c r="AL65" s="353"/>
      <c r="AM65" s="353"/>
      <c r="AN65" s="353"/>
    </row>
    <row r="66" spans="2:40" ht="20.5" customHeight="1" x14ac:dyDescent="0.35">
      <c r="B66" s="864" t="s">
        <v>767</v>
      </c>
      <c r="C66" s="865"/>
      <c r="D66" s="869">
        <f t="shared" ref="D66:I66" si="38">D12-D14-D17-D27</f>
        <v>1410.9</v>
      </c>
      <c r="E66" s="860">
        <f t="shared" si="38"/>
        <v>1470.7000000000003</v>
      </c>
      <c r="F66" s="860">
        <f t="shared" si="38"/>
        <v>1475.8999999999996</v>
      </c>
      <c r="G66" s="860">
        <f t="shared" si="38"/>
        <v>1482.6999999999998</v>
      </c>
      <c r="H66" s="860">
        <f t="shared" si="38"/>
        <v>1490.8000000000002</v>
      </c>
      <c r="I66" s="860">
        <f t="shared" si="38"/>
        <v>1542.4</v>
      </c>
      <c r="J66" s="870">
        <f>I66+($H$66-$E$66)/3</f>
        <v>1549.1000000000001</v>
      </c>
      <c r="K66" s="870">
        <f>J66+($H$66-$E$66)/3</f>
        <v>1555.8000000000002</v>
      </c>
      <c r="L66" s="870">
        <f>K66+($H$66-$E$66)/3</f>
        <v>1562.5000000000002</v>
      </c>
      <c r="M66" s="871">
        <f>L66+($H$66-$E$66)/3 +(M70-L70)</f>
        <v>1586.8430000000003</v>
      </c>
      <c r="N66" s="870">
        <f>M66+($H$66-$E$66)/3</f>
        <v>1593.5430000000003</v>
      </c>
      <c r="O66" s="870">
        <f>N66+($H$66-$E$66)/3</f>
        <v>1600.2430000000004</v>
      </c>
      <c r="P66" s="870">
        <f>O66+($H$66-$E$66)/3</f>
        <v>1606.9430000000004</v>
      </c>
      <c r="Q66" s="871">
        <f>P66+($H$66-$E$66)/3 + 0.06*Q70</f>
        <v>1685.5501200000006</v>
      </c>
      <c r="R66" s="870">
        <f>Q66+($H$66-$E$66)/3</f>
        <v>1692.2501200000006</v>
      </c>
      <c r="S66" s="870">
        <f>R66+($H$66-$E$66)/3</f>
        <v>1698.9501200000007</v>
      </c>
      <c r="T66" s="870">
        <f>S66+($H$66-$E$66)/3</f>
        <v>1705.6501200000007</v>
      </c>
      <c r="U66" s="870">
        <f t="shared" ref="U66:AN66" si="39">T66+U67</f>
        <v>1818.9789730000007</v>
      </c>
      <c r="V66" s="870">
        <f t="shared" si="39"/>
        <v>1825.6789730000007</v>
      </c>
      <c r="W66" s="860">
        <f t="shared" si="39"/>
        <v>1832.3789730000008</v>
      </c>
      <c r="X66" s="866">
        <f t="shared" si="39"/>
        <v>1839.0789730000008</v>
      </c>
      <c r="Y66" s="866">
        <f t="shared" si="39"/>
        <v>1891.4284770000008</v>
      </c>
      <c r="Z66" s="866">
        <f t="shared" si="39"/>
        <v>1898.1284770000009</v>
      </c>
      <c r="AA66" s="866">
        <f t="shared" si="39"/>
        <v>1904.8284770000009</v>
      </c>
      <c r="AB66" s="866">
        <f t="shared" si="39"/>
        <v>1911.528477000001</v>
      </c>
      <c r="AC66" s="866">
        <f t="shared" si="39"/>
        <v>1956.4482020000009</v>
      </c>
      <c r="AD66" s="866">
        <f t="shared" si="39"/>
        <v>1963.148202000001</v>
      </c>
      <c r="AE66" s="866">
        <f t="shared" si="39"/>
        <v>1969.848202000001</v>
      </c>
      <c r="AF66" s="866">
        <f t="shared" si="39"/>
        <v>1976.5482020000011</v>
      </c>
      <c r="AG66" s="866">
        <f t="shared" si="39"/>
        <v>2021.8053925010011</v>
      </c>
      <c r="AH66" s="866">
        <f t="shared" si="39"/>
        <v>2028.5053925010011</v>
      </c>
      <c r="AI66" s="866">
        <f t="shared" si="39"/>
        <v>2035.2053925010011</v>
      </c>
      <c r="AJ66" s="866">
        <f t="shared" si="39"/>
        <v>2041.9053925010012</v>
      </c>
      <c r="AK66" s="866">
        <f t="shared" si="39"/>
        <v>2089.4772613835244</v>
      </c>
      <c r="AL66" s="866">
        <f t="shared" si="39"/>
        <v>2096.1772613835242</v>
      </c>
      <c r="AM66" s="866">
        <f t="shared" si="39"/>
        <v>2102.877261383524</v>
      </c>
      <c r="AN66" s="866">
        <f t="shared" si="39"/>
        <v>2109.5772613835238</v>
      </c>
    </row>
    <row r="67" spans="2:40" ht="20.5" customHeight="1" x14ac:dyDescent="0.35">
      <c r="B67" s="867" t="s">
        <v>1756</v>
      </c>
      <c r="C67" s="268"/>
      <c r="D67" s="851"/>
      <c r="E67" s="580"/>
      <c r="F67" s="580"/>
      <c r="G67" s="580"/>
      <c r="H67" s="580"/>
      <c r="I67" s="580"/>
      <c r="J67" s="862"/>
      <c r="K67" s="862"/>
      <c r="L67" s="862"/>
      <c r="M67" s="872"/>
      <c r="N67" s="862"/>
      <c r="O67" s="862"/>
      <c r="P67" s="862"/>
      <c r="Q67" s="872"/>
      <c r="R67" s="862"/>
      <c r="S67" s="862"/>
      <c r="T67" s="862"/>
      <c r="U67" s="862">
        <f>U68+U69</f>
        <v>113.32885299999995</v>
      </c>
      <c r="V67" s="862">
        <f>V68+V69</f>
        <v>6.69999999999997</v>
      </c>
      <c r="W67" s="862">
        <f>W68+W69</f>
        <v>6.69999999999997</v>
      </c>
      <c r="X67" s="828">
        <f t="shared" ref="X67:AN67" si="40">X68+X73*X70</f>
        <v>6.69999999999997</v>
      </c>
      <c r="Y67" s="828">
        <f t="shared" si="40"/>
        <v>52.349503999999968</v>
      </c>
      <c r="Z67" s="828">
        <f t="shared" si="40"/>
        <v>6.69999999999997</v>
      </c>
      <c r="AA67" s="828">
        <f t="shared" si="40"/>
        <v>6.69999999999997</v>
      </c>
      <c r="AB67" s="828">
        <f t="shared" si="40"/>
        <v>6.69999999999997</v>
      </c>
      <c r="AC67" s="828">
        <f t="shared" si="40"/>
        <v>44.919724999999971</v>
      </c>
      <c r="AD67" s="828">
        <f t="shared" si="40"/>
        <v>6.69999999999997</v>
      </c>
      <c r="AE67" s="828">
        <f t="shared" si="40"/>
        <v>6.69999999999997</v>
      </c>
      <c r="AF67" s="828">
        <f t="shared" si="40"/>
        <v>6.69999999999997</v>
      </c>
      <c r="AG67" s="828">
        <f t="shared" si="40"/>
        <v>45.257190500999961</v>
      </c>
      <c r="AH67" s="828">
        <f t="shared" si="40"/>
        <v>6.69999999999997</v>
      </c>
      <c r="AI67" s="828">
        <f t="shared" si="40"/>
        <v>6.69999999999997</v>
      </c>
      <c r="AJ67" s="828">
        <f t="shared" si="40"/>
        <v>6.69999999999997</v>
      </c>
      <c r="AK67" s="828">
        <f t="shared" si="40"/>
        <v>47.571868882522963</v>
      </c>
      <c r="AL67" s="828">
        <f t="shared" si="40"/>
        <v>6.69999999999997</v>
      </c>
      <c r="AM67" s="828">
        <f t="shared" si="40"/>
        <v>6.69999999999997</v>
      </c>
      <c r="AN67" s="828">
        <f t="shared" si="40"/>
        <v>6.69999999999997</v>
      </c>
    </row>
    <row r="68" spans="2:40" ht="28.4" customHeight="1" x14ac:dyDescent="0.35">
      <c r="B68" s="868" t="s">
        <v>1753</v>
      </c>
      <c r="C68" s="268"/>
      <c r="D68" s="851"/>
      <c r="E68" s="580"/>
      <c r="F68" s="580"/>
      <c r="G68" s="580"/>
      <c r="H68" s="580"/>
      <c r="I68" s="580"/>
      <c r="J68" s="862"/>
      <c r="K68" s="862"/>
      <c r="L68" s="862"/>
      <c r="M68" s="872"/>
      <c r="N68" s="862"/>
      <c r="O68" s="862"/>
      <c r="P68" s="862"/>
      <c r="Q68" s="872"/>
      <c r="R68" s="862"/>
      <c r="S68" s="862"/>
      <c r="T68" s="862"/>
      <c r="U68" s="862">
        <f>($H$66-$E$66)/3</f>
        <v>6.69999999999997</v>
      </c>
      <c r="V68" s="862">
        <f>($H$66-$E$66)/3</f>
        <v>6.69999999999997</v>
      </c>
      <c r="W68" s="862">
        <f>($H$66-$E$66)/3</f>
        <v>6.69999999999997</v>
      </c>
      <c r="X68" s="828">
        <f t="shared" ref="X68:AE68" si="41">W68</f>
        <v>6.69999999999997</v>
      </c>
      <c r="Y68" s="828">
        <f t="shared" si="41"/>
        <v>6.69999999999997</v>
      </c>
      <c r="Z68" s="828">
        <f t="shared" si="41"/>
        <v>6.69999999999997</v>
      </c>
      <c r="AA68" s="828">
        <f t="shared" si="41"/>
        <v>6.69999999999997</v>
      </c>
      <c r="AB68" s="828">
        <f t="shared" si="41"/>
        <v>6.69999999999997</v>
      </c>
      <c r="AC68" s="828">
        <f t="shared" si="41"/>
        <v>6.69999999999997</v>
      </c>
      <c r="AD68" s="828">
        <f t="shared" si="41"/>
        <v>6.69999999999997</v>
      </c>
      <c r="AE68" s="828">
        <f t="shared" si="41"/>
        <v>6.69999999999997</v>
      </c>
      <c r="AF68" s="828">
        <f>AE68</f>
        <v>6.69999999999997</v>
      </c>
      <c r="AG68" s="828">
        <f>AF68</f>
        <v>6.69999999999997</v>
      </c>
      <c r="AH68" s="828">
        <f>AG68</f>
        <v>6.69999999999997</v>
      </c>
      <c r="AI68" s="828">
        <f t="shared" ref="AI68:AN68" si="42">AH68</f>
        <v>6.69999999999997</v>
      </c>
      <c r="AJ68" s="828">
        <f t="shared" si="42"/>
        <v>6.69999999999997</v>
      </c>
      <c r="AK68" s="828">
        <f t="shared" si="42"/>
        <v>6.69999999999997</v>
      </c>
      <c r="AL68" s="828">
        <f t="shared" si="42"/>
        <v>6.69999999999997</v>
      </c>
      <c r="AM68" s="828">
        <f t="shared" si="42"/>
        <v>6.69999999999997</v>
      </c>
      <c r="AN68" s="828">
        <f t="shared" si="42"/>
        <v>6.69999999999997</v>
      </c>
    </row>
    <row r="69" spans="2:40" ht="30.65" customHeight="1" x14ac:dyDescent="0.35">
      <c r="B69" s="857" t="s">
        <v>1754</v>
      </c>
      <c r="C69" s="845"/>
      <c r="D69" s="846"/>
      <c r="E69" s="830"/>
      <c r="F69" s="830"/>
      <c r="G69" s="830"/>
      <c r="H69" s="830"/>
      <c r="I69" s="830"/>
      <c r="J69" s="847"/>
      <c r="K69" s="847"/>
      <c r="L69" s="847"/>
      <c r="M69" s="848"/>
      <c r="N69" s="847"/>
      <c r="O69" s="847"/>
      <c r="P69" s="847"/>
      <c r="Q69" s="848"/>
      <c r="R69" s="847"/>
      <c r="S69" s="847"/>
      <c r="T69" s="847"/>
      <c r="U69" s="847">
        <f t="shared" ref="U69:AN69" si="43">U73*T70</f>
        <v>106.62885299999998</v>
      </c>
      <c r="V69" s="847">
        <f t="shared" si="43"/>
        <v>0</v>
      </c>
      <c r="W69" s="830">
        <f t="shared" si="43"/>
        <v>0</v>
      </c>
      <c r="X69" s="873">
        <f t="shared" si="43"/>
        <v>0</v>
      </c>
      <c r="Y69" s="873">
        <f t="shared" si="43"/>
        <v>43.967424000000001</v>
      </c>
      <c r="Z69" s="873">
        <f t="shared" si="43"/>
        <v>0</v>
      </c>
      <c r="AA69" s="873">
        <f t="shared" si="43"/>
        <v>0</v>
      </c>
      <c r="AB69" s="873">
        <f t="shared" si="43"/>
        <v>0</v>
      </c>
      <c r="AC69" s="873">
        <f t="shared" si="43"/>
        <v>36.697899999999997</v>
      </c>
      <c r="AD69" s="873">
        <f t="shared" si="43"/>
        <v>0</v>
      </c>
      <c r="AE69" s="873">
        <f t="shared" si="43"/>
        <v>0</v>
      </c>
      <c r="AF69" s="873">
        <f t="shared" si="43"/>
        <v>0</v>
      </c>
      <c r="AG69" s="873">
        <f t="shared" si="43"/>
        <v>37.330587000000001</v>
      </c>
      <c r="AH69" s="873">
        <f t="shared" si="43"/>
        <v>0</v>
      </c>
      <c r="AI69" s="873">
        <f t="shared" si="43"/>
        <v>0</v>
      </c>
      <c r="AJ69" s="873">
        <f t="shared" si="43"/>
        <v>0</v>
      </c>
      <c r="AK69" s="873">
        <f t="shared" si="43"/>
        <v>39.638190500999997</v>
      </c>
      <c r="AL69" s="873">
        <f t="shared" si="43"/>
        <v>0</v>
      </c>
      <c r="AM69" s="873">
        <f t="shared" si="43"/>
        <v>0</v>
      </c>
      <c r="AN69" s="873">
        <f t="shared" si="43"/>
        <v>0</v>
      </c>
    </row>
    <row r="70" spans="2:40" ht="17.5" customHeight="1" x14ac:dyDescent="0.35">
      <c r="B70" s="693" t="s">
        <v>440</v>
      </c>
      <c r="C70" s="268" t="s">
        <v>441</v>
      </c>
      <c r="D70" s="851">
        <f>'[1]Haver Pivoted'!GO88/1000</f>
        <v>983.86099999999999</v>
      </c>
      <c r="E70" s="580">
        <f>'[1]Haver Pivoted'!GP88/1000</f>
        <v>1019.19</v>
      </c>
      <c r="F70" s="580">
        <f>'[1]Haver Pivoted'!GQ88/1000</f>
        <v>1026.704</v>
      </c>
      <c r="G70" s="580">
        <f>'[1]Haver Pivoted'!GR88/1000</f>
        <v>1034.4169999999999</v>
      </c>
      <c r="H70" s="580">
        <f>'[1]Haver Pivoted'!GS88/1000</f>
        <v>1042.6610000000001</v>
      </c>
      <c r="I70" s="580">
        <f>'[1]Haver Pivoted'!GT88/1000</f>
        <v>1068.201</v>
      </c>
      <c r="J70" s="580">
        <f>'[1]Haver Pivoted'!GU88/1000</f>
        <v>1075.075</v>
      </c>
      <c r="K70" s="580">
        <f>'[1]Haver Pivoted'!GV88/1000</f>
        <v>1080.441</v>
      </c>
      <c r="L70" s="580">
        <f>'[1]Haver Pivoted'!GW88/1000</f>
        <v>1087.9949999999999</v>
      </c>
      <c r="M70" s="580">
        <f>'[1]Haver Pivoted'!GX88/1000</f>
        <v>1105.6379999999999</v>
      </c>
      <c r="N70" s="580">
        <f>'[1]Haver Pivoted'!GY88/1000</f>
        <v>1109.6400000000001</v>
      </c>
      <c r="O70" s="580">
        <f>'[1]Haver Pivoted'!GZ88/1000</f>
        <v>1116.9480000000001</v>
      </c>
      <c r="P70" s="580">
        <f>'[1]Haver Pivoted'!HA88/1000</f>
        <v>1126.174</v>
      </c>
      <c r="Q70" s="580">
        <f>'[1]Haver Pivoted'!HB88/1000</f>
        <v>1198.452</v>
      </c>
      <c r="R70" s="580">
        <f>'[1]Haver Pivoted'!HC88/1000</f>
        <v>1207.163</v>
      </c>
      <c r="S70" s="838">
        <f>'[1]Haver Pivoted'!HD88/1000</f>
        <v>1214.7809999999999</v>
      </c>
      <c r="T70" s="838">
        <f>'[1]Haver Pivoted'!HE88/1000</f>
        <v>1225.6189999999999</v>
      </c>
      <c r="U70" s="838">
        <f>'[1]Haver Pivoted'!HF88/1000</f>
        <v>1339.904</v>
      </c>
      <c r="V70" s="838">
        <f>'[1]Haver Pivoted'!HG88/1000</f>
        <v>1353.2829999999999</v>
      </c>
      <c r="W70" s="838">
        <f>'[1]Haver Pivoted'!HH88/1000</f>
        <v>1360.723</v>
      </c>
      <c r="X70" s="838">
        <f>'[1]Haver Pivoted'!HI88/1000</f>
        <v>1373.982</v>
      </c>
      <c r="Y70" s="838">
        <f>'[1]Haver Pivoted'!HJ88/1000</f>
        <v>1426.547</v>
      </c>
      <c r="Z70" s="838">
        <f>'[1]Haver Pivoted'!HK88/1000</f>
        <v>1439.73</v>
      </c>
      <c r="AA70" s="838">
        <f>'[1]Haver Pivoted'!HL88/1000</f>
        <v>1453.1369999999999</v>
      </c>
      <c r="AB70" s="838">
        <f>'[1]Haver Pivoted'!HM88/1000</f>
        <v>1467.9159999999999</v>
      </c>
      <c r="AC70" s="838">
        <f>'[1]Haver Pivoted'!HN88/1000</f>
        <v>1528.789</v>
      </c>
      <c r="AD70" s="828">
        <f t="shared" ref="AD70:AN70" si="44">AC70+AD71</f>
        <v>1597.069</v>
      </c>
      <c r="AE70" s="828">
        <f t="shared" si="44"/>
        <v>1607.069</v>
      </c>
      <c r="AF70" s="828">
        <f t="shared" si="44"/>
        <v>1623.069</v>
      </c>
      <c r="AG70" s="828">
        <f t="shared" si="44"/>
        <v>1676.3995869999999</v>
      </c>
      <c r="AH70" s="828">
        <f t="shared" si="44"/>
        <v>1692.3995869999999</v>
      </c>
      <c r="AI70" s="828">
        <f t="shared" si="44"/>
        <v>1708.3995869999999</v>
      </c>
      <c r="AJ70" s="828">
        <f t="shared" si="44"/>
        <v>1723.3995869999999</v>
      </c>
      <c r="AK70" s="828">
        <f t="shared" si="44"/>
        <v>1777.0377775009999</v>
      </c>
      <c r="AL70" s="828">
        <f t="shared" si="44"/>
        <v>1790.0377775009999</v>
      </c>
      <c r="AM70" s="828">
        <f t="shared" si="44"/>
        <v>1802.0377775009999</v>
      </c>
      <c r="AN70" s="828">
        <f t="shared" si="44"/>
        <v>1813.0377775009999</v>
      </c>
    </row>
    <row r="71" spans="2:40" ht="17.5" customHeight="1" x14ac:dyDescent="0.35">
      <c r="B71" s="529" t="s">
        <v>1755</v>
      </c>
      <c r="C71" s="268"/>
      <c r="D71" s="851"/>
      <c r="E71" s="580"/>
      <c r="F71" s="580"/>
      <c r="G71" s="580"/>
      <c r="H71" s="580"/>
      <c r="I71" s="580"/>
      <c r="J71" s="580"/>
      <c r="K71" s="580"/>
      <c r="L71" s="580"/>
      <c r="M71" s="580"/>
      <c r="N71" s="580"/>
      <c r="O71" s="580"/>
      <c r="P71" s="580"/>
      <c r="Q71" s="580"/>
      <c r="R71" s="580"/>
      <c r="S71" s="838"/>
      <c r="T71" s="838"/>
      <c r="U71" s="838">
        <f t="shared" ref="U71:AN71" si="45">U69+U72</f>
        <v>114.62885299999998</v>
      </c>
      <c r="V71" s="580">
        <f t="shared" si="45"/>
        <v>8</v>
      </c>
      <c r="W71" s="580">
        <f t="shared" si="45"/>
        <v>11</v>
      </c>
      <c r="X71" s="828">
        <f t="shared" si="45"/>
        <v>14</v>
      </c>
      <c r="Y71" s="828">
        <f t="shared" si="45"/>
        <v>52.967424000000001</v>
      </c>
      <c r="Z71" s="828">
        <f t="shared" si="45"/>
        <v>13</v>
      </c>
      <c r="AA71" s="828">
        <f t="shared" si="45"/>
        <v>11</v>
      </c>
      <c r="AB71" s="828">
        <f t="shared" si="45"/>
        <v>14</v>
      </c>
      <c r="AC71" s="828">
        <f>AC69+AC72</f>
        <v>43.697899999999997</v>
      </c>
      <c r="AD71" s="828">
        <f t="shared" si="45"/>
        <v>68.28</v>
      </c>
      <c r="AE71" s="828">
        <f t="shared" si="45"/>
        <v>10</v>
      </c>
      <c r="AF71" s="828">
        <f t="shared" si="45"/>
        <v>16</v>
      </c>
      <c r="AG71" s="828">
        <f t="shared" si="45"/>
        <v>53.330587000000001</v>
      </c>
      <c r="AH71" s="828">
        <f t="shared" si="45"/>
        <v>16</v>
      </c>
      <c r="AI71" s="828">
        <f t="shared" si="45"/>
        <v>16</v>
      </c>
      <c r="AJ71" s="828">
        <f t="shared" si="45"/>
        <v>15</v>
      </c>
      <c r="AK71" s="828">
        <f t="shared" si="45"/>
        <v>53.638190500999997</v>
      </c>
      <c r="AL71" s="828">
        <f t="shared" si="45"/>
        <v>13</v>
      </c>
      <c r="AM71" s="828">
        <f t="shared" si="45"/>
        <v>12</v>
      </c>
      <c r="AN71" s="828">
        <f t="shared" si="45"/>
        <v>11</v>
      </c>
    </row>
    <row r="72" spans="2:40" ht="17.5" customHeight="1" x14ac:dyDescent="0.35">
      <c r="B72" s="521" t="s">
        <v>1758</v>
      </c>
      <c r="C72" s="268"/>
      <c r="D72" s="838" t="e">
        <f t="shared" ref="D72:S72" si="46">D70-C70</f>
        <v>#VALUE!</v>
      </c>
      <c r="E72" s="838">
        <f t="shared" si="46"/>
        <v>35.329000000000065</v>
      </c>
      <c r="F72" s="838">
        <f t="shared" si="46"/>
        <v>7.5139999999998963</v>
      </c>
      <c r="G72" s="838">
        <f t="shared" si="46"/>
        <v>7.7129999999999654</v>
      </c>
      <c r="H72" s="838">
        <f t="shared" si="46"/>
        <v>8.2440000000001419</v>
      </c>
      <c r="I72" s="838">
        <f t="shared" si="46"/>
        <v>25.539999999999964</v>
      </c>
      <c r="J72" s="838">
        <f t="shared" si="46"/>
        <v>6.8740000000000236</v>
      </c>
      <c r="K72" s="838">
        <f t="shared" si="46"/>
        <v>5.3659999999999854</v>
      </c>
      <c r="L72" s="838">
        <f t="shared" si="46"/>
        <v>7.5539999999998599</v>
      </c>
      <c r="M72" s="838">
        <f t="shared" si="46"/>
        <v>17.643000000000029</v>
      </c>
      <c r="N72" s="838">
        <f t="shared" si="46"/>
        <v>4.0020000000001801</v>
      </c>
      <c r="O72" s="838">
        <f t="shared" si="46"/>
        <v>7.3079999999999927</v>
      </c>
      <c r="P72" s="838">
        <f t="shared" si="46"/>
        <v>9.2259999999998854</v>
      </c>
      <c r="Q72" s="838">
        <f t="shared" si="46"/>
        <v>72.27800000000002</v>
      </c>
      <c r="R72" s="838">
        <f t="shared" si="46"/>
        <v>8.7110000000000127</v>
      </c>
      <c r="S72" s="838">
        <f t="shared" si="46"/>
        <v>7.6179999999999382</v>
      </c>
      <c r="T72" s="838">
        <f>T70-S70</f>
        <v>10.837999999999965</v>
      </c>
      <c r="U72" s="838">
        <v>8</v>
      </c>
      <c r="V72" s="580">
        <v>8</v>
      </c>
      <c r="W72" s="580">
        <v>11</v>
      </c>
      <c r="X72" s="828">
        <v>14</v>
      </c>
      <c r="Y72" s="828">
        <v>9</v>
      </c>
      <c r="Z72" s="828">
        <v>13</v>
      </c>
      <c r="AA72" s="828">
        <v>11</v>
      </c>
      <c r="AB72" s="828">
        <v>14</v>
      </c>
      <c r="AC72" s="828">
        <v>7</v>
      </c>
      <c r="AD72" s="828">
        <f>158-89.72</f>
        <v>68.28</v>
      </c>
      <c r="AE72" s="828">
        <v>10</v>
      </c>
      <c r="AF72" s="828">
        <v>16</v>
      </c>
      <c r="AG72" s="828">
        <v>16</v>
      </c>
      <c r="AH72" s="828">
        <v>16</v>
      </c>
      <c r="AI72" s="828">
        <v>16</v>
      </c>
      <c r="AJ72" s="828">
        <v>15</v>
      </c>
      <c r="AK72" s="828">
        <v>14</v>
      </c>
      <c r="AL72" s="828">
        <v>13</v>
      </c>
      <c r="AM72" s="828">
        <v>12</v>
      </c>
      <c r="AN72" s="828">
        <v>11</v>
      </c>
    </row>
    <row r="73" spans="2:40" ht="39" customHeight="1" x14ac:dyDescent="0.35">
      <c r="B73" s="521" t="s">
        <v>1759</v>
      </c>
      <c r="C73" s="268"/>
      <c r="D73" s="851"/>
      <c r="E73" s="580"/>
      <c r="F73" s="580"/>
      <c r="G73" s="580"/>
      <c r="H73" s="580"/>
      <c r="I73" s="830"/>
      <c r="J73" s="830"/>
      <c r="K73" s="830"/>
      <c r="L73" s="830"/>
      <c r="M73" s="830"/>
      <c r="N73" s="830"/>
      <c r="O73" s="830"/>
      <c r="P73" s="830"/>
      <c r="Q73" s="830"/>
      <c r="R73" s="830"/>
      <c r="S73" s="849"/>
      <c r="T73" s="849"/>
      <c r="U73" s="839">
        <v>8.6999999999999994E-2</v>
      </c>
      <c r="V73" s="831">
        <v>0</v>
      </c>
      <c r="W73" s="831">
        <v>0</v>
      </c>
      <c r="X73" s="850">
        <v>0</v>
      </c>
      <c r="Y73" s="850">
        <v>3.2000000000000001E-2</v>
      </c>
      <c r="Z73" s="850">
        <v>0</v>
      </c>
      <c r="AA73" s="850">
        <v>0</v>
      </c>
      <c r="AB73" s="850">
        <v>0</v>
      </c>
      <c r="AC73" s="850">
        <v>2.5000000000000001E-2</v>
      </c>
      <c r="AD73" s="850">
        <v>0</v>
      </c>
      <c r="AE73" s="850">
        <v>0</v>
      </c>
      <c r="AF73" s="850">
        <v>0</v>
      </c>
      <c r="AG73" s="850">
        <v>2.3E-2</v>
      </c>
      <c r="AH73" s="850">
        <v>0</v>
      </c>
      <c r="AI73" s="850">
        <v>0</v>
      </c>
      <c r="AJ73" s="850">
        <v>0</v>
      </c>
      <c r="AK73" s="850">
        <v>2.3E-2</v>
      </c>
      <c r="AL73" s="850">
        <v>0</v>
      </c>
      <c r="AM73" s="850">
        <v>0</v>
      </c>
      <c r="AN73" s="850">
        <v>0</v>
      </c>
    </row>
    <row r="74" spans="2:40" ht="49.75" customHeight="1" x14ac:dyDescent="0.35">
      <c r="B74" s="606" t="s">
        <v>1384</v>
      </c>
      <c r="C74" s="268"/>
      <c r="D74" s="851">
        <f t="shared" ref="D74:AC74" si="47">D65-D66</f>
        <v>0</v>
      </c>
      <c r="E74" s="580">
        <f t="shared" si="47"/>
        <v>0</v>
      </c>
      <c r="F74" s="580">
        <f t="shared" si="47"/>
        <v>0</v>
      </c>
      <c r="G74" s="580">
        <f t="shared" si="47"/>
        <v>0</v>
      </c>
      <c r="H74" s="580">
        <f t="shared" si="47"/>
        <v>0</v>
      </c>
      <c r="I74" s="580">
        <f t="shared" si="47"/>
        <v>-6.9120000000000346</v>
      </c>
      <c r="J74" s="580">
        <f t="shared" si="47"/>
        <v>-37.9549999999997</v>
      </c>
      <c r="K74" s="580">
        <f t="shared" si="47"/>
        <v>85.725999999999658</v>
      </c>
      <c r="L74" s="580">
        <f t="shared" si="47"/>
        <v>18.405999999999722</v>
      </c>
      <c r="M74" s="580">
        <f t="shared" si="47"/>
        <v>20.282000000000153</v>
      </c>
      <c r="N74" s="580">
        <f t="shared" si="47"/>
        <v>-8.5988400000003367</v>
      </c>
      <c r="O74" s="580">
        <f t="shared" si="47"/>
        <v>-12.537493333333487</v>
      </c>
      <c r="P74" s="580">
        <f t="shared" si="47"/>
        <v>-32.38033333333351</v>
      </c>
      <c r="Q74" s="580">
        <f t="shared" si="47"/>
        <v>72.734879999999521</v>
      </c>
      <c r="R74" s="580">
        <f t="shared" si="47"/>
        <v>75.236879999999019</v>
      </c>
      <c r="S74" s="838">
        <f t="shared" si="47"/>
        <v>66.046879999999419</v>
      </c>
      <c r="T74" s="838">
        <f t="shared" si="47"/>
        <v>90.12587999999937</v>
      </c>
      <c r="U74" s="838">
        <f t="shared" si="47"/>
        <v>55.219026999999414</v>
      </c>
      <c r="V74" s="838">
        <f t="shared" si="47"/>
        <v>69.376026999999112</v>
      </c>
      <c r="W74" s="838">
        <f t="shared" si="47"/>
        <v>73.871026999999231</v>
      </c>
      <c r="X74" s="838">
        <f t="shared" si="47"/>
        <v>92.003026999999292</v>
      </c>
      <c r="Y74" s="838">
        <f t="shared" si="47"/>
        <v>133.13552299999901</v>
      </c>
      <c r="Z74" s="838">
        <f t="shared" si="47"/>
        <v>146.42352299999902</v>
      </c>
      <c r="AA74" s="838">
        <f t="shared" si="47"/>
        <v>149.85352299999886</v>
      </c>
      <c r="AB74" s="838">
        <f t="shared" si="47"/>
        <v>163.69852299999889</v>
      </c>
      <c r="AC74" s="838">
        <f t="shared" si="47"/>
        <v>214.3287979999991</v>
      </c>
      <c r="AD74" s="828">
        <f t="shared" ref="AD74:AN74" si="48">AC74</f>
        <v>214.3287979999991</v>
      </c>
      <c r="AE74" s="828">
        <f t="shared" si="48"/>
        <v>214.3287979999991</v>
      </c>
      <c r="AF74" s="828">
        <f t="shared" si="48"/>
        <v>214.3287979999991</v>
      </c>
      <c r="AG74" s="828">
        <f t="shared" si="48"/>
        <v>214.3287979999991</v>
      </c>
      <c r="AH74" s="828">
        <f t="shared" si="48"/>
        <v>214.3287979999991</v>
      </c>
      <c r="AI74" s="828">
        <f t="shared" si="48"/>
        <v>214.3287979999991</v>
      </c>
      <c r="AJ74" s="828">
        <f t="shared" si="48"/>
        <v>214.3287979999991</v>
      </c>
      <c r="AK74" s="828">
        <f t="shared" si="48"/>
        <v>214.3287979999991</v>
      </c>
      <c r="AL74" s="828">
        <f t="shared" si="48"/>
        <v>214.3287979999991</v>
      </c>
      <c r="AM74" s="828">
        <f t="shared" si="48"/>
        <v>214.3287979999991</v>
      </c>
      <c r="AN74" s="828">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93" t="s">
        <v>440</v>
      </c>
      <c r="C76" s="268" t="s">
        <v>441</v>
      </c>
      <c r="D76" s="851">
        <v>983.86099999999999</v>
      </c>
      <c r="E76" s="580">
        <v>1019.19</v>
      </c>
      <c r="F76" s="580">
        <v>1026.704</v>
      </c>
      <c r="G76" s="580">
        <v>1034.4169999999999</v>
      </c>
      <c r="H76" s="580">
        <v>1042.6610000000001</v>
      </c>
      <c r="I76" s="580">
        <v>1068.201</v>
      </c>
      <c r="J76" s="580">
        <v>1075.075</v>
      </c>
      <c r="K76" s="580">
        <v>1080.441</v>
      </c>
      <c r="L76" s="580">
        <v>1087.9949999999999</v>
      </c>
      <c r="M76" s="580">
        <v>1105.6379999999999</v>
      </c>
      <c r="N76" s="580">
        <v>1109.6400000000001</v>
      </c>
      <c r="O76" s="580">
        <v>1116.9480000000001</v>
      </c>
      <c r="P76" s="580">
        <v>1126.174</v>
      </c>
      <c r="Q76" s="580">
        <v>1198.452</v>
      </c>
      <c r="R76" s="580">
        <v>1207.163</v>
      </c>
      <c r="S76" s="838">
        <v>1214.7809999999999</v>
      </c>
      <c r="T76" s="838">
        <v>1225.6189999999999</v>
      </c>
      <c r="U76" s="838">
        <v>1339.904</v>
      </c>
      <c r="V76" s="838">
        <v>1353.2829999999999</v>
      </c>
      <c r="W76" s="838">
        <v>1360.723</v>
      </c>
      <c r="X76" s="838">
        <v>1373.982</v>
      </c>
      <c r="Y76" s="838">
        <v>1426.547</v>
      </c>
      <c r="Z76" s="838">
        <v>1439.73</v>
      </c>
      <c r="AA76" s="838">
        <v>1453.1369999999999</v>
      </c>
      <c r="AB76" s="838">
        <v>1467.9159999999999</v>
      </c>
      <c r="AC76" s="828">
        <v>1511.6139000000001</v>
      </c>
      <c r="AD76" s="828">
        <v>1525.6138999999998</v>
      </c>
      <c r="AE76" s="828">
        <v>1540.6138999999998</v>
      </c>
      <c r="AF76" s="828">
        <v>1556.6138999999998</v>
      </c>
      <c r="AG76" s="828">
        <v>1608.4160196999999</v>
      </c>
      <c r="AH76" s="828">
        <v>1624.4160196999999</v>
      </c>
      <c r="AI76" s="828">
        <v>1640.4160196999999</v>
      </c>
      <c r="AJ76" s="828">
        <v>1655.4160196999999</v>
      </c>
      <c r="AK76" s="828">
        <v>1707.4905881530999</v>
      </c>
      <c r="AL76" s="828">
        <v>1720.4905881530999</v>
      </c>
      <c r="AM76" s="828">
        <v>1732.4905881530999</v>
      </c>
      <c r="AN76" s="828">
        <v>1743.4905881530999</v>
      </c>
    </row>
    <row r="77" spans="2:40" ht="16.75" customHeight="1" x14ac:dyDescent="0.35">
      <c r="B77" s="529" t="s">
        <v>1755</v>
      </c>
      <c r="C77" s="268"/>
      <c r="D77" s="851"/>
      <c r="E77" s="580"/>
      <c r="F77" s="580"/>
      <c r="G77" s="580"/>
      <c r="H77" s="580"/>
      <c r="I77" s="580"/>
      <c r="J77" s="580"/>
      <c r="K77" s="580"/>
      <c r="L77" s="580"/>
      <c r="M77" s="580"/>
      <c r="N77" s="580"/>
      <c r="O77" s="580"/>
      <c r="P77" s="580"/>
      <c r="Q77" s="580"/>
      <c r="R77" s="580"/>
      <c r="S77" s="838"/>
      <c r="T77" s="838"/>
      <c r="U77" s="838">
        <v>114.62885299999998</v>
      </c>
      <c r="V77" s="580">
        <v>8</v>
      </c>
      <c r="W77" s="580">
        <v>11</v>
      </c>
      <c r="X77" s="828">
        <v>14</v>
      </c>
      <c r="Y77" s="828">
        <v>52.967424000000001</v>
      </c>
      <c r="Z77" s="828">
        <v>13</v>
      </c>
      <c r="AA77" s="828">
        <v>11</v>
      </c>
      <c r="AB77" s="828">
        <v>14</v>
      </c>
      <c r="AC77" s="828">
        <v>43.697899999999997</v>
      </c>
      <c r="AD77" s="828">
        <v>14</v>
      </c>
      <c r="AE77" s="828">
        <v>15</v>
      </c>
      <c r="AF77" s="828">
        <v>16</v>
      </c>
      <c r="AG77" s="828">
        <v>51.802119699999999</v>
      </c>
      <c r="AH77" s="828">
        <v>16</v>
      </c>
      <c r="AI77" s="828">
        <v>16</v>
      </c>
      <c r="AJ77" s="828">
        <v>15</v>
      </c>
      <c r="AK77" s="828">
        <v>52.074568453099999</v>
      </c>
      <c r="AL77" s="828">
        <v>13</v>
      </c>
      <c r="AM77" s="828">
        <v>12</v>
      </c>
      <c r="AN77" s="828">
        <v>11</v>
      </c>
    </row>
    <row r="78" spans="2:40" ht="16.75" customHeight="1" x14ac:dyDescent="0.35">
      <c r="B78" s="521" t="s">
        <v>1919</v>
      </c>
      <c r="C78" s="268"/>
      <c r="D78" s="851"/>
      <c r="E78" s="580"/>
      <c r="F78" s="838"/>
      <c r="G78" s="838"/>
      <c r="H78" s="838"/>
      <c r="I78" s="838"/>
      <c r="J78" s="838"/>
      <c r="K78" s="838"/>
      <c r="L78" s="838"/>
      <c r="M78" s="838"/>
      <c r="N78" s="838"/>
      <c r="O78" s="838"/>
      <c r="P78" s="838"/>
      <c r="Q78" s="838"/>
      <c r="R78" s="838"/>
      <c r="S78" s="838"/>
      <c r="T78" s="838"/>
      <c r="U78" s="838">
        <v>8</v>
      </c>
      <c r="V78" s="580">
        <v>8</v>
      </c>
      <c r="W78" s="580">
        <v>11</v>
      </c>
      <c r="X78" s="828">
        <v>14</v>
      </c>
      <c r="Y78" s="828">
        <v>9</v>
      </c>
      <c r="Z78" s="828">
        <v>13</v>
      </c>
      <c r="AA78" s="828">
        <v>11</v>
      </c>
      <c r="AB78" s="828">
        <v>14</v>
      </c>
      <c r="AC78" s="828">
        <v>7</v>
      </c>
      <c r="AD78" s="828">
        <v>14</v>
      </c>
      <c r="AE78" s="828">
        <v>15</v>
      </c>
      <c r="AF78" s="828">
        <v>16</v>
      </c>
      <c r="AG78" s="828">
        <v>16</v>
      </c>
      <c r="AH78" s="828">
        <v>16</v>
      </c>
      <c r="AI78" s="828">
        <v>16</v>
      </c>
      <c r="AJ78" s="828">
        <v>15</v>
      </c>
      <c r="AK78" s="828">
        <v>14</v>
      </c>
      <c r="AL78" s="828">
        <v>13</v>
      </c>
      <c r="AM78" s="828">
        <v>12</v>
      </c>
      <c r="AN78" s="828">
        <v>11</v>
      </c>
    </row>
    <row r="79" spans="2:40" ht="16.75" customHeight="1" x14ac:dyDescent="0.35">
      <c r="B79" s="521" t="s">
        <v>1920</v>
      </c>
      <c r="C79" s="268"/>
      <c r="D79" s="851"/>
      <c r="E79" s="580"/>
      <c r="F79" s="580"/>
      <c r="G79" s="580"/>
      <c r="H79" s="580"/>
      <c r="I79" s="830"/>
      <c r="J79" s="830"/>
      <c r="K79" s="830"/>
      <c r="L79" s="830"/>
      <c r="M79" s="830"/>
      <c r="N79" s="830"/>
      <c r="O79" s="830"/>
      <c r="P79" s="830"/>
      <c r="Q79" s="830"/>
      <c r="R79" s="830"/>
      <c r="S79" s="849"/>
      <c r="T79" s="849"/>
      <c r="U79" s="839">
        <v>8.6999999999999994E-2</v>
      </c>
      <c r="V79" s="831">
        <v>0</v>
      </c>
      <c r="W79" s="831">
        <v>0</v>
      </c>
      <c r="X79" s="850">
        <v>0</v>
      </c>
      <c r="Y79" s="850">
        <v>3.2000000000000001E-2</v>
      </c>
      <c r="Z79" s="850">
        <v>0</v>
      </c>
      <c r="AA79" s="850">
        <v>0</v>
      </c>
      <c r="AB79" s="850">
        <v>0</v>
      </c>
      <c r="AC79" s="850">
        <v>2.5000000000000001E-2</v>
      </c>
      <c r="AD79" s="850">
        <v>0</v>
      </c>
      <c r="AE79" s="850">
        <v>0</v>
      </c>
      <c r="AF79" s="850">
        <v>0</v>
      </c>
      <c r="AG79" s="850">
        <v>2.3E-2</v>
      </c>
      <c r="AH79" s="850">
        <v>0</v>
      </c>
      <c r="AI79" s="850">
        <v>0</v>
      </c>
      <c r="AJ79" s="850">
        <v>0</v>
      </c>
      <c r="AK79" s="850">
        <v>2.3E-2</v>
      </c>
      <c r="AL79" s="850">
        <v>0</v>
      </c>
      <c r="AM79" s="850">
        <v>0</v>
      </c>
      <c r="AN79" s="850">
        <v>0</v>
      </c>
    </row>
    <row r="80" spans="2:40" ht="16.75" customHeight="1" x14ac:dyDescent="0.35">
      <c r="B80" s="606" t="s">
        <v>1384</v>
      </c>
      <c r="C80" s="268"/>
      <c r="D80" s="851">
        <v>0</v>
      </c>
      <c r="E80" s="580">
        <v>0</v>
      </c>
      <c r="F80" s="580">
        <v>0</v>
      </c>
      <c r="G80" s="580">
        <v>0</v>
      </c>
      <c r="H80" s="580">
        <v>0</v>
      </c>
      <c r="I80" s="580">
        <v>-6.9120000000000346</v>
      </c>
      <c r="J80" s="580">
        <v>-37.9549999999997</v>
      </c>
      <c r="K80" s="580">
        <v>85.725999999999658</v>
      </c>
      <c r="L80" s="580">
        <v>18.405999999999722</v>
      </c>
      <c r="M80" s="580">
        <v>20.282000000000153</v>
      </c>
      <c r="N80" s="580">
        <v>-8.5988400000003367</v>
      </c>
      <c r="O80" s="580">
        <v>-12.537493333333487</v>
      </c>
      <c r="P80" s="580">
        <v>-32.38033333333351</v>
      </c>
      <c r="Q80" s="580">
        <v>72.734879999999521</v>
      </c>
      <c r="R80" s="580">
        <v>75.236879999999019</v>
      </c>
      <c r="S80" s="838">
        <v>66.046879999999419</v>
      </c>
      <c r="T80" s="838">
        <v>90.12587999999937</v>
      </c>
      <c r="U80" s="838">
        <v>55.219026999999414</v>
      </c>
      <c r="V80" s="838">
        <v>69.376026999999112</v>
      </c>
      <c r="W80" s="838">
        <v>73.871026999999231</v>
      </c>
      <c r="X80" s="838">
        <v>92.003026999999292</v>
      </c>
      <c r="Y80" s="838">
        <v>133.13552299999901</v>
      </c>
      <c r="Z80" s="838">
        <v>146.42352299999902</v>
      </c>
      <c r="AA80" s="838">
        <v>149.85352299999886</v>
      </c>
      <c r="AB80" s="838">
        <v>163.69852299999889</v>
      </c>
      <c r="AC80" s="828">
        <v>163.69852299999889</v>
      </c>
      <c r="AD80" s="828">
        <v>163.69852299999889</v>
      </c>
      <c r="AE80" s="828">
        <v>163.69852299999889</v>
      </c>
      <c r="AF80" s="828">
        <v>163.69852299999889</v>
      </c>
      <c r="AG80" s="828">
        <v>163.69852299999889</v>
      </c>
      <c r="AH80" s="828">
        <v>163.69852299999889</v>
      </c>
      <c r="AI80" s="828">
        <v>163.69852299999889</v>
      </c>
      <c r="AJ80" s="828">
        <v>163.69852299999889</v>
      </c>
      <c r="AK80" s="828">
        <v>163.69852299999889</v>
      </c>
      <c r="AL80" s="828">
        <v>163.69852299999889</v>
      </c>
      <c r="AM80" s="828">
        <v>163.69852299999889</v>
      </c>
      <c r="AN80" s="828">
        <v>163.69852299999889</v>
      </c>
    </row>
    <row r="81" spans="2:30" ht="16.75" customHeight="1" x14ac:dyDescent="0.35">
      <c r="B81" s="356"/>
      <c r="C81" s="268"/>
      <c r="S81" s="360"/>
      <c r="T81" s="360"/>
      <c r="U81" s="360"/>
      <c r="V81" s="360"/>
      <c r="W81" s="360"/>
      <c r="X81" s="360"/>
      <c r="Y81" s="360"/>
      <c r="Z81" s="360"/>
      <c r="AA81" s="360"/>
      <c r="AB81" s="360"/>
      <c r="AC81" s="360"/>
      <c r="AD81" s="647"/>
    </row>
    <row r="82" spans="2:30" ht="16.75" customHeight="1" x14ac:dyDescent="0.35">
      <c r="B82" s="356"/>
      <c r="C82" s="268"/>
      <c r="S82" s="360"/>
      <c r="T82" s="360"/>
      <c r="U82" s="360"/>
      <c r="V82" s="360"/>
      <c r="W82" s="360"/>
      <c r="X82" s="360"/>
      <c r="Y82" s="360"/>
      <c r="Z82" s="360"/>
      <c r="AA82" s="360"/>
      <c r="AB82" s="360"/>
      <c r="AC82" s="360"/>
      <c r="AD82" s="647"/>
    </row>
    <row r="83" spans="2:30" ht="16.75" customHeight="1" x14ac:dyDescent="0.35">
      <c r="B83" s="268"/>
      <c r="C83" s="268"/>
      <c r="S83" s="268"/>
      <c r="T83" s="268"/>
      <c r="U83" s="580"/>
      <c r="V83" s="580"/>
      <c r="W83" s="580"/>
      <c r="X83" s="580"/>
      <c r="Y83" s="580"/>
      <c r="Z83" s="580"/>
      <c r="AA83" s="580"/>
      <c r="AB83" s="580"/>
      <c r="AC83" s="580"/>
      <c r="AD83" s="647"/>
    </row>
    <row r="84" spans="2:30" ht="16.75" customHeight="1" x14ac:dyDescent="0.35">
      <c r="B84" s="356"/>
      <c r="C84" s="268"/>
      <c r="S84" s="268"/>
      <c r="T84" s="268"/>
      <c r="U84" s="580"/>
      <c r="V84" s="580"/>
      <c r="W84" s="580"/>
      <c r="X84" s="580"/>
      <c r="Y84" s="580"/>
      <c r="Z84" s="580"/>
      <c r="AA84" s="580"/>
      <c r="AB84" s="580"/>
      <c r="AC84" s="580"/>
      <c r="AD84" s="647"/>
    </row>
    <row r="85" spans="2:30" ht="16.75" customHeight="1" x14ac:dyDescent="0.35">
      <c r="B85" s="356"/>
      <c r="C85" s="268"/>
      <c r="S85" s="268"/>
      <c r="T85" s="268"/>
      <c r="U85" s="360"/>
      <c r="V85" s="360"/>
      <c r="W85" s="360"/>
      <c r="X85" s="360"/>
      <c r="Y85" s="360"/>
      <c r="Z85" s="360"/>
      <c r="AA85" s="360"/>
      <c r="AB85" s="360"/>
      <c r="AC85" s="360"/>
      <c r="AD85" s="647"/>
    </row>
    <row r="86" spans="2:30" ht="16.75" customHeight="1" x14ac:dyDescent="0.35">
      <c r="B86" s="356"/>
      <c r="C86" s="268"/>
      <c r="S86" s="268"/>
      <c r="T86" s="268"/>
      <c r="U86" s="840"/>
      <c r="V86" s="840"/>
      <c r="W86" s="840"/>
      <c r="X86" s="840"/>
      <c r="Y86" s="840"/>
      <c r="Z86" s="840"/>
      <c r="AA86" s="840"/>
      <c r="AB86" s="840"/>
      <c r="AC86" s="840"/>
      <c r="AD86" s="647"/>
    </row>
    <row r="87" spans="2:30" ht="16.75" customHeight="1" x14ac:dyDescent="0.35">
      <c r="B87" s="268"/>
      <c r="C87" s="268"/>
      <c r="S87" s="360"/>
      <c r="T87" s="360"/>
      <c r="U87" s="360"/>
      <c r="V87" s="360"/>
      <c r="W87" s="360"/>
      <c r="X87" s="360"/>
      <c r="Y87" s="360"/>
      <c r="Z87" s="360"/>
      <c r="AA87" s="360"/>
      <c r="AB87" s="360"/>
      <c r="AC87" s="360"/>
      <c r="AD87" s="647"/>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24"/>
      <c r="C90" s="825">
        <v>2016</v>
      </c>
      <c r="D90" s="826">
        <f>C90+1</f>
        <v>2017</v>
      </c>
      <c r="E90" s="826">
        <f t="shared" ref="E90:R90" si="49">D90+1</f>
        <v>2018</v>
      </c>
      <c r="F90" s="826">
        <f t="shared" si="49"/>
        <v>2019</v>
      </c>
      <c r="G90" s="826">
        <f t="shared" si="49"/>
        <v>2020</v>
      </c>
      <c r="H90" s="826">
        <f t="shared" si="49"/>
        <v>2021</v>
      </c>
      <c r="I90" s="826">
        <f t="shared" si="49"/>
        <v>2022</v>
      </c>
      <c r="J90" s="826">
        <f t="shared" si="49"/>
        <v>2023</v>
      </c>
      <c r="K90" s="826">
        <f t="shared" si="49"/>
        <v>2024</v>
      </c>
      <c r="L90" s="826">
        <f t="shared" si="49"/>
        <v>2025</v>
      </c>
      <c r="M90" s="826">
        <f t="shared" si="49"/>
        <v>2026</v>
      </c>
      <c r="N90" s="826">
        <f t="shared" si="49"/>
        <v>2027</v>
      </c>
      <c r="O90" s="826">
        <f t="shared" si="49"/>
        <v>2028</v>
      </c>
      <c r="P90" s="826">
        <f t="shared" si="49"/>
        <v>2029</v>
      </c>
      <c r="Q90" s="826">
        <f t="shared" si="49"/>
        <v>2030</v>
      </c>
      <c r="R90" s="826">
        <f t="shared" si="49"/>
        <v>2031</v>
      </c>
      <c r="S90" s="360"/>
      <c r="T90" s="360"/>
      <c r="U90" s="360"/>
      <c r="V90" s="360"/>
      <c r="W90" s="360"/>
      <c r="X90" s="360"/>
      <c r="Y90" s="360"/>
      <c r="Z90" s="360"/>
      <c r="AA90" s="360"/>
      <c r="AB90" s="360"/>
      <c r="AC90" s="360"/>
    </row>
    <row r="91" spans="2:30" ht="38.5" customHeight="1" x14ac:dyDescent="0.35">
      <c r="B91" s="829" t="s">
        <v>1915</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1916</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1917</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47"/>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2:40"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2:40"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2:40"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2:40"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2:40"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2:40" x14ac:dyDescent="0.35">
      <c r="B7" s="853"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41" t="s">
        <v>270</v>
      </c>
      <c r="C8" s="842"/>
      <c r="D8" s="1400" t="s">
        <v>246</v>
      </c>
      <c r="E8" s="1401"/>
      <c r="F8" s="1401"/>
      <c r="G8" s="1401"/>
      <c r="H8" s="1401"/>
      <c r="I8" s="1401"/>
      <c r="J8" s="1401"/>
      <c r="K8" s="1401"/>
      <c r="L8" s="1401"/>
      <c r="M8" s="1401"/>
      <c r="N8" s="1401"/>
      <c r="O8" s="1401"/>
      <c r="P8" s="1401"/>
      <c r="Q8" s="1401"/>
      <c r="R8" s="1401"/>
      <c r="S8" s="1401"/>
      <c r="T8" s="1401"/>
      <c r="U8" s="1401"/>
      <c r="V8" s="1401"/>
      <c r="W8" s="1401"/>
      <c r="X8" s="1401"/>
      <c r="Y8" s="1401"/>
      <c r="Z8" s="1401"/>
      <c r="AA8" s="1401"/>
      <c r="AB8" s="1402"/>
      <c r="AC8" s="1441" t="s">
        <v>247</v>
      </c>
      <c r="AD8" s="1442"/>
      <c r="AE8" s="1442"/>
      <c r="AF8" s="1442"/>
      <c r="AG8" s="1442"/>
      <c r="AH8" s="1442"/>
      <c r="AI8" s="1442"/>
      <c r="AJ8" s="1442"/>
      <c r="AK8" s="1442"/>
      <c r="AL8" s="1442"/>
      <c r="AM8" s="1442"/>
      <c r="AN8" s="1443"/>
    </row>
    <row r="9" spans="2:40" ht="14.9" customHeight="1" x14ac:dyDescent="0.35">
      <c r="B9" s="843"/>
      <c r="C9" s="844"/>
      <c r="D9" s="249">
        <v>2018</v>
      </c>
      <c r="E9" s="1403">
        <v>2019</v>
      </c>
      <c r="F9" s="1413"/>
      <c r="G9" s="1413"/>
      <c r="H9" s="1405"/>
      <c r="I9" s="1403">
        <v>2020</v>
      </c>
      <c r="J9" s="1413"/>
      <c r="K9" s="1413"/>
      <c r="L9" s="1413"/>
      <c r="M9" s="1403">
        <v>2021</v>
      </c>
      <c r="N9" s="1413"/>
      <c r="O9" s="1413"/>
      <c r="P9" s="1413"/>
      <c r="Q9" s="1403">
        <v>2022</v>
      </c>
      <c r="R9" s="1404"/>
      <c r="S9" s="1404"/>
      <c r="T9" s="1405"/>
      <c r="U9" s="1403">
        <v>2023</v>
      </c>
      <c r="V9" s="1404"/>
      <c r="W9" s="1404"/>
      <c r="X9" s="1405"/>
      <c r="Y9" s="80"/>
      <c r="Z9" s="277">
        <v>2024</v>
      </c>
      <c r="AA9" s="282"/>
      <c r="AB9" s="279"/>
      <c r="AC9" s="1410">
        <v>2025</v>
      </c>
      <c r="AD9" s="1411"/>
      <c r="AE9" s="1411"/>
      <c r="AF9" s="1428"/>
      <c r="AG9" s="1410">
        <v>2026</v>
      </c>
      <c r="AH9" s="1411"/>
      <c r="AI9" s="1411"/>
      <c r="AJ9" s="1412"/>
      <c r="AK9" s="1410">
        <v>2027</v>
      </c>
      <c r="AL9" s="1411"/>
      <c r="AM9" s="1411"/>
      <c r="AN9" s="1412"/>
    </row>
    <row r="10" spans="2:40"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01" t="s">
        <v>431</v>
      </c>
      <c r="C11" s="1508"/>
      <c r="D11" s="794"/>
      <c r="E11" s="795"/>
      <c r="F11" s="795"/>
      <c r="G11" s="795"/>
      <c r="H11" s="422"/>
      <c r="I11" s="422"/>
      <c r="J11" s="422"/>
      <c r="K11" s="422"/>
      <c r="L11" s="422"/>
      <c r="M11" s="703"/>
      <c r="N11" s="703"/>
      <c r="O11" s="703"/>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35" t="s">
        <v>432</v>
      </c>
      <c r="C12" s="268" t="s">
        <v>433</v>
      </c>
      <c r="D12" s="719">
        <f>'Haver Pivoted'!GO31</f>
        <v>2223</v>
      </c>
      <c r="E12" s="620">
        <f>'Haver Pivoted'!GP31</f>
        <v>2303.8000000000002</v>
      </c>
      <c r="F12" s="620">
        <f>'Haver Pivoted'!GQ31</f>
        <v>2321.6999999999998</v>
      </c>
      <c r="G12" s="620">
        <f>'Haver Pivoted'!GR31</f>
        <v>2337.1</v>
      </c>
      <c r="H12" s="620">
        <f>'Haver Pivoted'!GS31</f>
        <v>2349.5</v>
      </c>
      <c r="I12" s="620">
        <f>'Haver Pivoted'!GT31</f>
        <v>2417</v>
      </c>
      <c r="J12" s="620">
        <f>'Haver Pivoted'!GU31</f>
        <v>4659.2</v>
      </c>
      <c r="K12" s="620">
        <f>'Haver Pivoted'!GV31</f>
        <v>3514.2</v>
      </c>
      <c r="L12" s="620">
        <f>'Haver Pivoted'!GW31</f>
        <v>2896.7</v>
      </c>
      <c r="M12" s="620">
        <f>'Haver Pivoted'!GX31</f>
        <v>5152.8</v>
      </c>
      <c r="N12" s="620">
        <f>'Haver Pivoted'!GY31</f>
        <v>3403.1</v>
      </c>
      <c r="O12" s="620">
        <f>'Haver Pivoted'!GZ31</f>
        <v>3121.9</v>
      </c>
      <c r="P12" s="620">
        <f>'Haver Pivoted'!HA31</f>
        <v>2958.3</v>
      </c>
      <c r="Q12" s="620">
        <f>'Haver Pivoted'!HB31</f>
        <v>2978.4</v>
      </c>
      <c r="R12" s="620">
        <f>'Haver Pivoted'!HC31</f>
        <v>2983.3</v>
      </c>
      <c r="S12" s="796">
        <f>'Haver Pivoted'!HD31</f>
        <v>2976.9</v>
      </c>
      <c r="T12" s="796">
        <f>'Haver Pivoted'!HE31</f>
        <v>3033.2</v>
      </c>
      <c r="U12" s="796">
        <f>'Haver Pivoted'!HF31</f>
        <v>3055.3</v>
      </c>
      <c r="V12" s="796">
        <f>'Haver Pivoted'!HG31</f>
        <v>3066.9</v>
      </c>
      <c r="W12" s="796">
        <f>'Haver Pivoted'!HH31</f>
        <v>3097.1</v>
      </c>
      <c r="X12" s="796">
        <f>'Haver Pivoted'!HI31</f>
        <v>3119.8</v>
      </c>
      <c r="Y12" s="796">
        <f>'Haver Pivoted'!HJ31</f>
        <v>3242.2</v>
      </c>
      <c r="Z12" s="796">
        <f>'Haver Pivoted'!HK31</f>
        <v>3291</v>
      </c>
      <c r="AA12" s="796">
        <f>'Haver Pivoted'!HL31</f>
        <v>3335.9</v>
      </c>
      <c r="AB12" s="796">
        <f>'Haver Pivoted'!HM31</f>
        <v>3393.7</v>
      </c>
      <c r="AC12" s="796">
        <f>'Haver Pivoted'!HN31</f>
        <v>3526.5</v>
      </c>
      <c r="AD12" s="796">
        <f>'Haver Pivoted'!HO31</f>
        <v>3657</v>
      </c>
      <c r="AE12" s="725">
        <f t="shared" ref="AE12:AN12" si="0">SUM(AE14:AE32)-AE30</f>
        <v>3696.5</v>
      </c>
      <c r="AF12" s="725">
        <f t="shared" si="0"/>
        <v>3708.8590000000004</v>
      </c>
      <c r="AG12" s="725">
        <f t="shared" si="0"/>
        <v>3784.8214381344987</v>
      </c>
      <c r="AH12" s="725">
        <f t="shared" si="0"/>
        <v>3826.9908694361593</v>
      </c>
      <c r="AI12" s="725">
        <f t="shared" si="0"/>
        <v>3871.8925420559372</v>
      </c>
      <c r="AJ12" s="725">
        <f t="shared" si="0"/>
        <v>3894.1592988567213</v>
      </c>
      <c r="AK12" s="725">
        <f t="shared" si="0"/>
        <v>3967.0791551776638</v>
      </c>
      <c r="AL12" s="725">
        <f t="shared" si="0"/>
        <v>3999.2563389786774</v>
      </c>
      <c r="AM12" s="725">
        <f t="shared" si="0"/>
        <v>4031.8206030715473</v>
      </c>
      <c r="AN12" s="725">
        <f t="shared" si="0"/>
        <v>4018.8756030715467</v>
      </c>
    </row>
    <row r="13" spans="2:40" x14ac:dyDescent="0.35">
      <c r="B13" s="403"/>
      <c r="C13" s="268"/>
      <c r="D13" s="719"/>
      <c r="E13" s="620"/>
      <c r="F13" s="620"/>
      <c r="G13" s="620"/>
      <c r="H13" s="620"/>
      <c r="I13" s="620"/>
      <c r="J13" s="620"/>
      <c r="K13" s="620"/>
      <c r="L13" s="620"/>
      <c r="M13" s="620"/>
      <c r="N13" s="620"/>
      <c r="O13" s="620"/>
      <c r="P13" s="268"/>
      <c r="Q13" s="265"/>
      <c r="R13" s="265"/>
      <c r="S13" s="265"/>
      <c r="T13" s="725">
        <f t="shared" ref="T13:AC13" si="1">T12-S12</f>
        <v>56.299999999999727</v>
      </c>
      <c r="U13" s="725">
        <f t="shared" si="1"/>
        <v>22.100000000000364</v>
      </c>
      <c r="V13" s="725">
        <f t="shared" si="1"/>
        <v>11.599999999999909</v>
      </c>
      <c r="W13" s="725">
        <f t="shared" si="1"/>
        <v>30.199999999999818</v>
      </c>
      <c r="X13" s="725">
        <f t="shared" si="1"/>
        <v>22.700000000000273</v>
      </c>
      <c r="Y13" s="725">
        <f t="shared" si="1"/>
        <v>122.39999999999964</v>
      </c>
      <c r="Z13" s="725">
        <f t="shared" si="1"/>
        <v>48.800000000000182</v>
      </c>
      <c r="AA13" s="725">
        <f t="shared" si="1"/>
        <v>44.900000000000091</v>
      </c>
      <c r="AB13" s="725">
        <f t="shared" si="1"/>
        <v>57.799999999999727</v>
      </c>
      <c r="AC13" s="725">
        <f t="shared" si="1"/>
        <v>132.80000000000018</v>
      </c>
      <c r="AD13" s="725">
        <f>AD12-AC12</f>
        <v>130.5</v>
      </c>
      <c r="AE13" s="247"/>
      <c r="AF13" s="247"/>
      <c r="AG13" s="247"/>
      <c r="AH13" s="247"/>
      <c r="AI13" s="247"/>
      <c r="AJ13" s="247"/>
      <c r="AK13" s="247"/>
      <c r="AL13" s="247"/>
      <c r="AM13" s="247"/>
      <c r="AN13" s="247"/>
    </row>
    <row r="14" spans="2:40" x14ac:dyDescent="0.35">
      <c r="B14" s="856" t="s">
        <v>1789</v>
      </c>
      <c r="C14" s="268"/>
      <c r="D14" s="719">
        <f>'Unemployment Insurance'!D21+'Unemployment Insurance'!D20</f>
        <v>27.1</v>
      </c>
      <c r="E14" s="620">
        <f>'Unemployment Insurance'!E21+'Unemployment Insurance'!E20</f>
        <v>29.6</v>
      </c>
      <c r="F14" s="620">
        <f>'Unemployment Insurance'!F21+'Unemployment Insurance'!F20</f>
        <v>27.3</v>
      </c>
      <c r="G14" s="620">
        <f>'Unemployment Insurance'!G21+'Unemployment Insurance'!G20</f>
        <v>26.4</v>
      </c>
      <c r="H14" s="620">
        <f>'Unemployment Insurance'!H21+'Unemployment Insurance'!H20</f>
        <v>26.7</v>
      </c>
      <c r="I14" s="620">
        <f>'Unemployment Insurance'!I21+'Unemployment Insurance'!I20</f>
        <v>39.200000000000003</v>
      </c>
      <c r="J14" s="620">
        <f>'Unemployment Insurance'!J21+'Unemployment Insurance'!J20</f>
        <v>949.8</v>
      </c>
      <c r="K14" s="620">
        <f>'Unemployment Insurance'!K21+'Unemployment Insurance'!K20</f>
        <v>801</v>
      </c>
      <c r="L14" s="620">
        <f>'Unemployment Insurance'!L21+'Unemployment Insurance'!L20</f>
        <v>322</v>
      </c>
      <c r="M14" s="620">
        <f>'Unemployment Insurance'!M21+'Unemployment Insurance'!M20</f>
        <v>588.5</v>
      </c>
      <c r="N14" s="620">
        <f>'Unemployment Insurance'!N21+'Unemployment Insurance'!N20</f>
        <v>437.5</v>
      </c>
      <c r="O14" s="620">
        <f>'Unemployment Insurance'!O21+'Unemployment Insurance'!O20</f>
        <v>203</v>
      </c>
      <c r="P14" s="620">
        <f>'Unemployment Insurance'!P21+'Unemployment Insurance'!P20</f>
        <v>30.7</v>
      </c>
      <c r="Q14" s="620">
        <f>'Unemployment Insurance'!Q21+'Unemployment Insurance'!Q20</f>
        <v>24.4</v>
      </c>
      <c r="R14" s="620">
        <f>'Unemployment Insurance'!R21+'Unemployment Insurance'!R20</f>
        <v>21.8</v>
      </c>
      <c r="S14" s="620">
        <f>'Unemployment Insurance'!S21+'Unemployment Insurance'!S20</f>
        <v>23.2</v>
      </c>
      <c r="T14" s="620">
        <f>'Unemployment Insurance'!T21+'Unemployment Insurance'!T20</f>
        <v>25.8</v>
      </c>
      <c r="U14" s="620">
        <f>'Unemployment Insurance'!U21+'Unemployment Insurance'!U20</f>
        <v>30</v>
      </c>
      <c r="V14" s="796">
        <f t="shared" ref="V14:AA14" si="2">V15+V16</f>
        <v>30.857142857142858</v>
      </c>
      <c r="W14" s="796">
        <f t="shared" si="2"/>
        <v>30.857142857142858</v>
      </c>
      <c r="X14" s="796">
        <f t="shared" si="2"/>
        <v>35.5</v>
      </c>
      <c r="Y14" s="796">
        <f t="shared" si="2"/>
        <v>35.5</v>
      </c>
      <c r="Z14" s="796">
        <f t="shared" si="2"/>
        <v>36.1</v>
      </c>
      <c r="AA14" s="796">
        <f t="shared" si="2"/>
        <v>37</v>
      </c>
      <c r="AB14" s="796">
        <f t="shared" ref="AB14:AC14" si="3">AB15+AB16</f>
        <v>37.299999999999997</v>
      </c>
      <c r="AC14" s="796">
        <f t="shared" si="3"/>
        <v>37.1</v>
      </c>
      <c r="AD14" s="796">
        <f>AD15+AD16</f>
        <v>38</v>
      </c>
      <c r="AE14" s="725">
        <f>'Unemployment Insurance'!AE21+'Unemployment Insurance'!AE20</f>
        <v>38.5</v>
      </c>
      <c r="AF14" s="725">
        <f>'Unemployment Insurance'!AF21+'Unemployment Insurance'!AF20</f>
        <v>38.299999999999997</v>
      </c>
      <c r="AG14" s="725">
        <f>'Unemployment Insurance'!AG21+'Unemployment Insurance'!AG20</f>
        <v>35.700000000000003</v>
      </c>
      <c r="AH14" s="725">
        <f>'Unemployment Insurance'!AH21+'Unemployment Insurance'!AH20</f>
        <v>35.700000000000003</v>
      </c>
      <c r="AI14" s="725">
        <f>'Unemployment Insurance'!AI21+'Unemployment Insurance'!AI20</f>
        <v>35.700000000000003</v>
      </c>
      <c r="AJ14" s="725">
        <f>'Unemployment Insurance'!AJ21+'Unemployment Insurance'!AJ20</f>
        <v>35.700000000000003</v>
      </c>
      <c r="AK14" s="725">
        <f>'Unemployment Insurance'!AK21+'Unemployment Insurance'!AK20</f>
        <v>36.700000000000003</v>
      </c>
      <c r="AL14" s="725">
        <f>'Unemployment Insurance'!AL21+'Unemployment Insurance'!AL20</f>
        <v>37.700000000000003</v>
      </c>
      <c r="AM14" s="725">
        <f>'Unemployment Insurance'!AM21+'Unemployment Insurance'!AM20</f>
        <v>38.700000000000003</v>
      </c>
      <c r="AN14" s="725">
        <f>'Unemployment Insurance'!AN21+'Unemployment Insurance'!AN20</f>
        <v>39.700000000000003</v>
      </c>
    </row>
    <row r="15" spans="2:40" x14ac:dyDescent="0.35">
      <c r="B15" s="521" t="s">
        <v>191</v>
      </c>
      <c r="C15" s="268"/>
      <c r="D15" s="719"/>
      <c r="E15" s="620"/>
      <c r="F15" s="620"/>
      <c r="G15" s="620"/>
      <c r="H15" s="620"/>
      <c r="I15" s="620"/>
      <c r="J15" s="620"/>
      <c r="K15" s="620"/>
      <c r="L15" s="620"/>
      <c r="M15" s="620"/>
      <c r="N15" s="620"/>
      <c r="O15" s="620"/>
      <c r="P15" s="620"/>
      <c r="Q15" s="620"/>
      <c r="R15" s="620"/>
      <c r="S15" s="620"/>
      <c r="T15" s="620"/>
      <c r="U15" s="620"/>
      <c r="V15" s="796">
        <f>'Unemployment Insurance'!V20</f>
        <v>0</v>
      </c>
      <c r="W15" s="796">
        <f>'Unemployment Insurance'!W20</f>
        <v>0</v>
      </c>
      <c r="X15" s="796">
        <f>'Unemployment Insurance'!X20</f>
        <v>5.2171428571428606</v>
      </c>
      <c r="Y15" s="796">
        <f>'Unemployment Insurance'!Y20</f>
        <v>4.0771428571428601</v>
      </c>
      <c r="Z15" s="796">
        <f>'Unemployment Insurance'!Z20</f>
        <v>1.2000000000000028</v>
      </c>
      <c r="AA15" s="796">
        <f>'Unemployment Insurance'!AA20</f>
        <v>1.2999999999999972</v>
      </c>
      <c r="AB15" s="796">
        <f>'Unemployment Insurance'!AB20</f>
        <v>1.5999999999999943</v>
      </c>
      <c r="AC15" s="796">
        <f>'Unemployment Insurance'!AC20</f>
        <v>1.3999999999999986</v>
      </c>
      <c r="AD15" s="796">
        <f>'Unemployment Insurance'!AD20</f>
        <v>2.2999999999999972</v>
      </c>
      <c r="AE15" s="725"/>
      <c r="AF15" s="725"/>
      <c r="AG15" s="725"/>
      <c r="AH15" s="725"/>
      <c r="AI15" s="725"/>
      <c r="AJ15" s="725"/>
      <c r="AK15" s="725"/>
      <c r="AL15" s="725"/>
      <c r="AM15" s="725"/>
      <c r="AN15" s="725"/>
    </row>
    <row r="16" spans="2:40" x14ac:dyDescent="0.35">
      <c r="B16" s="521" t="s">
        <v>193</v>
      </c>
      <c r="C16" s="268"/>
      <c r="D16" s="719"/>
      <c r="E16" s="620"/>
      <c r="F16" s="620"/>
      <c r="G16" s="620"/>
      <c r="H16" s="620"/>
      <c r="I16" s="620"/>
      <c r="J16" s="620"/>
      <c r="K16" s="620"/>
      <c r="L16" s="620"/>
      <c r="M16" s="620"/>
      <c r="N16" s="620"/>
      <c r="O16" s="620"/>
      <c r="P16" s="620"/>
      <c r="Q16" s="620"/>
      <c r="R16" s="620"/>
      <c r="S16" s="620"/>
      <c r="T16" s="620"/>
      <c r="U16" s="620"/>
      <c r="V16" s="796">
        <f>'Unemployment Insurance'!V21</f>
        <v>30.857142857142858</v>
      </c>
      <c r="W16" s="796">
        <f>'Unemployment Insurance'!W21</f>
        <v>30.857142857142858</v>
      </c>
      <c r="X16" s="796">
        <f>'Unemployment Insurance'!X21</f>
        <v>30.282857142857139</v>
      </c>
      <c r="Y16" s="796">
        <f>'Unemployment Insurance'!Y21</f>
        <v>31.42285714285714</v>
      </c>
      <c r="Z16" s="796">
        <f>'Unemployment Insurance'!Z21</f>
        <v>34.9</v>
      </c>
      <c r="AA16" s="796">
        <f>'Unemployment Insurance'!AA21</f>
        <v>35.700000000000003</v>
      </c>
      <c r="AB16" s="796">
        <f>'Unemployment Insurance'!AB21</f>
        <v>35.700000000000003</v>
      </c>
      <c r="AC16" s="796">
        <f>'Unemployment Insurance'!AC21</f>
        <v>35.700000000000003</v>
      </c>
      <c r="AD16" s="796">
        <f>'Unemployment Insurance'!AD21</f>
        <v>35.700000000000003</v>
      </c>
      <c r="AE16" s="725"/>
      <c r="AF16" s="725"/>
      <c r="AG16" s="725"/>
      <c r="AH16" s="725"/>
      <c r="AI16" s="725"/>
      <c r="AJ16" s="725"/>
      <c r="AK16" s="725"/>
      <c r="AL16" s="725"/>
      <c r="AM16" s="725"/>
      <c r="AN16" s="725"/>
    </row>
    <row r="17" spans="2:102" ht="17.899999999999999" customHeight="1" x14ac:dyDescent="0.35">
      <c r="B17" s="856" t="s">
        <v>46</v>
      </c>
      <c r="C17" s="268"/>
      <c r="D17" s="719">
        <f>Medicare!D10</f>
        <v>755</v>
      </c>
      <c r="E17" s="620">
        <f>Medicare!E10</f>
        <v>773.5</v>
      </c>
      <c r="F17" s="620">
        <f>Medicare!F10</f>
        <v>788.5</v>
      </c>
      <c r="G17" s="620">
        <f>Medicare!G10</f>
        <v>798</v>
      </c>
      <c r="H17" s="620">
        <f>Medicare!H10</f>
        <v>802</v>
      </c>
      <c r="I17" s="620">
        <f>Medicare!I10</f>
        <v>805.1</v>
      </c>
      <c r="J17" s="620">
        <f>Medicare!J10</f>
        <v>821</v>
      </c>
      <c r="K17" s="620">
        <f>Medicare!K10</f>
        <v>835.4</v>
      </c>
      <c r="L17" s="620">
        <f>Medicare!L10</f>
        <v>848.1</v>
      </c>
      <c r="M17" s="620">
        <f>Medicare!M10</f>
        <v>863.4</v>
      </c>
      <c r="N17" s="620">
        <f>Medicare!N10</f>
        <v>878.9</v>
      </c>
      <c r="O17" s="620">
        <f>Medicare!O10</f>
        <v>894</v>
      </c>
      <c r="P17" s="620">
        <f>Medicare!P10</f>
        <v>908.8</v>
      </c>
      <c r="Q17" s="620">
        <f>Medicare!Q10</f>
        <v>923.7</v>
      </c>
      <c r="R17" s="620">
        <f>Medicare!R10</f>
        <v>933</v>
      </c>
      <c r="S17" s="620">
        <f>Medicare!S10</f>
        <v>945</v>
      </c>
      <c r="T17" s="620">
        <f>Medicare!T10</f>
        <v>968</v>
      </c>
      <c r="U17" s="620">
        <f>Medicare!U10</f>
        <v>993.1</v>
      </c>
      <c r="V17" s="620">
        <f>Medicare!V10</f>
        <v>1016.2</v>
      </c>
      <c r="W17" s="620">
        <f>Medicare!W10</f>
        <v>1036.4000000000001</v>
      </c>
      <c r="X17" s="725">
        <f>Medicare!X10</f>
        <v>1053.5999999999999</v>
      </c>
      <c r="Y17" s="725">
        <f>Medicare!Y10</f>
        <v>1069.0999999999999</v>
      </c>
      <c r="Z17" s="725">
        <f>Medicare!Z10</f>
        <v>1088.2</v>
      </c>
      <c r="AA17" s="725">
        <f>Medicare!AA10</f>
        <v>1111.9000000000001</v>
      </c>
      <c r="AB17" s="725">
        <f>Medicare!AB10</f>
        <v>1140.3</v>
      </c>
      <c r="AC17" s="725">
        <f>Medicare!AC10</f>
        <v>1172.5999999999999</v>
      </c>
      <c r="AD17" s="725">
        <f>Medicare!AD10</f>
        <v>1205.3</v>
      </c>
      <c r="AE17" s="725">
        <f>Medicare!AE10</f>
        <v>1237.5999999999999</v>
      </c>
      <c r="AF17" s="725">
        <f>Medicare!AF10</f>
        <v>1269.5</v>
      </c>
      <c r="AG17" s="725">
        <f>Medicare!AG10</f>
        <v>1304.7202989964987</v>
      </c>
      <c r="AH17" s="725">
        <f>Medicare!AH10</f>
        <v>1340.9177302981591</v>
      </c>
      <c r="AI17" s="725">
        <f>Medicare!AI10</f>
        <v>1378.1194029179367</v>
      </c>
      <c r="AJ17" s="725">
        <f>Medicare!AJ10</f>
        <v>1400.841159718721</v>
      </c>
      <c r="AK17" s="725">
        <f>Medicare!AK10</f>
        <v>1423.9375417014894</v>
      </c>
      <c r="AL17" s="725">
        <f>Medicare!AL10</f>
        <v>1447.4147255025032</v>
      </c>
      <c r="AM17" s="725">
        <f>Medicare!AM10</f>
        <v>1471.2789895953731</v>
      </c>
      <c r="AN17" s="725">
        <f>Medicare!AN10</f>
        <v>1471.2789895953731</v>
      </c>
    </row>
    <row r="18" spans="2:102" ht="18" customHeight="1" x14ac:dyDescent="0.35">
      <c r="B18" s="832" t="s">
        <v>434</v>
      </c>
      <c r="C18" s="268"/>
      <c r="D18" s="392"/>
      <c r="E18" s="265"/>
      <c r="F18" s="265"/>
      <c r="G18" s="265"/>
      <c r="H18" s="620">
        <f>'Rebate Checks (expired)'!H10 +'Rebate Checks (expired)'!H11</f>
        <v>0</v>
      </c>
      <c r="I18" s="620">
        <f>'Rebate Checks (expired)'!I10 +'Rebate Checks (expired)'!I11</f>
        <v>0</v>
      </c>
      <c r="J18" s="620">
        <f>'Rebate Checks (expired)'!J10 +'Rebate Checks (expired)'!J11</f>
        <v>1078.0999999999999</v>
      </c>
      <c r="K18" s="620">
        <f>'Rebate Checks (expired)'!K10 +'Rebate Checks (expired)'!K11</f>
        <v>15.6</v>
      </c>
      <c r="L18" s="620">
        <f>'Rebate Checks (expired)'!L10 +'Rebate Checks (expired)'!L11</f>
        <v>5</v>
      </c>
      <c r="M18" s="620">
        <f>'Rebate Checks (expired)'!M10 +'Rebate Checks (expired)'!M11</f>
        <v>1933.6999999999998</v>
      </c>
      <c r="N18" s="620">
        <f>'Rebate Checks (expired)'!N10 +'Rebate Checks (expired)'!N11</f>
        <v>290.10000000000002</v>
      </c>
      <c r="O18" s="620">
        <f>'Rebate Checks (expired)'!O10 +'Rebate Checks (expired)'!O11</f>
        <v>38.9</v>
      </c>
      <c r="P18" s="620">
        <f>'Rebate Checks (expired)'!P10 +'Rebate Checks (expired)'!P11</f>
        <v>14.2</v>
      </c>
      <c r="Q18" s="620">
        <f>'Rebate Checks (expired)'!Q10 +'Rebate Checks (expired)'!Q11</f>
        <v>0</v>
      </c>
      <c r="R18" s="620">
        <f>'Rebate Checks (expired)'!Q10 +'Rebate Checks (expired)'!R11</f>
        <v>0</v>
      </c>
      <c r="S18" s="620">
        <f>'Rebate Checks (expired)'!S10 +'Rebate Checks (expired)'!S11</f>
        <v>0</v>
      </c>
      <c r="T18" s="620">
        <f>'Rebate Checks (expired)'!T10 +'Rebate Checks (expired)'!T11</f>
        <v>0</v>
      </c>
      <c r="U18" s="620">
        <f>'Rebate Checks (expired)'!U10 +'Rebate Checks (expired)'!U11</f>
        <v>0</v>
      </c>
      <c r="V18" s="796">
        <f t="shared" ref="V18:AA18" si="4">V19+V20</f>
        <v>0</v>
      </c>
      <c r="W18" s="796">
        <f t="shared" si="4"/>
        <v>0</v>
      </c>
      <c r="X18" s="796">
        <f t="shared" si="4"/>
        <v>0</v>
      </c>
      <c r="Y18" s="796">
        <f t="shared" si="4"/>
        <v>0</v>
      </c>
      <c r="Z18" s="796">
        <f t="shared" si="4"/>
        <v>0</v>
      </c>
      <c r="AA18" s="796">
        <f t="shared" si="4"/>
        <v>0</v>
      </c>
      <c r="AB18" s="796">
        <f>AB19+AB20</f>
        <v>0</v>
      </c>
      <c r="AC18" s="796">
        <f>AC19+AC20</f>
        <v>0</v>
      </c>
      <c r="AD18" s="796">
        <f>AD19+AD20</f>
        <v>0</v>
      </c>
      <c r="AE18" s="725">
        <f>'Rebate Checks (expired)'!AE10 +'Rebate Checks (expired)'!AE11</f>
        <v>0</v>
      </c>
      <c r="AF18" s="725">
        <f>'Rebate Checks (expired)'!AF10 +'Rebate Checks (expired)'!AF11</f>
        <v>0</v>
      </c>
      <c r="AG18" s="725">
        <f>'Rebate Checks (expired)'!AG10 +'Rebate Checks (expired)'!AG11</f>
        <v>0</v>
      </c>
      <c r="AH18" s="725">
        <f>'Rebate Checks (expired)'!AH10 +'Rebate Checks (expired)'!AH11</f>
        <v>0</v>
      </c>
      <c r="AI18" s="725">
        <f>'Rebate Checks (expired)'!AI10 +'Rebate Checks (expired)'!AI11</f>
        <v>0</v>
      </c>
      <c r="AJ18" s="725">
        <f>'Rebate Checks (expired)'!AJ10 +'Rebate Checks (expired)'!AJ11</f>
        <v>0</v>
      </c>
      <c r="AK18" s="725">
        <f>'Rebate Checks (expired)'!AK10 +'Rebate Checks (expired)'!AK11</f>
        <v>0</v>
      </c>
      <c r="AL18" s="725">
        <f>'Rebate Checks (expired)'!AL10 +'Rebate Checks (expired)'!AL11</f>
        <v>0</v>
      </c>
      <c r="AM18" s="725">
        <f>'Rebate Checks (expired)'!AM10 +'Rebate Checks (expired)'!AM11</f>
        <v>0</v>
      </c>
      <c r="AN18" s="725">
        <f>'Rebate Checks (expired)'!AN10 +'Rebate Checks (expired)'!AN11</f>
        <v>0</v>
      </c>
    </row>
    <row r="19" spans="2:102" ht="18" customHeight="1" x14ac:dyDescent="0.35">
      <c r="B19" s="833" t="s">
        <v>1790</v>
      </c>
      <c r="C19" s="268"/>
      <c r="D19" s="392"/>
      <c r="E19" s="265"/>
      <c r="F19" s="265"/>
      <c r="G19" s="265"/>
      <c r="H19" s="620"/>
      <c r="I19" s="620"/>
      <c r="J19" s="620"/>
      <c r="K19" s="620"/>
      <c r="L19" s="620"/>
      <c r="M19" s="620"/>
      <c r="N19" s="620"/>
      <c r="O19" s="620"/>
      <c r="P19" s="620"/>
      <c r="Q19" s="620"/>
      <c r="R19" s="620"/>
      <c r="S19" s="620"/>
      <c r="T19" s="620"/>
      <c r="U19" s="620"/>
      <c r="V19" s="620">
        <v>0</v>
      </c>
      <c r="W19" s="620"/>
      <c r="X19" s="725"/>
      <c r="Y19" s="725"/>
      <c r="Z19" s="725"/>
      <c r="AA19" s="725"/>
      <c r="AB19" s="725"/>
      <c r="AC19" s="725"/>
      <c r="AD19" s="725"/>
      <c r="AE19" s="725"/>
      <c r="AF19" s="725"/>
      <c r="AG19" s="725"/>
      <c r="AH19" s="725"/>
      <c r="AI19" s="725"/>
      <c r="AJ19" s="725"/>
      <c r="AK19" s="725"/>
      <c r="AL19" s="725"/>
      <c r="AM19" s="725"/>
      <c r="AN19" s="725"/>
    </row>
    <row r="20" spans="2:102" ht="18" customHeight="1" x14ac:dyDescent="0.35">
      <c r="B20" s="833" t="s">
        <v>1791</v>
      </c>
      <c r="C20" s="268"/>
      <c r="D20" s="392"/>
      <c r="E20" s="265"/>
      <c r="F20" s="265"/>
      <c r="G20" s="265"/>
      <c r="H20" s="620"/>
      <c r="I20" s="620"/>
      <c r="J20" s="620"/>
      <c r="K20" s="620"/>
      <c r="L20" s="620"/>
      <c r="M20" s="620"/>
      <c r="N20" s="620"/>
      <c r="O20" s="620"/>
      <c r="P20" s="620"/>
      <c r="Q20" s="620"/>
      <c r="R20" s="620"/>
      <c r="S20" s="620"/>
      <c r="T20" s="620"/>
      <c r="U20" s="620"/>
      <c r="V20" s="620">
        <v>0</v>
      </c>
      <c r="W20" s="620"/>
      <c r="X20" s="725"/>
      <c r="Y20" s="725"/>
      <c r="Z20" s="725"/>
      <c r="AA20" s="725"/>
      <c r="AB20" s="725"/>
      <c r="AC20" s="725"/>
      <c r="AD20" s="725"/>
      <c r="AE20" s="725"/>
      <c r="AF20" s="725"/>
      <c r="AG20" s="725"/>
      <c r="AH20" s="725"/>
      <c r="AI20" s="725"/>
      <c r="AJ20" s="725"/>
      <c r="AK20" s="725"/>
      <c r="AL20" s="725"/>
      <c r="AM20" s="725"/>
      <c r="AN20" s="725"/>
    </row>
    <row r="21" spans="2:102" ht="18" customHeight="1" x14ac:dyDescent="0.35">
      <c r="B21" s="834"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20">
        <v>0</v>
      </c>
      <c r="W21" s="620">
        <v>0</v>
      </c>
      <c r="X21" s="725">
        <v>0</v>
      </c>
      <c r="Y21" s="725">
        <v>0</v>
      </c>
      <c r="Z21" s="725">
        <v>0</v>
      </c>
      <c r="AA21" s="725">
        <v>0</v>
      </c>
      <c r="AB21" s="725">
        <v>0</v>
      </c>
      <c r="AC21" s="725">
        <v>0</v>
      </c>
      <c r="AD21" s="725">
        <v>0</v>
      </c>
      <c r="AE21" s="725">
        <v>0</v>
      </c>
      <c r="AF21" s="725">
        <v>0</v>
      </c>
      <c r="AG21" s="725">
        <v>0</v>
      </c>
      <c r="AH21" s="725">
        <v>0</v>
      </c>
      <c r="AI21" s="725">
        <v>0</v>
      </c>
      <c r="AJ21" s="725">
        <v>0</v>
      </c>
      <c r="AK21" s="725">
        <v>0</v>
      </c>
      <c r="AL21" s="725">
        <v>0</v>
      </c>
      <c r="AM21" s="725">
        <v>0</v>
      </c>
      <c r="AN21" s="725">
        <v>0</v>
      </c>
    </row>
    <row r="22" spans="2:102" ht="18" customHeight="1" x14ac:dyDescent="0.35">
      <c r="B22" s="403" t="s">
        <v>1792</v>
      </c>
      <c r="C22" s="268"/>
      <c r="D22" s="391"/>
      <c r="E22" s="365"/>
      <c r="F22" s="365"/>
      <c r="G22" s="365"/>
      <c r="H22" s="365"/>
      <c r="I22" s="365"/>
      <c r="J22" s="365"/>
      <c r="K22" s="365"/>
      <c r="L22" s="365"/>
      <c r="M22" s="365"/>
      <c r="N22" s="365"/>
      <c r="O22" s="365"/>
      <c r="P22" s="365"/>
      <c r="Q22" s="365"/>
      <c r="R22" s="365"/>
      <c r="S22" s="365"/>
      <c r="T22" s="365"/>
      <c r="U22" s="365"/>
      <c r="V22" s="620"/>
      <c r="W22" s="620"/>
      <c r="X22" s="725"/>
      <c r="Y22" s="725"/>
      <c r="Z22" s="725"/>
      <c r="AA22" s="725"/>
      <c r="AB22" s="725"/>
      <c r="AC22" s="725"/>
      <c r="AD22" s="725"/>
      <c r="AE22" s="725"/>
      <c r="AF22" s="725"/>
      <c r="AG22" s="725"/>
      <c r="AH22" s="725"/>
      <c r="AI22" s="725"/>
      <c r="AJ22" s="725"/>
      <c r="AK22" s="725"/>
      <c r="AL22" s="725"/>
      <c r="AM22" s="725"/>
      <c r="AN22" s="725"/>
    </row>
    <row r="23" spans="2:102" ht="18" customHeight="1" x14ac:dyDescent="0.35">
      <c r="B23" s="403" t="s">
        <v>1793</v>
      </c>
      <c r="C23" s="268"/>
      <c r="D23" s="391"/>
      <c r="E23" s="365"/>
      <c r="F23" s="365"/>
      <c r="G23" s="365"/>
      <c r="H23" s="365"/>
      <c r="I23" s="365"/>
      <c r="J23" s="365"/>
      <c r="K23" s="365"/>
      <c r="L23" s="365"/>
      <c r="M23" s="365"/>
      <c r="N23" s="365"/>
      <c r="O23" s="365"/>
      <c r="P23" s="365"/>
      <c r="Q23" s="365"/>
      <c r="R23" s="365"/>
      <c r="S23" s="365"/>
      <c r="T23" s="365"/>
      <c r="U23" s="365"/>
      <c r="V23" s="620"/>
      <c r="W23" s="620"/>
      <c r="X23" s="725"/>
      <c r="Y23" s="725"/>
      <c r="Z23" s="725"/>
      <c r="AA23" s="725"/>
      <c r="AB23" s="725"/>
      <c r="AC23" s="725"/>
      <c r="AD23" s="725"/>
      <c r="AE23" s="725"/>
      <c r="AF23" s="725"/>
      <c r="AG23" s="725"/>
      <c r="AH23" s="725"/>
      <c r="AI23" s="725"/>
      <c r="AJ23" s="725"/>
      <c r="AK23" s="725"/>
      <c r="AL23" s="725"/>
      <c r="AM23" s="725"/>
      <c r="AN23" s="725"/>
    </row>
    <row r="24" spans="2:102" ht="20.149999999999999" customHeight="1" x14ac:dyDescent="0.35">
      <c r="B24" s="389" t="s">
        <v>437</v>
      </c>
      <c r="C24" s="385"/>
      <c r="D24" s="875"/>
      <c r="E24" s="761"/>
      <c r="F24" s="761"/>
      <c r="G24" s="761"/>
      <c r="H24" s="694"/>
      <c r="I24" s="694"/>
      <c r="J24" s="694"/>
      <c r="K24" s="694"/>
      <c r="L24" s="694"/>
      <c r="M24" s="694">
        <f>'ARP Quarterly'!C5</f>
        <v>0</v>
      </c>
      <c r="N24" s="694">
        <f>'ARP Quarterly'!D5</f>
        <v>33.921840000000024</v>
      </c>
      <c r="O24" s="694">
        <f>'ARP Quarterly'!E5</f>
        <v>44.966160000000031</v>
      </c>
      <c r="P24" s="694">
        <f>'ARP Quarterly'!F5</f>
        <v>52.756999999999998</v>
      </c>
      <c r="Q24" s="694">
        <f>'ARP Quarterly'!G5</f>
        <v>52.756999999999998</v>
      </c>
      <c r="R24" s="694">
        <f>'ARP Quarterly'!H5</f>
        <v>52.756999999999998</v>
      </c>
      <c r="S24" s="694">
        <f>'ARP Quarterly'!I5</f>
        <v>52.756999999999998</v>
      </c>
      <c r="T24" s="694">
        <v>30</v>
      </c>
      <c r="U24" s="694">
        <f>'ARP Quarterly'!K5</f>
        <v>12</v>
      </c>
      <c r="V24" s="694">
        <f>'ARP Quarterly'!L5</f>
        <v>12</v>
      </c>
      <c r="W24" s="694">
        <f>'ARP Quarterly'!M5</f>
        <v>12</v>
      </c>
      <c r="X24" s="696">
        <f>'ARP Quarterly'!N5</f>
        <v>4.2219999999999995</v>
      </c>
      <c r="Y24" s="696">
        <f>'ARP Quarterly'!O5</f>
        <v>4.2219999999999995</v>
      </c>
      <c r="Z24" s="696">
        <f>'ARP Quarterly'!P5</f>
        <v>4.2219999999999995</v>
      </c>
      <c r="AA24" s="696">
        <f>'ARP Quarterly'!Q5</f>
        <v>4.2219999999999995</v>
      </c>
      <c r="AB24" s="696">
        <f>'ARP Quarterly'!R5</f>
        <v>2.3719999999999999</v>
      </c>
      <c r="AC24" s="696">
        <f>'ARP Quarterly'!S5</f>
        <v>2.3719999999999999</v>
      </c>
      <c r="AD24" s="696">
        <f>'ARP Quarterly'!T5</f>
        <v>2.3719999999999999</v>
      </c>
      <c r="AE24" s="696">
        <f>'ARP Quarterly'!U5</f>
        <v>2.3719999999999999</v>
      </c>
      <c r="AF24" s="696">
        <f>'ARP Quarterly'!V5</f>
        <v>0.49</v>
      </c>
      <c r="AG24" s="635">
        <v>0</v>
      </c>
      <c r="AH24" s="635">
        <v>0</v>
      </c>
      <c r="AI24" s="635">
        <v>0</v>
      </c>
      <c r="AJ24" s="635">
        <v>0</v>
      </c>
      <c r="AK24" s="635">
        <v>0</v>
      </c>
      <c r="AL24" s="635">
        <v>0</v>
      </c>
      <c r="AM24" s="635">
        <v>0</v>
      </c>
      <c r="AN24" s="635">
        <v>0</v>
      </c>
    </row>
    <row r="25" spans="2:102" ht="22.4" customHeight="1" x14ac:dyDescent="0.35">
      <c r="B25" s="374" t="s">
        <v>206</v>
      </c>
      <c r="C25" s="837"/>
      <c r="D25" s="391"/>
      <c r="E25" s="365"/>
      <c r="F25" s="365"/>
      <c r="G25" s="365"/>
      <c r="H25" s="365"/>
      <c r="I25" s="365"/>
      <c r="J25" s="365"/>
      <c r="K25" s="365"/>
      <c r="L25" s="365"/>
      <c r="M25" s="620">
        <f>'ARP Quarterly'!C4</f>
        <v>0</v>
      </c>
      <c r="N25" s="620">
        <f>'ARP Quarterly'!D4</f>
        <v>0</v>
      </c>
      <c r="O25" s="620">
        <f>'ARP Quarterly'!E4</f>
        <v>3.1040000000000418</v>
      </c>
      <c r="P25" s="620">
        <f>'ARP Quarterly'!F4</f>
        <v>19.719000000000005</v>
      </c>
      <c r="Q25" s="620">
        <f>'ARP Quarterly'!G4</f>
        <v>19.719000000000005</v>
      </c>
      <c r="R25" s="620">
        <f>'ARP Quarterly'!H4</f>
        <v>19.719000000000005</v>
      </c>
      <c r="S25" s="620">
        <f>'ARP Quarterly'!I4</f>
        <v>19.719000000000005</v>
      </c>
      <c r="T25" s="620">
        <f>'ARP Quarterly'!J4</f>
        <v>1.4159999999999999</v>
      </c>
      <c r="U25" s="620">
        <f>'ARP Quarterly'!K4</f>
        <v>1.4159999999999999</v>
      </c>
      <c r="V25" s="620">
        <f>'ARP Quarterly'!L4</f>
        <v>1.4159999999999999</v>
      </c>
      <c r="W25" s="620">
        <f>'ARP Quarterly'!M4</f>
        <v>1.4159999999999999</v>
      </c>
      <c r="X25" s="725">
        <f>'ARP Quarterly'!N4</f>
        <v>1.4790000000000001</v>
      </c>
      <c r="Y25" s="725">
        <f>'ARP Quarterly'!O4</f>
        <v>1.4790000000000001</v>
      </c>
      <c r="Z25" s="725">
        <f>'ARP Quarterly'!P4</f>
        <v>1.4790000000000001</v>
      </c>
      <c r="AA25" s="725">
        <f>'ARP Quarterly'!Q4</f>
        <v>1.4790000000000001</v>
      </c>
      <c r="AB25" s="725">
        <f>'ARP Quarterly'!R4</f>
        <v>1.63</v>
      </c>
      <c r="AC25" s="725">
        <f>'ARP Quarterly'!S4</f>
        <v>1.63</v>
      </c>
      <c r="AD25" s="725">
        <f>'ARP Quarterly'!T4</f>
        <v>1.63</v>
      </c>
      <c r="AE25" s="725">
        <f>'ARP Quarterly'!U4</f>
        <v>1.63</v>
      </c>
      <c r="AF25" s="725">
        <f>'ARP Quarterly'!V4</f>
        <v>1.671</v>
      </c>
      <c r="AG25" s="861">
        <v>0</v>
      </c>
      <c r="AH25" s="861">
        <v>0</v>
      </c>
      <c r="AI25" s="861">
        <v>0</v>
      </c>
      <c r="AJ25" s="861">
        <v>0</v>
      </c>
      <c r="AK25" s="861">
        <v>0</v>
      </c>
      <c r="AL25" s="861">
        <v>0</v>
      </c>
      <c r="AM25" s="861">
        <v>0</v>
      </c>
      <c r="AN25" s="861">
        <v>0</v>
      </c>
      <c r="AO25" s="837"/>
      <c r="AP25" s="837"/>
      <c r="AQ25" s="837"/>
      <c r="AR25" s="837"/>
      <c r="AS25" s="837"/>
      <c r="AT25" s="837"/>
      <c r="AU25" s="837"/>
      <c r="AV25" s="837"/>
      <c r="AW25" s="837"/>
      <c r="AX25" s="837"/>
      <c r="AY25" s="837"/>
      <c r="AZ25" s="837"/>
      <c r="BA25" s="837"/>
      <c r="BB25" s="837"/>
      <c r="BC25" s="837"/>
      <c r="BD25" s="837"/>
      <c r="BE25" s="837"/>
      <c r="BF25" s="837"/>
      <c r="BG25" s="837"/>
      <c r="BH25" s="837"/>
      <c r="BI25" s="837"/>
      <c r="BJ25" s="837"/>
      <c r="BK25" s="837"/>
      <c r="BL25" s="837"/>
      <c r="BM25" s="837"/>
      <c r="BN25" s="837"/>
      <c r="BO25" s="837"/>
      <c r="BP25" s="837"/>
      <c r="BQ25" s="837"/>
      <c r="BR25" s="837"/>
      <c r="BS25" s="837"/>
      <c r="BT25" s="837"/>
      <c r="BU25" s="837"/>
      <c r="BV25" s="837"/>
      <c r="BW25" s="837"/>
      <c r="BX25" s="837"/>
      <c r="BY25" s="837"/>
      <c r="BZ25" s="837"/>
      <c r="CA25" s="837"/>
      <c r="CB25" s="837"/>
      <c r="CC25" s="837"/>
      <c r="CD25" s="837"/>
      <c r="CE25" s="837"/>
      <c r="CF25" s="837"/>
      <c r="CG25" s="837"/>
      <c r="CH25" s="837"/>
      <c r="CI25" s="837"/>
      <c r="CJ25" s="837"/>
      <c r="CK25" s="837"/>
      <c r="CL25" s="837"/>
      <c r="CM25" s="837"/>
      <c r="CN25" s="837"/>
      <c r="CO25" s="837"/>
      <c r="CP25" s="837"/>
      <c r="CQ25" s="837"/>
      <c r="CR25" s="837"/>
      <c r="CS25" s="837"/>
      <c r="CT25" s="837"/>
      <c r="CU25" s="837"/>
      <c r="CV25" s="837"/>
      <c r="CW25" s="837"/>
      <c r="CX25" s="837"/>
    </row>
    <row r="26" spans="2:102" ht="36.65" customHeight="1" x14ac:dyDescent="0.35">
      <c r="B26" s="374" t="s">
        <v>1385</v>
      </c>
      <c r="C26" s="268"/>
      <c r="D26" s="392">
        <f>D51</f>
        <v>0</v>
      </c>
      <c r="E26" s="265">
        <f t="shared" ref="E26:AE26" si="5">E51</f>
        <v>0</v>
      </c>
      <c r="F26" s="265">
        <f t="shared" si="5"/>
        <v>0</v>
      </c>
      <c r="G26" s="265">
        <f t="shared" si="5"/>
        <v>0</v>
      </c>
      <c r="H26" s="265">
        <f t="shared" si="5"/>
        <v>0</v>
      </c>
      <c r="I26" s="620">
        <f t="shared" si="5"/>
        <v>6.9950000000000045</v>
      </c>
      <c r="J26" s="620">
        <f t="shared" si="5"/>
        <v>51.122999999999998</v>
      </c>
      <c r="K26" s="620">
        <f t="shared" si="5"/>
        <v>51.055</v>
      </c>
      <c r="L26" s="620">
        <f t="shared" si="5"/>
        <v>51.762999999999998</v>
      </c>
      <c r="M26" s="620">
        <f t="shared" si="5"/>
        <v>91.453000000000003</v>
      </c>
      <c r="N26" s="620">
        <f t="shared" si="5"/>
        <v>101.11800000000002</v>
      </c>
      <c r="O26" s="620">
        <f t="shared" si="5"/>
        <v>93.417000000000002</v>
      </c>
      <c r="P26" s="620">
        <f t="shared" si="5"/>
        <v>99.84</v>
      </c>
      <c r="Q26" s="620">
        <f t="shared" si="5"/>
        <v>77.435000000000002</v>
      </c>
      <c r="R26" s="620">
        <f t="shared" si="5"/>
        <v>74.290999999999997</v>
      </c>
      <c r="S26" s="620">
        <f t="shared" si="5"/>
        <v>69.937000000000012</v>
      </c>
      <c r="T26" s="620">
        <f t="shared" si="5"/>
        <v>91.18</v>
      </c>
      <c r="U26" s="620">
        <f t="shared" si="5"/>
        <v>84.404000000000025</v>
      </c>
      <c r="V26" s="620">
        <f>V51</f>
        <v>52.51</v>
      </c>
      <c r="W26" s="620">
        <f>W51</f>
        <v>50.475000000000001</v>
      </c>
      <c r="X26" s="725">
        <f t="shared" si="5"/>
        <v>38.360999999999997</v>
      </c>
      <c r="Y26" s="725">
        <f t="shared" si="5"/>
        <v>37.854999999999997</v>
      </c>
      <c r="Z26" s="725">
        <f t="shared" si="5"/>
        <v>42.399000000000008</v>
      </c>
      <c r="AA26" s="725">
        <f t="shared" si="5"/>
        <v>47.041000000000004</v>
      </c>
      <c r="AB26" s="725">
        <f t="shared" si="5"/>
        <v>43.420000000000009</v>
      </c>
      <c r="AC26" s="725">
        <f t="shared" si="5"/>
        <v>41.592000000000006</v>
      </c>
      <c r="AD26" s="725">
        <f t="shared" si="5"/>
        <v>41.488000000000007</v>
      </c>
      <c r="AE26" s="725">
        <f t="shared" si="5"/>
        <v>41.488000000000007</v>
      </c>
      <c r="AF26" s="725">
        <f>AF51</f>
        <v>33.527000000000008</v>
      </c>
      <c r="AG26" s="725">
        <f>AG51</f>
        <v>33.527000000000008</v>
      </c>
      <c r="AH26" s="725">
        <f>AH51</f>
        <v>33.527000000000008</v>
      </c>
      <c r="AI26" s="725">
        <f>AI51</f>
        <v>33.527000000000008</v>
      </c>
      <c r="AJ26" s="725">
        <f>AJ51</f>
        <v>25.372000000000007</v>
      </c>
      <c r="AK26" s="725">
        <f t="shared" ref="AK26:AN26" si="6">AK51</f>
        <v>25.372000000000007</v>
      </c>
      <c r="AL26" s="725">
        <f t="shared" si="6"/>
        <v>25.372000000000007</v>
      </c>
      <c r="AM26" s="725">
        <f t="shared" si="6"/>
        <v>25.372000000000007</v>
      </c>
      <c r="AN26" s="725">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763</v>
      </c>
      <c r="C27" s="268" t="s">
        <v>790</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82">
        <f>'Haver Pivoted'!HD89</f>
        <v>94.3</v>
      </c>
      <c r="T27" s="582">
        <f>'Haver Pivoted'!HE89</f>
        <v>94.3</v>
      </c>
      <c r="U27" s="725">
        <v>34</v>
      </c>
      <c r="V27" s="620">
        <v>34</v>
      </c>
      <c r="W27" s="620">
        <v>34</v>
      </c>
      <c r="X27" s="725">
        <v>34</v>
      </c>
      <c r="Y27" s="725">
        <v>34</v>
      </c>
      <c r="Z27" s="725">
        <v>34</v>
      </c>
      <c r="AA27" s="725">
        <v>34</v>
      </c>
      <c r="AB27" s="725">
        <v>34</v>
      </c>
      <c r="AC27" s="725">
        <v>34</v>
      </c>
      <c r="AD27" s="725">
        <v>34</v>
      </c>
      <c r="AE27" s="725">
        <v>34</v>
      </c>
      <c r="AF27" s="725">
        <v>34</v>
      </c>
      <c r="AG27" s="725">
        <v>34</v>
      </c>
      <c r="AH27" s="725">
        <v>34</v>
      </c>
      <c r="AI27" s="725">
        <v>35</v>
      </c>
      <c r="AJ27" s="725">
        <v>36</v>
      </c>
      <c r="AK27" s="725">
        <v>37</v>
      </c>
      <c r="AL27" s="725">
        <v>38</v>
      </c>
      <c r="AM27" s="725">
        <v>39</v>
      </c>
      <c r="AN27" s="725">
        <v>40</v>
      </c>
    </row>
    <row r="28" spans="2:102" ht="21.65" customHeight="1" x14ac:dyDescent="0.35">
      <c r="B28" s="374" t="s">
        <v>435</v>
      </c>
      <c r="C28" s="268"/>
      <c r="D28" s="392"/>
      <c r="E28" s="265"/>
      <c r="F28" s="265"/>
      <c r="G28" s="265"/>
      <c r="H28" s="620"/>
      <c r="I28" s="620"/>
      <c r="J28" s="620">
        <f>'PPP (expired)'!J53</f>
        <v>57.2</v>
      </c>
      <c r="K28" s="620">
        <f>'PPP (expired)'!K53</f>
        <v>81.2</v>
      </c>
      <c r="L28" s="620">
        <f>'PPP (expired)'!L53</f>
        <v>24.4</v>
      </c>
      <c r="M28" s="620">
        <f>'PPP (expired)'!M53</f>
        <v>11.7</v>
      </c>
      <c r="N28" s="620">
        <f>'PPP (expired)'!N53</f>
        <v>28.5</v>
      </c>
      <c r="O28" s="620">
        <f>'PPP (expired)'!O53</f>
        <v>18.8</v>
      </c>
      <c r="P28" s="620">
        <f>'PPP (expired)'!P53</f>
        <v>1.6</v>
      </c>
      <c r="Q28" s="620">
        <f>'PPP (expired)'!Q53</f>
        <v>0</v>
      </c>
      <c r="R28" s="620">
        <f>'PPP (expired)'!Q61</f>
        <v>0</v>
      </c>
      <c r="S28" s="620">
        <f>'PPP (expired)'!S53</f>
        <v>0</v>
      </c>
      <c r="T28" s="620">
        <f>'PPP (expired)'!T53</f>
        <v>0</v>
      </c>
      <c r="U28" s="620">
        <f>'PPP (expired)'!U53</f>
        <v>0</v>
      </c>
      <c r="V28" s="620">
        <f>'PPP (expired)'!V53</f>
        <v>0</v>
      </c>
      <c r="W28" s="620">
        <f>'PPP (expired)'!W53</f>
        <v>0</v>
      </c>
      <c r="X28" s="725">
        <f>'PPP (expired)'!X53</f>
        <v>0</v>
      </c>
      <c r="Y28" s="725">
        <f>'PPP (expired)'!Y53</f>
        <v>0</v>
      </c>
      <c r="Z28" s="725">
        <f>'PPP (expired)'!Z53</f>
        <v>0</v>
      </c>
      <c r="AA28" s="725">
        <f>'PPP (expired)'!AA53</f>
        <v>0</v>
      </c>
      <c r="AB28" s="725">
        <f>'PPP (expired)'!AB53</f>
        <v>0</v>
      </c>
      <c r="AC28" s="725">
        <f>'PPP (expired)'!AC53</f>
        <v>0</v>
      </c>
      <c r="AD28" s="725">
        <f>'PPP (expired)'!AD53</f>
        <v>0</v>
      </c>
      <c r="AE28" s="725">
        <f>'PPP (expired)'!AE53</f>
        <v>0</v>
      </c>
      <c r="AF28" s="725">
        <f>'PPP (expired)'!AF53</f>
        <v>0</v>
      </c>
      <c r="AG28" s="725">
        <f>'PPP (expired)'!AG53</f>
        <v>0</v>
      </c>
      <c r="AH28" s="725">
        <f>'PPP (expired)'!AH53</f>
        <v>0</v>
      </c>
      <c r="AI28" s="725">
        <f>'PPP (expired)'!AI53</f>
        <v>0</v>
      </c>
      <c r="AJ28" s="725">
        <f>'PPP (expired)'!AJ53</f>
        <v>0</v>
      </c>
      <c r="AK28" s="725">
        <f>'PPP (expired)'!AK53</f>
        <v>0</v>
      </c>
      <c r="AL28" s="725">
        <f>'PPP (expired)'!AL53</f>
        <v>0</v>
      </c>
      <c r="AM28" s="725">
        <f>'PPP (expired)'!AM53</f>
        <v>0</v>
      </c>
      <c r="AN28" s="725">
        <f>'PPP (expired)'!AN53</f>
        <v>0</v>
      </c>
    </row>
    <row r="29" spans="2:102" ht="21.65" customHeight="1" x14ac:dyDescent="0.35">
      <c r="B29" s="403" t="s">
        <v>764</v>
      </c>
      <c r="C29" s="268"/>
      <c r="D29" s="719">
        <f t="shared" ref="D29:AH29" si="7">D76</f>
        <v>0</v>
      </c>
      <c r="E29" s="620">
        <f t="shared" si="7"/>
        <v>0</v>
      </c>
      <c r="F29" s="620">
        <f t="shared" si="7"/>
        <v>0</v>
      </c>
      <c r="G29" s="620">
        <f t="shared" si="7"/>
        <v>0</v>
      </c>
      <c r="H29" s="620">
        <f t="shared" si="7"/>
        <v>0</v>
      </c>
      <c r="I29" s="620">
        <f t="shared" si="7"/>
        <v>-6.9950000000003456</v>
      </c>
      <c r="J29" s="620">
        <f t="shared" si="7"/>
        <v>-38.323000000000548</v>
      </c>
      <c r="K29" s="620">
        <f t="shared" si="7"/>
        <v>85.244999999999436</v>
      </c>
      <c r="L29" s="620">
        <f t="shared" si="7"/>
        <v>17.936999999999443</v>
      </c>
      <c r="M29" s="620">
        <f t="shared" si="7"/>
        <v>20.752999999999702</v>
      </c>
      <c r="N29" s="620">
        <f t="shared" si="7"/>
        <v>-8.8338400000009187</v>
      </c>
      <c r="O29" s="620">
        <f t="shared" si="7"/>
        <v>-12.81449333333353</v>
      </c>
      <c r="P29" s="620">
        <f t="shared" si="7"/>
        <v>-32.243333333333567</v>
      </c>
      <c r="Q29" s="620">
        <f t="shared" si="7"/>
        <v>72.944079999999303</v>
      </c>
      <c r="R29" s="620">
        <f t="shared" si="7"/>
        <v>74.4880799999994</v>
      </c>
      <c r="S29" s="620">
        <f t="shared" si="7"/>
        <v>64.864079999999149</v>
      </c>
      <c r="T29" s="620">
        <f t="shared" si="7"/>
        <v>89.36907999999903</v>
      </c>
      <c r="U29" s="620">
        <f t="shared" si="7"/>
        <v>58.801958999999442</v>
      </c>
      <c r="V29" s="620">
        <f t="shared" si="7"/>
        <v>71.638816142856285</v>
      </c>
      <c r="W29" s="620">
        <f t="shared" si="7"/>
        <v>76.973816142856094</v>
      </c>
      <c r="X29" s="725">
        <f t="shared" si="7"/>
        <v>97.410958999999366</v>
      </c>
      <c r="Y29" s="725">
        <f t="shared" si="7"/>
        <v>152.43494299999907</v>
      </c>
      <c r="Z29" s="725">
        <f t="shared" si="7"/>
        <v>170.29094299999906</v>
      </c>
      <c r="AA29" s="725">
        <f t="shared" si="7"/>
        <v>179.24894299999892</v>
      </c>
      <c r="AB29" s="725">
        <f t="shared" si="7"/>
        <v>205.4409429999987</v>
      </c>
      <c r="AC29" s="725">
        <f t="shared" si="7"/>
        <v>263.02286799999933</v>
      </c>
      <c r="AD29" s="725">
        <f t="shared" si="7"/>
        <v>353.32686799999874</v>
      </c>
      <c r="AE29" s="725">
        <f t="shared" si="7"/>
        <v>353.32686799999874</v>
      </c>
      <c r="AF29" s="725">
        <f t="shared" si="7"/>
        <v>353.32686799999874</v>
      </c>
      <c r="AG29" s="725">
        <f t="shared" si="7"/>
        <v>353.32686799999874</v>
      </c>
      <c r="AH29" s="725">
        <f t="shared" si="7"/>
        <v>353.32686799999874</v>
      </c>
      <c r="AI29" s="725">
        <f t="shared" ref="AI29:AJ29" si="8">AI76</f>
        <v>353.32686799999874</v>
      </c>
      <c r="AJ29" s="725">
        <f t="shared" si="8"/>
        <v>353.32686799999874</v>
      </c>
      <c r="AK29" s="725">
        <f t="shared" ref="AK29:AN29" si="9">AK76</f>
        <v>353.32686799999874</v>
      </c>
      <c r="AL29" s="725">
        <f t="shared" si="9"/>
        <v>353.32686799999874</v>
      </c>
      <c r="AM29" s="725">
        <f t="shared" si="9"/>
        <v>353.32686799999874</v>
      </c>
      <c r="AN29" s="725">
        <f t="shared" si="9"/>
        <v>353.32686799999874</v>
      </c>
    </row>
    <row r="30" spans="2:102" ht="21" customHeight="1" x14ac:dyDescent="0.35">
      <c r="B30" s="389" t="s">
        <v>761</v>
      </c>
      <c r="C30" s="385"/>
      <c r="D30" s="875">
        <f t="shared" ref="D30:W30" si="10">D25+D21</f>
        <v>0</v>
      </c>
      <c r="E30" s="761">
        <f t="shared" si="10"/>
        <v>0</v>
      </c>
      <c r="F30" s="761">
        <f t="shared" si="10"/>
        <v>0</v>
      </c>
      <c r="G30" s="761">
        <f t="shared" si="10"/>
        <v>0</v>
      </c>
      <c r="H30" s="761">
        <f t="shared" si="10"/>
        <v>0</v>
      </c>
      <c r="I30" s="761">
        <f t="shared" si="10"/>
        <v>0</v>
      </c>
      <c r="J30" s="761">
        <f t="shared" si="10"/>
        <v>160.9</v>
      </c>
      <c r="K30" s="761">
        <f t="shared" si="10"/>
        <v>58.4</v>
      </c>
      <c r="L30" s="761">
        <f t="shared" si="10"/>
        <v>34.5</v>
      </c>
      <c r="M30" s="761">
        <f t="shared" si="10"/>
        <v>21.4</v>
      </c>
      <c r="N30" s="761">
        <f t="shared" si="10"/>
        <v>13.3</v>
      </c>
      <c r="O30" s="761">
        <f t="shared" si="10"/>
        <v>21.804000000000041</v>
      </c>
      <c r="P30" s="694">
        <f t="shared" si="10"/>
        <v>51.919000000000011</v>
      </c>
      <c r="Q30" s="761">
        <f t="shared" si="10"/>
        <v>46.619</v>
      </c>
      <c r="R30" s="761">
        <f t="shared" si="10"/>
        <v>39.719000000000008</v>
      </c>
      <c r="S30" s="761">
        <f t="shared" si="10"/>
        <v>27.819000000000003</v>
      </c>
      <c r="T30" s="694">
        <f t="shared" si="10"/>
        <v>6.3160000000000007</v>
      </c>
      <c r="U30" s="694">
        <f t="shared" si="10"/>
        <v>1.4159999999999999</v>
      </c>
      <c r="V30" s="694">
        <f t="shared" si="10"/>
        <v>1.4159999999999999</v>
      </c>
      <c r="W30" s="694">
        <f t="shared" si="10"/>
        <v>1.4159999999999999</v>
      </c>
      <c r="X30" s="696">
        <f t="shared" ref="X30:AB30" si="11">X25+X21</f>
        <v>1.4790000000000001</v>
      </c>
      <c r="Y30" s="696">
        <f t="shared" si="11"/>
        <v>1.4790000000000001</v>
      </c>
      <c r="Z30" s="696">
        <f t="shared" si="11"/>
        <v>1.4790000000000001</v>
      </c>
      <c r="AA30" s="696">
        <f t="shared" si="11"/>
        <v>1.4790000000000001</v>
      </c>
      <c r="AB30" s="696">
        <f t="shared" si="11"/>
        <v>1.63</v>
      </c>
      <c r="AC30" s="696">
        <f>AC25+AC21</f>
        <v>1.63</v>
      </c>
      <c r="AD30" s="696">
        <f t="shared" ref="AD30:AE30" si="12">AD25+AD21</f>
        <v>1.63</v>
      </c>
      <c r="AE30" s="696">
        <f t="shared" si="12"/>
        <v>1.63</v>
      </c>
      <c r="AF30" s="696">
        <f>AF25+AF21</f>
        <v>1.671</v>
      </c>
      <c r="AG30" s="696">
        <f>AG25+AG21</f>
        <v>0</v>
      </c>
      <c r="AH30" s="696">
        <f>AH25+AH21</f>
        <v>0</v>
      </c>
      <c r="AI30" s="696">
        <f t="shared" ref="AI30:AJ30" si="13">AI25+AI21</f>
        <v>0</v>
      </c>
      <c r="AJ30" s="696">
        <f t="shared" si="13"/>
        <v>0</v>
      </c>
      <c r="AK30" s="696">
        <f t="shared" ref="AK30:AN30" si="14">AK25+AK21</f>
        <v>0</v>
      </c>
      <c r="AL30" s="696">
        <f t="shared" si="14"/>
        <v>0</v>
      </c>
      <c r="AM30" s="696">
        <f t="shared" si="14"/>
        <v>0</v>
      </c>
      <c r="AN30" s="696">
        <f t="shared" si="14"/>
        <v>0</v>
      </c>
    </row>
    <row r="31" spans="2:102" ht="44.9" customHeight="1" x14ac:dyDescent="0.35">
      <c r="B31" s="530" t="s">
        <v>1138</v>
      </c>
      <c r="D31" s="719"/>
      <c r="E31" s="620"/>
      <c r="F31" s="620"/>
      <c r="G31" s="620"/>
      <c r="H31" s="620"/>
      <c r="I31" s="620"/>
      <c r="J31" s="620"/>
      <c r="K31" s="620"/>
      <c r="L31" s="620"/>
      <c r="M31" s="620"/>
      <c r="N31" s="620"/>
      <c r="O31" s="620"/>
      <c r="P31" s="620"/>
      <c r="Q31" s="620"/>
      <c r="R31" s="620"/>
      <c r="S31" s="859">
        <f>'IRA and CHIPS'!E191</f>
        <v>-0.622</v>
      </c>
      <c r="T31" s="859">
        <f>'IRA and CHIPS'!F191</f>
        <v>21.89</v>
      </c>
      <c r="U31" s="859">
        <f>'IRA and CHIPS'!G191</f>
        <v>21.89</v>
      </c>
      <c r="V31" s="859">
        <f>'IRA and CHIPS'!H191</f>
        <v>21.89</v>
      </c>
      <c r="W31" s="859">
        <f>'IRA and CHIPS'!I191</f>
        <v>21.89</v>
      </c>
      <c r="X31" s="855">
        <f>'IRA and CHIPS'!J191</f>
        <v>15.439</v>
      </c>
      <c r="Y31" s="855">
        <f>'IRA and CHIPS'!K191</f>
        <v>15.439</v>
      </c>
      <c r="Z31" s="855">
        <f>'IRA and CHIPS'!L191</f>
        <v>15.439</v>
      </c>
      <c r="AA31" s="855">
        <f>'IRA and CHIPS'!M191</f>
        <v>15.439</v>
      </c>
      <c r="AB31" s="855">
        <f>'IRA and CHIPS'!N191</f>
        <v>16.966999999999999</v>
      </c>
      <c r="AC31" s="855">
        <f>'IRA and CHIPS'!O191</f>
        <v>16.966999999999999</v>
      </c>
      <c r="AD31" s="855">
        <f>'IRA and CHIPS'!P191</f>
        <v>16.966999999999999</v>
      </c>
      <c r="AE31" s="855">
        <f>'IRA and CHIPS'!Q191</f>
        <v>16.966999999999999</v>
      </c>
      <c r="AF31" s="855">
        <f>'IRA and CHIPS'!R191</f>
        <v>0.72799999999999998</v>
      </c>
      <c r="AG31" s="855">
        <f>'IRA and CHIPS'!S191</f>
        <v>0.72799999999999998</v>
      </c>
      <c r="AH31" s="855">
        <f>0</f>
        <v>0</v>
      </c>
      <c r="AI31" s="855">
        <f>0</f>
        <v>0</v>
      </c>
      <c r="AJ31" s="855">
        <f>0</f>
        <v>0</v>
      </c>
      <c r="AK31" s="855">
        <f>0</f>
        <v>0</v>
      </c>
      <c r="AL31" s="855">
        <f>0</f>
        <v>0</v>
      </c>
      <c r="AM31" s="855">
        <f>0</f>
        <v>0</v>
      </c>
      <c r="AN31" s="855">
        <f>0</f>
        <v>0</v>
      </c>
    </row>
    <row r="32" spans="2:102" ht="44.9" customHeight="1" x14ac:dyDescent="0.35">
      <c r="B32" s="374" t="s">
        <v>768</v>
      </c>
      <c r="C32" s="268"/>
      <c r="D32" s="719">
        <f t="shared" ref="D32:AD32" si="15">D68</f>
        <v>427.0390000000001</v>
      </c>
      <c r="E32" s="620">
        <f t="shared" si="15"/>
        <v>1470.7000000000003</v>
      </c>
      <c r="F32" s="620">
        <f t="shared" si="15"/>
        <v>1475.8999999999996</v>
      </c>
      <c r="G32" s="620">
        <f t="shared" si="15"/>
        <v>1482.6999999999998</v>
      </c>
      <c r="H32" s="620">
        <f t="shared" si="15"/>
        <v>1490.8000000000002</v>
      </c>
      <c r="I32" s="620">
        <f t="shared" si="15"/>
        <v>1542.7000000000003</v>
      </c>
      <c r="J32" s="620">
        <f t="shared" si="15"/>
        <v>1549.4000000000003</v>
      </c>
      <c r="K32" s="620">
        <f t="shared" si="15"/>
        <v>1556.1000000000004</v>
      </c>
      <c r="L32" s="620">
        <f t="shared" si="15"/>
        <v>1562.8000000000004</v>
      </c>
      <c r="M32" s="620">
        <f t="shared" si="15"/>
        <v>1587.4940000000006</v>
      </c>
      <c r="N32" s="620">
        <f t="shared" si="15"/>
        <v>1594.1940000000006</v>
      </c>
      <c r="O32" s="620">
        <f t="shared" si="15"/>
        <v>1600.8940000000007</v>
      </c>
      <c r="P32" s="620">
        <f t="shared" si="15"/>
        <v>1607.5940000000007</v>
      </c>
      <c r="Q32" s="620">
        <f t="shared" si="15"/>
        <v>1686.2449200000008</v>
      </c>
      <c r="R32" s="620">
        <f t="shared" si="15"/>
        <v>1692.9449200000008</v>
      </c>
      <c r="S32" s="620">
        <f t="shared" si="15"/>
        <v>1699.6449200000009</v>
      </c>
      <c r="T32" s="620">
        <f t="shared" si="15"/>
        <v>1706.3449200000009</v>
      </c>
      <c r="U32" s="620">
        <f t="shared" si="15"/>
        <v>1819.6880410000008</v>
      </c>
      <c r="V32" s="620">
        <f t="shared" si="15"/>
        <v>1826.3880410000008</v>
      </c>
      <c r="W32" s="620">
        <f t="shared" si="15"/>
        <v>1833.0880410000009</v>
      </c>
      <c r="X32" s="725">
        <f t="shared" si="15"/>
        <v>1839.7880410000009</v>
      </c>
      <c r="Y32" s="725">
        <f t="shared" si="15"/>
        <v>1892.170057000001</v>
      </c>
      <c r="Z32" s="725">
        <f t="shared" si="15"/>
        <v>1898.870057000001</v>
      </c>
      <c r="AA32" s="725">
        <f t="shared" si="15"/>
        <v>1905.570057000001</v>
      </c>
      <c r="AB32" s="725">
        <f>AB68</f>
        <v>1912.2700570000011</v>
      </c>
      <c r="AC32" s="725">
        <f>AC68</f>
        <v>1957.2161320000012</v>
      </c>
      <c r="AD32" s="725">
        <f t="shared" si="15"/>
        <v>1963.9161320000012</v>
      </c>
      <c r="AE32" s="725">
        <f>AE68</f>
        <v>1970.6161320000012</v>
      </c>
      <c r="AF32" s="725">
        <f>AF68</f>
        <v>1977.3161320000013</v>
      </c>
      <c r="AG32" s="725">
        <f>AG68</f>
        <v>2022.8192711380013</v>
      </c>
      <c r="AH32" s="725">
        <f>AH68</f>
        <v>2029.5192711380014</v>
      </c>
      <c r="AI32" s="725">
        <f t="shared" ref="AI32:AJ32" si="16">AI68</f>
        <v>2036.2192711380014</v>
      </c>
      <c r="AJ32" s="725">
        <f t="shared" si="16"/>
        <v>2042.9192711380015</v>
      </c>
      <c r="AK32" s="725">
        <f t="shared" ref="AK32:AN32" si="17">AK68</f>
        <v>2090.7427454761755</v>
      </c>
      <c r="AL32" s="725">
        <f t="shared" si="17"/>
        <v>2097.4427454761753</v>
      </c>
      <c r="AM32" s="725">
        <f t="shared" si="17"/>
        <v>2104.1427454761752</v>
      </c>
      <c r="AN32" s="725">
        <f t="shared" si="17"/>
        <v>2110.842745476175</v>
      </c>
    </row>
    <row r="33" spans="2:40" ht="31.4" customHeight="1" x14ac:dyDescent="0.35">
      <c r="B33" s="709" t="s">
        <v>765</v>
      </c>
      <c r="C33" s="385"/>
      <c r="D33" s="694">
        <f t="shared" ref="D33:AN33" si="18">D32+SUM(D26:D29)+D31</f>
        <v>457.0390000000001</v>
      </c>
      <c r="E33" s="694">
        <f t="shared" si="18"/>
        <v>1500.7000000000003</v>
      </c>
      <c r="F33" s="694">
        <f t="shared" si="18"/>
        <v>1505.8999999999996</v>
      </c>
      <c r="G33" s="694">
        <f t="shared" si="18"/>
        <v>1512.6999999999998</v>
      </c>
      <c r="H33" s="694">
        <f t="shared" si="18"/>
        <v>1520.8000000000002</v>
      </c>
      <c r="I33" s="694">
        <f t="shared" si="18"/>
        <v>1572.6999999999998</v>
      </c>
      <c r="J33" s="694">
        <f t="shared" si="18"/>
        <v>1649.3999999999996</v>
      </c>
      <c r="K33" s="694">
        <f t="shared" si="18"/>
        <v>1803.7999999999997</v>
      </c>
      <c r="L33" s="694">
        <f t="shared" si="18"/>
        <v>1687.1</v>
      </c>
      <c r="M33" s="694">
        <f t="shared" si="18"/>
        <v>1745.8000000000002</v>
      </c>
      <c r="N33" s="694">
        <f t="shared" si="18"/>
        <v>1749.3781599999998</v>
      </c>
      <c r="O33" s="694">
        <f t="shared" si="18"/>
        <v>1919.2298400000002</v>
      </c>
      <c r="P33" s="694">
        <f t="shared" si="18"/>
        <v>1899.9240000000002</v>
      </c>
      <c r="Q33" s="694">
        <f t="shared" si="18"/>
        <v>1930.924</v>
      </c>
      <c r="R33" s="694">
        <f t="shared" si="18"/>
        <v>1936.0240000000003</v>
      </c>
      <c r="S33" s="694">
        <f t="shared" si="18"/>
        <v>1928.124</v>
      </c>
      <c r="T33" s="863">
        <f t="shared" si="18"/>
        <v>2003.0840000000001</v>
      </c>
      <c r="U33" s="863">
        <f t="shared" si="18"/>
        <v>2018.7840000000003</v>
      </c>
      <c r="V33" s="694">
        <f t="shared" si="18"/>
        <v>2006.4268571428572</v>
      </c>
      <c r="W33" s="694">
        <f t="shared" si="18"/>
        <v>2016.426857142857</v>
      </c>
      <c r="X33" s="696">
        <f t="shared" si="18"/>
        <v>2024.9990000000005</v>
      </c>
      <c r="Y33" s="696">
        <f t="shared" si="18"/>
        <v>2131.8989999999999</v>
      </c>
      <c r="Z33" s="696">
        <f t="shared" si="18"/>
        <v>2160.9989999999998</v>
      </c>
      <c r="AA33" s="696">
        <f t="shared" si="18"/>
        <v>2181.299</v>
      </c>
      <c r="AB33" s="696">
        <f t="shared" si="18"/>
        <v>2212.098</v>
      </c>
      <c r="AC33" s="696">
        <f t="shared" si="18"/>
        <v>2312.7980000000007</v>
      </c>
      <c r="AD33" s="696">
        <f t="shared" si="18"/>
        <v>2409.6979999999999</v>
      </c>
      <c r="AE33" s="696">
        <f t="shared" si="18"/>
        <v>2416.3980000000001</v>
      </c>
      <c r="AF33" s="696">
        <f t="shared" si="18"/>
        <v>2398.8980000000001</v>
      </c>
      <c r="AG33" s="696">
        <f t="shared" si="18"/>
        <v>2444.401139138</v>
      </c>
      <c r="AH33" s="696">
        <f t="shared" si="18"/>
        <v>2450.3731391380002</v>
      </c>
      <c r="AI33" s="696">
        <f t="shared" si="18"/>
        <v>2458.0731391380004</v>
      </c>
      <c r="AJ33" s="696">
        <f t="shared" si="18"/>
        <v>2457.6181391380001</v>
      </c>
      <c r="AK33" s="696">
        <f t="shared" si="18"/>
        <v>2506.4416134761741</v>
      </c>
      <c r="AL33" s="696">
        <f t="shared" si="18"/>
        <v>2514.1416134761739</v>
      </c>
      <c r="AM33" s="696">
        <f t="shared" si="18"/>
        <v>2521.8416134761737</v>
      </c>
      <c r="AN33" s="696">
        <f t="shared" si="18"/>
        <v>2507.8966134761736</v>
      </c>
    </row>
    <row r="34" spans="2:40" ht="31.4" customHeight="1" x14ac:dyDescent="0.35">
      <c r="B34" s="709"/>
      <c r="C34" s="385"/>
      <c r="D34" s="694">
        <f t="shared" ref="D34:P34" si="19">D29+D32</f>
        <v>427.0390000000001</v>
      </c>
      <c r="E34" s="694">
        <f t="shared" si="19"/>
        <v>1470.7000000000003</v>
      </c>
      <c r="F34" s="694">
        <f t="shared" si="19"/>
        <v>1475.8999999999996</v>
      </c>
      <c r="G34" s="694">
        <f t="shared" si="19"/>
        <v>1482.6999999999998</v>
      </c>
      <c r="H34" s="694">
        <f t="shared" si="19"/>
        <v>1490.8000000000002</v>
      </c>
      <c r="I34" s="694">
        <f t="shared" si="19"/>
        <v>1535.7049999999999</v>
      </c>
      <c r="J34" s="694">
        <f t="shared" si="19"/>
        <v>1511.0769999999998</v>
      </c>
      <c r="K34" s="694">
        <f t="shared" si="19"/>
        <v>1641.3449999999998</v>
      </c>
      <c r="L34" s="694">
        <f t="shared" si="19"/>
        <v>1580.7369999999999</v>
      </c>
      <c r="M34" s="694">
        <f t="shared" si="19"/>
        <v>1608.2470000000003</v>
      </c>
      <c r="N34" s="694">
        <f t="shared" si="19"/>
        <v>1585.3601599999997</v>
      </c>
      <c r="O34" s="694">
        <f t="shared" si="19"/>
        <v>1588.0795066666672</v>
      </c>
      <c r="P34" s="694">
        <f t="shared" si="19"/>
        <v>1575.3506666666672</v>
      </c>
      <c r="Q34" s="694">
        <f>Q29+Q32</f>
        <v>1759.1890000000001</v>
      </c>
      <c r="R34" s="694">
        <f t="shared" ref="R34:AN34" si="20">R29+R32</f>
        <v>1767.4330000000002</v>
      </c>
      <c r="S34" s="694">
        <f t="shared" si="20"/>
        <v>1764.509</v>
      </c>
      <c r="T34" s="694">
        <f t="shared" si="20"/>
        <v>1795.7139999999999</v>
      </c>
      <c r="U34" s="694">
        <f t="shared" si="20"/>
        <v>1878.4900000000002</v>
      </c>
      <c r="V34" s="694">
        <f t="shared" si="20"/>
        <v>1898.0268571428571</v>
      </c>
      <c r="W34" s="694">
        <f t="shared" si="20"/>
        <v>1910.061857142857</v>
      </c>
      <c r="X34" s="694">
        <f t="shared" si="20"/>
        <v>1937.1990000000003</v>
      </c>
      <c r="Y34" s="694">
        <f t="shared" si="20"/>
        <v>2044.605</v>
      </c>
      <c r="Z34" s="694">
        <f t="shared" si="20"/>
        <v>2069.1610000000001</v>
      </c>
      <c r="AA34" s="694">
        <f t="shared" si="20"/>
        <v>2084.819</v>
      </c>
      <c r="AB34" s="694">
        <f t="shared" si="20"/>
        <v>2117.7109999999998</v>
      </c>
      <c r="AC34" s="694">
        <f t="shared" si="20"/>
        <v>2220.2390000000005</v>
      </c>
      <c r="AD34" s="694">
        <f t="shared" si="20"/>
        <v>2317.2429999999999</v>
      </c>
      <c r="AE34" s="694">
        <f t="shared" si="20"/>
        <v>2323.9430000000002</v>
      </c>
      <c r="AF34" s="694">
        <f t="shared" si="20"/>
        <v>2330.643</v>
      </c>
      <c r="AG34" s="694">
        <f t="shared" si="20"/>
        <v>2376.1461391379999</v>
      </c>
      <c r="AH34" s="694">
        <f t="shared" si="20"/>
        <v>2382.8461391380001</v>
      </c>
      <c r="AI34" s="694">
        <f t="shared" si="20"/>
        <v>2389.5461391380004</v>
      </c>
      <c r="AJ34" s="694">
        <f t="shared" si="20"/>
        <v>2396.2461391380002</v>
      </c>
      <c r="AK34" s="694">
        <f t="shared" si="20"/>
        <v>2444.0696134761743</v>
      </c>
      <c r="AL34" s="694">
        <f t="shared" si="20"/>
        <v>2450.7696134761741</v>
      </c>
      <c r="AM34" s="694">
        <f t="shared" si="20"/>
        <v>2457.4696134761739</v>
      </c>
      <c r="AN34" s="694">
        <f t="shared" si="20"/>
        <v>2464.1696134761737</v>
      </c>
    </row>
    <row r="35" spans="2:40" ht="31.4" customHeight="1" x14ac:dyDescent="0.35">
      <c r="B35" s="709"/>
      <c r="C35" s="385"/>
      <c r="D35" s="694"/>
      <c r="E35" s="694"/>
      <c r="F35" s="694"/>
      <c r="G35" s="694"/>
      <c r="H35" s="694"/>
      <c r="I35" s="694"/>
      <c r="J35" s="694"/>
      <c r="K35" s="694"/>
      <c r="L35" s="694"/>
      <c r="M35" s="694"/>
      <c r="N35" s="694"/>
      <c r="O35" s="694"/>
      <c r="P35" s="694"/>
      <c r="Q35" s="694"/>
      <c r="R35" s="694"/>
      <c r="S35" s="694"/>
      <c r="T35" s="694"/>
      <c r="U35" s="694"/>
      <c r="V35" s="694"/>
      <c r="W35" s="694"/>
      <c r="X35" s="696"/>
      <c r="Y35" s="696"/>
      <c r="Z35" s="696"/>
      <c r="AA35" s="696"/>
      <c r="AB35" s="696"/>
      <c r="AC35" s="696"/>
      <c r="AD35" s="696"/>
      <c r="AE35" s="696"/>
      <c r="AF35" s="696"/>
      <c r="AG35" s="696"/>
      <c r="AH35" s="696"/>
      <c r="AI35" s="696"/>
      <c r="AJ35" s="696"/>
      <c r="AK35" s="696"/>
      <c r="AL35" s="696"/>
      <c r="AM35" s="696"/>
      <c r="AN35" s="696"/>
    </row>
    <row r="36" spans="2:40" ht="31.4" customHeight="1" x14ac:dyDescent="0.35">
      <c r="B36" s="1501" t="s">
        <v>438</v>
      </c>
      <c r="C36" s="1508"/>
      <c r="D36" s="705"/>
      <c r="E36" s="706"/>
      <c r="F36" s="706"/>
      <c r="G36" s="706"/>
      <c r="H36" s="706"/>
      <c r="I36" s="706"/>
      <c r="J36" s="706"/>
      <c r="K36" s="706"/>
      <c r="L36" s="706"/>
      <c r="M36" s="706"/>
      <c r="N36" s="706"/>
      <c r="O36" s="706"/>
      <c r="P36" s="706"/>
      <c r="Q36" s="706"/>
      <c r="R36" s="706"/>
      <c r="S36" s="706"/>
      <c r="T36" s="694"/>
      <c r="U36" s="706"/>
      <c r="V36" s="694"/>
      <c r="W36" s="694"/>
      <c r="X36" s="696"/>
      <c r="Y36" s="696"/>
      <c r="Z36" s="696"/>
      <c r="AA36" s="696"/>
      <c r="AB36" s="696"/>
      <c r="AC36" s="696"/>
      <c r="AD36" s="696"/>
      <c r="AE36" s="696"/>
      <c r="AF36" s="696"/>
      <c r="AG36" s="696"/>
      <c r="AH36" s="696"/>
      <c r="AI36" s="696"/>
      <c r="AJ36" s="696"/>
      <c r="AK36" s="696"/>
      <c r="AL36" s="696"/>
      <c r="AM36" s="696"/>
      <c r="AN36" s="696"/>
    </row>
    <row r="37" spans="2:40" x14ac:dyDescent="0.35">
      <c r="B37" s="403" t="s">
        <v>770</v>
      </c>
      <c r="C37" s="268" t="s">
        <v>439</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59">
        <f>'Haver Pivoted'!HD37</f>
        <v>1023</v>
      </c>
      <c r="T37" s="759">
        <f>'Haver Pivoted'!HE37</f>
        <v>1084.0999999999999</v>
      </c>
      <c r="U37" s="759">
        <f>'Haver Pivoted'!HF37</f>
        <v>1068</v>
      </c>
      <c r="V37" s="621">
        <f>'Haver Pivoted'!HG37</f>
        <v>1094.7</v>
      </c>
      <c r="W37" s="621">
        <f>'Haver Pivoted'!HH37</f>
        <v>1053.2</v>
      </c>
      <c r="X37" s="621">
        <f>'Haver Pivoted'!HI37</f>
        <v>1047.2</v>
      </c>
      <c r="Y37" s="621">
        <f>'Haver Pivoted'!HJ37</f>
        <v>1104.2</v>
      </c>
      <c r="Z37" s="621">
        <f>'Haver Pivoted'!HK37</f>
        <v>1133.9000000000001</v>
      </c>
      <c r="AA37" s="621">
        <f>'Haver Pivoted'!HL37</f>
        <v>1156.9000000000001</v>
      </c>
      <c r="AB37" s="621">
        <f>'Haver Pivoted'!HM37</f>
        <v>1165</v>
      </c>
      <c r="AC37" s="621">
        <f>'Haver Pivoted'!HN37</f>
        <v>1158.5</v>
      </c>
      <c r="AD37" s="621">
        <f>'Haver Pivoted'!HO37</f>
        <v>1195</v>
      </c>
      <c r="AE37" s="405"/>
      <c r="AF37" s="405"/>
      <c r="AG37" s="405"/>
      <c r="AH37" s="405"/>
      <c r="AI37" s="405"/>
      <c r="AJ37" s="405"/>
      <c r="AK37" s="405"/>
      <c r="AL37" s="405"/>
      <c r="AM37" s="405"/>
      <c r="AN37" s="405"/>
    </row>
    <row r="38" spans="2:40" x14ac:dyDescent="0.35">
      <c r="B38" s="693" t="s">
        <v>197</v>
      </c>
      <c r="C38" s="268"/>
      <c r="D38" s="719">
        <f>Medicaid!D30</f>
        <v>589.5</v>
      </c>
      <c r="E38" s="620">
        <f>Medicaid!E30</f>
        <v>598.70000000000005</v>
      </c>
      <c r="F38" s="620">
        <f>Medicaid!F30</f>
        <v>614.4</v>
      </c>
      <c r="G38" s="620">
        <f>Medicaid!G30</f>
        <v>622.4</v>
      </c>
      <c r="H38" s="620">
        <f>Medicaid!H30</f>
        <v>620.6</v>
      </c>
      <c r="I38" s="620">
        <f>Medicaid!I30</f>
        <v>606.5</v>
      </c>
      <c r="J38" s="620">
        <f>Medicaid!J30</f>
        <v>654.6</v>
      </c>
      <c r="K38" s="620">
        <f>Medicaid!K30</f>
        <v>690.7</v>
      </c>
      <c r="L38" s="620">
        <f>Medicaid!L30</f>
        <v>678.5</v>
      </c>
      <c r="M38" s="620">
        <f>Medicaid!M30</f>
        <v>704.8</v>
      </c>
      <c r="N38" s="620">
        <f>Medicaid!N30</f>
        <v>745.5</v>
      </c>
      <c r="O38" s="620">
        <f>Medicaid!O30</f>
        <v>749.2</v>
      </c>
      <c r="P38" s="620">
        <f>Medicaid!P30</f>
        <v>746.4</v>
      </c>
      <c r="Q38" s="620">
        <f>Medicaid!Q30</f>
        <v>792.1</v>
      </c>
      <c r="R38" s="620">
        <f>Medicaid!R30</f>
        <v>819.3</v>
      </c>
      <c r="S38" s="759">
        <f>Medicaid!S30</f>
        <v>818.9</v>
      </c>
      <c r="T38" s="620">
        <f>Medicaid!T30</f>
        <v>827.1</v>
      </c>
      <c r="U38" s="620">
        <f>Medicaid!U30</f>
        <v>876.8</v>
      </c>
      <c r="V38" s="620">
        <f>Medicaid!V30</f>
        <v>910.9</v>
      </c>
      <c r="W38" s="620">
        <f>Medicaid!W30</f>
        <v>867.3</v>
      </c>
      <c r="X38" s="725">
        <f>Medicaid!X30</f>
        <v>857.7</v>
      </c>
      <c r="Y38" s="725">
        <f>Medicaid!Y30</f>
        <v>909.4</v>
      </c>
      <c r="Z38" s="725">
        <f>Medicaid!Z30</f>
        <v>934.7</v>
      </c>
      <c r="AA38" s="725">
        <f>Medicaid!AA30</f>
        <v>947.9</v>
      </c>
      <c r="AB38" s="725">
        <f>Medicaid!AB30</f>
        <v>960.7</v>
      </c>
      <c r="AC38" s="725">
        <f>Medicaid!AC30</f>
        <v>955.2</v>
      </c>
      <c r="AD38" s="725">
        <f>Medicaid!AD30</f>
        <v>991.5</v>
      </c>
      <c r="AE38" s="725">
        <f>Medicaid!AE30</f>
        <v>1045.5999999999999</v>
      </c>
      <c r="AF38" s="725">
        <f>Medicaid!AF30</f>
        <v>1078.4000000000001</v>
      </c>
      <c r="AG38" s="725">
        <f>Medicaid!AG30</f>
        <v>1093.1629366212339</v>
      </c>
      <c r="AH38" s="725">
        <f>Medicaid!AH30</f>
        <v>1113.2648695925188</v>
      </c>
      <c r="AI38" s="725">
        <f>Medicaid!AI30</f>
        <v>1136.8283964919679</v>
      </c>
      <c r="AJ38" s="725">
        <f>Medicaid!AJ30</f>
        <v>1138.6910007857018</v>
      </c>
      <c r="AK38" s="725">
        <f>Medicaid!AK30</f>
        <v>1145.5730410275178</v>
      </c>
      <c r="AL38" s="725">
        <f>Medicaid!AL30</f>
        <v>1152.5268941483698</v>
      </c>
      <c r="AM38" s="725">
        <f>Medicaid!AM30</f>
        <v>1160.5533095030155</v>
      </c>
      <c r="AN38" s="725">
        <f>Medicaid!AN30</f>
        <v>1170.7284082425656</v>
      </c>
    </row>
    <row r="39" spans="2:40" ht="14.9" customHeight="1" x14ac:dyDescent="0.35">
      <c r="B39" s="709" t="s">
        <v>771</v>
      </c>
      <c r="C39" s="385"/>
      <c r="D39" s="718">
        <f>D37-D38</f>
        <v>144.10000000000002</v>
      </c>
      <c r="E39" s="694">
        <f t="shared" ref="E39:O39" si="21">E37-E38</f>
        <v>145.59999999999991</v>
      </c>
      <c r="F39" s="694">
        <f t="shared" si="21"/>
        <v>147.89999999999998</v>
      </c>
      <c r="G39" s="694">
        <f>G37-G38</f>
        <v>149.80000000000007</v>
      </c>
      <c r="H39" s="694">
        <f t="shared" si="21"/>
        <v>151.5</v>
      </c>
      <c r="I39" s="694">
        <f t="shared" si="21"/>
        <v>154.20000000000005</v>
      </c>
      <c r="J39" s="694">
        <f t="shared" si="21"/>
        <v>156.60000000000002</v>
      </c>
      <c r="K39" s="694">
        <f t="shared" si="21"/>
        <v>159.59999999999991</v>
      </c>
      <c r="L39" s="694">
        <f t="shared" si="21"/>
        <v>162.29999999999995</v>
      </c>
      <c r="M39" s="694">
        <f t="shared" si="21"/>
        <v>165.90000000000009</v>
      </c>
      <c r="N39" s="694">
        <f t="shared" si="21"/>
        <v>169.20000000000005</v>
      </c>
      <c r="O39" s="694">
        <f t="shared" si="21"/>
        <v>174.5</v>
      </c>
      <c r="P39" s="694">
        <f>P37-P38</f>
        <v>175.30000000000007</v>
      </c>
      <c r="Q39" s="694">
        <f>Q37-Q38</f>
        <v>177.19999999999993</v>
      </c>
      <c r="R39" s="694">
        <f>R37-R38</f>
        <v>184.40000000000009</v>
      </c>
      <c r="S39" s="759">
        <f>S37-S38</f>
        <v>204.10000000000002</v>
      </c>
      <c r="T39" s="759">
        <f>T37-T38</f>
        <v>256.99999999999989</v>
      </c>
      <c r="U39" s="694">
        <f>T39*(1+AVERAGE($F$41:$I$41))+U40</f>
        <v>190.71451531976618</v>
      </c>
      <c r="V39" s="694">
        <f>U39*(1+AVERAGE($F$41:$I$41))+V40</f>
        <v>193.47098220247852</v>
      </c>
      <c r="W39" s="694">
        <f t="shared" ref="W39:AA39" si="22">V39*(1+AVERAGE($F$41:$I$41))</f>
        <v>196.26728931267826</v>
      </c>
      <c r="X39" s="696">
        <f>W39*(1+AVERAGE($F$41:$I$41))</f>
        <v>199.10401247579478</v>
      </c>
      <c r="Y39" s="696">
        <f t="shared" si="22"/>
        <v>201.98173583987366</v>
      </c>
      <c r="Z39" s="696">
        <f t="shared" si="22"/>
        <v>204.90105199586665</v>
      </c>
      <c r="AA39" s="696">
        <f t="shared" si="22"/>
        <v>207.86256209965993</v>
      </c>
      <c r="AB39" s="696">
        <f>AA39*(1+AVERAGE($F$41:$I$41))</f>
        <v>210.86687599586637</v>
      </c>
      <c r="AC39" s="696">
        <f>AB39*(1+AVERAGE($F$41:$I$41))</f>
        <v>213.91461234340684</v>
      </c>
      <c r="AD39" s="696">
        <f>AC39*(1+AVERAGE($F$41:$I$41))</f>
        <v>217.00639874290664</v>
      </c>
      <c r="AE39" s="696">
        <f>AD39*(1+AVERAGE($F$41:$I$41))</f>
        <v>220.14287186593324</v>
      </c>
      <c r="AF39" s="696">
        <f t="shared" ref="AF39:AH39" si="23">AE39*(1+AVERAGE($F$41:$I$41))</f>
        <v>223.32467758610193</v>
      </c>
      <c r="AG39" s="696">
        <f>AF39*(1+AVERAGE($F$41:$I$41))</f>
        <v>226.5524711120764</v>
      </c>
      <c r="AH39" s="696">
        <f t="shared" si="23"/>
        <v>229.82691712249164</v>
      </c>
      <c r="AI39" s="696">
        <f t="shared" ref="AI39" si="24">AH39*(1+AVERAGE($F$41:$I$41))</f>
        <v>233.14868990282685</v>
      </c>
      <c r="AJ39" s="696">
        <f>AI39*(1+AVERAGE($F$41:$I$41))</f>
        <v>236.51847348425676</v>
      </c>
      <c r="AK39" s="696">
        <f t="shared" ref="AK39:AN39" si="25">AJ39*(1+AVERAGE($F$41:$I$41))</f>
        <v>239.93696178450969</v>
      </c>
      <c r="AL39" s="696">
        <f t="shared" si="25"/>
        <v>243.40485875076158</v>
      </c>
      <c r="AM39" s="696">
        <f t="shared" si="25"/>
        <v>246.92287850459525</v>
      </c>
      <c r="AN39" s="696">
        <f t="shared" si="25"/>
        <v>250.49174548905481</v>
      </c>
    </row>
    <row r="40" spans="2:40" ht="14.9" customHeight="1" x14ac:dyDescent="0.35">
      <c r="B40" s="709" t="s">
        <v>1646</v>
      </c>
      <c r="C40" s="385"/>
      <c r="D40" s="718"/>
      <c r="E40" s="694"/>
      <c r="F40" s="694"/>
      <c r="G40" s="694"/>
      <c r="H40" s="694"/>
      <c r="I40" s="694"/>
      <c r="J40" s="694"/>
      <c r="K40" s="694"/>
      <c r="L40" s="694"/>
      <c r="M40" s="694"/>
      <c r="N40" s="694"/>
      <c r="O40" s="694"/>
      <c r="P40" s="694"/>
      <c r="Q40" s="694"/>
      <c r="R40" s="694"/>
      <c r="S40" s="759"/>
      <c r="T40" s="694"/>
      <c r="U40" s="694">
        <v>-70</v>
      </c>
      <c r="V40" s="694"/>
      <c r="W40" s="694"/>
      <c r="X40" s="696"/>
      <c r="Y40" s="696"/>
      <c r="Z40" s="696"/>
      <c r="AA40" s="696"/>
      <c r="AB40" s="696"/>
      <c r="AC40" s="696"/>
      <c r="AD40" s="696"/>
      <c r="AE40" s="696"/>
      <c r="AF40" s="696"/>
      <c r="AG40" s="696"/>
      <c r="AH40" s="696"/>
      <c r="AI40" s="696"/>
      <c r="AJ40" s="696"/>
      <c r="AK40" s="696"/>
      <c r="AL40" s="696"/>
      <c r="AM40" s="696"/>
      <c r="AN40" s="696"/>
    </row>
    <row r="41" spans="2:40" x14ac:dyDescent="0.35">
      <c r="B41" s="874" t="s">
        <v>772</v>
      </c>
      <c r="C41" s="468"/>
      <c r="D41" s="720"/>
      <c r="E41" s="708">
        <f>E39/D39-1</f>
        <v>1.0409437890353201E-2</v>
      </c>
      <c r="F41" s="708">
        <f t="shared" ref="F41:N41" si="26">F39/E39-1</f>
        <v>1.5796703296703685E-2</v>
      </c>
      <c r="G41" s="708">
        <f>G39/F39-1</f>
        <v>1.2846517917512346E-2</v>
      </c>
      <c r="H41" s="708">
        <f t="shared" si="26"/>
        <v>1.1348464619492127E-2</v>
      </c>
      <c r="I41" s="708">
        <f t="shared" si="26"/>
        <v>1.782178217821806E-2</v>
      </c>
      <c r="J41" s="708">
        <f t="shared" si="26"/>
        <v>1.5564202334630295E-2</v>
      </c>
      <c r="K41" s="708">
        <f t="shared" si="26"/>
        <v>1.9157088122604637E-2</v>
      </c>
      <c r="L41" s="708">
        <f t="shared" si="26"/>
        <v>1.6917293233082997E-2</v>
      </c>
      <c r="M41" s="708">
        <f t="shared" si="26"/>
        <v>2.2181146025878951E-2</v>
      </c>
      <c r="N41" s="708">
        <f t="shared" si="26"/>
        <v>1.9891500904158921E-2</v>
      </c>
      <c r="O41" s="708">
        <f>O39/N39-1</f>
        <v>3.1323877068557548E-2</v>
      </c>
      <c r="P41" s="708">
        <f t="shared" ref="P41:S41" si="27">P39/O39-1</f>
        <v>4.5845272206308518E-3</v>
      </c>
      <c r="Q41" s="708">
        <f t="shared" si="27"/>
        <v>1.0838562464346113E-2</v>
      </c>
      <c r="R41" s="708">
        <f t="shared" si="27"/>
        <v>4.0632054176073185E-2</v>
      </c>
      <c r="S41" s="780">
        <f t="shared" si="27"/>
        <v>0.1068329718004335</v>
      </c>
      <c r="T41" s="695"/>
      <c r="U41" s="695"/>
      <c r="V41" s="695"/>
      <c r="W41" s="695"/>
      <c r="X41" s="716"/>
      <c r="Y41" s="716"/>
      <c r="Z41" s="716"/>
      <c r="AA41" s="716"/>
      <c r="AB41" s="716"/>
      <c r="AC41" s="716"/>
      <c r="AD41" s="716"/>
      <c r="AE41" s="716"/>
      <c r="AF41" s="716"/>
      <c r="AG41" s="716"/>
      <c r="AH41" s="716"/>
      <c r="AI41" s="716"/>
      <c r="AJ41" s="716"/>
      <c r="AK41" s="716"/>
      <c r="AL41" s="716"/>
      <c r="AM41" s="716"/>
      <c r="AN41" s="716"/>
    </row>
    <row r="45" spans="2:40" x14ac:dyDescent="0.35">
      <c r="P45" s="611"/>
      <c r="Q45" s="611"/>
    </row>
    <row r="46" spans="2:40" x14ac:dyDescent="0.35">
      <c r="B46" s="644" t="s">
        <v>318</v>
      </c>
      <c r="D46" s="620"/>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row>
    <row r="47" spans="2:40" ht="45.75" customHeight="1" x14ac:dyDescent="0.35">
      <c r="B47" s="1414" t="s">
        <v>442</v>
      </c>
      <c r="C47" s="1414"/>
      <c r="D47" s="1416"/>
      <c r="E47" s="1416"/>
      <c r="F47" s="1416"/>
      <c r="G47" s="1416"/>
      <c r="H47" s="1416"/>
      <c r="I47" s="1416"/>
      <c r="J47" s="1416"/>
      <c r="K47" s="1416"/>
      <c r="L47" s="1416"/>
      <c r="M47" s="1416"/>
      <c r="N47" s="1416"/>
      <c r="O47" s="1416"/>
      <c r="P47" s="1416"/>
      <c r="Q47" s="1416"/>
      <c r="R47" s="1416"/>
      <c r="S47" s="1416"/>
      <c r="T47" s="1416"/>
      <c r="U47" s="1416"/>
      <c r="V47" s="1416"/>
      <c r="W47" s="1416"/>
      <c r="X47" s="1416"/>
      <c r="Y47" s="1416"/>
      <c r="Z47" s="1416"/>
      <c r="AA47" s="1416"/>
      <c r="AB47" s="1416"/>
      <c r="AC47" s="1416"/>
    </row>
    <row r="48" spans="2:40" ht="14.9" customHeight="1" x14ac:dyDescent="0.35">
      <c r="B48" s="1419" t="s">
        <v>443</v>
      </c>
      <c r="C48" s="1420"/>
      <c r="D48" s="1437" t="s">
        <v>246</v>
      </c>
      <c r="E48" s="1437"/>
      <c r="F48" s="1437"/>
      <c r="G48" s="1437"/>
      <c r="H48" s="1437"/>
      <c r="I48" s="1437"/>
      <c r="J48" s="1437"/>
      <c r="K48" s="1437"/>
      <c r="L48" s="1437"/>
      <c r="M48" s="1437"/>
      <c r="N48" s="1437"/>
      <c r="O48" s="1437"/>
      <c r="P48" s="1437"/>
      <c r="Q48" s="1437"/>
      <c r="R48" s="1437"/>
      <c r="S48" s="1437"/>
      <c r="T48" s="1437"/>
      <c r="U48" s="1437"/>
      <c r="V48" s="1437"/>
      <c r="W48" s="1437"/>
      <c r="X48" s="1437"/>
      <c r="Y48" s="1437"/>
      <c r="Z48" s="1437"/>
      <c r="AA48" s="1437"/>
      <c r="AB48" s="1437"/>
      <c r="AC48" s="1441" t="s">
        <v>247</v>
      </c>
      <c r="AD48" s="1442"/>
      <c r="AE48" s="1442"/>
      <c r="AF48" s="1442"/>
      <c r="AG48" s="1442"/>
      <c r="AH48" s="1442"/>
      <c r="AI48" s="1442"/>
      <c r="AJ48" s="1442"/>
      <c r="AK48" s="1442"/>
      <c r="AL48" s="1442"/>
      <c r="AM48" s="1442"/>
      <c r="AN48" s="1443"/>
    </row>
    <row r="49" spans="2:40" x14ac:dyDescent="0.35">
      <c r="B49" s="1419"/>
      <c r="C49" s="1420"/>
      <c r="D49" s="249">
        <v>2018</v>
      </c>
      <c r="E49" s="1403">
        <v>2019</v>
      </c>
      <c r="F49" s="1413"/>
      <c r="G49" s="1413"/>
      <c r="H49" s="1405"/>
      <c r="I49" s="1403">
        <v>2020</v>
      </c>
      <c r="J49" s="1413"/>
      <c r="K49" s="1413"/>
      <c r="L49" s="1413"/>
      <c r="M49" s="1403">
        <v>2021</v>
      </c>
      <c r="N49" s="1413"/>
      <c r="O49" s="1413"/>
      <c r="P49" s="1413"/>
      <c r="Q49" s="1403">
        <v>2022</v>
      </c>
      <c r="R49" s="1404"/>
      <c r="S49" s="1404"/>
      <c r="T49" s="1405"/>
      <c r="U49" s="277"/>
      <c r="V49" s="282">
        <v>2023</v>
      </c>
      <c r="W49" s="282"/>
      <c r="X49" s="279"/>
      <c r="Y49" s="283"/>
      <c r="Z49" s="282">
        <v>2024</v>
      </c>
      <c r="AA49" s="282"/>
      <c r="AB49" s="279"/>
      <c r="AC49" s="1410">
        <v>2025</v>
      </c>
      <c r="AD49" s="1411"/>
      <c r="AE49" s="1411"/>
      <c r="AF49" s="1412"/>
      <c r="AG49" s="1410">
        <v>2026</v>
      </c>
      <c r="AH49" s="1411"/>
      <c r="AI49" s="1411"/>
      <c r="AJ49" s="1412"/>
      <c r="AK49" s="1410">
        <v>2027</v>
      </c>
      <c r="AL49" s="1411"/>
      <c r="AM49" s="1411"/>
      <c r="AN49" s="1412"/>
    </row>
    <row r="50" spans="2:40" x14ac:dyDescent="0.35">
      <c r="B50" s="1421"/>
      <c r="C50" s="1422"/>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93" t="s">
        <v>1931</v>
      </c>
      <c r="D51" s="378"/>
      <c r="E51" s="422"/>
      <c r="F51" s="422"/>
      <c r="G51" s="422"/>
      <c r="H51" s="422"/>
      <c r="I51" s="703">
        <f>(I52-AVERAGE($E52:$H52))</f>
        <v>6.9950000000000045</v>
      </c>
      <c r="J51" s="703">
        <f t="shared" ref="J51:N51" si="28">(J52-AVERAGE($E52:$H52))</f>
        <v>51.122999999999998</v>
      </c>
      <c r="K51" s="703">
        <f t="shared" si="28"/>
        <v>51.055</v>
      </c>
      <c r="L51" s="703">
        <f t="shared" si="28"/>
        <v>51.762999999999998</v>
      </c>
      <c r="M51" s="703">
        <f t="shared" si="28"/>
        <v>91.453000000000003</v>
      </c>
      <c r="N51" s="703">
        <f t="shared" si="28"/>
        <v>101.11800000000002</v>
      </c>
      <c r="O51" s="703">
        <f t="shared" ref="O51:U51" si="29">(O52-AVERAGE($E52:$H52))</f>
        <v>93.417000000000002</v>
      </c>
      <c r="P51" s="703">
        <f t="shared" si="29"/>
        <v>99.84</v>
      </c>
      <c r="Q51" s="703">
        <f t="shared" si="29"/>
        <v>77.435000000000002</v>
      </c>
      <c r="R51" s="703">
        <f t="shared" si="29"/>
        <v>74.290999999999997</v>
      </c>
      <c r="S51" s="704">
        <f t="shared" si="29"/>
        <v>69.937000000000012</v>
      </c>
      <c r="T51" s="878">
        <f t="shared" si="29"/>
        <v>91.18</v>
      </c>
      <c r="U51" s="704">
        <f t="shared" si="29"/>
        <v>84.404000000000025</v>
      </c>
      <c r="V51" s="704">
        <f t="shared" ref="V51:AD51" si="30">(V52-AVERAGE($E52:$H52))</f>
        <v>52.51</v>
      </c>
      <c r="W51" s="704">
        <f t="shared" si="30"/>
        <v>50.475000000000001</v>
      </c>
      <c r="X51" s="704">
        <f t="shared" si="30"/>
        <v>38.360999999999997</v>
      </c>
      <c r="Y51" s="704">
        <f t="shared" si="30"/>
        <v>37.854999999999997</v>
      </c>
      <c r="Z51" s="704">
        <f t="shared" si="30"/>
        <v>42.399000000000008</v>
      </c>
      <c r="AA51" s="704">
        <f t="shared" si="30"/>
        <v>47.041000000000004</v>
      </c>
      <c r="AB51" s="704">
        <f t="shared" si="30"/>
        <v>43.420000000000009</v>
      </c>
      <c r="AC51" s="704">
        <f t="shared" si="30"/>
        <v>41.592000000000006</v>
      </c>
      <c r="AD51" s="704">
        <f t="shared" si="30"/>
        <v>41.488000000000007</v>
      </c>
      <c r="AE51" s="880">
        <f t="shared" ref="AE51:AF51" si="31">AD51+AE53</f>
        <v>41.488000000000007</v>
      </c>
      <c r="AF51" s="880">
        <f t="shared" si="31"/>
        <v>33.527000000000008</v>
      </c>
      <c r="AG51" s="880">
        <f t="shared" ref="AG51:AM51" si="32">AF51+AG53</f>
        <v>33.527000000000008</v>
      </c>
      <c r="AH51" s="880">
        <f t="shared" si="32"/>
        <v>33.527000000000008</v>
      </c>
      <c r="AI51" s="880">
        <f t="shared" si="32"/>
        <v>33.527000000000008</v>
      </c>
      <c r="AJ51" s="880">
        <f t="shared" si="32"/>
        <v>25.372000000000007</v>
      </c>
      <c r="AK51" s="880">
        <f t="shared" si="32"/>
        <v>25.372000000000007</v>
      </c>
      <c r="AL51" s="880">
        <f t="shared" si="32"/>
        <v>25.372000000000007</v>
      </c>
      <c r="AM51" s="880">
        <f t="shared" si="32"/>
        <v>25.372000000000007</v>
      </c>
      <c r="AN51" s="880">
        <f>AM51+AN53</f>
        <v>3.7270000000000074</v>
      </c>
    </row>
    <row r="52" spans="2:40" x14ac:dyDescent="0.35">
      <c r="B52" s="693" t="s">
        <v>1926</v>
      </c>
      <c r="C52" s="268" t="s">
        <v>444</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23" t="s">
        <v>1930</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76">
        <v>-7.9610000000000003</v>
      </c>
      <c r="AG53" s="876">
        <v>0</v>
      </c>
      <c r="AH53" s="876">
        <v>0</v>
      </c>
      <c r="AI53" s="876">
        <v>0</v>
      </c>
      <c r="AJ53" s="876">
        <v>-8.1549999999999994</v>
      </c>
      <c r="AK53" s="876">
        <v>0</v>
      </c>
      <c r="AL53" s="876">
        <v>0</v>
      </c>
      <c r="AM53" s="876">
        <v>0</v>
      </c>
      <c r="AN53" s="876">
        <v>-21.645</v>
      </c>
    </row>
    <row r="54" spans="2:40" ht="29.15" customHeight="1" x14ac:dyDescent="0.35">
      <c r="B54" s="692" t="s">
        <v>445</v>
      </c>
      <c r="C54" s="468"/>
      <c r="D54" s="852"/>
      <c r="E54" s="690"/>
      <c r="F54" s="690"/>
      <c r="G54" s="690"/>
      <c r="H54" s="690"/>
      <c r="I54" s="690"/>
      <c r="J54" s="690">
        <f t="shared" ref="J54:W54" si="33">J52-$H52</f>
        <v>51.543999999999997</v>
      </c>
      <c r="K54" s="690">
        <f t="shared" si="33"/>
        <v>51.475999999999999</v>
      </c>
      <c r="L54" s="690">
        <f t="shared" si="33"/>
        <v>52.183999999999997</v>
      </c>
      <c r="M54" s="690">
        <f t="shared" si="33"/>
        <v>91.873999999999995</v>
      </c>
      <c r="N54" s="690">
        <f>N52-$H52</f>
        <v>101.53900000000002</v>
      </c>
      <c r="O54" s="690">
        <f>O52-$H52</f>
        <v>93.837999999999994</v>
      </c>
      <c r="P54" s="690">
        <f t="shared" si="33"/>
        <v>100.261</v>
      </c>
      <c r="Q54" s="690">
        <f t="shared" si="33"/>
        <v>77.855999999999995</v>
      </c>
      <c r="R54" s="690">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27"/>
      <c r="AF54" s="827"/>
      <c r="AG54" s="827"/>
      <c r="AH54" s="827"/>
      <c r="AI54" s="827"/>
      <c r="AJ54" s="827"/>
      <c r="AK54" s="827"/>
      <c r="AL54" s="827"/>
      <c r="AM54" s="827"/>
      <c r="AN54" s="827"/>
    </row>
    <row r="55" spans="2:40" ht="29.15" customHeight="1" x14ac:dyDescent="0.35">
      <c r="B55" s="268"/>
      <c r="C55" s="268"/>
      <c r="D55" s="265"/>
      <c r="E55" s="265"/>
      <c r="F55" s="265"/>
      <c r="G55" s="265"/>
      <c r="H55" s="265"/>
      <c r="I55" s="265"/>
      <c r="J55" s="265"/>
      <c r="K55" s="265"/>
      <c r="L55" s="265"/>
      <c r="M55" s="265"/>
      <c r="N55" s="265"/>
      <c r="O55" s="265"/>
      <c r="P55" s="265"/>
      <c r="Q55" s="265" t="s">
        <v>1929</v>
      </c>
      <c r="R55" s="265"/>
      <c r="S55" s="265"/>
      <c r="T55" s="265"/>
      <c r="U55" s="265" t="s">
        <v>1927</v>
      </c>
      <c r="V55" s="265"/>
      <c r="W55" s="265" t="s">
        <v>1928</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44" t="s">
        <v>331</v>
      </c>
    </row>
    <row r="60" spans="2:40" x14ac:dyDescent="0.35">
      <c r="B60" s="1504" t="s">
        <v>769</v>
      </c>
      <c r="C60" s="1505"/>
      <c r="D60" s="1437" t="s">
        <v>246</v>
      </c>
      <c r="E60" s="1437"/>
      <c r="F60" s="1437"/>
      <c r="G60" s="1437"/>
      <c r="H60" s="1437"/>
      <c r="I60" s="1437"/>
      <c r="J60" s="1437"/>
      <c r="K60" s="1437"/>
      <c r="L60" s="1437"/>
      <c r="M60" s="1437"/>
      <c r="N60" s="1437"/>
      <c r="O60" s="1437"/>
      <c r="P60" s="1437"/>
      <c r="Q60" s="1437"/>
      <c r="R60" s="1437"/>
      <c r="S60" s="1437"/>
      <c r="T60" s="1437"/>
      <c r="U60" s="1437"/>
      <c r="V60" s="1437"/>
      <c r="W60" s="1437"/>
      <c r="X60" s="1437"/>
      <c r="Y60" s="1437"/>
      <c r="Z60" s="1437"/>
      <c r="AA60" s="1437"/>
      <c r="AB60" s="1437"/>
      <c r="AC60" s="1441" t="s">
        <v>247</v>
      </c>
      <c r="AD60" s="1442"/>
      <c r="AE60" s="1442"/>
      <c r="AF60" s="1442"/>
      <c r="AG60" s="1442"/>
      <c r="AH60" s="1442"/>
      <c r="AI60" s="1442"/>
      <c r="AJ60" s="1442"/>
      <c r="AK60" s="1442"/>
      <c r="AL60" s="1442"/>
      <c r="AM60" s="1442"/>
      <c r="AN60" s="1443"/>
    </row>
    <row r="61" spans="2:40" x14ac:dyDescent="0.35">
      <c r="B61" s="1506"/>
      <c r="C61" s="1507"/>
      <c r="D61" s="249">
        <v>2018</v>
      </c>
      <c r="E61" s="1403">
        <v>2019</v>
      </c>
      <c r="F61" s="1413"/>
      <c r="G61" s="1413"/>
      <c r="H61" s="1405"/>
      <c r="I61" s="1403">
        <v>2020</v>
      </c>
      <c r="J61" s="1413"/>
      <c r="K61" s="1413"/>
      <c r="L61" s="1413"/>
      <c r="M61" s="1403">
        <v>2021</v>
      </c>
      <c r="N61" s="1413"/>
      <c r="O61" s="1413"/>
      <c r="P61" s="1413"/>
      <c r="Q61" s="1403">
        <v>2022</v>
      </c>
      <c r="R61" s="1404"/>
      <c r="S61" s="1404"/>
      <c r="T61" s="1405"/>
      <c r="U61" s="277"/>
      <c r="V61" s="282">
        <v>2023</v>
      </c>
      <c r="W61" s="282"/>
      <c r="X61" s="279"/>
      <c r="Y61" s="283"/>
      <c r="Z61" s="282">
        <v>2024</v>
      </c>
      <c r="AA61" s="277"/>
      <c r="AB61" s="279"/>
      <c r="AC61" s="1410">
        <v>2025</v>
      </c>
      <c r="AD61" s="1411"/>
      <c r="AE61" s="1411"/>
      <c r="AF61" s="1412"/>
      <c r="AG61" s="1410">
        <v>2026</v>
      </c>
      <c r="AH61" s="1411"/>
      <c r="AI61" s="1411"/>
      <c r="AJ61" s="1412"/>
      <c r="AK61" s="1410">
        <v>2027</v>
      </c>
      <c r="AL61" s="1411"/>
      <c r="AM61" s="1411"/>
      <c r="AN61" s="1412"/>
    </row>
    <row r="62" spans="2:40" x14ac:dyDescent="0.35">
      <c r="B62" s="1506"/>
      <c r="C62" s="1507"/>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36" t="s">
        <v>432</v>
      </c>
      <c r="C63" s="877" t="s">
        <v>433</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79">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58"/>
      <c r="AF63" s="858"/>
      <c r="AG63" s="353"/>
      <c r="AH63" s="353"/>
      <c r="AI63" s="353"/>
      <c r="AJ63" s="353"/>
      <c r="AK63" s="353"/>
      <c r="AL63" s="353"/>
      <c r="AM63" s="353"/>
      <c r="AN63" s="353"/>
    </row>
    <row r="64" spans="2:40" ht="37" customHeight="1" x14ac:dyDescent="0.35">
      <c r="B64" s="606" t="s">
        <v>1796</v>
      </c>
      <c r="C64" s="268"/>
      <c r="D64" s="851">
        <f t="shared" ref="D64:AD64" si="39">D65+D66</f>
        <v>1795.961</v>
      </c>
      <c r="E64" s="580">
        <f t="shared" si="39"/>
        <v>833.1</v>
      </c>
      <c r="F64" s="580">
        <f t="shared" si="39"/>
        <v>845.8</v>
      </c>
      <c r="G64" s="580">
        <f t="shared" si="39"/>
        <v>854.4</v>
      </c>
      <c r="H64" s="580">
        <f t="shared" si="39"/>
        <v>858.7</v>
      </c>
      <c r="I64" s="580">
        <f t="shared" si="39"/>
        <v>881.29500000000007</v>
      </c>
      <c r="J64" s="580">
        <f t="shared" si="39"/>
        <v>3148.123</v>
      </c>
      <c r="K64" s="580">
        <f t="shared" si="39"/>
        <v>1872.855</v>
      </c>
      <c r="L64" s="580">
        <f t="shared" si="39"/>
        <v>1315.963</v>
      </c>
      <c r="M64" s="580">
        <f t="shared" si="39"/>
        <v>3544.5529999999999</v>
      </c>
      <c r="N64" s="580">
        <f t="shared" si="39"/>
        <v>1817.7398400000002</v>
      </c>
      <c r="O64" s="580">
        <f t="shared" si="39"/>
        <v>1533.8204933333329</v>
      </c>
      <c r="P64" s="580">
        <f t="shared" si="39"/>
        <v>1382.949333333333</v>
      </c>
      <c r="Q64" s="580">
        <f t="shared" si="39"/>
        <v>1219.211</v>
      </c>
      <c r="R64" s="580">
        <f t="shared" si="39"/>
        <v>1215.867</v>
      </c>
      <c r="S64" s="838">
        <f t="shared" si="39"/>
        <v>1212.3910000000001</v>
      </c>
      <c r="T64" s="838">
        <f t="shared" si="39"/>
        <v>1237.4859999999999</v>
      </c>
      <c r="U64" s="838">
        <f t="shared" si="39"/>
        <v>1176.81</v>
      </c>
      <c r="V64" s="838">
        <f t="shared" si="39"/>
        <v>1168.873142857143</v>
      </c>
      <c r="W64" s="838">
        <f t="shared" si="39"/>
        <v>1187.0381428571429</v>
      </c>
      <c r="X64" s="838">
        <f t="shared" si="39"/>
        <v>1182.6009999999999</v>
      </c>
      <c r="Y64" s="838">
        <f t="shared" si="39"/>
        <v>1197.5949999999998</v>
      </c>
      <c r="Z64" s="838">
        <f t="shared" si="39"/>
        <v>1221.8389999999999</v>
      </c>
      <c r="AA64" s="838">
        <f t="shared" si="39"/>
        <v>1251.0810000000001</v>
      </c>
      <c r="AB64" s="838">
        <f t="shared" si="39"/>
        <v>1275.989</v>
      </c>
      <c r="AC64" s="838">
        <f t="shared" si="39"/>
        <v>1306.2609999999997</v>
      </c>
      <c r="AD64" s="838">
        <f t="shared" si="39"/>
        <v>1339.7570000000001</v>
      </c>
      <c r="AE64" s="828"/>
      <c r="AF64" s="828"/>
      <c r="AG64" s="353"/>
      <c r="AH64" s="353"/>
      <c r="AI64" s="353"/>
      <c r="AJ64" s="353"/>
      <c r="AK64" s="353"/>
      <c r="AL64" s="353"/>
      <c r="AM64" s="353"/>
      <c r="AN64" s="353"/>
    </row>
    <row r="65" spans="2:40" ht="25.75" customHeight="1" x14ac:dyDescent="0.35">
      <c r="B65" s="529" t="s">
        <v>1794</v>
      </c>
      <c r="C65" s="268"/>
      <c r="D65" s="851">
        <f t="shared" ref="D65:AD65" si="40">D14+D17+D27</f>
        <v>812.1</v>
      </c>
      <c r="E65" s="851">
        <f t="shared" si="40"/>
        <v>833.1</v>
      </c>
      <c r="F65" s="580">
        <f t="shared" si="40"/>
        <v>845.8</v>
      </c>
      <c r="G65" s="580">
        <f t="shared" si="40"/>
        <v>854.4</v>
      </c>
      <c r="H65" s="580">
        <f t="shared" si="40"/>
        <v>858.7</v>
      </c>
      <c r="I65" s="580">
        <f t="shared" si="40"/>
        <v>874.30000000000007</v>
      </c>
      <c r="J65" s="580">
        <f t="shared" si="40"/>
        <v>1800.8</v>
      </c>
      <c r="K65" s="580">
        <f t="shared" si="40"/>
        <v>1666.6000000000001</v>
      </c>
      <c r="L65" s="580">
        <f t="shared" si="40"/>
        <v>1200.3</v>
      </c>
      <c r="M65" s="580">
        <f t="shared" si="40"/>
        <v>1486.3000000000002</v>
      </c>
      <c r="N65" s="580">
        <f t="shared" si="40"/>
        <v>1350.8000000000002</v>
      </c>
      <c r="O65" s="580">
        <f t="shared" si="40"/>
        <v>1315.9333333333329</v>
      </c>
      <c r="P65" s="580">
        <f t="shared" si="40"/>
        <v>1162.633333333333</v>
      </c>
      <c r="Q65" s="580">
        <f t="shared" si="40"/>
        <v>1042.4000000000001</v>
      </c>
      <c r="R65" s="580">
        <f t="shared" si="40"/>
        <v>1049.0999999999999</v>
      </c>
      <c r="S65" s="838">
        <f t="shared" si="40"/>
        <v>1062.5</v>
      </c>
      <c r="T65" s="838">
        <f t="shared" si="40"/>
        <v>1088.0999999999999</v>
      </c>
      <c r="U65" s="838">
        <f t="shared" si="40"/>
        <v>1057.0999999999999</v>
      </c>
      <c r="V65" s="838">
        <f t="shared" si="40"/>
        <v>1081.0571428571429</v>
      </c>
      <c r="W65" s="838">
        <f t="shared" si="40"/>
        <v>1101.257142857143</v>
      </c>
      <c r="X65" s="838">
        <f t="shared" si="40"/>
        <v>1123.0999999999999</v>
      </c>
      <c r="Y65" s="838">
        <f t="shared" si="40"/>
        <v>1138.5999999999999</v>
      </c>
      <c r="Z65" s="838">
        <f t="shared" si="40"/>
        <v>1158.3</v>
      </c>
      <c r="AA65" s="838">
        <f t="shared" si="40"/>
        <v>1182.9000000000001</v>
      </c>
      <c r="AB65" s="838">
        <f t="shared" si="40"/>
        <v>1211.5999999999999</v>
      </c>
      <c r="AC65" s="838">
        <f t="shared" si="40"/>
        <v>1243.6999999999998</v>
      </c>
      <c r="AD65" s="838">
        <f t="shared" si="40"/>
        <v>1277.3</v>
      </c>
      <c r="AE65" s="828"/>
      <c r="AF65" s="828"/>
      <c r="AG65" s="828"/>
      <c r="AH65" s="828"/>
      <c r="AI65" s="828"/>
      <c r="AJ65" s="828"/>
      <c r="AK65" s="828"/>
      <c r="AL65" s="828"/>
      <c r="AM65" s="828"/>
      <c r="AN65" s="828"/>
    </row>
    <row r="66" spans="2:40" ht="49.5" customHeight="1" x14ac:dyDescent="0.35">
      <c r="B66" s="529" t="s">
        <v>1934</v>
      </c>
      <c r="C66" s="268"/>
      <c r="D66" s="580">
        <f>D18+D21+D24+D25+D26+D28+D31+D72</f>
        <v>983.86099999999999</v>
      </c>
      <c r="E66" s="580">
        <f t="shared" ref="E66:AN66" si="41">E18+E21+E24+E25+E26+E28+E31</f>
        <v>0</v>
      </c>
      <c r="F66" s="580">
        <f t="shared" si="41"/>
        <v>0</v>
      </c>
      <c r="G66" s="580">
        <f t="shared" si="41"/>
        <v>0</v>
      </c>
      <c r="H66" s="580">
        <f t="shared" si="41"/>
        <v>0</v>
      </c>
      <c r="I66" s="580">
        <f t="shared" si="41"/>
        <v>6.9950000000000045</v>
      </c>
      <c r="J66" s="580">
        <f t="shared" si="41"/>
        <v>1347.3230000000001</v>
      </c>
      <c r="K66" s="580">
        <f t="shared" si="41"/>
        <v>206.255</v>
      </c>
      <c r="L66" s="580">
        <f t="shared" si="41"/>
        <v>115.66300000000001</v>
      </c>
      <c r="M66" s="580">
        <f t="shared" si="41"/>
        <v>2058.2529999999997</v>
      </c>
      <c r="N66" s="580">
        <f t="shared" si="41"/>
        <v>466.93984000000012</v>
      </c>
      <c r="O66" s="580">
        <f t="shared" si="41"/>
        <v>217.88716000000008</v>
      </c>
      <c r="P66" s="580">
        <f t="shared" si="41"/>
        <v>220.316</v>
      </c>
      <c r="Q66" s="580">
        <f t="shared" si="41"/>
        <v>176.81100000000001</v>
      </c>
      <c r="R66" s="580">
        <f t="shared" si="41"/>
        <v>166.767</v>
      </c>
      <c r="S66" s="580">
        <f t="shared" si="41"/>
        <v>149.89100000000002</v>
      </c>
      <c r="T66" s="580">
        <f t="shared" si="41"/>
        <v>149.38600000000002</v>
      </c>
      <c r="U66" s="580">
        <f t="shared" si="41"/>
        <v>119.71000000000002</v>
      </c>
      <c r="V66" s="580">
        <f t="shared" si="41"/>
        <v>87.816000000000003</v>
      </c>
      <c r="W66" s="580">
        <f t="shared" si="41"/>
        <v>85.781000000000006</v>
      </c>
      <c r="X66" s="828">
        <f t="shared" si="41"/>
        <v>59.500999999999998</v>
      </c>
      <c r="Y66" s="828">
        <f t="shared" si="41"/>
        <v>58.994999999999997</v>
      </c>
      <c r="Z66" s="828">
        <f t="shared" si="41"/>
        <v>63.539000000000009</v>
      </c>
      <c r="AA66" s="828">
        <f t="shared" si="41"/>
        <v>68.181000000000012</v>
      </c>
      <c r="AB66" s="828">
        <f t="shared" si="41"/>
        <v>64.38900000000001</v>
      </c>
      <c r="AC66" s="828">
        <f t="shared" si="41"/>
        <v>62.561000000000007</v>
      </c>
      <c r="AD66" s="828">
        <f t="shared" si="41"/>
        <v>62.457000000000008</v>
      </c>
      <c r="AE66" s="828">
        <f t="shared" si="41"/>
        <v>62.457000000000008</v>
      </c>
      <c r="AF66" s="828">
        <f t="shared" si="41"/>
        <v>36.416000000000011</v>
      </c>
      <c r="AG66" s="828">
        <f t="shared" si="41"/>
        <v>34.25500000000001</v>
      </c>
      <c r="AH66" s="828">
        <f t="shared" si="41"/>
        <v>33.527000000000008</v>
      </c>
      <c r="AI66" s="828">
        <f t="shared" si="41"/>
        <v>33.527000000000008</v>
      </c>
      <c r="AJ66" s="828">
        <f t="shared" si="41"/>
        <v>25.372000000000007</v>
      </c>
      <c r="AK66" s="828">
        <f t="shared" si="41"/>
        <v>25.372000000000007</v>
      </c>
      <c r="AL66" s="828">
        <f t="shared" si="41"/>
        <v>25.372000000000007</v>
      </c>
      <c r="AM66" s="828">
        <f t="shared" si="41"/>
        <v>25.372000000000007</v>
      </c>
      <c r="AN66" s="828">
        <f t="shared" si="41"/>
        <v>3.7270000000000074</v>
      </c>
    </row>
    <row r="67" spans="2:40" ht="25.75" customHeight="1" x14ac:dyDescent="0.35">
      <c r="B67" s="606" t="s">
        <v>766</v>
      </c>
      <c r="C67" s="268"/>
      <c r="D67" s="838">
        <f t="shared" ref="D67:AD67" si="42">D63-D64</f>
        <v>427.03899999999999</v>
      </c>
      <c r="E67" s="838">
        <f t="shared" si="42"/>
        <v>1470.7000000000003</v>
      </c>
      <c r="F67" s="838">
        <f t="shared" si="42"/>
        <v>1475.8999999999999</v>
      </c>
      <c r="G67" s="838">
        <f t="shared" si="42"/>
        <v>1482.6999999999998</v>
      </c>
      <c r="H67" s="838">
        <f t="shared" si="42"/>
        <v>1490.8</v>
      </c>
      <c r="I67" s="838">
        <f t="shared" si="42"/>
        <v>1535.7049999999999</v>
      </c>
      <c r="J67" s="838">
        <f t="shared" si="42"/>
        <v>1511.0769999999998</v>
      </c>
      <c r="K67" s="838">
        <f t="shared" si="42"/>
        <v>1641.3449999999998</v>
      </c>
      <c r="L67" s="838">
        <f t="shared" si="42"/>
        <v>1580.7369999999999</v>
      </c>
      <c r="M67" s="838">
        <f t="shared" si="42"/>
        <v>1608.2470000000003</v>
      </c>
      <c r="N67" s="838">
        <f t="shared" si="42"/>
        <v>1585.3601599999997</v>
      </c>
      <c r="O67" s="838">
        <f t="shared" si="42"/>
        <v>1588.0795066666672</v>
      </c>
      <c r="P67" s="838">
        <f t="shared" si="42"/>
        <v>1575.3506666666672</v>
      </c>
      <c r="Q67" s="838">
        <f t="shared" si="42"/>
        <v>1759.1890000000001</v>
      </c>
      <c r="R67" s="838">
        <f t="shared" si="42"/>
        <v>1767.4330000000002</v>
      </c>
      <c r="S67" s="838">
        <f t="shared" si="42"/>
        <v>1764.509</v>
      </c>
      <c r="T67" s="838">
        <f t="shared" si="42"/>
        <v>1795.7139999999999</v>
      </c>
      <c r="U67" s="838">
        <f t="shared" si="42"/>
        <v>1878.4900000000002</v>
      </c>
      <c r="V67" s="838">
        <f t="shared" si="42"/>
        <v>1898.0268571428571</v>
      </c>
      <c r="W67" s="838">
        <f t="shared" si="42"/>
        <v>1910.061857142857</v>
      </c>
      <c r="X67" s="838">
        <f t="shared" si="42"/>
        <v>1937.1990000000003</v>
      </c>
      <c r="Y67" s="838">
        <f t="shared" si="42"/>
        <v>2044.605</v>
      </c>
      <c r="Z67" s="838">
        <f t="shared" si="42"/>
        <v>2069.1610000000001</v>
      </c>
      <c r="AA67" s="838">
        <f t="shared" si="42"/>
        <v>2084.819</v>
      </c>
      <c r="AB67" s="838">
        <f t="shared" si="42"/>
        <v>2117.7109999999998</v>
      </c>
      <c r="AC67" s="838">
        <f t="shared" si="42"/>
        <v>2220.2390000000005</v>
      </c>
      <c r="AD67" s="838">
        <f t="shared" si="42"/>
        <v>2317.2429999999999</v>
      </c>
      <c r="AE67" s="828"/>
      <c r="AF67" s="828"/>
      <c r="AG67" s="353"/>
      <c r="AH67" s="353"/>
      <c r="AI67" s="353"/>
      <c r="AJ67" s="353"/>
      <c r="AK67" s="353"/>
      <c r="AL67" s="353"/>
      <c r="AM67" s="353"/>
      <c r="AN67" s="353"/>
    </row>
    <row r="68" spans="2:40" ht="20.5" customHeight="1" x14ac:dyDescent="0.35">
      <c r="B68" s="864" t="s">
        <v>767</v>
      </c>
      <c r="C68" s="865"/>
      <c r="D68" s="869">
        <f>D12-D14-D17-D27-D72</f>
        <v>427.0390000000001</v>
      </c>
      <c r="E68" s="860">
        <f>E12-E14-E17-E27</f>
        <v>1470.7000000000003</v>
      </c>
      <c r="F68" s="860">
        <f>F12-F14-F17-F27</f>
        <v>1475.8999999999996</v>
      </c>
      <c r="G68" s="860">
        <f>G12-G14-G17-G27</f>
        <v>1482.6999999999998</v>
      </c>
      <c r="H68" s="860">
        <f>H12-H14-H17-H27</f>
        <v>1490.8000000000002</v>
      </c>
      <c r="I68" s="860">
        <f>I12-I14-I17-I27</f>
        <v>1542.7000000000003</v>
      </c>
      <c r="J68" s="870">
        <f>I68+($H$68-$E$68)/3</f>
        <v>1549.4000000000003</v>
      </c>
      <c r="K68" s="870">
        <f>J68+($H$68-$E$68)/3</f>
        <v>1556.1000000000004</v>
      </c>
      <c r="L68" s="870">
        <f>K68+($H$68-$E$68)/3</f>
        <v>1562.8000000000004</v>
      </c>
      <c r="M68" s="871">
        <f>L68+($H$68-$E$68)/3 +(M72-L72)</f>
        <v>1587.4940000000006</v>
      </c>
      <c r="N68" s="870">
        <f>M68+($H$68-$E$68)/3</f>
        <v>1594.1940000000006</v>
      </c>
      <c r="O68" s="870">
        <f>N68+($H$68-$E$68)/3</f>
        <v>1600.8940000000007</v>
      </c>
      <c r="P68" s="870">
        <f>O68+($H$68-$E$68)/3</f>
        <v>1607.5940000000007</v>
      </c>
      <c r="Q68" s="871">
        <f>P68+($H$68-$E$68)/3 + 0.06*Q72</f>
        <v>1686.2449200000008</v>
      </c>
      <c r="R68" s="870">
        <f>Q68+($H$68-$E$68)/3</f>
        <v>1692.9449200000008</v>
      </c>
      <c r="S68" s="870">
        <f>R68+($H$68-$E$68)/3</f>
        <v>1699.6449200000009</v>
      </c>
      <c r="T68" s="870">
        <f>S68+($H$68-$E$68)/3</f>
        <v>1706.3449200000009</v>
      </c>
      <c r="U68" s="870">
        <f t="shared" ref="U68:AN68" si="43">T68+U69</f>
        <v>1819.6880410000008</v>
      </c>
      <c r="V68" s="870">
        <f t="shared" si="43"/>
        <v>1826.3880410000008</v>
      </c>
      <c r="W68" s="860">
        <f t="shared" si="43"/>
        <v>1833.0880410000009</v>
      </c>
      <c r="X68" s="866">
        <f t="shared" si="43"/>
        <v>1839.7880410000009</v>
      </c>
      <c r="Y68" s="866">
        <f t="shared" si="43"/>
        <v>1892.170057000001</v>
      </c>
      <c r="Z68" s="866">
        <f t="shared" si="43"/>
        <v>1898.870057000001</v>
      </c>
      <c r="AA68" s="866">
        <f t="shared" si="43"/>
        <v>1905.570057000001</v>
      </c>
      <c r="AB68" s="866">
        <f t="shared" si="43"/>
        <v>1912.2700570000011</v>
      </c>
      <c r="AC68" s="866">
        <f>AB68+AC69</f>
        <v>1957.2161320000012</v>
      </c>
      <c r="AD68" s="866">
        <f>AC68+AD69</f>
        <v>1963.9161320000012</v>
      </c>
      <c r="AE68" s="866">
        <f>AD68+AE69</f>
        <v>1970.6161320000012</v>
      </c>
      <c r="AF68" s="866">
        <f t="shared" si="43"/>
        <v>1977.3161320000013</v>
      </c>
      <c r="AG68" s="866">
        <f t="shared" si="43"/>
        <v>2022.8192711380013</v>
      </c>
      <c r="AH68" s="866">
        <f t="shared" si="43"/>
        <v>2029.5192711380014</v>
      </c>
      <c r="AI68" s="866">
        <f t="shared" si="43"/>
        <v>2036.2192711380014</v>
      </c>
      <c r="AJ68" s="866">
        <f t="shared" si="43"/>
        <v>2042.9192711380015</v>
      </c>
      <c r="AK68" s="866">
        <f t="shared" si="43"/>
        <v>2090.7427454761755</v>
      </c>
      <c r="AL68" s="866">
        <f t="shared" si="43"/>
        <v>2097.4427454761753</v>
      </c>
      <c r="AM68" s="866">
        <f t="shared" si="43"/>
        <v>2104.1427454761752</v>
      </c>
      <c r="AN68" s="866">
        <f t="shared" si="43"/>
        <v>2110.842745476175</v>
      </c>
    </row>
    <row r="69" spans="2:40" ht="20.5" customHeight="1" x14ac:dyDescent="0.35">
      <c r="B69" s="867" t="s">
        <v>1756</v>
      </c>
      <c r="C69" s="268"/>
      <c r="D69" s="851"/>
      <c r="E69" s="580"/>
      <c r="F69" s="580"/>
      <c r="G69" s="580"/>
      <c r="H69" s="580"/>
      <c r="I69" s="580"/>
      <c r="J69" s="862"/>
      <c r="K69" s="862"/>
      <c r="L69" s="862"/>
      <c r="M69" s="872"/>
      <c r="N69" s="862"/>
      <c r="O69" s="862"/>
      <c r="P69" s="862"/>
      <c r="Q69" s="872"/>
      <c r="R69" s="862"/>
      <c r="S69" s="862"/>
      <c r="T69" s="862"/>
      <c r="U69" s="862">
        <f>U70+U71</f>
        <v>113.34312099999995</v>
      </c>
      <c r="V69" s="862">
        <f>V70+V71</f>
        <v>6.69999999999997</v>
      </c>
      <c r="W69" s="862">
        <f>W70+W71</f>
        <v>6.69999999999997</v>
      </c>
      <c r="X69" s="828">
        <f t="shared" ref="X69:AN69" si="44">X70+X75*X72</f>
        <v>6.69999999999997</v>
      </c>
      <c r="Y69" s="828">
        <f t="shared" si="44"/>
        <v>52.382015999999972</v>
      </c>
      <c r="Z69" s="828">
        <f t="shared" si="44"/>
        <v>6.69999999999997</v>
      </c>
      <c r="AA69" s="828">
        <f t="shared" si="44"/>
        <v>6.69999999999997</v>
      </c>
      <c r="AB69" s="828">
        <f t="shared" si="44"/>
        <v>6.69999999999997</v>
      </c>
      <c r="AC69" s="828">
        <f t="shared" si="44"/>
        <v>44.946074999999972</v>
      </c>
      <c r="AD69" s="828">
        <f t="shared" si="44"/>
        <v>6.69999999999997</v>
      </c>
      <c r="AE69" s="828">
        <f t="shared" si="44"/>
        <v>6.69999999999997</v>
      </c>
      <c r="AF69" s="828">
        <f t="shared" si="44"/>
        <v>6.69999999999997</v>
      </c>
      <c r="AG69" s="828">
        <f t="shared" si="44"/>
        <v>45.503139137999966</v>
      </c>
      <c r="AH69" s="828">
        <f t="shared" si="44"/>
        <v>6.69999999999997</v>
      </c>
      <c r="AI69" s="828">
        <f t="shared" si="44"/>
        <v>6.69999999999997</v>
      </c>
      <c r="AJ69" s="828">
        <f t="shared" si="44"/>
        <v>6.69999999999997</v>
      </c>
      <c r="AK69" s="828">
        <f t="shared" si="44"/>
        <v>47.823474338173959</v>
      </c>
      <c r="AL69" s="828">
        <f t="shared" si="44"/>
        <v>6.69999999999997</v>
      </c>
      <c r="AM69" s="828">
        <f t="shared" si="44"/>
        <v>6.69999999999997</v>
      </c>
      <c r="AN69" s="828">
        <f t="shared" si="44"/>
        <v>6.69999999999997</v>
      </c>
    </row>
    <row r="70" spans="2:40" ht="28.4" customHeight="1" x14ac:dyDescent="0.35">
      <c r="B70" s="868" t="s">
        <v>1753</v>
      </c>
      <c r="C70" s="268"/>
      <c r="D70" s="851"/>
      <c r="E70" s="580"/>
      <c r="F70" s="580"/>
      <c r="G70" s="580"/>
      <c r="H70" s="580"/>
      <c r="I70" s="580"/>
      <c r="J70" s="862"/>
      <c r="K70" s="862"/>
      <c r="L70" s="862"/>
      <c r="M70" s="872"/>
      <c r="N70" s="862"/>
      <c r="O70" s="862"/>
      <c r="P70" s="862"/>
      <c r="Q70" s="872"/>
      <c r="R70" s="862"/>
      <c r="S70" s="862"/>
      <c r="T70" s="862"/>
      <c r="U70" s="862">
        <f>($H$68-$E$68)/3</f>
        <v>6.69999999999997</v>
      </c>
      <c r="V70" s="862">
        <f>($H$68-$E$68)/3</f>
        <v>6.69999999999997</v>
      </c>
      <c r="W70" s="862">
        <f>($H$68-$E$68)/3</f>
        <v>6.69999999999997</v>
      </c>
      <c r="X70" s="828">
        <f t="shared" ref="X70:AC70" si="45">W70</f>
        <v>6.69999999999997</v>
      </c>
      <c r="Y70" s="828">
        <f t="shared" si="45"/>
        <v>6.69999999999997</v>
      </c>
      <c r="Z70" s="828">
        <f t="shared" si="45"/>
        <v>6.69999999999997</v>
      </c>
      <c r="AA70" s="828">
        <f t="shared" si="45"/>
        <v>6.69999999999997</v>
      </c>
      <c r="AB70" s="828">
        <f t="shared" si="45"/>
        <v>6.69999999999997</v>
      </c>
      <c r="AC70" s="828">
        <f t="shared" si="45"/>
        <v>6.69999999999997</v>
      </c>
      <c r="AD70" s="828">
        <f t="shared" ref="AD70" si="46">AC70</f>
        <v>6.69999999999997</v>
      </c>
      <c r="AE70" s="828">
        <f t="shared" ref="AE70" si="47">AD70</f>
        <v>6.69999999999997</v>
      </c>
      <c r="AF70" s="828">
        <f>AE70</f>
        <v>6.69999999999997</v>
      </c>
      <c r="AG70" s="828">
        <f>AF70</f>
        <v>6.69999999999997</v>
      </c>
      <c r="AH70" s="828">
        <f>AG70</f>
        <v>6.69999999999997</v>
      </c>
      <c r="AI70" s="828">
        <f t="shared" ref="AI70:AJ70" si="48">AH70</f>
        <v>6.69999999999997</v>
      </c>
      <c r="AJ70" s="828">
        <f t="shared" si="48"/>
        <v>6.69999999999997</v>
      </c>
      <c r="AK70" s="828">
        <f t="shared" ref="AK70" si="49">AJ70</f>
        <v>6.69999999999997</v>
      </c>
      <c r="AL70" s="828">
        <f t="shared" ref="AL70" si="50">AK70</f>
        <v>6.69999999999997</v>
      </c>
      <c r="AM70" s="828">
        <f t="shared" ref="AM70" si="51">AL70</f>
        <v>6.69999999999997</v>
      </c>
      <c r="AN70" s="828">
        <f t="shared" ref="AN70" si="52">AM70</f>
        <v>6.69999999999997</v>
      </c>
    </row>
    <row r="71" spans="2:40" ht="30.65" customHeight="1" x14ac:dyDescent="0.35">
      <c r="B71" s="857" t="s">
        <v>1754</v>
      </c>
      <c r="C71" s="845"/>
      <c r="D71" s="846"/>
      <c r="E71" s="830"/>
      <c r="F71" s="830"/>
      <c r="G71" s="830"/>
      <c r="H71" s="830"/>
      <c r="I71" s="830"/>
      <c r="J71" s="847"/>
      <c r="K71" s="847"/>
      <c r="L71" s="847"/>
      <c r="M71" s="848"/>
      <c r="N71" s="847"/>
      <c r="O71" s="847"/>
      <c r="P71" s="847"/>
      <c r="Q71" s="848"/>
      <c r="R71" s="847"/>
      <c r="S71" s="847"/>
      <c r="T71" s="847"/>
      <c r="U71" s="847">
        <f t="shared" ref="U71:AN71" si="53">U75*T72</f>
        <v>106.64312099999998</v>
      </c>
      <c r="V71" s="847">
        <f t="shared" si="53"/>
        <v>0</v>
      </c>
      <c r="W71" s="830">
        <f t="shared" si="53"/>
        <v>0</v>
      </c>
      <c r="X71" s="873">
        <f t="shared" si="53"/>
        <v>0</v>
      </c>
      <c r="Y71" s="873">
        <f t="shared" si="53"/>
        <v>43.984256000000002</v>
      </c>
      <c r="Z71" s="873">
        <f t="shared" si="53"/>
        <v>0</v>
      </c>
      <c r="AA71" s="873">
        <f t="shared" si="53"/>
        <v>0</v>
      </c>
      <c r="AB71" s="873">
        <f t="shared" si="53"/>
        <v>0</v>
      </c>
      <c r="AC71" s="873">
        <f t="shared" si="53"/>
        <v>36.726950000000002</v>
      </c>
      <c r="AD71" s="873">
        <f t="shared" si="53"/>
        <v>0</v>
      </c>
      <c r="AE71" s="873">
        <f t="shared" si="53"/>
        <v>0</v>
      </c>
      <c r="AF71" s="873">
        <f t="shared" si="53"/>
        <v>0</v>
      </c>
      <c r="AG71" s="873">
        <f t="shared" si="53"/>
        <v>37.571005999999997</v>
      </c>
      <c r="AH71" s="873">
        <f t="shared" si="53"/>
        <v>0</v>
      </c>
      <c r="AI71" s="873">
        <f t="shared" si="53"/>
        <v>0</v>
      </c>
      <c r="AJ71" s="873">
        <f t="shared" si="53"/>
        <v>0</v>
      </c>
      <c r="AK71" s="873">
        <f t="shared" si="53"/>
        <v>39.884139137999995</v>
      </c>
      <c r="AL71" s="873">
        <f t="shared" si="53"/>
        <v>0</v>
      </c>
      <c r="AM71" s="873">
        <f t="shared" si="53"/>
        <v>0</v>
      </c>
      <c r="AN71" s="873">
        <f t="shared" si="53"/>
        <v>0</v>
      </c>
    </row>
    <row r="72" spans="2:40" ht="17.5" customHeight="1" x14ac:dyDescent="0.35">
      <c r="B72" s="693" t="s">
        <v>440</v>
      </c>
      <c r="C72" s="268" t="s">
        <v>441</v>
      </c>
      <c r="D72" s="851">
        <f>'Haver Pivoted'!GO88/1000</f>
        <v>983.86099999999999</v>
      </c>
      <c r="E72" s="580">
        <f>'Haver Pivoted'!GP88/1000</f>
        <v>1019.19</v>
      </c>
      <c r="F72" s="580">
        <f>'Haver Pivoted'!GQ88/1000</f>
        <v>1026.704</v>
      </c>
      <c r="G72" s="580">
        <f>'Haver Pivoted'!GR88/1000</f>
        <v>1034.4169999999999</v>
      </c>
      <c r="H72" s="580">
        <f>'Haver Pivoted'!GS88/1000</f>
        <v>1042.6610000000001</v>
      </c>
      <c r="I72" s="580">
        <f>'Haver Pivoted'!GT88/1000</f>
        <v>1068.44</v>
      </c>
      <c r="J72" s="580">
        <f>'Haver Pivoted'!GU88/1000</f>
        <v>1075.0129999999999</v>
      </c>
      <c r="K72" s="580">
        <f>'Haver Pivoted'!GV88/1000</f>
        <v>1080.2349999999999</v>
      </c>
      <c r="L72" s="580">
        <f>'Haver Pivoted'!GW88/1000</f>
        <v>1088.0239999999999</v>
      </c>
      <c r="M72" s="580">
        <f>'Haver Pivoted'!GX88/1000</f>
        <v>1106.018</v>
      </c>
      <c r="N72" s="580">
        <f>'Haver Pivoted'!GY88/1000</f>
        <v>1109.463</v>
      </c>
      <c r="O72" s="580">
        <f>'Haver Pivoted'!GZ88/1000</f>
        <v>1116.6780000000001</v>
      </c>
      <c r="P72" s="580">
        <f>'Haver Pivoted'!HA88/1000</f>
        <v>1126.241</v>
      </c>
      <c r="Q72" s="580">
        <f>'Haver Pivoted'!HB88/1000</f>
        <v>1199.182</v>
      </c>
      <c r="R72" s="580">
        <f>'Haver Pivoted'!HC88/1000</f>
        <v>1206.8019999999999</v>
      </c>
      <c r="S72" s="838">
        <f>'Haver Pivoted'!HD88/1000</f>
        <v>1214.2470000000001</v>
      </c>
      <c r="T72" s="838">
        <f>'Haver Pivoted'!HE88/1000</f>
        <v>1225.7829999999999</v>
      </c>
      <c r="U72" s="838">
        <f>'Haver Pivoted'!HF88/1000</f>
        <v>1340.874</v>
      </c>
      <c r="V72" s="838">
        <f>'Haver Pivoted'!HG88/1000</f>
        <v>1352.623</v>
      </c>
      <c r="W72" s="838">
        <f>'Haver Pivoted'!HH88/1000</f>
        <v>1359.8879999999999</v>
      </c>
      <c r="X72" s="838">
        <f>'Haver Pivoted'!HI88/1000</f>
        <v>1374.508</v>
      </c>
      <c r="Y72" s="838">
        <f>'Haver Pivoted'!HJ88/1000</f>
        <v>1427.5630000000001</v>
      </c>
      <c r="Z72" s="838">
        <f>'Haver Pivoted'!HK88/1000</f>
        <v>1440.9880000000001</v>
      </c>
      <c r="AA72" s="838">
        <f>'Haver Pivoted'!HL88/1000</f>
        <v>1454.2329999999999</v>
      </c>
      <c r="AB72" s="838">
        <f>'Haver Pivoted'!HM88/1000</f>
        <v>1469.078</v>
      </c>
      <c r="AC72" s="838">
        <f>'Haver Pivoted'!HN88/1000</f>
        <v>1529.8430000000001</v>
      </c>
      <c r="AD72" s="838">
        <f>'Haver Pivoted'!HO88/1000</f>
        <v>1607.5219999999999</v>
      </c>
      <c r="AE72" s="828">
        <f t="shared" ref="AE72:AN72" si="54">AD72+AE73</f>
        <v>1617.5219999999999</v>
      </c>
      <c r="AF72" s="828">
        <f t="shared" si="54"/>
        <v>1633.5219999999999</v>
      </c>
      <c r="AG72" s="828">
        <f t="shared" si="54"/>
        <v>1687.0930059999998</v>
      </c>
      <c r="AH72" s="828">
        <f t="shared" si="54"/>
        <v>1703.0930059999998</v>
      </c>
      <c r="AI72" s="828">
        <f t="shared" si="54"/>
        <v>1719.0930059999998</v>
      </c>
      <c r="AJ72" s="828">
        <f t="shared" si="54"/>
        <v>1734.0930059999998</v>
      </c>
      <c r="AK72" s="828">
        <f t="shared" si="54"/>
        <v>1787.9771451379997</v>
      </c>
      <c r="AL72" s="828">
        <f t="shared" si="54"/>
        <v>1800.9771451379997</v>
      </c>
      <c r="AM72" s="828">
        <f t="shared" si="54"/>
        <v>1812.9771451379997</v>
      </c>
      <c r="AN72" s="828">
        <f t="shared" si="54"/>
        <v>1823.9771451379997</v>
      </c>
    </row>
    <row r="73" spans="2:40" ht="17.5" customHeight="1" x14ac:dyDescent="0.35">
      <c r="B73" s="529" t="s">
        <v>1755</v>
      </c>
      <c r="C73" s="268"/>
      <c r="D73" s="851"/>
      <c r="E73" s="580"/>
      <c r="F73" s="580"/>
      <c r="G73" s="580"/>
      <c r="H73" s="580"/>
      <c r="I73" s="580"/>
      <c r="J73" s="580"/>
      <c r="K73" s="580"/>
      <c r="L73" s="580"/>
      <c r="M73" s="580"/>
      <c r="N73" s="580"/>
      <c r="O73" s="580"/>
      <c r="P73" s="580"/>
      <c r="Q73" s="580"/>
      <c r="R73" s="580"/>
      <c r="S73" s="838"/>
      <c r="T73" s="838"/>
      <c r="U73" s="838">
        <f t="shared" ref="U73:AN73" si="55">U71+U74</f>
        <v>114.64312099999998</v>
      </c>
      <c r="V73" s="580">
        <f t="shared" si="55"/>
        <v>8</v>
      </c>
      <c r="W73" s="580">
        <f t="shared" si="55"/>
        <v>11</v>
      </c>
      <c r="X73" s="828">
        <f t="shared" si="55"/>
        <v>14</v>
      </c>
      <c r="Y73" s="828">
        <f t="shared" si="55"/>
        <v>52.984256000000002</v>
      </c>
      <c r="Z73" s="828">
        <f t="shared" si="55"/>
        <v>13</v>
      </c>
      <c r="AA73" s="828">
        <f t="shared" si="55"/>
        <v>11</v>
      </c>
      <c r="AB73" s="828">
        <f t="shared" si="55"/>
        <v>14</v>
      </c>
      <c r="AC73" s="828">
        <f t="shared" si="55"/>
        <v>43.726950000000002</v>
      </c>
      <c r="AD73" s="828">
        <f t="shared" si="55"/>
        <v>68.28</v>
      </c>
      <c r="AE73" s="828">
        <f t="shared" si="55"/>
        <v>10</v>
      </c>
      <c r="AF73" s="828">
        <f t="shared" si="55"/>
        <v>16</v>
      </c>
      <c r="AG73" s="828">
        <f t="shared" si="55"/>
        <v>53.571005999999997</v>
      </c>
      <c r="AH73" s="828">
        <f t="shared" si="55"/>
        <v>16</v>
      </c>
      <c r="AI73" s="828">
        <f t="shared" si="55"/>
        <v>16</v>
      </c>
      <c r="AJ73" s="828">
        <f t="shared" si="55"/>
        <v>15</v>
      </c>
      <c r="AK73" s="828">
        <f t="shared" si="55"/>
        <v>53.884139137999995</v>
      </c>
      <c r="AL73" s="828">
        <f t="shared" si="55"/>
        <v>13</v>
      </c>
      <c r="AM73" s="828">
        <f t="shared" si="55"/>
        <v>12</v>
      </c>
      <c r="AN73" s="828">
        <f t="shared" si="55"/>
        <v>11</v>
      </c>
    </row>
    <row r="74" spans="2:40" ht="17.5" customHeight="1" x14ac:dyDescent="0.35">
      <c r="B74" s="521" t="s">
        <v>1758</v>
      </c>
      <c r="C74" s="268"/>
      <c r="D74" s="851"/>
      <c r="E74" s="580"/>
      <c r="F74" s="838"/>
      <c r="G74" s="838"/>
      <c r="H74" s="838"/>
      <c r="I74" s="838"/>
      <c r="J74" s="838"/>
      <c r="K74" s="838"/>
      <c r="L74" s="838"/>
      <c r="M74" s="838"/>
      <c r="N74" s="838"/>
      <c r="O74" s="838"/>
      <c r="P74" s="838"/>
      <c r="Q74" s="838"/>
      <c r="R74" s="838"/>
      <c r="S74" s="838"/>
      <c r="T74" s="838"/>
      <c r="U74" s="838">
        <v>8</v>
      </c>
      <c r="V74" s="580">
        <v>8</v>
      </c>
      <c r="W74" s="580">
        <v>11</v>
      </c>
      <c r="X74" s="828">
        <v>14</v>
      </c>
      <c r="Y74" s="828">
        <v>9</v>
      </c>
      <c r="Z74" s="828">
        <v>13</v>
      </c>
      <c r="AA74" s="828">
        <v>11</v>
      </c>
      <c r="AB74" s="828">
        <v>14</v>
      </c>
      <c r="AC74" s="828">
        <v>7</v>
      </c>
      <c r="AD74" s="828">
        <f>158-89.72</f>
        <v>68.28</v>
      </c>
      <c r="AE74" s="828">
        <v>10</v>
      </c>
      <c r="AF74" s="828">
        <v>16</v>
      </c>
      <c r="AG74" s="828">
        <v>16</v>
      </c>
      <c r="AH74" s="828">
        <v>16</v>
      </c>
      <c r="AI74" s="828">
        <v>16</v>
      </c>
      <c r="AJ74" s="828">
        <v>15</v>
      </c>
      <c r="AK74" s="828">
        <v>14</v>
      </c>
      <c r="AL74" s="828">
        <v>13</v>
      </c>
      <c r="AM74" s="828">
        <v>12</v>
      </c>
      <c r="AN74" s="828">
        <v>11</v>
      </c>
    </row>
    <row r="75" spans="2:40" ht="39" customHeight="1" x14ac:dyDescent="0.35">
      <c r="B75" s="521" t="s">
        <v>1759</v>
      </c>
      <c r="C75" s="268"/>
      <c r="D75" s="851"/>
      <c r="E75" s="580"/>
      <c r="F75" s="580"/>
      <c r="G75" s="580"/>
      <c r="H75" s="580"/>
      <c r="I75" s="830"/>
      <c r="J75" s="830"/>
      <c r="K75" s="830"/>
      <c r="L75" s="830"/>
      <c r="M75" s="830"/>
      <c r="N75" s="830"/>
      <c r="O75" s="830"/>
      <c r="P75" s="830"/>
      <c r="Q75" s="830"/>
      <c r="R75" s="830"/>
      <c r="S75" s="849"/>
      <c r="T75" s="849"/>
      <c r="U75" s="839">
        <v>8.6999999999999994E-2</v>
      </c>
      <c r="V75" s="831">
        <v>0</v>
      </c>
      <c r="W75" s="831">
        <v>0</v>
      </c>
      <c r="X75" s="850">
        <v>0</v>
      </c>
      <c r="Y75" s="850">
        <v>3.2000000000000001E-2</v>
      </c>
      <c r="Z75" s="850">
        <v>0</v>
      </c>
      <c r="AA75" s="850">
        <v>0</v>
      </c>
      <c r="AB75" s="850">
        <v>0</v>
      </c>
      <c r="AC75" s="850">
        <v>2.5000000000000001E-2</v>
      </c>
      <c r="AD75" s="850">
        <v>0</v>
      </c>
      <c r="AE75" s="850">
        <v>0</v>
      </c>
      <c r="AF75" s="850">
        <v>0</v>
      </c>
      <c r="AG75" s="850">
        <v>2.3E-2</v>
      </c>
      <c r="AH75" s="850">
        <v>0</v>
      </c>
      <c r="AI75" s="850">
        <v>0</v>
      </c>
      <c r="AJ75" s="850">
        <v>0</v>
      </c>
      <c r="AK75" s="850">
        <v>2.3E-2</v>
      </c>
      <c r="AL75" s="850">
        <v>0</v>
      </c>
      <c r="AM75" s="850">
        <v>0</v>
      </c>
      <c r="AN75" s="850">
        <v>0</v>
      </c>
    </row>
    <row r="76" spans="2:40" ht="49.75" customHeight="1" x14ac:dyDescent="0.35">
      <c r="B76" s="606" t="s">
        <v>1384</v>
      </c>
      <c r="C76" s="268"/>
      <c r="D76" s="851">
        <f t="shared" ref="D76:AD76" si="56">D67-D68</f>
        <v>0</v>
      </c>
      <c r="E76" s="580">
        <f t="shared" si="56"/>
        <v>0</v>
      </c>
      <c r="F76" s="580">
        <f t="shared" si="56"/>
        <v>0</v>
      </c>
      <c r="G76" s="580">
        <f t="shared" si="56"/>
        <v>0</v>
      </c>
      <c r="H76" s="580">
        <f t="shared" si="56"/>
        <v>0</v>
      </c>
      <c r="I76" s="580">
        <f t="shared" si="56"/>
        <v>-6.9950000000003456</v>
      </c>
      <c r="J76" s="580">
        <f t="shared" si="56"/>
        <v>-38.323000000000548</v>
      </c>
      <c r="K76" s="580">
        <f t="shared" si="56"/>
        <v>85.244999999999436</v>
      </c>
      <c r="L76" s="580">
        <f t="shared" si="56"/>
        <v>17.936999999999443</v>
      </c>
      <c r="M76" s="580">
        <f t="shared" si="56"/>
        <v>20.752999999999702</v>
      </c>
      <c r="N76" s="580">
        <f t="shared" si="56"/>
        <v>-8.8338400000009187</v>
      </c>
      <c r="O76" s="580">
        <f t="shared" si="56"/>
        <v>-12.81449333333353</v>
      </c>
      <c r="P76" s="580">
        <f t="shared" si="56"/>
        <v>-32.243333333333567</v>
      </c>
      <c r="Q76" s="580">
        <f t="shared" si="56"/>
        <v>72.944079999999303</v>
      </c>
      <c r="R76" s="580">
        <f t="shared" si="56"/>
        <v>74.4880799999994</v>
      </c>
      <c r="S76" s="838">
        <f t="shared" si="56"/>
        <v>64.864079999999149</v>
      </c>
      <c r="T76" s="838">
        <f t="shared" si="56"/>
        <v>89.36907999999903</v>
      </c>
      <c r="U76" s="838">
        <f t="shared" si="56"/>
        <v>58.801958999999442</v>
      </c>
      <c r="V76" s="838">
        <f t="shared" si="56"/>
        <v>71.638816142856285</v>
      </c>
      <c r="W76" s="838">
        <f t="shared" si="56"/>
        <v>76.973816142856094</v>
      </c>
      <c r="X76" s="838">
        <f t="shared" si="56"/>
        <v>97.410958999999366</v>
      </c>
      <c r="Y76" s="838">
        <f t="shared" si="56"/>
        <v>152.43494299999907</v>
      </c>
      <c r="Z76" s="838">
        <f t="shared" si="56"/>
        <v>170.29094299999906</v>
      </c>
      <c r="AA76" s="838">
        <f t="shared" si="56"/>
        <v>179.24894299999892</v>
      </c>
      <c r="AB76" s="838">
        <f t="shared" si="56"/>
        <v>205.4409429999987</v>
      </c>
      <c r="AC76" s="838">
        <f t="shared" si="56"/>
        <v>263.02286799999933</v>
      </c>
      <c r="AD76" s="838">
        <f t="shared" si="56"/>
        <v>353.32686799999874</v>
      </c>
      <c r="AE76" s="828">
        <f t="shared" ref="AE76" si="57">AD76</f>
        <v>353.32686799999874</v>
      </c>
      <c r="AF76" s="828">
        <f t="shared" ref="AF76:AH76" si="58">AE76</f>
        <v>353.32686799999874</v>
      </c>
      <c r="AG76" s="828">
        <f t="shared" si="58"/>
        <v>353.32686799999874</v>
      </c>
      <c r="AH76" s="828">
        <f t="shared" si="58"/>
        <v>353.32686799999874</v>
      </c>
      <c r="AI76" s="828">
        <f t="shared" ref="AI76" si="59">AH76</f>
        <v>353.32686799999874</v>
      </c>
      <c r="AJ76" s="828">
        <f t="shared" ref="AJ76" si="60">AI76</f>
        <v>353.32686799999874</v>
      </c>
      <c r="AK76" s="828">
        <f t="shared" ref="AK76" si="61">AJ76</f>
        <v>353.32686799999874</v>
      </c>
      <c r="AL76" s="828">
        <f t="shared" ref="AL76" si="62">AK76</f>
        <v>353.32686799999874</v>
      </c>
      <c r="AM76" s="828">
        <f t="shared" ref="AM76" si="63">AL76</f>
        <v>353.32686799999874</v>
      </c>
      <c r="AN76" s="828">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93" t="s">
        <v>440</v>
      </c>
      <c r="C78" s="268" t="s">
        <v>441</v>
      </c>
      <c r="D78" s="851">
        <v>983.86099999999999</v>
      </c>
      <c r="E78" s="580">
        <v>1019.19</v>
      </c>
      <c r="F78" s="580">
        <v>1026.704</v>
      </c>
      <c r="G78" s="580">
        <v>1034.4169999999999</v>
      </c>
      <c r="H78" s="580">
        <v>1042.6610000000001</v>
      </c>
      <c r="I78" s="580">
        <v>1068.201</v>
      </c>
      <c r="J78" s="580">
        <v>1075.075</v>
      </c>
      <c r="K78" s="580">
        <v>1080.441</v>
      </c>
      <c r="L78" s="580">
        <v>1087.9949999999999</v>
      </c>
      <c r="M78" s="580">
        <v>1105.6379999999999</v>
      </c>
      <c r="N78" s="580">
        <v>1109.6400000000001</v>
      </c>
      <c r="O78" s="580">
        <v>1116.9480000000001</v>
      </c>
      <c r="P78" s="580">
        <v>1126.174</v>
      </c>
      <c r="Q78" s="580">
        <v>1198.452</v>
      </c>
      <c r="R78" s="580">
        <v>1207.163</v>
      </c>
      <c r="S78" s="838">
        <v>1214.7809999999999</v>
      </c>
      <c r="T78" s="838">
        <v>1225.6189999999999</v>
      </c>
      <c r="U78" s="838">
        <v>1339.904</v>
      </c>
      <c r="V78" s="838">
        <v>1353.2829999999999</v>
      </c>
      <c r="W78" s="838">
        <v>1360.723</v>
      </c>
      <c r="X78" s="838">
        <v>1373.982</v>
      </c>
      <c r="Y78" s="838">
        <v>1426.547</v>
      </c>
      <c r="Z78" s="838">
        <v>1439.73</v>
      </c>
      <c r="AA78" s="838">
        <v>1453.1369999999999</v>
      </c>
      <c r="AB78" s="838">
        <v>1467.9159999999999</v>
      </c>
      <c r="AC78" s="828">
        <v>1511.6139000000001</v>
      </c>
      <c r="AD78" s="828">
        <v>1525.6138999999998</v>
      </c>
      <c r="AE78" s="828">
        <v>1540.6138999999998</v>
      </c>
      <c r="AF78" s="828">
        <v>1556.6138999999998</v>
      </c>
      <c r="AG78" s="828">
        <v>1608.4160196999999</v>
      </c>
      <c r="AH78" s="828">
        <v>1624.4160196999999</v>
      </c>
      <c r="AI78" s="828">
        <v>1640.4160196999999</v>
      </c>
      <c r="AJ78" s="828">
        <v>1655.4160196999999</v>
      </c>
      <c r="AK78" s="828">
        <v>1707.4905881530999</v>
      </c>
      <c r="AL78" s="828">
        <v>1720.4905881530999</v>
      </c>
      <c r="AM78" s="828">
        <v>1732.4905881530999</v>
      </c>
      <c r="AN78" s="828">
        <v>1743.4905881530999</v>
      </c>
    </row>
    <row r="79" spans="2:40" ht="16.75" customHeight="1" x14ac:dyDescent="0.35">
      <c r="B79" s="529" t="s">
        <v>1755</v>
      </c>
      <c r="C79" s="268"/>
      <c r="D79" s="851"/>
      <c r="E79" s="580"/>
      <c r="F79" s="580"/>
      <c r="G79" s="580"/>
      <c r="H79" s="580"/>
      <c r="I79" s="580"/>
      <c r="J79" s="580"/>
      <c r="K79" s="580"/>
      <c r="L79" s="580"/>
      <c r="M79" s="580"/>
      <c r="N79" s="580"/>
      <c r="O79" s="580"/>
      <c r="P79" s="580"/>
      <c r="Q79" s="580"/>
      <c r="R79" s="580"/>
      <c r="S79" s="838"/>
      <c r="T79" s="838"/>
      <c r="U79" s="838">
        <v>114.62885299999998</v>
      </c>
      <c r="V79" s="580">
        <v>8</v>
      </c>
      <c r="W79" s="580">
        <v>11</v>
      </c>
      <c r="X79" s="828">
        <v>14</v>
      </c>
      <c r="Y79" s="828">
        <v>52.967424000000001</v>
      </c>
      <c r="Z79" s="828">
        <v>13</v>
      </c>
      <c r="AA79" s="828">
        <v>11</v>
      </c>
      <c r="AB79" s="828">
        <v>14</v>
      </c>
      <c r="AC79" s="828">
        <v>43.697899999999997</v>
      </c>
      <c r="AD79" s="828">
        <v>14</v>
      </c>
      <c r="AE79" s="828">
        <v>15</v>
      </c>
      <c r="AF79" s="828">
        <v>16</v>
      </c>
      <c r="AG79" s="828">
        <v>51.802119699999999</v>
      </c>
      <c r="AH79" s="828">
        <v>16</v>
      </c>
      <c r="AI79" s="828">
        <v>16</v>
      </c>
      <c r="AJ79" s="828">
        <v>15</v>
      </c>
      <c r="AK79" s="828">
        <v>52.074568453099999</v>
      </c>
      <c r="AL79" s="828">
        <v>13</v>
      </c>
      <c r="AM79" s="828">
        <v>12</v>
      </c>
      <c r="AN79" s="828">
        <v>11</v>
      </c>
    </row>
    <row r="80" spans="2:40" ht="16.75" customHeight="1" x14ac:dyDescent="0.35">
      <c r="B80" s="521" t="s">
        <v>1919</v>
      </c>
      <c r="C80" s="268"/>
      <c r="D80" s="851"/>
      <c r="E80" s="580"/>
      <c r="F80" s="838"/>
      <c r="G80" s="838"/>
      <c r="H80" s="838"/>
      <c r="I80" s="838"/>
      <c r="J80" s="838"/>
      <c r="K80" s="838"/>
      <c r="L80" s="838"/>
      <c r="M80" s="838"/>
      <c r="N80" s="838"/>
      <c r="O80" s="838"/>
      <c r="P80" s="838"/>
      <c r="Q80" s="838"/>
      <c r="R80" s="838"/>
      <c r="S80" s="838"/>
      <c r="T80" s="838"/>
      <c r="U80" s="838">
        <v>8</v>
      </c>
      <c r="V80" s="580">
        <v>8</v>
      </c>
      <c r="W80" s="580">
        <v>11</v>
      </c>
      <c r="X80" s="828">
        <v>14</v>
      </c>
      <c r="Y80" s="828">
        <v>9</v>
      </c>
      <c r="Z80" s="828">
        <v>13</v>
      </c>
      <c r="AA80" s="828">
        <v>11</v>
      </c>
      <c r="AB80" s="828">
        <v>14</v>
      </c>
      <c r="AC80" s="828">
        <v>7</v>
      </c>
      <c r="AD80" s="828">
        <v>14</v>
      </c>
      <c r="AE80" s="828">
        <v>15</v>
      </c>
      <c r="AF80" s="828">
        <v>16</v>
      </c>
      <c r="AG80" s="828">
        <v>16</v>
      </c>
      <c r="AH80" s="828">
        <v>16</v>
      </c>
      <c r="AI80" s="828">
        <v>16</v>
      </c>
      <c r="AJ80" s="828">
        <v>15</v>
      </c>
      <c r="AK80" s="828">
        <v>14</v>
      </c>
      <c r="AL80" s="828">
        <v>13</v>
      </c>
      <c r="AM80" s="828">
        <v>12</v>
      </c>
      <c r="AN80" s="828">
        <v>11</v>
      </c>
    </row>
    <row r="81" spans="2:40" ht="16.75" customHeight="1" x14ac:dyDescent="0.35">
      <c r="B81" s="521" t="s">
        <v>1920</v>
      </c>
      <c r="C81" s="268"/>
      <c r="D81" s="851"/>
      <c r="E81" s="580"/>
      <c r="F81" s="580"/>
      <c r="G81" s="580"/>
      <c r="H81" s="580"/>
      <c r="I81" s="830"/>
      <c r="J81" s="830"/>
      <c r="K81" s="830"/>
      <c r="L81" s="830"/>
      <c r="M81" s="830"/>
      <c r="N81" s="830"/>
      <c r="O81" s="830"/>
      <c r="P81" s="830"/>
      <c r="Q81" s="830"/>
      <c r="R81" s="830"/>
      <c r="S81" s="849"/>
      <c r="T81" s="849"/>
      <c r="U81" s="839">
        <v>8.6999999999999994E-2</v>
      </c>
      <c r="V81" s="831">
        <v>0</v>
      </c>
      <c r="W81" s="831">
        <v>0</v>
      </c>
      <c r="X81" s="850">
        <v>0</v>
      </c>
      <c r="Y81" s="850">
        <v>3.2000000000000001E-2</v>
      </c>
      <c r="Z81" s="850">
        <v>0</v>
      </c>
      <c r="AA81" s="850">
        <v>0</v>
      </c>
      <c r="AB81" s="850">
        <v>0</v>
      </c>
      <c r="AC81" s="850">
        <v>2.5000000000000001E-2</v>
      </c>
      <c r="AD81" s="850">
        <v>0</v>
      </c>
      <c r="AE81" s="850">
        <v>0</v>
      </c>
      <c r="AF81" s="850">
        <v>0</v>
      </c>
      <c r="AG81" s="850">
        <v>2.3E-2</v>
      </c>
      <c r="AH81" s="850">
        <v>0</v>
      </c>
      <c r="AI81" s="850">
        <v>0</v>
      </c>
      <c r="AJ81" s="850">
        <v>0</v>
      </c>
      <c r="AK81" s="850">
        <v>2.3E-2</v>
      </c>
      <c r="AL81" s="850">
        <v>0</v>
      </c>
      <c r="AM81" s="850">
        <v>0</v>
      </c>
      <c r="AN81" s="850">
        <v>0</v>
      </c>
    </row>
    <row r="82" spans="2:40" ht="16.75" customHeight="1" x14ac:dyDescent="0.35">
      <c r="B82" s="606" t="s">
        <v>1384</v>
      </c>
      <c r="C82" s="268"/>
      <c r="D82" s="851">
        <v>0</v>
      </c>
      <c r="E82" s="580">
        <v>0</v>
      </c>
      <c r="F82" s="580">
        <v>0</v>
      </c>
      <c r="G82" s="580">
        <v>0</v>
      </c>
      <c r="H82" s="580">
        <v>0</v>
      </c>
      <c r="I82" s="580">
        <v>-6.9120000000000346</v>
      </c>
      <c r="J82" s="580">
        <v>-37.9549999999997</v>
      </c>
      <c r="K82" s="580">
        <v>85.725999999999658</v>
      </c>
      <c r="L82" s="580">
        <v>18.405999999999722</v>
      </c>
      <c r="M82" s="580">
        <v>20.282000000000153</v>
      </c>
      <c r="N82" s="580">
        <v>-8.5988400000003367</v>
      </c>
      <c r="O82" s="580">
        <v>-12.537493333333487</v>
      </c>
      <c r="P82" s="580">
        <v>-32.38033333333351</v>
      </c>
      <c r="Q82" s="580">
        <v>72.734879999999521</v>
      </c>
      <c r="R82" s="580">
        <v>75.236879999999019</v>
      </c>
      <c r="S82" s="838">
        <v>66.046879999999419</v>
      </c>
      <c r="T82" s="838">
        <v>90.12587999999937</v>
      </c>
      <c r="U82" s="838">
        <v>55.219026999999414</v>
      </c>
      <c r="V82" s="838">
        <v>69.376026999999112</v>
      </c>
      <c r="W82" s="838">
        <v>73.871026999999231</v>
      </c>
      <c r="X82" s="838">
        <v>92.003026999999292</v>
      </c>
      <c r="Y82" s="838">
        <v>133.13552299999901</v>
      </c>
      <c r="Z82" s="838">
        <v>146.42352299999902</v>
      </c>
      <c r="AA82" s="838">
        <v>149.85352299999886</v>
      </c>
      <c r="AB82" s="838">
        <v>163.69852299999889</v>
      </c>
      <c r="AC82" s="828">
        <v>163.69852299999889</v>
      </c>
      <c r="AD82" s="828">
        <v>163.69852299999889</v>
      </c>
      <c r="AE82" s="828">
        <v>163.69852299999889</v>
      </c>
      <c r="AF82" s="828">
        <v>163.69852299999889</v>
      </c>
      <c r="AG82" s="828">
        <v>163.69852299999889</v>
      </c>
      <c r="AH82" s="828">
        <v>163.69852299999889</v>
      </c>
      <c r="AI82" s="828">
        <v>163.69852299999889</v>
      </c>
      <c r="AJ82" s="828">
        <v>163.69852299999889</v>
      </c>
      <c r="AK82" s="828">
        <v>163.69852299999889</v>
      </c>
      <c r="AL82" s="828">
        <v>163.69852299999889</v>
      </c>
      <c r="AM82" s="828">
        <v>163.69852299999889</v>
      </c>
      <c r="AN82" s="828">
        <v>163.69852299999889</v>
      </c>
    </row>
    <row r="83" spans="2:40" ht="16.75" customHeight="1" x14ac:dyDescent="0.35">
      <c r="B83" s="356"/>
      <c r="C83" s="268"/>
      <c r="S83" s="360"/>
      <c r="T83" s="360"/>
      <c r="U83" s="360"/>
      <c r="V83" s="360"/>
      <c r="W83" s="360"/>
      <c r="X83" s="360"/>
      <c r="Y83" s="360"/>
      <c r="Z83" s="360"/>
      <c r="AA83" s="360"/>
      <c r="AB83" s="360"/>
      <c r="AC83" s="360"/>
      <c r="AD83" s="647"/>
    </row>
    <row r="84" spans="2:40" ht="16.75" customHeight="1" x14ac:dyDescent="0.35">
      <c r="B84" s="356"/>
      <c r="C84" s="268"/>
      <c r="S84" s="360"/>
      <c r="T84" s="360"/>
      <c r="U84" s="360"/>
      <c r="V84" s="360"/>
      <c r="W84" s="360"/>
      <c r="X84" s="360"/>
      <c r="Y84" s="360"/>
      <c r="Z84" s="360"/>
      <c r="AA84" s="360"/>
      <c r="AB84" s="360"/>
      <c r="AC84" s="360"/>
      <c r="AD84" s="647"/>
    </row>
    <row r="85" spans="2:40" ht="16.75" customHeight="1" x14ac:dyDescent="0.35">
      <c r="B85" s="268"/>
      <c r="C85" s="268"/>
      <c r="S85" s="268"/>
      <c r="T85" s="268"/>
      <c r="U85" s="580"/>
      <c r="V85" s="580"/>
      <c r="W85" s="580"/>
      <c r="X85" s="580"/>
      <c r="Y85" s="580"/>
      <c r="Z85" s="580"/>
      <c r="AA85" s="580"/>
      <c r="AB85" s="580"/>
      <c r="AC85" s="580"/>
      <c r="AD85" s="647"/>
    </row>
    <row r="86" spans="2:40" ht="16.75" customHeight="1" x14ac:dyDescent="0.35">
      <c r="B86" s="356"/>
      <c r="C86" s="268"/>
      <c r="S86" s="268"/>
      <c r="T86" s="268"/>
      <c r="U86" s="580"/>
      <c r="V86" s="580"/>
      <c r="W86" s="580"/>
      <c r="X86" s="580"/>
      <c r="Y86" s="580"/>
      <c r="Z86" s="580"/>
      <c r="AA86" s="580"/>
      <c r="AB86" s="580"/>
      <c r="AC86" s="580"/>
      <c r="AD86" s="647"/>
    </row>
    <row r="87" spans="2:40" ht="16.75" customHeight="1" x14ac:dyDescent="0.35">
      <c r="B87" s="356"/>
      <c r="C87" s="268"/>
      <c r="S87" s="268"/>
      <c r="T87" s="268"/>
      <c r="U87" s="360"/>
      <c r="V87" s="360"/>
      <c r="W87" s="360"/>
      <c r="X87" s="360"/>
      <c r="Y87" s="360"/>
      <c r="Z87" s="360"/>
      <c r="AA87" s="360"/>
      <c r="AB87" s="360"/>
      <c r="AC87" s="360"/>
      <c r="AD87" s="647"/>
    </row>
    <row r="88" spans="2:40" ht="16.75" customHeight="1" x14ac:dyDescent="0.35">
      <c r="B88" s="356"/>
      <c r="C88" s="268"/>
      <c r="S88" s="268"/>
      <c r="T88" s="268"/>
      <c r="U88" s="840"/>
      <c r="V88" s="840"/>
      <c r="W88" s="840"/>
      <c r="X88" s="840"/>
      <c r="Y88" s="840"/>
      <c r="Z88" s="840"/>
      <c r="AA88" s="840"/>
      <c r="AB88" s="840"/>
      <c r="AC88" s="840"/>
      <c r="AD88" s="647"/>
    </row>
    <row r="89" spans="2:40" ht="16.75" customHeight="1" x14ac:dyDescent="0.35">
      <c r="B89" s="268"/>
      <c r="C89" s="268"/>
      <c r="S89" s="360"/>
      <c r="T89" s="360"/>
      <c r="U89" s="360"/>
      <c r="V89" s="360"/>
      <c r="W89" s="360"/>
      <c r="X89" s="360"/>
      <c r="Y89" s="360"/>
      <c r="Z89" s="360"/>
      <c r="AA89" s="360"/>
      <c r="AB89" s="360"/>
      <c r="AC89" s="360"/>
      <c r="AD89" s="647"/>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24"/>
      <c r="C92" s="825">
        <v>2016</v>
      </c>
      <c r="D92" s="826">
        <f>C92+1</f>
        <v>2017</v>
      </c>
      <c r="E92" s="826">
        <f t="shared" ref="E92:R92" si="65">D92+1</f>
        <v>2018</v>
      </c>
      <c r="F92" s="826">
        <f t="shared" si="65"/>
        <v>2019</v>
      </c>
      <c r="G92" s="826">
        <f t="shared" si="65"/>
        <v>2020</v>
      </c>
      <c r="H92" s="826">
        <f t="shared" si="65"/>
        <v>2021</v>
      </c>
      <c r="I92" s="826">
        <f t="shared" si="65"/>
        <v>2022</v>
      </c>
      <c r="J92" s="826">
        <f t="shared" si="65"/>
        <v>2023</v>
      </c>
      <c r="K92" s="826">
        <f t="shared" si="65"/>
        <v>2024</v>
      </c>
      <c r="L92" s="826">
        <f t="shared" si="65"/>
        <v>2025</v>
      </c>
      <c r="M92" s="826">
        <f t="shared" si="65"/>
        <v>2026</v>
      </c>
      <c r="N92" s="826">
        <f t="shared" si="65"/>
        <v>2027</v>
      </c>
      <c r="O92" s="826">
        <f t="shared" si="65"/>
        <v>2028</v>
      </c>
      <c r="P92" s="826">
        <f t="shared" si="65"/>
        <v>2029</v>
      </c>
      <c r="Q92" s="826">
        <f t="shared" si="65"/>
        <v>2030</v>
      </c>
      <c r="R92" s="826">
        <f t="shared" si="65"/>
        <v>2031</v>
      </c>
      <c r="S92" s="360"/>
      <c r="T92" s="360"/>
      <c r="U92" s="360"/>
      <c r="V92" s="360"/>
      <c r="W92" s="360"/>
      <c r="X92" s="360"/>
      <c r="Y92" s="360"/>
      <c r="Z92" s="360"/>
      <c r="AA92" s="360"/>
      <c r="AB92" s="360"/>
      <c r="AC92" s="360"/>
    </row>
    <row r="93" spans="2:40" ht="38.5" customHeight="1" x14ac:dyDescent="0.35">
      <c r="B93" s="829" t="s">
        <v>1915</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1916</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1917</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47"/>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1936</v>
      </c>
      <c r="E1" t="s">
        <v>1937</v>
      </c>
      <c r="K1" t="s">
        <v>1941</v>
      </c>
    </row>
    <row r="2" spans="1:12" x14ac:dyDescent="0.35">
      <c r="B2" t="s">
        <v>1935</v>
      </c>
      <c r="C2" t="s">
        <v>226</v>
      </c>
      <c r="D2" t="s">
        <v>1939</v>
      </c>
      <c r="E2" t="s">
        <v>250</v>
      </c>
      <c r="F2" t="s">
        <v>226</v>
      </c>
      <c r="G2" t="s">
        <v>1939</v>
      </c>
      <c r="I2" t="s">
        <v>1940</v>
      </c>
      <c r="K2" t="s">
        <v>1935</v>
      </c>
      <c r="L2" t="s">
        <v>226</v>
      </c>
    </row>
    <row r="3" spans="1:12" x14ac:dyDescent="0.35">
      <c r="A3" t="s">
        <v>1938</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1942</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1943</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1944</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E14" sqref="AE14"/>
    </sheetView>
  </sheetViews>
  <sheetFormatPr defaultColWidth="10.90625" defaultRowHeight="14.5" x14ac:dyDescent="0.35"/>
  <cols>
    <col min="1" max="1" width="17.26953125" customWidth="1"/>
  </cols>
  <sheetData>
    <row r="1" spans="2:40" x14ac:dyDescent="0.35">
      <c r="B1" s="1415" t="s">
        <v>1855</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2:40" ht="14.25" customHeight="1" x14ac:dyDescent="0.35">
      <c r="B2" s="1489" t="s">
        <v>1856</v>
      </c>
      <c r="C2" s="1489"/>
      <c r="D2" s="1489"/>
      <c r="E2" s="1489"/>
      <c r="F2" s="1489"/>
      <c r="G2" s="1489"/>
      <c r="H2" s="1489"/>
      <c r="I2" s="1489"/>
      <c r="J2" s="1489"/>
      <c r="K2" s="1489"/>
      <c r="L2" s="1489"/>
      <c r="M2" s="1489"/>
      <c r="N2" s="1489"/>
      <c r="O2" s="1489"/>
      <c r="P2" s="1489"/>
      <c r="Q2" s="1489"/>
      <c r="R2" s="1489"/>
      <c r="S2" s="722"/>
      <c r="T2" s="1494"/>
      <c r="U2" s="1494"/>
      <c r="V2" s="1494"/>
      <c r="W2" s="1494"/>
      <c r="X2" s="1494"/>
      <c r="Y2" s="1494"/>
      <c r="Z2" s="1494"/>
      <c r="AA2" s="1494"/>
      <c r="AB2" s="1494"/>
      <c r="AC2" s="1494"/>
    </row>
    <row r="3" spans="2:40" x14ac:dyDescent="0.35">
      <c r="B3" s="1489"/>
      <c r="C3" s="1489"/>
      <c r="D3" s="1489"/>
      <c r="E3" s="1489"/>
      <c r="F3" s="1489"/>
      <c r="G3" s="1489"/>
      <c r="H3" s="1489"/>
      <c r="I3" s="1489"/>
      <c r="J3" s="1489"/>
      <c r="K3" s="1489"/>
      <c r="L3" s="1489"/>
      <c r="M3" s="1489"/>
      <c r="N3" s="1489"/>
      <c r="O3" s="1489"/>
      <c r="P3" s="1489"/>
      <c r="Q3" s="1489"/>
      <c r="R3" s="1489"/>
      <c r="S3" s="722"/>
      <c r="T3" s="1494"/>
      <c r="U3" s="1494"/>
      <c r="V3" s="1494"/>
      <c r="W3" s="1494"/>
      <c r="X3" s="1494"/>
      <c r="Y3" s="1494"/>
      <c r="Z3" s="1494"/>
      <c r="AA3" s="1494"/>
      <c r="AB3" s="1494"/>
      <c r="AC3" s="1494"/>
    </row>
    <row r="4" spans="2:40" ht="21" customHeight="1" x14ac:dyDescent="0.35">
      <c r="B4" s="1489"/>
      <c r="C4" s="1489"/>
      <c r="D4" s="1489"/>
      <c r="E4" s="1489"/>
      <c r="F4" s="1489"/>
      <c r="G4" s="1489"/>
      <c r="H4" s="1489"/>
      <c r="I4" s="1489"/>
      <c r="J4" s="1489"/>
      <c r="K4" s="1489"/>
      <c r="L4" s="1489"/>
      <c r="M4" s="1489"/>
      <c r="N4" s="1489"/>
      <c r="O4" s="1489"/>
      <c r="P4" s="1489"/>
      <c r="Q4" s="1489"/>
      <c r="R4" s="1489"/>
      <c r="S4" s="722"/>
      <c r="T4" s="1494"/>
      <c r="U4" s="1494"/>
      <c r="V4" s="1494"/>
      <c r="W4" s="1494"/>
      <c r="X4" s="1494"/>
      <c r="Y4" s="1494"/>
      <c r="Z4" s="1494"/>
      <c r="AA4" s="1494"/>
      <c r="AB4" s="1494"/>
      <c r="AC4" s="1494"/>
    </row>
    <row r="6" spans="2:40" x14ac:dyDescent="0.35">
      <c r="B6" s="644" t="s">
        <v>299</v>
      </c>
    </row>
    <row r="7" spans="2:40" ht="14.9" customHeight="1" x14ac:dyDescent="0.35">
      <c r="B7" s="1417" t="s">
        <v>1828</v>
      </c>
      <c r="C7" s="1418"/>
      <c r="D7" s="1421" t="s">
        <v>246</v>
      </c>
      <c r="E7" s="1466"/>
      <c r="F7" s="1466"/>
      <c r="G7" s="1466"/>
      <c r="H7" s="1466"/>
      <c r="I7" s="1466"/>
      <c r="J7" s="1466"/>
      <c r="K7" s="1466"/>
      <c r="L7" s="1466"/>
      <c r="M7" s="1466"/>
      <c r="N7" s="1466"/>
      <c r="O7" s="1466"/>
      <c r="P7" s="1466"/>
      <c r="Q7" s="1466"/>
      <c r="R7" s="1466"/>
      <c r="S7" s="1466"/>
      <c r="T7" s="1466"/>
      <c r="U7" s="1465"/>
      <c r="V7" s="1420"/>
      <c r="W7" s="1495" t="s">
        <v>247</v>
      </c>
      <c r="X7" s="1496"/>
      <c r="Y7" s="1496"/>
      <c r="Z7" s="1496"/>
      <c r="AA7" s="1496"/>
      <c r="AB7" s="1496"/>
      <c r="AC7" s="1496"/>
      <c r="AD7" s="1496"/>
      <c r="AE7" s="1496"/>
      <c r="AF7" s="1496"/>
      <c r="AG7" s="1496"/>
      <c r="AH7" s="1496"/>
      <c r="AI7" s="1496"/>
      <c r="AJ7" s="1496"/>
      <c r="AK7" s="1496"/>
      <c r="AL7" s="1496"/>
      <c r="AM7" s="1496"/>
      <c r="AN7" s="1496"/>
    </row>
    <row r="8" spans="2:40" x14ac:dyDescent="0.35">
      <c r="B8" s="1419"/>
      <c r="C8" s="1420"/>
      <c r="D8" s="249">
        <v>2018</v>
      </c>
      <c r="E8" s="1403">
        <v>2019</v>
      </c>
      <c r="F8" s="1413"/>
      <c r="G8" s="1413"/>
      <c r="H8" s="1405"/>
      <c r="I8" s="1403">
        <v>2020</v>
      </c>
      <c r="J8" s="1413"/>
      <c r="K8" s="1413"/>
      <c r="L8" s="1413"/>
      <c r="M8" s="1403">
        <v>2021</v>
      </c>
      <c r="N8" s="1413"/>
      <c r="O8" s="1413"/>
      <c r="P8" s="1404"/>
      <c r="Q8" s="1403">
        <v>2022</v>
      </c>
      <c r="R8" s="1404"/>
      <c r="S8" s="1404"/>
      <c r="T8" s="1404"/>
      <c r="U8" s="283"/>
      <c r="V8" s="277">
        <v>2023</v>
      </c>
      <c r="W8" s="437"/>
      <c r="X8" s="431"/>
      <c r="Y8" s="1428">
        <v>2024</v>
      </c>
      <c r="Z8" s="1411"/>
      <c r="AA8" s="1411"/>
      <c r="AB8" s="1412"/>
      <c r="AC8" s="1410">
        <v>2025</v>
      </c>
      <c r="AD8" s="1411"/>
      <c r="AE8" s="1411"/>
      <c r="AF8" s="1412"/>
      <c r="AG8" s="1410">
        <v>2026</v>
      </c>
      <c r="AH8" s="1411"/>
      <c r="AI8" s="1411"/>
      <c r="AJ8" s="1412"/>
      <c r="AK8" s="1410">
        <v>2027</v>
      </c>
      <c r="AL8" s="1411"/>
      <c r="AM8" s="1411"/>
      <c r="AN8" s="1412"/>
    </row>
    <row r="9" spans="2:40" x14ac:dyDescent="0.35">
      <c r="B9" s="1421"/>
      <c r="C9" s="142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93" t="s">
        <v>172</v>
      </c>
      <c r="T10" s="893" t="s">
        <v>173</v>
      </c>
      <c r="U10" s="893" t="s">
        <v>174</v>
      </c>
      <c r="V10" s="893" t="s">
        <v>175</v>
      </c>
      <c r="W10" s="893" t="s">
        <v>176</v>
      </c>
      <c r="X10" s="893" t="s">
        <v>177</v>
      </c>
      <c r="Y10" s="893" t="s">
        <v>178</v>
      </c>
      <c r="Z10" s="893" t="s">
        <v>179</v>
      </c>
      <c r="AA10" s="893" t="s">
        <v>163</v>
      </c>
      <c r="AB10" s="893" t="s">
        <v>164</v>
      </c>
      <c r="AC10" s="893" t="s">
        <v>165</v>
      </c>
      <c r="AD10" s="893" t="s">
        <v>730</v>
      </c>
      <c r="AE10" s="893" t="s">
        <v>731</v>
      </c>
      <c r="AF10" s="893" t="s">
        <v>732</v>
      </c>
      <c r="AG10" s="893" t="s">
        <v>1110</v>
      </c>
      <c r="AH10" s="893" t="s">
        <v>1111</v>
      </c>
      <c r="AI10" s="893" t="s">
        <v>1112</v>
      </c>
      <c r="AJ10" s="893" t="s">
        <v>1113</v>
      </c>
      <c r="AK10" s="893" t="s">
        <v>1114</v>
      </c>
      <c r="AL10" s="893" t="s">
        <v>1115</v>
      </c>
      <c r="AM10" s="893" t="s">
        <v>1116</v>
      </c>
      <c r="AN10" s="893" t="s">
        <v>1117</v>
      </c>
    </row>
    <row r="11" spans="2:40" x14ac:dyDescent="0.35">
      <c r="S11" s="891"/>
      <c r="T11" s="891"/>
      <c r="U11" s="891"/>
      <c r="V11" s="891"/>
      <c r="W11" s="891"/>
      <c r="X11" s="891"/>
      <c r="Y11" s="891"/>
      <c r="Z11" s="891"/>
      <c r="AA11" s="891"/>
      <c r="AB11" s="891"/>
      <c r="AC11" s="891"/>
      <c r="AD11" s="891"/>
      <c r="AE11" s="891"/>
      <c r="AF11" s="891"/>
      <c r="AG11" s="891"/>
      <c r="AH11" s="891"/>
    </row>
    <row r="12" spans="2:40" x14ac:dyDescent="0.35">
      <c r="B12" s="891" t="s">
        <v>1802</v>
      </c>
      <c r="P12" t="s">
        <v>1802</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91" t="s">
        <v>1803</v>
      </c>
      <c r="P13" t="s">
        <v>1803</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92">
        <f>Deflators!AH65</f>
        <v>1.2999528957206659</v>
      </c>
      <c r="AI13" s="892">
        <f>Deflators!AI65</f>
        <v>1.3084235824704034</v>
      </c>
      <c r="AJ13" s="892">
        <f>Deflators!AJ65</f>
        <v>1.3163659565417745</v>
      </c>
      <c r="AK13" s="892">
        <f>Deflators!AK65</f>
        <v>1.324100831631422</v>
      </c>
      <c r="AL13" s="892">
        <f>Deflators!AL65</f>
        <v>1.3316852298253947</v>
      </c>
      <c r="AM13" s="892">
        <f>Deflators!AM65</f>
        <v>1.3391575097994544</v>
      </c>
      <c r="AN13" s="892">
        <f>Deflators!AN65</f>
        <v>1.3465401266176333</v>
      </c>
    </row>
    <row r="14" spans="2:40" x14ac:dyDescent="0.35">
      <c r="B14" s="882" t="s">
        <v>1804</v>
      </c>
      <c r="P14" s="881" t="s">
        <v>1804</v>
      </c>
      <c r="S14" s="881">
        <f>S12*S13</f>
        <v>4.7396187820222657</v>
      </c>
      <c r="T14" s="881">
        <f t="shared" ref="T14:AI14" si="0">T12*T13</f>
        <v>7.9776986848321831</v>
      </c>
      <c r="U14" s="881">
        <f t="shared" si="0"/>
        <v>30.337634806589428</v>
      </c>
      <c r="V14" s="881">
        <f t="shared" si="0"/>
        <v>46.248170612828901</v>
      </c>
      <c r="W14" s="881">
        <f t="shared" si="0"/>
        <v>62.078840063520282</v>
      </c>
      <c r="X14" s="881">
        <f t="shared" si="0"/>
        <v>68.348937490687376</v>
      </c>
      <c r="Y14" s="881">
        <f t="shared" si="0"/>
        <v>78.086906866586943</v>
      </c>
      <c r="Z14" s="881">
        <f t="shared" si="0"/>
        <v>85.530751510599373</v>
      </c>
      <c r="AA14" s="881">
        <f t="shared" si="0"/>
        <v>79.752836528915708</v>
      </c>
      <c r="AB14" s="881">
        <f t="shared" si="0"/>
        <v>71.302302508947946</v>
      </c>
      <c r="AC14" s="881">
        <f t="shared" si="0"/>
        <v>64.005358868279401</v>
      </c>
      <c r="AD14" s="881">
        <f t="shared" si="0"/>
        <v>80.473541986575796</v>
      </c>
      <c r="AE14" s="881">
        <f>AE12*AE13</f>
        <v>98.524631049651035</v>
      </c>
      <c r="AF14" s="881">
        <f t="shared" si="0"/>
        <v>110.46937591911095</v>
      </c>
      <c r="AG14" s="881">
        <f>AG12*AG13</f>
        <v>135.97182842260295</v>
      </c>
      <c r="AH14" s="881">
        <f t="shared" si="0"/>
        <v>156.94525100353175</v>
      </c>
      <c r="AI14" s="881">
        <f t="shared" si="0"/>
        <v>164.88583552683707</v>
      </c>
      <c r="AJ14" s="881">
        <f>AJ12*AJ13</f>
        <v>162.64301630961299</v>
      </c>
      <c r="AK14" s="881">
        <f t="shared" ref="AK14:AN14" si="1">AK12*AK13</f>
        <v>143.14010561620299</v>
      </c>
      <c r="AL14" s="881">
        <f t="shared" si="1"/>
        <v>115.32293792520704</v>
      </c>
      <c r="AM14" s="881">
        <f t="shared" si="1"/>
        <v>85.082359675258374</v>
      </c>
      <c r="AN14" s="881">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1903</v>
      </c>
      <c r="S18" s="891">
        <v>9.676624590017175</v>
      </c>
      <c r="T18" s="891">
        <v>9.6670597070816413</v>
      </c>
      <c r="U18" s="891">
        <v>29.968874069165178</v>
      </c>
      <c r="V18" s="891">
        <v>48.407564583050345</v>
      </c>
      <c r="W18" s="891">
        <v>68.860864510897471</v>
      </c>
      <c r="X18" s="891">
        <v>88.107434654608909</v>
      </c>
      <c r="Y18" s="891">
        <v>101.08174054588757</v>
      </c>
      <c r="Z18" s="891">
        <v>103.56513754278419</v>
      </c>
      <c r="AA18" s="891">
        <v>106.00637033635157</v>
      </c>
      <c r="AB18" s="891">
        <v>108.38917414017335</v>
      </c>
      <c r="AC18" s="891">
        <v>110.69246087615031</v>
      </c>
      <c r="AD18" s="891">
        <v>112.950351679587</v>
      </c>
      <c r="AE18" s="891">
        <v>115.16440141682602</v>
      </c>
      <c r="AF18" s="891">
        <v>117.3462460140392</v>
      </c>
      <c r="AG18" s="891">
        <v>118.525001293339</v>
      </c>
      <c r="AH18" s="635">
        <f>AG18</f>
        <v>118.525001293339</v>
      </c>
      <c r="AI18" s="635">
        <f t="shared" ref="AI18:AN18" si="2">AH18</f>
        <v>118.525001293339</v>
      </c>
      <c r="AJ18" s="635">
        <f t="shared" si="2"/>
        <v>118.525001293339</v>
      </c>
      <c r="AK18" s="635">
        <f t="shared" si="2"/>
        <v>118.525001293339</v>
      </c>
      <c r="AL18" s="635">
        <f t="shared" si="2"/>
        <v>118.525001293339</v>
      </c>
      <c r="AM18" s="635">
        <f t="shared" si="2"/>
        <v>118.525001293339</v>
      </c>
      <c r="AN18" s="635">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59"/>
      <c r="C23" s="759"/>
      <c r="D23" s="759"/>
      <c r="E23" s="759"/>
      <c r="H23" s="759"/>
      <c r="I23" s="759"/>
      <c r="J23" s="759"/>
      <c r="K23" t="s">
        <v>1882</v>
      </c>
      <c r="S23" s="232"/>
    </row>
    <row r="24" spans="2:40" ht="29.15" customHeight="1" x14ac:dyDescent="0.35">
      <c r="B24" s="759"/>
      <c r="C24" s="883" t="s">
        <v>1883</v>
      </c>
      <c r="D24" s="759"/>
      <c r="E24" s="759"/>
      <c r="H24" s="759"/>
      <c r="I24" s="759"/>
      <c r="J24" s="759"/>
      <c r="K24" t="s">
        <v>1884</v>
      </c>
      <c r="S24" s="232"/>
    </row>
    <row r="25" spans="2:40" ht="29.15" customHeight="1" x14ac:dyDescent="0.35">
      <c r="B25" s="759"/>
      <c r="C25" s="883" t="s">
        <v>1885</v>
      </c>
      <c r="D25" s="1509" t="s">
        <v>1886</v>
      </c>
      <c r="E25" s="1509"/>
      <c r="F25" s="1509"/>
      <c r="G25" s="759"/>
      <c r="H25" s="759"/>
      <c r="I25" s="759"/>
      <c r="J25" s="759"/>
      <c r="S25" s="232"/>
    </row>
    <row r="26" spans="2:40" ht="72.650000000000006" customHeight="1" x14ac:dyDescent="0.35">
      <c r="B26" s="884">
        <v>44774</v>
      </c>
      <c r="C26" s="759">
        <v>9</v>
      </c>
      <c r="D26" s="759"/>
      <c r="E26" s="759"/>
      <c r="H26" s="759"/>
      <c r="I26" s="759"/>
      <c r="J26" s="883" t="s">
        <v>1887</v>
      </c>
      <c r="K26" s="24" t="s">
        <v>1888</v>
      </c>
      <c r="L26" s="24" t="s">
        <v>1889</v>
      </c>
      <c r="M26" s="24" t="s">
        <v>1890</v>
      </c>
      <c r="N26" s="883" t="s">
        <v>1891</v>
      </c>
      <c r="O26" s="883" t="s">
        <v>2022</v>
      </c>
      <c r="S26" s="232"/>
    </row>
    <row r="27" spans="2:40" x14ac:dyDescent="0.35">
      <c r="B27" s="884">
        <f>B26+31</f>
        <v>44805</v>
      </c>
      <c r="C27" s="759">
        <v>9</v>
      </c>
      <c r="D27" s="759">
        <v>2022</v>
      </c>
      <c r="E27" s="759" t="s">
        <v>297</v>
      </c>
      <c r="F27">
        <f>SUM(C26:C27)/3</f>
        <v>6</v>
      </c>
      <c r="H27" s="759">
        <v>2022</v>
      </c>
      <c r="I27" s="759" t="s">
        <v>297</v>
      </c>
      <c r="J27" s="232">
        <v>6</v>
      </c>
      <c r="K27" s="232"/>
      <c r="L27" s="232"/>
      <c r="M27" s="232">
        <f>K27+J27</f>
        <v>6</v>
      </c>
      <c r="N27" s="232">
        <f>M27*F$81</f>
        <v>4.0506371546650453</v>
      </c>
      <c r="O27" s="232">
        <v>6</v>
      </c>
      <c r="S27" s="232"/>
    </row>
    <row r="28" spans="2:40" x14ac:dyDescent="0.35">
      <c r="B28" s="884">
        <f t="shared" ref="B28:B57" si="3">B27+31</f>
        <v>44836</v>
      </c>
      <c r="C28" s="759">
        <v>10</v>
      </c>
      <c r="D28" s="759"/>
      <c r="E28" s="759"/>
      <c r="H28" s="759">
        <v>2022</v>
      </c>
      <c r="I28" s="759" t="s">
        <v>741</v>
      </c>
      <c r="J28" s="232">
        <v>10</v>
      </c>
      <c r="K28" s="232"/>
      <c r="L28" s="232"/>
      <c r="M28" s="232">
        <f t="shared" ref="M28:M48" si="4">K28+J28</f>
        <v>10</v>
      </c>
      <c r="N28" s="232">
        <f t="shared" ref="N28:N48" si="5">M28*F$81</f>
        <v>6.7510619244417409</v>
      </c>
      <c r="O28" s="232">
        <v>10</v>
      </c>
      <c r="S28" s="232"/>
    </row>
    <row r="29" spans="2:40" x14ac:dyDescent="0.35">
      <c r="B29" s="884">
        <f t="shared" si="3"/>
        <v>44867</v>
      </c>
      <c r="C29" s="759">
        <v>10</v>
      </c>
      <c r="D29" s="759"/>
      <c r="E29" s="759"/>
      <c r="H29" s="759">
        <v>2023</v>
      </c>
      <c r="I29" s="759" t="s">
        <v>228</v>
      </c>
      <c r="J29" s="232">
        <v>37.666666666666664</v>
      </c>
      <c r="K29" s="232"/>
      <c r="L29" s="232"/>
      <c r="M29" s="232">
        <f t="shared" si="4"/>
        <v>37.666666666666664</v>
      </c>
      <c r="N29" s="232">
        <f t="shared" si="5"/>
        <v>25.428999915397224</v>
      </c>
      <c r="O29" s="232">
        <v>37.666666666666664</v>
      </c>
      <c r="S29" s="232"/>
    </row>
    <row r="30" spans="2:40" x14ac:dyDescent="0.35">
      <c r="B30" s="884">
        <f t="shared" si="3"/>
        <v>44898</v>
      </c>
      <c r="C30" s="759">
        <v>10</v>
      </c>
      <c r="D30" s="759">
        <v>2022</v>
      </c>
      <c r="E30" s="759" t="s">
        <v>741</v>
      </c>
      <c r="F30">
        <f>AVERAGE(C28:C30)</f>
        <v>10</v>
      </c>
      <c r="H30" s="759">
        <v>2023</v>
      </c>
      <c r="I30" s="759" t="s">
        <v>229</v>
      </c>
      <c r="J30" s="232">
        <v>57</v>
      </c>
      <c r="K30" s="232"/>
      <c r="L30" s="232"/>
      <c r="M30" s="232">
        <f t="shared" si="4"/>
        <v>57</v>
      </c>
      <c r="N30" s="232">
        <f t="shared" si="5"/>
        <v>38.481052969317929</v>
      </c>
      <c r="O30" s="232">
        <v>57</v>
      </c>
      <c r="S30" s="232"/>
    </row>
    <row r="31" spans="2:40" x14ac:dyDescent="0.35">
      <c r="B31" s="884">
        <f t="shared" si="3"/>
        <v>44929</v>
      </c>
      <c r="C31" s="759">
        <v>34</v>
      </c>
      <c r="D31" s="759"/>
      <c r="E31" s="759"/>
      <c r="H31" s="759">
        <v>2023</v>
      </c>
      <c r="I31" s="759" t="s">
        <v>297</v>
      </c>
      <c r="J31" s="232">
        <v>76.666666666666671</v>
      </c>
      <c r="K31" s="232"/>
      <c r="L31" s="232"/>
      <c r="M31" s="232">
        <v>76</v>
      </c>
      <c r="N31" s="232">
        <f t="shared" si="5"/>
        <v>51.308070625757232</v>
      </c>
      <c r="O31" s="232">
        <v>76.666666666666671</v>
      </c>
      <c r="S31" s="232"/>
    </row>
    <row r="32" spans="2:40" x14ac:dyDescent="0.35">
      <c r="B32" s="884">
        <f t="shared" si="3"/>
        <v>44960</v>
      </c>
      <c r="C32" s="759">
        <v>35</v>
      </c>
      <c r="D32" s="759"/>
      <c r="E32" s="759"/>
      <c r="H32" s="759">
        <v>2023</v>
      </c>
      <c r="I32" s="759" t="s">
        <v>741</v>
      </c>
      <c r="J32" s="232">
        <v>84</v>
      </c>
      <c r="K32" s="232"/>
      <c r="L32" s="232"/>
      <c r="M32" s="232">
        <v>83.3</v>
      </c>
      <c r="N32" s="232">
        <f t="shared" si="5"/>
        <v>56.236345830599703</v>
      </c>
      <c r="O32" s="232">
        <v>84</v>
      </c>
      <c r="S32" s="232"/>
    </row>
    <row r="33" spans="2:19" x14ac:dyDescent="0.35">
      <c r="B33" s="884">
        <f t="shared" si="3"/>
        <v>44991</v>
      </c>
      <c r="C33" s="759">
        <v>44</v>
      </c>
      <c r="D33" s="759">
        <v>2023</v>
      </c>
      <c r="E33" s="759" t="s">
        <v>228</v>
      </c>
      <c r="F33">
        <f>AVERAGE(C31:C33)</f>
        <v>37.666666666666664</v>
      </c>
      <c r="H33" s="759">
        <v>2024</v>
      </c>
      <c r="I33" s="759" t="s">
        <v>228</v>
      </c>
      <c r="J33" s="232">
        <v>94.333333333333329</v>
      </c>
      <c r="K33" s="232"/>
      <c r="L33" s="232"/>
      <c r="M33" s="232">
        <f t="shared" si="4"/>
        <v>94.333333333333329</v>
      </c>
      <c r="N33" s="232">
        <f t="shared" si="5"/>
        <v>63.685017487233758</v>
      </c>
      <c r="O33" s="232">
        <v>94.333333333333329</v>
      </c>
      <c r="P33" t="s">
        <v>1902</v>
      </c>
      <c r="S33" s="232"/>
    </row>
    <row r="34" spans="2:19" x14ac:dyDescent="0.35">
      <c r="B34" s="884">
        <f t="shared" si="3"/>
        <v>45022</v>
      </c>
      <c r="C34" s="759">
        <v>49</v>
      </c>
      <c r="D34" s="759"/>
      <c r="E34" s="759"/>
      <c r="H34" s="759">
        <v>2024</v>
      </c>
      <c r="I34" s="759" t="s">
        <v>229</v>
      </c>
      <c r="J34" s="232">
        <v>102.66666666666667</v>
      </c>
      <c r="K34" s="232"/>
      <c r="L34" s="232"/>
      <c r="M34" s="232">
        <f t="shared" si="4"/>
        <v>102.66666666666667</v>
      </c>
      <c r="N34" s="232">
        <f t="shared" si="5"/>
        <v>69.310902424268548</v>
      </c>
      <c r="O34" s="232">
        <v>102.66666666666667</v>
      </c>
      <c r="S34" s="232"/>
    </row>
    <row r="35" spans="2:19" x14ac:dyDescent="0.35">
      <c r="B35" s="884">
        <f t="shared" si="3"/>
        <v>45053</v>
      </c>
      <c r="C35" s="759">
        <v>58</v>
      </c>
      <c r="D35" s="759"/>
      <c r="E35" s="759"/>
      <c r="H35" s="759">
        <v>2024</v>
      </c>
      <c r="I35" s="759" t="s">
        <v>297</v>
      </c>
      <c r="J35" s="232">
        <v>92.33</v>
      </c>
      <c r="K35" s="232">
        <f>(+J27)*0.5</f>
        <v>3</v>
      </c>
      <c r="L35" s="232">
        <f>K35</f>
        <v>3</v>
      </c>
      <c r="M35" s="232">
        <f t="shared" si="4"/>
        <v>95.33</v>
      </c>
      <c r="N35" s="232">
        <f t="shared" si="5"/>
        <v>64.357873325703125</v>
      </c>
      <c r="O35" s="232">
        <v>92.33</v>
      </c>
      <c r="S35" s="232"/>
    </row>
    <row r="36" spans="2:19" x14ac:dyDescent="0.35">
      <c r="B36" s="884">
        <f t="shared" si="3"/>
        <v>45084</v>
      </c>
      <c r="C36" s="759">
        <v>64</v>
      </c>
      <c r="D36" s="759">
        <v>2023</v>
      </c>
      <c r="E36" s="759" t="s">
        <v>229</v>
      </c>
      <c r="F36">
        <f>AVERAGE(C34:C36)</f>
        <v>57</v>
      </c>
      <c r="H36" s="759">
        <v>2024</v>
      </c>
      <c r="I36" s="759" t="s">
        <v>741</v>
      </c>
      <c r="J36" s="232">
        <v>76.7</v>
      </c>
      <c r="K36" s="232">
        <f>(J27+J28)*0.5</f>
        <v>8</v>
      </c>
      <c r="L36" s="232">
        <f>K36</f>
        <v>8</v>
      </c>
      <c r="M36" s="232">
        <f t="shared" si="4"/>
        <v>84.7</v>
      </c>
      <c r="N36" s="232">
        <f t="shared" si="5"/>
        <v>57.18149450002155</v>
      </c>
      <c r="O36" s="232">
        <v>76.7</v>
      </c>
      <c r="S36" s="232"/>
    </row>
    <row r="37" spans="2:19" x14ac:dyDescent="0.35">
      <c r="B37" s="884">
        <f t="shared" si="3"/>
        <v>45115</v>
      </c>
      <c r="C37" s="759">
        <v>72</v>
      </c>
      <c r="D37" s="759"/>
      <c r="E37" s="759"/>
      <c r="H37" s="759">
        <v>2025</v>
      </c>
      <c r="I37" s="759"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84">
        <f t="shared" si="3"/>
        <v>45146</v>
      </c>
      <c r="C38" s="759">
        <v>76</v>
      </c>
      <c r="D38" s="759"/>
      <c r="E38" s="759"/>
      <c r="H38" s="759">
        <v>2025</v>
      </c>
      <c r="I38" s="759"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84">
        <f t="shared" si="3"/>
        <v>45177</v>
      </c>
      <c r="C39" s="759">
        <v>80</v>
      </c>
      <c r="D39" s="759">
        <v>2023</v>
      </c>
      <c r="E39" s="759" t="s">
        <v>297</v>
      </c>
      <c r="F39">
        <f>AVERAGE(C37:C39)</f>
        <v>76</v>
      </c>
      <c r="H39" s="759">
        <v>2025</v>
      </c>
      <c r="I39" s="759"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84">
        <f t="shared" si="3"/>
        <v>45208</v>
      </c>
      <c r="C40" s="759">
        <v>82</v>
      </c>
      <c r="D40" s="759"/>
      <c r="E40" s="759"/>
      <c r="H40" s="759">
        <v>2025</v>
      </c>
      <c r="I40" s="759" t="s">
        <v>741</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84">
        <f t="shared" si="3"/>
        <v>45239</v>
      </c>
      <c r="C41" s="759">
        <v>82</v>
      </c>
      <c r="D41" s="759"/>
      <c r="E41" s="759"/>
      <c r="H41" s="759">
        <v>2026</v>
      </c>
      <c r="I41" s="759" t="s">
        <v>228</v>
      </c>
      <c r="J41" s="232">
        <f t="shared" si="6"/>
        <v>0</v>
      </c>
      <c r="K41" s="232">
        <f t="shared" si="7"/>
        <v>156</v>
      </c>
      <c r="L41" s="232">
        <f>K41+10</f>
        <v>166</v>
      </c>
      <c r="M41" s="232">
        <f t="shared" si="4"/>
        <v>156</v>
      </c>
      <c r="N41" s="232">
        <f t="shared" si="5"/>
        <v>105.31656602129117</v>
      </c>
      <c r="O41" s="232">
        <v>0</v>
      </c>
    </row>
    <row r="42" spans="2:19" x14ac:dyDescent="0.35">
      <c r="B42" s="884">
        <f t="shared" si="3"/>
        <v>45270</v>
      </c>
      <c r="C42" s="759">
        <v>86</v>
      </c>
      <c r="D42" s="759">
        <v>2023</v>
      </c>
      <c r="E42" s="759" t="s">
        <v>741</v>
      </c>
      <c r="F42">
        <f>AVERAGE(C40:C42)</f>
        <v>83.333333333333329</v>
      </c>
      <c r="H42" s="759">
        <v>2026</v>
      </c>
      <c r="I42" s="759"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84">
        <f t="shared" si="3"/>
        <v>45301</v>
      </c>
      <c r="C43" s="759">
        <v>90</v>
      </c>
      <c r="D43" s="759"/>
      <c r="E43" s="759"/>
      <c r="H43" s="759">
        <v>2026</v>
      </c>
      <c r="I43" s="759"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84">
        <f t="shared" si="3"/>
        <v>45332</v>
      </c>
      <c r="C44" s="759">
        <v>95</v>
      </c>
      <c r="D44" s="759"/>
      <c r="E44" s="759"/>
      <c r="H44" s="759">
        <v>2026</v>
      </c>
      <c r="I44" s="759" t="s">
        <v>741</v>
      </c>
      <c r="J44" s="232"/>
      <c r="K44" s="232">
        <f>(J33+J34+J35+J36)*0.5</f>
        <v>183.01499999999999</v>
      </c>
      <c r="L44" s="232">
        <f t="shared" si="8"/>
        <v>183.01499999999999</v>
      </c>
      <c r="M44" s="232">
        <f t="shared" si="4"/>
        <v>183.01499999999999</v>
      </c>
      <c r="N44" s="232">
        <f t="shared" si="5"/>
        <v>123.55455981017052</v>
      </c>
      <c r="O44" s="232"/>
    </row>
    <row r="45" spans="2:19" x14ac:dyDescent="0.35">
      <c r="B45" s="884">
        <f t="shared" si="3"/>
        <v>45363</v>
      </c>
      <c r="C45" s="759">
        <v>98</v>
      </c>
      <c r="D45" s="759">
        <v>2024</v>
      </c>
      <c r="E45" s="759" t="s">
        <v>228</v>
      </c>
      <c r="F45">
        <f>AVERAGE(C43:C45)</f>
        <v>94.333333333333329</v>
      </c>
      <c r="H45" s="759">
        <v>2027</v>
      </c>
      <c r="I45" s="759" t="s">
        <v>228</v>
      </c>
      <c r="J45" s="232"/>
      <c r="K45" s="232">
        <f t="shared" si="7"/>
        <v>160.12833333333333</v>
      </c>
      <c r="L45" s="232">
        <f t="shared" si="8"/>
        <v>160.12833333333333</v>
      </c>
      <c r="M45" s="232">
        <f t="shared" si="4"/>
        <v>160.12833333333333</v>
      </c>
      <c r="N45" s="232">
        <f t="shared" si="5"/>
        <v>108.1036294190982</v>
      </c>
      <c r="O45" s="232"/>
    </row>
    <row r="46" spans="2:19" x14ac:dyDescent="0.35">
      <c r="B46" s="884">
        <f t="shared" si="3"/>
        <v>45394</v>
      </c>
      <c r="C46" s="759">
        <v>98</v>
      </c>
      <c r="D46" s="759"/>
      <c r="E46" s="759"/>
      <c r="H46" s="759">
        <v>2027</v>
      </c>
      <c r="I46" s="759" t="s">
        <v>229</v>
      </c>
      <c r="J46" s="232"/>
      <c r="K46" s="232">
        <f t="shared" si="7"/>
        <v>128.27500000000001</v>
      </c>
      <c r="L46" s="232">
        <f t="shared" si="8"/>
        <v>128.27500000000001</v>
      </c>
      <c r="M46" s="232">
        <f t="shared" si="4"/>
        <v>128.27500000000001</v>
      </c>
      <c r="N46" s="232">
        <f t="shared" si="5"/>
        <v>86.599246835776441</v>
      </c>
      <c r="O46" s="232"/>
    </row>
    <row r="47" spans="2:19" x14ac:dyDescent="0.35">
      <c r="B47" s="884">
        <f t="shared" si="3"/>
        <v>45425</v>
      </c>
      <c r="C47" s="759">
        <v>104</v>
      </c>
      <c r="D47" s="759"/>
      <c r="E47" s="759"/>
      <c r="H47" s="759">
        <v>2027</v>
      </c>
      <c r="I47" s="759" t="s">
        <v>297</v>
      </c>
      <c r="J47" s="232"/>
      <c r="K47" s="232">
        <f t="shared" si="7"/>
        <v>94.110000000000014</v>
      </c>
      <c r="L47" s="232">
        <f t="shared" si="8"/>
        <v>94.110000000000014</v>
      </c>
      <c r="M47" s="232">
        <f t="shared" si="4"/>
        <v>94.110000000000014</v>
      </c>
      <c r="N47" s="232">
        <f t="shared" si="5"/>
        <v>63.534243770921236</v>
      </c>
      <c r="O47" s="232"/>
    </row>
    <row r="48" spans="2:19" x14ac:dyDescent="0.35">
      <c r="B48" s="884">
        <f t="shared" si="3"/>
        <v>45456</v>
      </c>
      <c r="C48" s="759">
        <v>106</v>
      </c>
      <c r="D48" s="759">
        <v>2024</v>
      </c>
      <c r="E48" s="759" t="s">
        <v>229</v>
      </c>
      <c r="F48">
        <f>AVERAGE(C46:C48)</f>
        <v>102.66666666666667</v>
      </c>
      <c r="H48" s="759">
        <v>2027</v>
      </c>
      <c r="I48" s="759" t="s">
        <v>741</v>
      </c>
      <c r="J48" s="232"/>
      <c r="K48" s="232">
        <f t="shared" si="7"/>
        <v>55.760000000000005</v>
      </c>
      <c r="L48" s="232">
        <f t="shared" si="8"/>
        <v>55.760000000000005</v>
      </c>
      <c r="M48" s="232">
        <f t="shared" si="4"/>
        <v>55.760000000000005</v>
      </c>
      <c r="N48" s="232">
        <f t="shared" si="5"/>
        <v>37.643921290687153</v>
      </c>
      <c r="O48" s="232"/>
    </row>
    <row r="49" spans="2:15" x14ac:dyDescent="0.35">
      <c r="B49" s="884">
        <f t="shared" si="3"/>
        <v>45487</v>
      </c>
      <c r="C49" s="759">
        <v>96</v>
      </c>
      <c r="D49" s="759"/>
      <c r="E49" s="759"/>
      <c r="H49" s="759" t="s">
        <v>289</v>
      </c>
      <c r="I49" s="759" t="s">
        <v>289</v>
      </c>
      <c r="J49" s="759"/>
      <c r="K49" s="232">
        <f t="shared" si="7"/>
        <v>31.480000000000004</v>
      </c>
      <c r="L49" s="232">
        <f t="shared" si="8"/>
        <v>31.480000000000004</v>
      </c>
      <c r="M49" s="232"/>
      <c r="N49" s="232"/>
      <c r="O49" s="759"/>
    </row>
    <row r="50" spans="2:15" x14ac:dyDescent="0.35">
      <c r="B50" s="884">
        <f t="shared" si="3"/>
        <v>45518</v>
      </c>
      <c r="C50" s="759">
        <v>93</v>
      </c>
      <c r="D50" s="759"/>
      <c r="E50" s="759"/>
      <c r="H50" s="759" t="s">
        <v>289</v>
      </c>
      <c r="I50" s="759" t="s">
        <v>289</v>
      </c>
      <c r="J50" s="759"/>
      <c r="K50" s="232">
        <f t="shared" si="7"/>
        <v>12</v>
      </c>
      <c r="L50" s="232">
        <f t="shared" si="8"/>
        <v>12</v>
      </c>
      <c r="M50" s="232"/>
      <c r="N50" s="232"/>
      <c r="O50" s="759"/>
    </row>
    <row r="51" spans="2:15" x14ac:dyDescent="0.35">
      <c r="B51" s="884">
        <f t="shared" si="3"/>
        <v>45549</v>
      </c>
      <c r="C51" s="759">
        <v>88</v>
      </c>
      <c r="D51" s="759">
        <v>2024</v>
      </c>
      <c r="E51" s="759" t="s">
        <v>297</v>
      </c>
      <c r="F51">
        <f>AVERAGE(C49:C51)</f>
        <v>92.333333333333329</v>
      </c>
      <c r="H51" s="759" t="s">
        <v>289</v>
      </c>
      <c r="I51" s="759" t="s">
        <v>289</v>
      </c>
      <c r="J51" s="759"/>
      <c r="K51" s="232">
        <f t="shared" ref="K51" si="9">J41+J42+J43</f>
        <v>0</v>
      </c>
      <c r="L51" s="232">
        <f t="shared" si="8"/>
        <v>0</v>
      </c>
      <c r="M51" s="232"/>
      <c r="N51" s="232"/>
      <c r="O51" s="759"/>
    </row>
    <row r="52" spans="2:15" x14ac:dyDescent="0.35">
      <c r="B52" s="884">
        <f t="shared" si="3"/>
        <v>45580</v>
      </c>
      <c r="C52" s="759">
        <v>80</v>
      </c>
      <c r="D52" s="759"/>
      <c r="E52" s="759"/>
      <c r="H52" s="759" t="s">
        <v>289</v>
      </c>
      <c r="I52" s="759" t="s">
        <v>289</v>
      </c>
      <c r="J52" s="759">
        <f>SUM(J27:J51)</f>
        <v>748.88333333333344</v>
      </c>
      <c r="K52">
        <f>SUM(K27:K51)</f>
        <v>1497.7666666666667</v>
      </c>
      <c r="L52">
        <f>SUM(L27:L51)</f>
        <v>1497.7666666666667</v>
      </c>
      <c r="O52" s="759">
        <f>SUM(O27:O51)</f>
        <v>776.76333333333343</v>
      </c>
    </row>
    <row r="53" spans="2:15" x14ac:dyDescent="0.35">
      <c r="B53" s="884">
        <f t="shared" si="3"/>
        <v>45611</v>
      </c>
      <c r="C53" s="759">
        <v>76</v>
      </c>
      <c r="D53" s="759"/>
      <c r="E53" s="759"/>
      <c r="H53" s="759"/>
      <c r="I53" s="759"/>
      <c r="J53" s="759"/>
    </row>
    <row r="54" spans="2:15" x14ac:dyDescent="0.35">
      <c r="B54" s="884">
        <f t="shared" si="3"/>
        <v>45642</v>
      </c>
      <c r="C54" s="759">
        <v>74</v>
      </c>
      <c r="D54" s="759">
        <v>2024</v>
      </c>
      <c r="E54" s="759" t="s">
        <v>741</v>
      </c>
      <c r="F54">
        <f>AVERAGE(C52:C54)</f>
        <v>76.666666666666671</v>
      </c>
      <c r="H54" s="759"/>
      <c r="I54" s="759"/>
      <c r="J54" s="759"/>
    </row>
    <row r="55" spans="2:15" x14ac:dyDescent="0.35">
      <c r="B55" s="884">
        <f t="shared" si="3"/>
        <v>45673</v>
      </c>
      <c r="C55" s="759">
        <v>66</v>
      </c>
      <c r="D55" s="759"/>
      <c r="E55" s="759"/>
      <c r="H55" s="759"/>
      <c r="I55" s="759"/>
      <c r="J55" s="759"/>
    </row>
    <row r="56" spans="2:15" x14ac:dyDescent="0.35">
      <c r="B56" s="884">
        <f t="shared" si="3"/>
        <v>45704</v>
      </c>
      <c r="C56" s="759">
        <v>58</v>
      </c>
      <c r="D56" s="759"/>
      <c r="E56" s="759"/>
      <c r="H56" s="759"/>
      <c r="I56" s="759"/>
      <c r="J56" s="759"/>
    </row>
    <row r="57" spans="2:15" x14ac:dyDescent="0.35">
      <c r="B57" s="884">
        <f t="shared" si="3"/>
        <v>45735</v>
      </c>
      <c r="C57" s="759">
        <v>58</v>
      </c>
      <c r="D57" s="759">
        <v>2025</v>
      </c>
      <c r="E57" s="759" t="s">
        <v>228</v>
      </c>
      <c r="F57">
        <f>AVERAGE(C55:C57)</f>
        <v>60.666666666666664</v>
      </c>
      <c r="H57" s="759"/>
      <c r="I57" s="759"/>
      <c r="J57" s="759"/>
    </row>
    <row r="58" spans="2:15" x14ac:dyDescent="0.35">
      <c r="B58" s="884"/>
      <c r="C58" s="885">
        <v>50</v>
      </c>
      <c r="D58" s="759"/>
      <c r="E58" s="759"/>
      <c r="H58" s="759"/>
      <c r="I58" s="759"/>
      <c r="J58" s="759"/>
    </row>
    <row r="59" spans="2:15" x14ac:dyDescent="0.35">
      <c r="B59" s="884"/>
      <c r="C59" s="885">
        <v>48</v>
      </c>
      <c r="D59" s="759"/>
      <c r="E59" s="759"/>
      <c r="H59" s="759"/>
      <c r="I59" s="759"/>
      <c r="J59" s="759"/>
    </row>
    <row r="60" spans="2:15" x14ac:dyDescent="0.35">
      <c r="B60" s="759"/>
      <c r="C60" s="885">
        <v>48</v>
      </c>
      <c r="D60" s="759">
        <v>2025</v>
      </c>
      <c r="E60" s="759" t="s">
        <v>229</v>
      </c>
      <c r="F60">
        <f>AVERAGE(C58:C60)</f>
        <v>48.666666666666664</v>
      </c>
      <c r="H60" s="759"/>
      <c r="I60" s="759"/>
      <c r="J60" s="759"/>
    </row>
    <row r="61" spans="2:15" x14ac:dyDescent="0.35">
      <c r="B61" s="759"/>
      <c r="C61" s="759">
        <v>40</v>
      </c>
      <c r="D61" s="759"/>
      <c r="E61" s="759"/>
      <c r="H61" s="759"/>
      <c r="I61" s="759"/>
      <c r="J61" s="759"/>
    </row>
    <row r="62" spans="2:15" x14ac:dyDescent="0.35">
      <c r="B62" s="759"/>
      <c r="C62" s="885">
        <v>30</v>
      </c>
      <c r="D62" s="759"/>
      <c r="E62" s="759"/>
      <c r="H62" s="759"/>
      <c r="I62" s="759"/>
      <c r="J62" s="759"/>
    </row>
    <row r="63" spans="2:15" x14ac:dyDescent="0.35">
      <c r="B63" s="759"/>
      <c r="C63" s="885">
        <v>20</v>
      </c>
      <c r="D63" s="759"/>
      <c r="E63" s="759"/>
      <c r="F63">
        <f>AVERAGE(C61:C63)</f>
        <v>30</v>
      </c>
      <c r="H63" s="759"/>
      <c r="I63" s="759"/>
      <c r="J63" s="759"/>
    </row>
    <row r="64" spans="2:15" x14ac:dyDescent="0.35">
      <c r="B64" s="759"/>
      <c r="C64" s="759"/>
      <c r="D64" s="759"/>
      <c r="E64" s="759"/>
      <c r="H64" s="759"/>
      <c r="I64" s="759"/>
      <c r="J64" s="759"/>
    </row>
    <row r="65" spans="2:10" x14ac:dyDescent="0.35">
      <c r="B65" s="759"/>
      <c r="C65" s="883"/>
      <c r="D65" s="886"/>
      <c r="E65" s="883"/>
      <c r="H65" s="759"/>
      <c r="I65" s="759"/>
      <c r="J65" s="759"/>
    </row>
    <row r="66" spans="2:10" x14ac:dyDescent="0.35">
      <c r="B66" s="759"/>
      <c r="C66" s="759"/>
      <c r="D66" s="759"/>
      <c r="E66" s="759"/>
      <c r="F66" t="e">
        <f>AVERAGE(C64:C66)</f>
        <v>#DIV/0!</v>
      </c>
      <c r="H66" s="759"/>
      <c r="I66" s="759"/>
      <c r="J66" s="759"/>
    </row>
    <row r="67" spans="2:10" x14ac:dyDescent="0.35">
      <c r="B67" s="759"/>
      <c r="C67" s="759"/>
      <c r="D67" s="284"/>
      <c r="E67" s="759"/>
      <c r="H67" s="759"/>
      <c r="I67" s="759"/>
      <c r="J67" s="759"/>
    </row>
    <row r="68" spans="2:10" x14ac:dyDescent="0.35">
      <c r="B68" s="759"/>
      <c r="C68" s="759"/>
      <c r="D68" s="284"/>
      <c r="E68" s="284"/>
      <c r="H68" s="759"/>
      <c r="I68" s="759"/>
      <c r="J68" s="759"/>
    </row>
    <row r="69" spans="2:10" x14ac:dyDescent="0.35">
      <c r="B69" s="887"/>
      <c r="C69" s="888"/>
      <c r="D69" s="889"/>
      <c r="E69" s="759"/>
      <c r="H69" s="759"/>
      <c r="I69" s="759"/>
      <c r="J69" s="759"/>
    </row>
    <row r="70" spans="2:10" x14ac:dyDescent="0.35">
      <c r="B70" s="284" t="s">
        <v>1892</v>
      </c>
      <c r="C70" s="284"/>
      <c r="D70" s="889"/>
      <c r="E70" s="759"/>
      <c r="H70" s="759"/>
      <c r="I70" s="759"/>
      <c r="J70" s="759"/>
    </row>
    <row r="71" spans="2:10" x14ac:dyDescent="0.35">
      <c r="B71" s="284" t="s">
        <v>1893</v>
      </c>
      <c r="C71" s="284"/>
      <c r="D71" s="889"/>
      <c r="E71" s="759"/>
      <c r="H71" s="759"/>
      <c r="I71" s="759"/>
      <c r="J71" s="759"/>
    </row>
    <row r="72" spans="2:10" x14ac:dyDescent="0.35">
      <c r="B72" s="284" t="s">
        <v>1894</v>
      </c>
      <c r="C72" s="284"/>
      <c r="D72" s="889"/>
      <c r="E72" s="759"/>
      <c r="H72" s="759"/>
      <c r="I72" s="759"/>
      <c r="J72" s="759"/>
    </row>
    <row r="73" spans="2:10" x14ac:dyDescent="0.35">
      <c r="B73" s="284" t="s">
        <v>1895</v>
      </c>
      <c r="C73" s="284"/>
      <c r="D73" s="889"/>
      <c r="E73" s="759"/>
      <c r="H73" s="759" t="s">
        <v>1896</v>
      </c>
      <c r="I73" s="759"/>
      <c r="J73" s="759"/>
    </row>
    <row r="74" spans="2:10" x14ac:dyDescent="0.35">
      <c r="B74" s="284" t="s">
        <v>1897</v>
      </c>
      <c r="C74" s="284"/>
      <c r="D74" s="889"/>
      <c r="E74" s="759"/>
      <c r="H74" s="759" t="s">
        <v>1898</v>
      </c>
      <c r="I74" s="759"/>
      <c r="J74" s="759"/>
    </row>
    <row r="75" spans="2:10" x14ac:dyDescent="0.35">
      <c r="B75" s="284" t="s">
        <v>1805</v>
      </c>
      <c r="C75" s="284"/>
      <c r="D75" s="759"/>
      <c r="E75" s="759"/>
      <c r="H75" s="759"/>
      <c r="I75" s="759"/>
      <c r="J75" s="759"/>
    </row>
    <row r="76" spans="2:10" x14ac:dyDescent="0.35">
      <c r="B76" s="759"/>
      <c r="C76" s="759"/>
      <c r="D76" s="759"/>
      <c r="E76" s="759"/>
      <c r="H76" s="759"/>
      <c r="I76" s="759"/>
      <c r="J76" s="759"/>
    </row>
    <row r="77" spans="2:10" x14ac:dyDescent="0.35">
      <c r="B77" s="284" t="s">
        <v>1899</v>
      </c>
      <c r="C77" s="284" t="s">
        <v>1900</v>
      </c>
      <c r="D77" s="759"/>
      <c r="E77" s="759"/>
      <c r="H77" s="759"/>
      <c r="I77" s="759"/>
      <c r="J77" s="759"/>
    </row>
    <row r="78" spans="2:10" x14ac:dyDescent="0.35">
      <c r="B78" s="759"/>
      <c r="C78" s="759"/>
      <c r="D78" s="759"/>
      <c r="E78" s="759"/>
      <c r="H78" s="759"/>
      <c r="I78" s="759"/>
      <c r="J78" s="759"/>
    </row>
    <row r="79" spans="2:10" x14ac:dyDescent="0.35">
      <c r="B79" s="284" t="s">
        <v>1901</v>
      </c>
      <c r="C79" s="284"/>
      <c r="D79" s="759"/>
      <c r="E79" s="759"/>
      <c r="H79" s="759"/>
      <c r="I79" s="759"/>
      <c r="J79" s="759"/>
    </row>
    <row r="80" spans="2:10" x14ac:dyDescent="0.35">
      <c r="B80" s="284" t="s">
        <v>1806</v>
      </c>
      <c r="C80" s="284" t="s">
        <v>1899</v>
      </c>
      <c r="D80" s="759"/>
      <c r="E80" s="759"/>
      <c r="H80" s="759"/>
      <c r="I80" s="759"/>
      <c r="J80" s="759"/>
    </row>
    <row r="81" spans="2:10" x14ac:dyDescent="0.35">
      <c r="B81" s="890">
        <v>42736</v>
      </c>
      <c r="C81" s="889">
        <v>234.95833333333334</v>
      </c>
      <c r="D81" s="759"/>
      <c r="E81" s="759"/>
      <c r="F81">
        <f>C81/C86</f>
        <v>0.67510619244417414</v>
      </c>
      <c r="H81" s="759"/>
      <c r="I81" s="759"/>
      <c r="J81" s="759"/>
    </row>
    <row r="82" spans="2:10" x14ac:dyDescent="0.35">
      <c r="B82" s="890">
        <v>43101</v>
      </c>
      <c r="C82" s="889">
        <v>247.02500000000001</v>
      </c>
      <c r="D82" s="759"/>
      <c r="E82" s="759"/>
      <c r="H82" s="759"/>
      <c r="I82" s="759"/>
      <c r="J82" s="759"/>
    </row>
    <row r="83" spans="2:10" x14ac:dyDescent="0.35">
      <c r="B83" s="890">
        <v>43466</v>
      </c>
      <c r="C83" s="889">
        <v>251.27500000000001</v>
      </c>
      <c r="D83" s="759"/>
      <c r="E83" s="759"/>
      <c r="H83" s="759"/>
      <c r="I83" s="759"/>
      <c r="J83" s="759"/>
    </row>
    <row r="84" spans="2:10" x14ac:dyDescent="0.35">
      <c r="B84" s="890">
        <v>43831</v>
      </c>
      <c r="C84" s="889">
        <v>256.94166666666666</v>
      </c>
      <c r="D84" s="759"/>
      <c r="E84" s="759"/>
      <c r="H84" s="759"/>
      <c r="I84" s="759"/>
      <c r="J84" s="759"/>
    </row>
    <row r="85" spans="2:10" x14ac:dyDescent="0.35">
      <c r="B85" s="890">
        <v>44197</v>
      </c>
      <c r="C85" s="889">
        <v>298.95841666666666</v>
      </c>
      <c r="D85" s="759"/>
      <c r="E85" s="759"/>
      <c r="H85" s="759"/>
      <c r="I85" s="759"/>
      <c r="J85" s="759"/>
    </row>
    <row r="86" spans="2:10" x14ac:dyDescent="0.35">
      <c r="B86" s="890">
        <v>44562</v>
      </c>
      <c r="C86" s="889">
        <v>348.03166666666669</v>
      </c>
      <c r="D86" s="759"/>
      <c r="E86" s="759"/>
      <c r="H86" s="759"/>
      <c r="I86" s="759"/>
      <c r="J86" s="759"/>
    </row>
    <row r="87" spans="2:10" x14ac:dyDescent="0.35">
      <c r="B87" s="890">
        <v>44927</v>
      </c>
      <c r="C87" s="889">
        <v>351.04091666666665</v>
      </c>
      <c r="D87" s="759"/>
      <c r="E87" s="759"/>
      <c r="H87" s="759"/>
      <c r="I87" s="759"/>
      <c r="J87" s="759"/>
    </row>
    <row r="88" spans="2:10" x14ac:dyDescent="0.35">
      <c r="B88" s="890">
        <v>45292</v>
      </c>
      <c r="C88" s="284">
        <v>0</v>
      </c>
      <c r="D88" s="759"/>
      <c r="E88" s="759"/>
      <c r="H88" s="759"/>
      <c r="I88" s="759"/>
      <c r="J88" s="75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Y8" sqref="Y8"/>
    </sheetView>
  </sheetViews>
  <sheetFormatPr defaultColWidth="10.90625" defaultRowHeight="14.5" x14ac:dyDescent="0.35"/>
  <cols>
    <col min="3" max="3" width="16.26953125" customWidth="1"/>
    <col min="4" max="23" width="16.26953125" hidden="1" customWidth="1"/>
  </cols>
  <sheetData>
    <row r="1" spans="2:35" x14ac:dyDescent="0.35">
      <c r="B1" t="s">
        <v>2020</v>
      </c>
    </row>
    <row r="2" spans="2:35" x14ac:dyDescent="0.35">
      <c r="B2" t="s">
        <v>2020</v>
      </c>
    </row>
    <row r="3" spans="2:35" x14ac:dyDescent="0.35">
      <c r="B3" t="s">
        <v>2020</v>
      </c>
    </row>
    <row r="4" spans="2:35" x14ac:dyDescent="0.35">
      <c r="B4" t="s">
        <v>2020</v>
      </c>
    </row>
    <row r="5" spans="2:35" x14ac:dyDescent="0.35">
      <c r="B5" t="s">
        <v>2020</v>
      </c>
    </row>
    <row r="6" spans="2:35" x14ac:dyDescent="0.35">
      <c r="B6" s="1510" t="s">
        <v>299</v>
      </c>
      <c r="C6" s="1511"/>
      <c r="D6" s="1411">
        <v>2020</v>
      </c>
      <c r="E6" s="1411"/>
      <c r="F6" s="1411"/>
      <c r="G6" s="1412"/>
      <c r="H6" s="1411">
        <v>2021</v>
      </c>
      <c r="I6" s="1411"/>
      <c r="J6" s="1411"/>
      <c r="K6" s="1412"/>
      <c r="L6" s="1411">
        <v>2022</v>
      </c>
      <c r="M6" s="1411"/>
      <c r="N6" s="1411"/>
      <c r="O6" s="1412"/>
      <c r="P6" s="1411">
        <v>2023</v>
      </c>
      <c r="Q6" s="1411"/>
      <c r="R6" s="1411"/>
      <c r="S6" s="1412"/>
      <c r="T6" s="1411">
        <v>2024</v>
      </c>
      <c r="U6" s="1411"/>
      <c r="V6" s="1411"/>
      <c r="W6" s="1412"/>
      <c r="X6" s="1411">
        <v>2025</v>
      </c>
      <c r="Y6" s="1411"/>
      <c r="Z6" s="1411"/>
      <c r="AA6" s="1412"/>
      <c r="AB6" s="1410">
        <v>2026</v>
      </c>
      <c r="AC6" s="1411"/>
      <c r="AD6" s="1411"/>
      <c r="AE6" s="1412"/>
      <c r="AF6" s="1410">
        <v>2027</v>
      </c>
      <c r="AG6" s="1411"/>
      <c r="AH6" s="1411"/>
      <c r="AI6" s="1412"/>
    </row>
    <row r="7" spans="2:35" x14ac:dyDescent="0.35">
      <c r="B7" s="898"/>
      <c r="C7" s="899"/>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2021</v>
      </c>
      <c r="C8" s="119"/>
      <c r="D8" s="896">
        <v>0</v>
      </c>
      <c r="E8" s="896">
        <v>0</v>
      </c>
      <c r="F8" s="896">
        <v>0</v>
      </c>
      <c r="G8" s="896">
        <v>0</v>
      </c>
      <c r="H8" s="896">
        <v>0</v>
      </c>
      <c r="I8" s="896">
        <v>0</v>
      </c>
      <c r="J8" s="896">
        <v>0</v>
      </c>
      <c r="K8" s="896">
        <v>0</v>
      </c>
      <c r="L8" s="896">
        <v>0</v>
      </c>
      <c r="M8" s="896">
        <v>0</v>
      </c>
      <c r="N8" s="896">
        <v>0</v>
      </c>
      <c r="O8" s="896">
        <v>0</v>
      </c>
      <c r="P8" s="896">
        <v>0</v>
      </c>
      <c r="Q8" s="896">
        <v>0</v>
      </c>
      <c r="R8" s="896">
        <v>0</v>
      </c>
      <c r="S8" s="896">
        <v>0</v>
      </c>
      <c r="T8" s="896">
        <v>0</v>
      </c>
      <c r="U8" s="896">
        <v>0</v>
      </c>
      <c r="V8" s="896">
        <v>0</v>
      </c>
      <c r="W8" s="896">
        <v>0</v>
      </c>
      <c r="X8" s="896">
        <v>0</v>
      </c>
      <c r="Y8" s="896">
        <v>-0.2</v>
      </c>
      <c r="Z8" s="896">
        <v>0</v>
      </c>
      <c r="AA8" s="896">
        <v>0</v>
      </c>
      <c r="AB8" s="896">
        <v>0</v>
      </c>
      <c r="AC8" s="896">
        <v>0</v>
      </c>
      <c r="AD8" s="896">
        <v>0</v>
      </c>
      <c r="AE8" s="896">
        <v>0</v>
      </c>
      <c r="AF8" s="896">
        <v>0</v>
      </c>
      <c r="AG8" s="896">
        <v>0</v>
      </c>
      <c r="AH8" s="896">
        <v>0</v>
      </c>
      <c r="AI8" s="285"/>
    </row>
    <row r="9" spans="2:35" x14ac:dyDescent="0.35">
      <c r="B9" s="53" t="s">
        <v>2014</v>
      </c>
      <c r="C9" s="44"/>
      <c r="D9" s="896">
        <v>0</v>
      </c>
      <c r="E9" s="896">
        <v>0</v>
      </c>
      <c r="F9" s="896">
        <v>0</v>
      </c>
      <c r="G9" s="896">
        <v>0</v>
      </c>
      <c r="H9" s="896">
        <v>0</v>
      </c>
      <c r="I9" s="896">
        <v>0</v>
      </c>
      <c r="J9" s="896">
        <v>0</v>
      </c>
      <c r="K9" s="896">
        <v>0</v>
      </c>
      <c r="L9" s="896">
        <v>0</v>
      </c>
      <c r="M9" s="896">
        <v>0</v>
      </c>
      <c r="N9" s="896">
        <v>0</v>
      </c>
      <c r="O9" s="896">
        <v>0</v>
      </c>
      <c r="P9" s="896">
        <v>0</v>
      </c>
      <c r="Q9" s="896">
        <v>0</v>
      </c>
      <c r="R9" s="896">
        <v>0</v>
      </c>
      <c r="S9" s="896">
        <v>0</v>
      </c>
      <c r="T9" s="896">
        <v>0</v>
      </c>
      <c r="U9" s="896">
        <v>0</v>
      </c>
      <c r="V9" s="896">
        <v>0</v>
      </c>
      <c r="W9" s="896">
        <v>0</v>
      </c>
      <c r="X9" s="232">
        <v>0</v>
      </c>
      <c r="Y9" s="894">
        <v>0</v>
      </c>
      <c r="Z9" s="894">
        <v>0</v>
      </c>
      <c r="AA9" s="894">
        <v>0</v>
      </c>
      <c r="AB9" s="895">
        <v>0.06</v>
      </c>
      <c r="AC9" s="895">
        <v>0.06</v>
      </c>
      <c r="AD9" s="895">
        <v>0.06</v>
      </c>
      <c r="AE9" s="895">
        <v>0.06</v>
      </c>
      <c r="AF9" s="895">
        <v>0.06</v>
      </c>
      <c r="AG9" s="895">
        <v>0.06</v>
      </c>
      <c r="AI9" s="897"/>
    </row>
    <row r="10" spans="2:35" x14ac:dyDescent="0.35">
      <c r="B10" s="280" t="s">
        <v>278</v>
      </c>
      <c r="C10" s="43"/>
      <c r="D10" s="900">
        <f t="shared" ref="D10:AB10" si="0">D8+D9</f>
        <v>0</v>
      </c>
      <c r="E10" s="901">
        <f t="shared" si="0"/>
        <v>0</v>
      </c>
      <c r="F10" s="901">
        <f t="shared" si="0"/>
        <v>0</v>
      </c>
      <c r="G10" s="901">
        <f t="shared" si="0"/>
        <v>0</v>
      </c>
      <c r="H10" s="900">
        <f t="shared" si="0"/>
        <v>0</v>
      </c>
      <c r="I10" s="901">
        <f t="shared" si="0"/>
        <v>0</v>
      </c>
      <c r="J10" s="901">
        <f t="shared" si="0"/>
        <v>0</v>
      </c>
      <c r="K10" s="901">
        <f t="shared" si="0"/>
        <v>0</v>
      </c>
      <c r="L10" s="900">
        <f t="shared" si="0"/>
        <v>0</v>
      </c>
      <c r="M10" s="901">
        <f t="shared" si="0"/>
        <v>0</v>
      </c>
      <c r="N10" s="901">
        <f t="shared" si="0"/>
        <v>0</v>
      </c>
      <c r="O10" s="901">
        <f t="shared" si="0"/>
        <v>0</v>
      </c>
      <c r="P10" s="900">
        <f t="shared" si="0"/>
        <v>0</v>
      </c>
      <c r="Q10" s="901">
        <f t="shared" si="0"/>
        <v>0</v>
      </c>
      <c r="R10" s="901">
        <f t="shared" si="0"/>
        <v>0</v>
      </c>
      <c r="S10" s="901">
        <f t="shared" si="0"/>
        <v>0</v>
      </c>
      <c r="T10" s="900">
        <f t="shared" si="0"/>
        <v>0</v>
      </c>
      <c r="U10" s="901">
        <f t="shared" si="0"/>
        <v>0</v>
      </c>
      <c r="V10" s="901">
        <f t="shared" si="0"/>
        <v>0</v>
      </c>
      <c r="W10" s="901">
        <f t="shared" si="0"/>
        <v>0</v>
      </c>
      <c r="X10" s="900">
        <f t="shared" si="0"/>
        <v>0</v>
      </c>
      <c r="Y10" s="901">
        <f t="shared" si="0"/>
        <v>-0.2</v>
      </c>
      <c r="Z10" s="901">
        <f t="shared" si="0"/>
        <v>0</v>
      </c>
      <c r="AA10" s="901">
        <f t="shared" si="0"/>
        <v>0</v>
      </c>
      <c r="AB10" s="901">
        <f t="shared" si="0"/>
        <v>0.06</v>
      </c>
      <c r="AC10" s="901">
        <f t="shared" ref="AC10:AH10" si="1">AC8+AC9</f>
        <v>0.06</v>
      </c>
      <c r="AD10" s="901">
        <f t="shared" si="1"/>
        <v>0.06</v>
      </c>
      <c r="AE10" s="901">
        <f t="shared" si="1"/>
        <v>0.06</v>
      </c>
      <c r="AF10" s="901">
        <f>AF8+AF9</f>
        <v>0.06</v>
      </c>
      <c r="AG10" s="901">
        <f t="shared" si="1"/>
        <v>0.06</v>
      </c>
      <c r="AH10" s="901">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58"/>
  <sheetViews>
    <sheetView tabSelected="1" topLeftCell="C1" zoomScaleNormal="100" workbookViewId="0">
      <pane xSplit="2" ySplit="7" topLeftCell="AB8" activePane="bottomRight" state="frozen"/>
      <selection activeCell="C1" sqref="C1"/>
      <selection pane="topRight" activeCell="E1" sqref="E1"/>
      <selection pane="bottomLeft" activeCell="C8" sqref="C8"/>
      <selection pane="bottomRight" activeCell="AE20" sqref="AE20"/>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15" t="s">
        <v>49</v>
      </c>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4:57" ht="14.25" customHeight="1" x14ac:dyDescent="0.35">
      <c r="D2" s="317" t="s">
        <v>866</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24"/>
      <c r="AE3" s="647"/>
      <c r="AG3" s="134"/>
      <c r="AH3" s="134"/>
      <c r="AI3" s="647"/>
      <c r="AK3" s="134"/>
      <c r="AM3" s="647"/>
    </row>
    <row r="4" spans="4:57" x14ac:dyDescent="0.35">
      <c r="D4" s="962" t="s">
        <v>299</v>
      </c>
      <c r="W4" s="44"/>
      <c r="AD4" s="934"/>
      <c r="AE4" s="82"/>
      <c r="AI4" s="77"/>
      <c r="AJ4" s="88"/>
      <c r="AL4" s="88"/>
      <c r="AM4" s="119"/>
      <c r="AN4" s="82"/>
    </row>
    <row r="5" spans="4:57" x14ac:dyDescent="0.35">
      <c r="D5" s="1417" t="s">
        <v>369</v>
      </c>
      <c r="E5" s="1418"/>
      <c r="F5" s="1521" t="s">
        <v>246</v>
      </c>
      <c r="G5" s="1522"/>
      <c r="H5" s="1522"/>
      <c r="I5" s="1522"/>
      <c r="J5" s="1522"/>
      <c r="K5" s="1522"/>
      <c r="L5" s="1522"/>
      <c r="M5" s="1522"/>
      <c r="N5" s="1522"/>
      <c r="O5" s="1522"/>
      <c r="P5" s="1522"/>
      <c r="Q5" s="1522"/>
      <c r="R5" s="1522"/>
      <c r="S5" s="1522"/>
      <c r="T5" s="1522"/>
      <c r="U5" s="1522"/>
      <c r="V5" s="1522"/>
      <c r="W5" s="1522"/>
      <c r="X5" s="1522"/>
      <c r="Y5" s="1522"/>
      <c r="Z5" s="1522"/>
      <c r="AA5" s="1522"/>
      <c r="AB5" s="1523"/>
      <c r="AC5" s="259"/>
      <c r="AD5" s="260"/>
      <c r="AE5" s="260"/>
      <c r="AF5" s="260"/>
      <c r="AG5" s="1397" t="s">
        <v>247</v>
      </c>
      <c r="AH5" s="1398"/>
      <c r="AI5" s="1398"/>
      <c r="AJ5" s="1398"/>
      <c r="AK5" s="1398"/>
      <c r="AL5" s="1398"/>
      <c r="AM5" s="1398"/>
      <c r="AN5" s="1399"/>
      <c r="AO5" s="1046"/>
      <c r="AP5" s="1046"/>
      <c r="AQ5" s="1046"/>
      <c r="AR5" s="1046"/>
      <c r="AS5" s="1046"/>
      <c r="AT5" s="1046"/>
      <c r="AU5" s="1046"/>
      <c r="AV5" s="1046"/>
      <c r="AW5" s="1046"/>
      <c r="AX5" s="1046"/>
      <c r="AY5" s="1046"/>
      <c r="AZ5" s="1046"/>
      <c r="BA5" s="1046"/>
      <c r="BB5" s="1046"/>
      <c r="BC5" s="1046"/>
      <c r="BD5" s="1046"/>
      <c r="BE5" s="1046"/>
    </row>
    <row r="6" spans="4:57" x14ac:dyDescent="0.35">
      <c r="D6" s="1419"/>
      <c r="E6" s="1465"/>
      <c r="F6" s="1423">
        <v>2019</v>
      </c>
      <c r="G6" s="1424"/>
      <c r="H6" s="1425"/>
      <c r="I6" s="1424">
        <v>2020</v>
      </c>
      <c r="J6" s="1424"/>
      <c r="K6" s="1424"/>
      <c r="L6" s="1424"/>
      <c r="M6" s="1403">
        <v>2021</v>
      </c>
      <c r="N6" s="1413"/>
      <c r="O6" s="1413"/>
      <c r="P6" s="1413"/>
      <c r="Q6" s="1403">
        <v>2022</v>
      </c>
      <c r="R6" s="1404"/>
      <c r="S6" s="1404"/>
      <c r="T6" s="1405"/>
      <c r="U6" s="1403">
        <v>2023</v>
      </c>
      <c r="V6" s="1404"/>
      <c r="W6" s="1404"/>
      <c r="X6" s="1405"/>
      <c r="Y6" s="1403">
        <v>2024</v>
      </c>
      <c r="Z6" s="1413"/>
      <c r="AA6" s="1413"/>
      <c r="AB6" s="1405"/>
      <c r="AC6" s="1403">
        <v>2025</v>
      </c>
      <c r="AD6" s="1413"/>
      <c r="AE6" s="1413"/>
      <c r="AF6" s="1405"/>
      <c r="AG6" s="1410">
        <v>2026</v>
      </c>
      <c r="AH6" s="1411"/>
      <c r="AI6" s="1411"/>
      <c r="AJ6" s="1412"/>
      <c r="AK6" s="1410">
        <v>2027</v>
      </c>
      <c r="AL6" s="1411"/>
      <c r="AM6" s="1411"/>
      <c r="AN6" s="1412"/>
      <c r="AO6" s="1004"/>
      <c r="AP6" s="1004"/>
      <c r="AQ6" s="1004"/>
      <c r="AR6" s="1004"/>
      <c r="AS6" s="1004"/>
      <c r="AT6" s="1004"/>
      <c r="AU6" s="1004"/>
      <c r="AV6" s="1004"/>
      <c r="AW6" s="1004"/>
      <c r="AX6" s="1004"/>
      <c r="AY6" s="1004"/>
      <c r="AZ6" s="1004"/>
      <c r="BA6" s="1004"/>
      <c r="BB6" s="1004"/>
      <c r="BC6" s="1004"/>
      <c r="BD6" s="1004"/>
    </row>
    <row r="7" spans="4:57" x14ac:dyDescent="0.35">
      <c r="D7" s="1421"/>
      <c r="E7" s="1466"/>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28"/>
      <c r="AP7" s="1028"/>
      <c r="AQ7" s="1028"/>
      <c r="AR7" s="1028"/>
      <c r="AS7" s="1028"/>
      <c r="AT7" s="1028"/>
      <c r="AU7" s="1028"/>
      <c r="AV7" s="1028"/>
      <c r="AW7" s="1028"/>
      <c r="AX7" s="1028"/>
      <c r="AY7" s="1028"/>
      <c r="AZ7" s="1028"/>
      <c r="BA7" s="1028"/>
      <c r="BB7" s="1028"/>
      <c r="BC7" s="1028"/>
      <c r="BD7" s="1028"/>
    </row>
    <row r="8" spans="4:57" x14ac:dyDescent="0.35">
      <c r="D8" s="974" t="s">
        <v>431</v>
      </c>
      <c r="E8" s="75"/>
      <c r="F8" s="989"/>
      <c r="G8" s="972"/>
      <c r="H8" s="972"/>
      <c r="I8" s="972"/>
      <c r="J8" s="972"/>
      <c r="K8" s="972"/>
      <c r="L8" s="972"/>
      <c r="M8" s="972"/>
      <c r="N8" s="972"/>
      <c r="O8" s="972"/>
      <c r="P8" s="972"/>
      <c r="Q8" s="972"/>
      <c r="R8" s="972"/>
      <c r="S8" s="972"/>
      <c r="T8" s="972"/>
      <c r="U8" s="972"/>
      <c r="V8" s="972"/>
      <c r="W8" s="972"/>
      <c r="X8" s="972"/>
      <c r="Y8" s="972"/>
      <c r="Z8" s="972"/>
      <c r="AA8" s="972"/>
      <c r="AB8" s="972"/>
      <c r="AC8" s="972"/>
      <c r="AD8" s="972"/>
      <c r="AE8" s="972"/>
      <c r="AF8" s="972"/>
      <c r="AG8" s="917"/>
      <c r="AH8" s="917"/>
      <c r="AI8" s="917"/>
      <c r="AJ8" s="917"/>
      <c r="AK8" s="987"/>
      <c r="AL8" s="917"/>
      <c r="AM8" s="917"/>
      <c r="AN8" s="917"/>
      <c r="AO8" s="840"/>
      <c r="AP8" s="840"/>
      <c r="AQ8" s="840"/>
      <c r="AR8" s="840"/>
      <c r="AS8" s="840"/>
      <c r="AT8" s="840"/>
      <c r="AU8" s="840"/>
      <c r="AV8" s="840"/>
      <c r="AW8" s="840"/>
      <c r="AX8" s="840"/>
      <c r="AY8" s="840"/>
      <c r="AZ8" s="840"/>
      <c r="BA8" s="840"/>
      <c r="BB8" s="840"/>
      <c r="BC8" s="840"/>
      <c r="BD8" s="840"/>
    </row>
    <row r="9" spans="4:57" ht="14.9" customHeight="1" x14ac:dyDescent="0.35">
      <c r="D9" s="616" t="s">
        <v>446</v>
      </c>
      <c r="E9" s="973"/>
      <c r="F9" s="990">
        <f>SUM(F10:F15)</f>
        <v>3259.3999999999996</v>
      </c>
      <c r="G9" s="1055">
        <f>SUM(G10:G15)</f>
        <v>3286.9</v>
      </c>
      <c r="H9" s="1055">
        <f>SUM(H10:H15)</f>
        <v>3343.3</v>
      </c>
      <c r="I9" s="1055">
        <f>SUM(I10:I15)</f>
        <v>3391.7</v>
      </c>
      <c r="J9" s="1055">
        <f>SUM(J10:J15)</f>
        <v>3135.4999999999995</v>
      </c>
      <c r="K9" s="1055">
        <f>SUM(K10:K15)</f>
        <v>3319.2000000000003</v>
      </c>
      <c r="L9" s="1055">
        <f>SUM(L10:L15)</f>
        <v>3478.2</v>
      </c>
      <c r="M9" s="1055">
        <f>SUM(M10:M15)</f>
        <v>3641.3</v>
      </c>
      <c r="N9" s="1055">
        <f>SUM(N10:N15)</f>
        <v>3796.8</v>
      </c>
      <c r="O9" s="1055">
        <f>SUM(O10:O15)</f>
        <v>3918.8</v>
      </c>
      <c r="P9" s="1055">
        <f>SUM(P10:P15)</f>
        <v>4047.1</v>
      </c>
      <c r="Q9" s="1055">
        <f>SUM(Q10:Q15)</f>
        <v>4448.1000000000004</v>
      </c>
      <c r="R9" s="1055">
        <f>SUM(R10:R15)</f>
        <v>4479.0999999999995</v>
      </c>
      <c r="S9" s="1055">
        <f>SUM(S10:S15)</f>
        <v>4539</v>
      </c>
      <c r="T9" s="1055">
        <f>SUM(T10,T13,T15)</f>
        <v>4511</v>
      </c>
      <c r="U9" s="1055">
        <f>SUM(U10,U13,U15)</f>
        <v>4191.5</v>
      </c>
      <c r="V9" s="1055">
        <f>SUM(V10,V13,V15)</f>
        <v>4210.6000000000004</v>
      </c>
      <c r="W9" s="1055">
        <f>SUM(W10,W13,W15)</f>
        <v>4257.8999999999996</v>
      </c>
      <c r="X9" s="1055">
        <f>SUM(X10,X13,X15)</f>
        <v>4302.2</v>
      </c>
      <c r="Y9" s="1055">
        <f>SUM(Y10,Y13,Y15)</f>
        <v>4390.8</v>
      </c>
      <c r="Z9" s="1055">
        <f>SUM(Z10,Z13,Z15)</f>
        <v>4456.5</v>
      </c>
      <c r="AA9" s="1055">
        <f>SUM(AA10,AA13,AA15)</f>
        <v>4526.8</v>
      </c>
      <c r="AB9" s="1055">
        <f>SUM(AB10,AB13,AB15)</f>
        <v>4590.2999999999993</v>
      </c>
      <c r="AC9" s="1055">
        <f>SUM(AC10,AC13,AC15)</f>
        <v>4710.9000000000005</v>
      </c>
      <c r="AD9" s="1055">
        <f>SUM(AD10,AD13,AD15)</f>
        <v>4925.5</v>
      </c>
      <c r="AE9" s="1055">
        <f>SUM(AE10,AE13,AE15)</f>
        <v>5048.3999999999996</v>
      </c>
      <c r="AF9" s="1055">
        <f>SUM(AF10,AF13,AF15)</f>
        <v>5136.9000000000005</v>
      </c>
      <c r="AG9" s="1055">
        <f>SUM(AG10,AG13,AG15)</f>
        <v>5083.4035395912024</v>
      </c>
      <c r="AH9" s="1055">
        <f>SUM(AH10,AH13,AH15)</f>
        <v>5104.382523722551</v>
      </c>
      <c r="AI9" s="1055">
        <f>SUM(AI10,AI13,AI15)</f>
        <v>5143.5171824534737</v>
      </c>
      <c r="AJ9" s="1055">
        <f>SUM(AJ10,AJ13,AJ15)</f>
        <v>5172.4494522309542</v>
      </c>
      <c r="AK9" s="1055">
        <f>SUM(AK10,AK13,AK15)</f>
        <v>5414.3876569918202</v>
      </c>
      <c r="AL9" s="1055">
        <f>SUM(AL10,AL13,AL15)</f>
        <v>5444.6542243154609</v>
      </c>
      <c r="AM9" s="1055">
        <f>SUM(AM10,AM13,AM15)</f>
        <v>5475.1712566780307</v>
      </c>
      <c r="AN9" s="1055">
        <f>SUM(AN10,AN13,AN15)</f>
        <v>5505.1727179686422</v>
      </c>
      <c r="AO9" s="936">
        <f>AJ10/AF10-1</f>
        <v>-1.4346398298025642E-2</v>
      </c>
      <c r="AP9" s="936">
        <f>AK10/AG10-1</f>
        <v>9.8335658097223888E-2</v>
      </c>
      <c r="AQ9" s="936">
        <f>AL10/AH10-1</f>
        <v>9.8335658097223666E-2</v>
      </c>
      <c r="AR9" s="936">
        <f>AM10/AI10-1</f>
        <v>9.8335658097223666E-2</v>
      </c>
      <c r="AS9" s="936">
        <f>AN10/AJ10-1</f>
        <v>9.8335658097223666E-2</v>
      </c>
      <c r="AV9" s="1048"/>
      <c r="AW9" s="1048"/>
      <c r="AX9" s="1048"/>
      <c r="AY9" s="1048"/>
      <c r="AZ9" s="1048"/>
      <c r="BA9" s="1048"/>
      <c r="BB9" s="1048"/>
      <c r="BC9" s="1048"/>
      <c r="BD9" s="1048"/>
    </row>
    <row r="10" spans="4:57" x14ac:dyDescent="0.35">
      <c r="D10" s="649" t="s">
        <v>1949</v>
      </c>
      <c r="E10" s="59" t="s">
        <v>103</v>
      </c>
      <c r="F10" s="991">
        <f>'Haver Pivoted'!GQ27</f>
        <v>1686.7</v>
      </c>
      <c r="G10" s="991">
        <f>'Haver Pivoted'!GR27</f>
        <v>1699.8</v>
      </c>
      <c r="H10" s="991">
        <f>'Haver Pivoted'!GS27</f>
        <v>1736.2</v>
      </c>
      <c r="I10" s="991">
        <f>'Haver Pivoted'!GT27</f>
        <v>1755</v>
      </c>
      <c r="J10" s="991">
        <f>'Haver Pivoted'!GU27</f>
        <v>1621.8</v>
      </c>
      <c r="K10" s="991">
        <f>'Haver Pivoted'!GV27</f>
        <v>1736.7</v>
      </c>
      <c r="L10" s="991">
        <f>'Haver Pivoted'!GW27</f>
        <v>1850.3</v>
      </c>
      <c r="M10" s="991">
        <f>'Haver Pivoted'!GX27</f>
        <v>1993.7</v>
      </c>
      <c r="N10" s="991">
        <f>'Haver Pivoted'!GY27</f>
        <v>2093.9</v>
      </c>
      <c r="O10" s="991">
        <f>'Haver Pivoted'!GZ27</f>
        <v>2176.1</v>
      </c>
      <c r="P10" s="991">
        <f>'Haver Pivoted'!HA27</f>
        <v>2246.8000000000002</v>
      </c>
      <c r="Q10" s="991">
        <f>'Haver Pivoted'!HB27</f>
        <v>2595.5</v>
      </c>
      <c r="R10" s="991">
        <f>'Haver Pivoted'!HC27</f>
        <v>2600.4</v>
      </c>
      <c r="S10" s="991">
        <f>'Haver Pivoted'!HD27</f>
        <v>2626.1</v>
      </c>
      <c r="T10" s="991">
        <f>'Haver Pivoted'!HE27</f>
        <v>2599.4</v>
      </c>
      <c r="U10" s="991">
        <f>'Haver Pivoted'!HF27</f>
        <v>2265.6</v>
      </c>
      <c r="V10" s="991">
        <f>'Haver Pivoted'!HG27</f>
        <v>2262.6</v>
      </c>
      <c r="W10" s="991">
        <f>'Haver Pivoted'!HH27</f>
        <v>2282.4</v>
      </c>
      <c r="X10" s="991">
        <f>'Haver Pivoted'!HI27</f>
        <v>2303.6</v>
      </c>
      <c r="Y10" s="991">
        <f>'Haver Pivoted'!HJ27</f>
        <v>2343</v>
      </c>
      <c r="Z10" s="991">
        <f>'Haver Pivoted'!HK27</f>
        <v>2383.8000000000002</v>
      </c>
      <c r="AA10" s="991">
        <f>'Haver Pivoted'!HL27</f>
        <v>2423.4</v>
      </c>
      <c r="AB10" s="991">
        <f>'Haver Pivoted'!HM27</f>
        <v>2462.8000000000002</v>
      </c>
      <c r="AC10" s="991">
        <f>'Haver Pivoted'!HN27</f>
        <v>2538.3000000000002</v>
      </c>
      <c r="AD10" s="991">
        <f>'Haver Pivoted'!HO27</f>
        <v>2571.9</v>
      </c>
      <c r="AE10" s="991">
        <f>'Haver Pivoted'!HP27</f>
        <v>2616</v>
      </c>
      <c r="AF10" s="991">
        <f>'Haver Pivoted'!HQ27</f>
        <v>2653.1</v>
      </c>
      <c r="AG10" s="1026">
        <f>AC10*(1+M62)+AG11+AG12</f>
        <v>2584.0900978915665</v>
      </c>
      <c r="AH10" s="1056">
        <f>AG10*(1.016)^0.25+AH11+AH12</f>
        <v>2594.3650126652187</v>
      </c>
      <c r="AI10" s="1056">
        <f>AH10*(1.016)^0.25+AI11+AI12</f>
        <v>2604.6807827765742</v>
      </c>
      <c r="AJ10" s="1056">
        <f>AI10*(1.016)^0.25+AJ11+AJ12</f>
        <v>2615.0375706755081</v>
      </c>
      <c r="AK10" s="1026">
        <f>AG10*(1+N62)+AK11+AK12</f>
        <v>2838.1982982502532</v>
      </c>
      <c r="AL10" s="1056">
        <f>AK10*(1.016)^0.25+AL11+AL12</f>
        <v>2849.483603530065</v>
      </c>
      <c r="AM10" s="1056">
        <f>AL10*(1.016)^0.25+AM11+AM12</f>
        <v>2860.8137816841004</v>
      </c>
      <c r="AN10" s="1056">
        <f>AM10*(1.016)^0.25+AN11+AN12</f>
        <v>2872.1890111368493</v>
      </c>
      <c r="AO10" s="1020"/>
      <c r="AP10" s="1020"/>
      <c r="AV10" s="840"/>
      <c r="AW10" s="840"/>
      <c r="AX10" s="840"/>
      <c r="AY10" s="840"/>
      <c r="AZ10" s="840"/>
      <c r="BA10" s="840"/>
      <c r="BB10" s="840"/>
      <c r="BC10" s="840"/>
      <c r="BD10" s="840"/>
    </row>
    <row r="11" spans="4:57" x14ac:dyDescent="0.35">
      <c r="D11" s="1005" t="s">
        <v>1932</v>
      </c>
      <c r="E11" s="59"/>
      <c r="F11" s="992"/>
      <c r="G11" s="1008"/>
      <c r="H11" s="1008"/>
      <c r="I11" s="1008"/>
      <c r="J11" s="1008"/>
      <c r="K11" s="1008"/>
      <c r="L11" s="1008"/>
      <c r="M11" s="1008"/>
      <c r="N11" s="1008"/>
      <c r="O11" s="1008"/>
      <c r="P11" s="1008"/>
      <c r="Q11" s="1008"/>
      <c r="R11" s="1008"/>
      <c r="S11" s="1008"/>
      <c r="T11" s="1008"/>
      <c r="U11" s="1008"/>
      <c r="V11" s="1008"/>
      <c r="W11" s="1008"/>
      <c r="X11" s="1008"/>
      <c r="Y11" s="935"/>
      <c r="Z11" s="935"/>
      <c r="AA11" s="935"/>
      <c r="AB11" s="935"/>
      <c r="AC11" s="935"/>
      <c r="AD11" s="935"/>
      <c r="AE11" s="935"/>
      <c r="AF11" s="935"/>
      <c r="AG11" s="1056"/>
      <c r="AH11" s="1056"/>
      <c r="AI11" s="1056"/>
      <c r="AJ11" s="1056"/>
      <c r="AK11" s="1056"/>
      <c r="AL11" s="1056"/>
      <c r="AM11" s="1056"/>
      <c r="AN11" s="1056"/>
      <c r="AO11" s="1020"/>
      <c r="AP11" s="1020">
        <v>-116</v>
      </c>
      <c r="AQ11">
        <v>0</v>
      </c>
      <c r="AR11">
        <v>-380</v>
      </c>
      <c r="AS11">
        <v>0</v>
      </c>
      <c r="AT11">
        <v>0</v>
      </c>
      <c r="AU11">
        <v>0</v>
      </c>
      <c r="AV11" s="840">
        <v>-55</v>
      </c>
      <c r="AW11" s="840">
        <v>0</v>
      </c>
      <c r="AX11" s="840">
        <v>0</v>
      </c>
      <c r="AY11" s="840">
        <v>0</v>
      </c>
      <c r="AZ11" s="840"/>
      <c r="BA11" s="840"/>
      <c r="BB11" s="840"/>
      <c r="BC11" s="840"/>
      <c r="BD11" s="840"/>
    </row>
    <row r="12" spans="4:57" x14ac:dyDescent="0.35">
      <c r="D12" s="649" t="s">
        <v>1701</v>
      </c>
      <c r="E12" s="59"/>
      <c r="F12" s="993"/>
      <c r="G12" s="994"/>
      <c r="H12" s="994"/>
      <c r="I12" s="994"/>
      <c r="J12" s="994"/>
      <c r="K12" s="994"/>
      <c r="L12" s="994"/>
      <c r="M12" s="994"/>
      <c r="N12" s="994"/>
      <c r="O12" s="994"/>
      <c r="P12" s="994"/>
      <c r="Q12" s="994"/>
      <c r="R12" s="994"/>
      <c r="S12" s="970"/>
      <c r="T12" s="970">
        <v>46</v>
      </c>
      <c r="U12" s="970">
        <v>-5</v>
      </c>
      <c r="V12" s="970">
        <v>12</v>
      </c>
      <c r="W12" s="970">
        <v>67</v>
      </c>
      <c r="X12" s="970">
        <v>7</v>
      </c>
      <c r="Y12" s="970">
        <v>-205</v>
      </c>
      <c r="Z12" s="970">
        <v>47</v>
      </c>
      <c r="AA12" s="970">
        <v>17</v>
      </c>
      <c r="AB12" s="970">
        <v>10</v>
      </c>
      <c r="AC12" s="970">
        <v>-32</v>
      </c>
      <c r="AD12" s="970">
        <v>42</v>
      </c>
      <c r="AE12" s="970">
        <v>155</v>
      </c>
      <c r="AF12" s="970">
        <v>54</v>
      </c>
      <c r="AG12" s="970">
        <v>-45</v>
      </c>
      <c r="AH12" s="970">
        <v>0</v>
      </c>
      <c r="AI12" s="970">
        <v>0</v>
      </c>
      <c r="AJ12" s="970">
        <v>0</v>
      </c>
      <c r="AK12" s="970">
        <v>70</v>
      </c>
      <c r="AL12" s="970">
        <v>0</v>
      </c>
      <c r="AM12" s="970">
        <v>0</v>
      </c>
      <c r="AN12" s="970">
        <v>0</v>
      </c>
      <c r="AO12" s="1020"/>
      <c r="AP12" s="1020"/>
      <c r="AV12" s="840"/>
      <c r="AW12" s="840"/>
      <c r="AX12" s="840"/>
      <c r="AY12" s="840"/>
      <c r="AZ12" s="840"/>
      <c r="BA12" s="840"/>
      <c r="BB12" s="840"/>
      <c r="BC12" s="840"/>
      <c r="BD12" s="840"/>
    </row>
    <row r="13" spans="4:57" x14ac:dyDescent="0.35">
      <c r="D13" s="649" t="s">
        <v>448</v>
      </c>
      <c r="E13" s="56" t="s">
        <v>109</v>
      </c>
      <c r="F13" s="991">
        <f>'Haver Pivoted'!GQ30</f>
        <v>1403.5</v>
      </c>
      <c r="G13" s="991">
        <f>'Haver Pivoted'!GR30</f>
        <v>1410.3</v>
      </c>
      <c r="H13" s="991">
        <f>'Haver Pivoted'!GS30</f>
        <v>1428.2</v>
      </c>
      <c r="I13" s="991">
        <f>'Haver Pivoted'!GT30</f>
        <v>1453.2</v>
      </c>
      <c r="J13" s="991">
        <f>'Haver Pivoted'!GU30</f>
        <v>1383.6</v>
      </c>
      <c r="K13" s="991">
        <f>'Haver Pivoted'!GV30</f>
        <v>1432.9</v>
      </c>
      <c r="L13" s="991">
        <f>'Haver Pivoted'!GW30</f>
        <v>1469.7</v>
      </c>
      <c r="M13" s="991">
        <f>'Haver Pivoted'!GX30</f>
        <v>1486.4</v>
      </c>
      <c r="N13" s="991">
        <f>'Haver Pivoted'!GY30</f>
        <v>1521.6</v>
      </c>
      <c r="O13" s="991">
        <f>'Haver Pivoted'!GZ30</f>
        <v>1558.7</v>
      </c>
      <c r="P13" s="991">
        <f>'Haver Pivoted'!HA30</f>
        <v>1604.6</v>
      </c>
      <c r="Q13" s="991">
        <f>'Haver Pivoted'!HB30</f>
        <v>1645.8</v>
      </c>
      <c r="R13" s="991">
        <f>'Haver Pivoted'!HC30</f>
        <v>1668</v>
      </c>
      <c r="S13" s="991">
        <f>'Haver Pivoted'!HD30</f>
        <v>1712</v>
      </c>
      <c r="T13" s="991">
        <f>'Haver Pivoted'!HE30</f>
        <v>1723</v>
      </c>
      <c r="U13" s="991">
        <f>'Haver Pivoted'!HF30</f>
        <v>1745.3</v>
      </c>
      <c r="V13" s="991">
        <f>'Haver Pivoted'!HG30</f>
        <v>1770.4</v>
      </c>
      <c r="W13" s="991">
        <f>'Haver Pivoted'!HH30</f>
        <v>1800.5</v>
      </c>
      <c r="X13" s="991">
        <f>'Haver Pivoted'!HI30</f>
        <v>1823.9</v>
      </c>
      <c r="Y13" s="991">
        <f>'Haver Pivoted'!HJ30</f>
        <v>1866.3</v>
      </c>
      <c r="Z13" s="991">
        <f>'Haver Pivoted'!HK30</f>
        <v>1892.8</v>
      </c>
      <c r="AA13" s="991">
        <f>'Haver Pivoted'!HL30</f>
        <v>1914.2</v>
      </c>
      <c r="AB13" s="991">
        <f>'Haver Pivoted'!HM30</f>
        <v>1937.6</v>
      </c>
      <c r="AC13" s="991">
        <f>'Haver Pivoted'!HN30</f>
        <v>1974</v>
      </c>
      <c r="AD13" s="991">
        <f>'Haver Pivoted'!HO30</f>
        <v>1982.9</v>
      </c>
      <c r="AE13" s="991">
        <f>'Haver Pivoted'!HP30</f>
        <v>1998.2</v>
      </c>
      <c r="AF13" s="991">
        <f>'Haver Pivoted'!HQ30</f>
        <v>2016.7</v>
      </c>
      <c r="AG13" s="1026">
        <f>AF13*(1+M64)^0.25+AG14</f>
        <v>2025.8305596284558</v>
      </c>
      <c r="AH13" s="1056">
        <f>AG13*(1+M64)^0.25+AH14</f>
        <v>2048.0613148211</v>
      </c>
      <c r="AI13" s="1056">
        <f>AH13*(1+M64)^0.25+AI14</f>
        <v>2070.5360225368645</v>
      </c>
      <c r="AJ13" s="1056">
        <f>AI13*(1+N64)^0.25+AJ14</f>
        <v>2090.3760939297413</v>
      </c>
      <c r="AK13" s="1026">
        <f>AJ13*(1+N64)^0.25+AK14</f>
        <v>2110.4062747573685</v>
      </c>
      <c r="AL13" s="1056">
        <f>AK13*(1+N64)^0.25+AL14</f>
        <v>2130.6283866662743</v>
      </c>
      <c r="AM13" s="1056">
        <f>AL13*(1+N64)^0.25+AM14</f>
        <v>2151.0442687581767</v>
      </c>
      <c r="AN13" s="1056">
        <f>AM13*(1+O64)^0.25+AN14</f>
        <v>2171.4461921519373</v>
      </c>
      <c r="AO13" s="1020"/>
      <c r="AP13" s="1020"/>
      <c r="AV13" s="840"/>
      <c r="AW13" s="840"/>
      <c r="AX13" s="840"/>
      <c r="AY13" s="840"/>
      <c r="AZ13" s="840"/>
      <c r="BA13" s="840"/>
      <c r="BB13" s="840"/>
      <c r="BC13" s="840"/>
      <c r="BD13" s="840"/>
    </row>
    <row r="14" spans="4:57" x14ac:dyDescent="0.35">
      <c r="D14" s="649" t="s">
        <v>1684</v>
      </c>
      <c r="E14" s="56"/>
      <c r="F14" s="992"/>
      <c r="G14" s="1008"/>
      <c r="H14" s="1008"/>
      <c r="I14" s="1008"/>
      <c r="J14" s="1008"/>
      <c r="K14" s="1008"/>
      <c r="L14" s="1008"/>
      <c r="M14" s="1008"/>
      <c r="N14" s="1008"/>
      <c r="O14" s="1008"/>
      <c r="P14" s="1008"/>
      <c r="Q14" s="1008"/>
      <c r="R14" s="1008"/>
      <c r="S14" s="1008"/>
      <c r="T14" s="1056"/>
      <c r="U14" s="1056">
        <v>8</v>
      </c>
      <c r="V14" s="1056">
        <v>-10</v>
      </c>
      <c r="W14" s="1056">
        <v>-5</v>
      </c>
      <c r="X14" s="1056">
        <v>-6</v>
      </c>
      <c r="Y14" s="1056">
        <v>21</v>
      </c>
      <c r="Z14" s="1056">
        <v>5</v>
      </c>
      <c r="AA14" s="1056">
        <v>-10</v>
      </c>
      <c r="AB14" s="1056"/>
      <c r="AC14" s="1056">
        <v>5</v>
      </c>
      <c r="AD14" s="1056">
        <v>4</v>
      </c>
      <c r="AE14" s="1056">
        <v>-2</v>
      </c>
      <c r="AF14" s="1056">
        <v>-6</v>
      </c>
      <c r="AG14" s="1056">
        <v>-13</v>
      </c>
      <c r="AH14" s="1056"/>
      <c r="AI14" s="1056"/>
      <c r="AJ14" s="1056"/>
      <c r="AK14" s="1056"/>
      <c r="AL14" s="1056"/>
      <c r="AM14" s="1056"/>
      <c r="AN14" s="1056"/>
      <c r="AO14" s="1020"/>
      <c r="AP14" s="1020"/>
      <c r="AV14" s="840"/>
      <c r="AW14" s="840"/>
      <c r="AX14" s="840"/>
      <c r="AY14" s="840"/>
      <c r="AZ14" s="840"/>
      <c r="BA14" s="840"/>
      <c r="BB14" s="840"/>
      <c r="BC14" s="840"/>
      <c r="BD14" s="840"/>
    </row>
    <row r="15" spans="4:57" x14ac:dyDescent="0.35">
      <c r="D15" s="649" t="s">
        <v>449</v>
      </c>
      <c r="E15" s="59" t="s">
        <v>105</v>
      </c>
      <c r="F15" s="995">
        <f>F16+F17</f>
        <v>169.2</v>
      </c>
      <c r="G15" s="996">
        <f>G16+G17</f>
        <v>176.8</v>
      </c>
      <c r="H15" s="996">
        <f>H16+H17</f>
        <v>178.9</v>
      </c>
      <c r="I15" s="996">
        <f>I16+I17</f>
        <v>183.5</v>
      </c>
      <c r="J15" s="996">
        <f>J16+J17</f>
        <v>130.1</v>
      </c>
      <c r="K15" s="996">
        <f>K16+K17</f>
        <v>149.60000000000002</v>
      </c>
      <c r="L15" s="996">
        <f>L16+L17</f>
        <v>158.19999999999999</v>
      </c>
      <c r="M15" s="996">
        <f>M16+M17</f>
        <v>161.19999999999999</v>
      </c>
      <c r="N15" s="996">
        <f>N16+N17</f>
        <v>181.3</v>
      </c>
      <c r="O15" s="996">
        <f>O16+O17</f>
        <v>184</v>
      </c>
      <c r="P15" s="996">
        <f>P16+P17</f>
        <v>195.7</v>
      </c>
      <c r="Q15" s="996">
        <f>Q16+Q17</f>
        <v>206.8</v>
      </c>
      <c r="R15" s="996">
        <f>R16+R17</f>
        <v>210.7</v>
      </c>
      <c r="S15" s="996">
        <f>S16+S17</f>
        <v>200.9</v>
      </c>
      <c r="T15" s="996">
        <f>T16+T17</f>
        <v>188.6</v>
      </c>
      <c r="U15" s="996">
        <f>U16+U17</f>
        <v>180.60000000000002</v>
      </c>
      <c r="V15" s="996">
        <f>V16+V17</f>
        <v>177.6</v>
      </c>
      <c r="W15" s="996">
        <f>W16+W17</f>
        <v>175</v>
      </c>
      <c r="X15" s="996">
        <f>X16+X17</f>
        <v>174.7</v>
      </c>
      <c r="Y15" s="996">
        <f>Y16+Y17</f>
        <v>181.5</v>
      </c>
      <c r="Z15" s="996">
        <f>Z16+Z17</f>
        <v>179.9</v>
      </c>
      <c r="AA15" s="996">
        <f>AA16+AA17</f>
        <v>189.2</v>
      </c>
      <c r="AB15" s="996">
        <f>AB16+AB17</f>
        <v>189.89999999999998</v>
      </c>
      <c r="AC15" s="996">
        <f>AC16+AC17</f>
        <v>198.6</v>
      </c>
      <c r="AD15" s="996">
        <f>AD16+AD17</f>
        <v>370.7</v>
      </c>
      <c r="AE15" s="996">
        <f>AE16+AE17+AE18</f>
        <v>434.2</v>
      </c>
      <c r="AF15" s="996">
        <f>AF16+AF17+AF18</f>
        <v>467.1</v>
      </c>
      <c r="AG15" s="996">
        <f>AG16+AG17+AG18</f>
        <v>473.48288207117986</v>
      </c>
      <c r="AH15" s="996">
        <f>AH16+AH17</f>
        <v>461.95619623623196</v>
      </c>
      <c r="AI15" s="996">
        <f>AI16+AI17+AI18</f>
        <v>468.30037714003453</v>
      </c>
      <c r="AJ15" s="996">
        <f>AJ16+AJ17+AJ18</f>
        <v>467.03578762570476</v>
      </c>
      <c r="AK15" s="996">
        <f>AK16+AK17+AK18</f>
        <v>465.78308398419824</v>
      </c>
      <c r="AL15" s="996">
        <f>AL16+AL17+AL18</f>
        <v>464.5422341191213</v>
      </c>
      <c r="AM15" s="996">
        <f>AM16+AM17+AM18</f>
        <v>463.3132062357538</v>
      </c>
      <c r="AN15" s="996">
        <f>AN16+AN17+AN18</f>
        <v>461.5375146798562</v>
      </c>
      <c r="AO15" s="1020"/>
      <c r="AP15" s="1020"/>
      <c r="AV15" s="840"/>
      <c r="AW15" s="840"/>
      <c r="AX15" s="840"/>
      <c r="AY15" s="840"/>
      <c r="AZ15" s="840"/>
      <c r="BA15" s="840"/>
      <c r="BB15" s="840"/>
      <c r="BC15" s="840"/>
      <c r="BD15" s="840"/>
    </row>
    <row r="16" spans="4:57" x14ac:dyDescent="0.35">
      <c r="D16" s="649" t="s">
        <v>1945</v>
      </c>
      <c r="E16" s="59" t="s">
        <v>1947</v>
      </c>
      <c r="F16" s="542">
        <f>'Haver Pivoted'!GQ90</f>
        <v>70</v>
      </c>
      <c r="G16" s="542">
        <f>'Haver Pivoted'!GR90</f>
        <v>79.900000000000006</v>
      </c>
      <c r="H16" s="542">
        <f>'Haver Pivoted'!GS90</f>
        <v>85.4</v>
      </c>
      <c r="I16" s="542">
        <f>'Haver Pivoted'!GT90</f>
        <v>79.5</v>
      </c>
      <c r="J16" s="542">
        <f>'Haver Pivoted'!GU90</f>
        <v>55.4</v>
      </c>
      <c r="K16" s="542">
        <f>'Haver Pivoted'!GV90</f>
        <v>66.400000000000006</v>
      </c>
      <c r="L16" s="542">
        <f>'Haver Pivoted'!GW90</f>
        <v>73.2</v>
      </c>
      <c r="M16" s="542">
        <f>'Haver Pivoted'!GX90</f>
        <v>80.7</v>
      </c>
      <c r="N16" s="542">
        <f>'Haver Pivoted'!GY90</f>
        <v>89.8</v>
      </c>
      <c r="O16" s="542">
        <f>'Haver Pivoted'!GZ90</f>
        <v>89.2</v>
      </c>
      <c r="P16" s="542">
        <f>'Haver Pivoted'!HA90</f>
        <v>96.6</v>
      </c>
      <c r="Q16" s="542">
        <f>'Haver Pivoted'!HB90</f>
        <v>107.4</v>
      </c>
      <c r="R16" s="542">
        <f>'Haver Pivoted'!HC90</f>
        <v>110.2</v>
      </c>
      <c r="S16" s="542">
        <f>'Haver Pivoted'!HD90</f>
        <v>101.7</v>
      </c>
      <c r="T16" s="542">
        <f>'Haver Pivoted'!HE90</f>
        <v>90.1</v>
      </c>
      <c r="U16" s="542">
        <f>'Haver Pivoted'!HF90</f>
        <v>84.4</v>
      </c>
      <c r="V16" s="542">
        <f>'Haver Pivoted'!HG90</f>
        <v>83.5</v>
      </c>
      <c r="W16" s="542">
        <f>'Haver Pivoted'!HH90</f>
        <v>79.5</v>
      </c>
      <c r="X16" s="542">
        <f>'Haver Pivoted'!HI90</f>
        <v>79.099999999999994</v>
      </c>
      <c r="Y16" s="542">
        <f>'Haver Pivoted'!HJ90</f>
        <v>82.3</v>
      </c>
      <c r="Z16" s="542">
        <f>'Haver Pivoted'!HK90</f>
        <v>78.900000000000006</v>
      </c>
      <c r="AA16" s="542">
        <f>'Haver Pivoted'!HL90</f>
        <v>85.9</v>
      </c>
      <c r="AB16" s="542">
        <f>'Haver Pivoted'!HM90</f>
        <v>87.2</v>
      </c>
      <c r="AC16" s="542">
        <f>'Haver Pivoted'!HN90</f>
        <v>97</v>
      </c>
      <c r="AD16" s="542">
        <f>'Haver Pivoted'!HO90</f>
        <v>267.7</v>
      </c>
      <c r="AE16" s="542">
        <f>'Haver Pivoted'!HP90</f>
        <v>331.4</v>
      </c>
      <c r="AF16" s="542">
        <f>'Haver Pivoted'!HQ90</f>
        <v>364.3</v>
      </c>
      <c r="AG16" s="998">
        <f>AF16*(1+0.05)^0.25+AG18</f>
        <v>368.77077500249902</v>
      </c>
      <c r="AH16" s="998">
        <f t="shared" ref="AH16:AI16" si="0">AG16*(1+0.05)^0.25+AH18</f>
        <v>355.29641640390821</v>
      </c>
      <c r="AI16" s="998">
        <f t="shared" si="0"/>
        <v>359.65669731781458</v>
      </c>
      <c r="AJ16" s="998">
        <f>AI16*(1-0.02)^0.25</f>
        <v>357.84476715873535</v>
      </c>
      <c r="AK16" s="998">
        <f t="shared" ref="AK16:AN16" si="1">AJ16*(1-0.02)^0.25</f>
        <v>356.04196540161797</v>
      </c>
      <c r="AL16" s="998">
        <f t="shared" si="1"/>
        <v>354.24824605808811</v>
      </c>
      <c r="AM16" s="998">
        <f t="shared" si="1"/>
        <v>352.46356337145829</v>
      </c>
      <c r="AN16" s="998">
        <f t="shared" si="1"/>
        <v>350.6878718155607</v>
      </c>
      <c r="AO16" s="1020"/>
      <c r="AP16" s="542">
        <f>'Haver Pivoted'!IA90</f>
        <v>0</v>
      </c>
      <c r="AQ16" s="997">
        <f>AP16+89</f>
        <v>89</v>
      </c>
      <c r="AR16" s="998">
        <f>AQ16+60</f>
        <v>149</v>
      </c>
      <c r="AS16" s="998">
        <f>AR16*(1.038)^0.25</f>
        <v>150.39576488822217</v>
      </c>
      <c r="AT16" s="998">
        <f t="shared" ref="AT16" si="2">AS16*(1.038)^0.25</f>
        <v>151.80460467324431</v>
      </c>
      <c r="AU16" s="998">
        <f t="shared" ref="AU16" si="3">AT16*(1.038)^0.25</f>
        <v>153.22664183481052</v>
      </c>
      <c r="AV16" s="998">
        <f t="shared" ref="AV16" si="4">AU16*(1.038)^0.25</f>
        <v>154.66199999999995</v>
      </c>
      <c r="AW16" s="998">
        <f t="shared" ref="AW16" si="5">AV16*(1.038)^0.25</f>
        <v>156.11080395397457</v>
      </c>
      <c r="AX16" s="998">
        <f t="shared" ref="AX16" si="6">AW16*(1.038)^0.25</f>
        <v>157.57317965082754</v>
      </c>
      <c r="AY16" s="998">
        <f t="shared" ref="AY16" si="7">AX16*(1.038)^0.25</f>
        <v>159.04925422453326</v>
      </c>
      <c r="AZ16" s="998">
        <f t="shared" ref="AZ16" si="8">AY16*(1.038)^0.25</f>
        <v>160.53915599999988</v>
      </c>
      <c r="BA16" s="840"/>
      <c r="BB16" s="840"/>
      <c r="BC16" s="840"/>
      <c r="BD16" s="840"/>
    </row>
    <row r="17" spans="4:78" x14ac:dyDescent="0.35">
      <c r="D17" s="649" t="s">
        <v>1946</v>
      </c>
      <c r="E17" s="59" t="s">
        <v>1948</v>
      </c>
      <c r="F17" s="542">
        <f>'Haver Pivoted'!GQ91+'Haver Pivoted'!GQ92</f>
        <v>99.2</v>
      </c>
      <c r="G17" s="542">
        <f>'Haver Pivoted'!GR91+'Haver Pivoted'!GR92</f>
        <v>96.899999999999991</v>
      </c>
      <c r="H17" s="542">
        <f>'Haver Pivoted'!GS91+'Haver Pivoted'!GS92</f>
        <v>93.5</v>
      </c>
      <c r="I17" s="542">
        <f>'Haver Pivoted'!GT91+'Haver Pivoted'!GT92</f>
        <v>104</v>
      </c>
      <c r="J17" s="542">
        <f>'Haver Pivoted'!GU91+'Haver Pivoted'!GU92</f>
        <v>74.7</v>
      </c>
      <c r="K17" s="542">
        <f>'Haver Pivoted'!GV91+'Haver Pivoted'!GV92</f>
        <v>83.2</v>
      </c>
      <c r="L17" s="542">
        <f>'Haver Pivoted'!GW91+'Haver Pivoted'!GW92</f>
        <v>85</v>
      </c>
      <c r="M17" s="542">
        <f>'Haver Pivoted'!GX91+'Haver Pivoted'!GX92</f>
        <v>80.5</v>
      </c>
      <c r="N17" s="542">
        <f>'Haver Pivoted'!GY91+'Haver Pivoted'!GY92</f>
        <v>91.5</v>
      </c>
      <c r="O17" s="542">
        <f>'Haver Pivoted'!GZ91+'Haver Pivoted'!GZ92</f>
        <v>94.800000000000011</v>
      </c>
      <c r="P17" s="542">
        <f>'Haver Pivoted'!HA91+'Haver Pivoted'!HA92</f>
        <v>99.100000000000009</v>
      </c>
      <c r="Q17" s="542">
        <f>'Haver Pivoted'!HB91+'Haver Pivoted'!HB92</f>
        <v>99.4</v>
      </c>
      <c r="R17" s="542">
        <f>'Haver Pivoted'!HC91+'Haver Pivoted'!HC92</f>
        <v>100.5</v>
      </c>
      <c r="S17" s="542">
        <f>'Haver Pivoted'!HD91+'Haver Pivoted'!HD92</f>
        <v>99.2</v>
      </c>
      <c r="T17" s="542">
        <f>'Haver Pivoted'!HE91+'Haver Pivoted'!HE92</f>
        <v>98.5</v>
      </c>
      <c r="U17" s="542">
        <f>'Haver Pivoted'!HF91+'Haver Pivoted'!HF92</f>
        <v>96.2</v>
      </c>
      <c r="V17" s="542">
        <f>'Haver Pivoted'!HG91+'Haver Pivoted'!HG92</f>
        <v>94.1</v>
      </c>
      <c r="W17" s="542">
        <f>'Haver Pivoted'!HH91+'Haver Pivoted'!HH92</f>
        <v>95.5</v>
      </c>
      <c r="X17" s="542">
        <f>'Haver Pivoted'!HI91+'Haver Pivoted'!HI92</f>
        <v>95.6</v>
      </c>
      <c r="Y17" s="542">
        <f>'Haver Pivoted'!HJ91+'Haver Pivoted'!HJ92</f>
        <v>99.199999999999989</v>
      </c>
      <c r="Z17" s="542">
        <f>'Haver Pivoted'!HK91+'Haver Pivoted'!HK92</f>
        <v>101</v>
      </c>
      <c r="AA17" s="542">
        <f>'Haver Pivoted'!HL91+'Haver Pivoted'!HL92</f>
        <v>103.3</v>
      </c>
      <c r="AB17" s="542">
        <f>'Haver Pivoted'!HM91+'Haver Pivoted'!HM92</f>
        <v>102.69999999999999</v>
      </c>
      <c r="AC17" s="542">
        <f>'Haver Pivoted'!HN91+'Haver Pivoted'!HN92</f>
        <v>101.6</v>
      </c>
      <c r="AD17" s="542">
        <f>'Haver Pivoted'!HO91+'Haver Pivoted'!HO92</f>
        <v>103</v>
      </c>
      <c r="AE17" s="542">
        <f>'Haver Pivoted'!HP91+'Haver Pivoted'!HP92</f>
        <v>102.8</v>
      </c>
      <c r="AF17" s="542">
        <f>'Haver Pivoted'!HQ91+'Haver Pivoted'!HQ92</f>
        <v>102.8</v>
      </c>
      <c r="AG17" s="998">
        <f>AF17*(1+$M$67)^0.25</f>
        <v>104.71210706868085</v>
      </c>
      <c r="AH17" s="998">
        <f>AG17*(1+$M$67)^0.25</f>
        <v>106.65977983232376</v>
      </c>
      <c r="AI17" s="998">
        <f>AH17*(1+$M$67)^0.25</f>
        <v>108.64367982221997</v>
      </c>
      <c r="AJ17" s="998">
        <f>AI17*(1+$N$67)^0.25</f>
        <v>109.19102046696938</v>
      </c>
      <c r="AK17" s="998">
        <f>AJ17*(1+$N$67)^0.25</f>
        <v>109.74111858258028</v>
      </c>
      <c r="AL17" s="998">
        <f>AK17*(1+$N$67)^0.25</f>
        <v>110.29398806103316</v>
      </c>
      <c r="AM17" s="998">
        <f>AL17*(1+$N$67)^0.25</f>
        <v>110.84964286429549</v>
      </c>
      <c r="AN17" s="998">
        <f>AM17*(1+$O$67)^0.25</f>
        <v>110.84964286429549</v>
      </c>
      <c r="AO17" s="1020"/>
      <c r="AP17" s="1020"/>
      <c r="AV17" s="840"/>
      <c r="AW17" s="840"/>
      <c r="AX17" s="840"/>
      <c r="AY17" s="840"/>
      <c r="AZ17" s="840"/>
      <c r="BA17" s="840"/>
      <c r="BB17" s="840"/>
      <c r="BC17" s="840"/>
      <c r="BD17" s="840"/>
    </row>
    <row r="18" spans="4:78" x14ac:dyDescent="0.35">
      <c r="D18" s="1043" t="s">
        <v>2008</v>
      </c>
      <c r="E18" s="1044"/>
      <c r="F18" s="993"/>
      <c r="G18" s="994"/>
      <c r="H18" s="994"/>
      <c r="I18" s="994"/>
      <c r="J18" s="994"/>
      <c r="K18" s="994"/>
      <c r="L18" s="994"/>
      <c r="M18" s="994"/>
      <c r="N18" s="994"/>
      <c r="O18" s="994"/>
      <c r="P18" s="994"/>
      <c r="Q18" s="994"/>
      <c r="R18" s="994"/>
      <c r="S18" s="970"/>
      <c r="T18" s="970"/>
      <c r="U18" s="970"/>
      <c r="V18" s="970"/>
      <c r="W18" s="970"/>
      <c r="X18" s="970"/>
      <c r="Y18" s="970"/>
      <c r="Z18" s="970"/>
      <c r="AA18" s="970"/>
      <c r="AB18" s="970"/>
      <c r="AC18" s="970"/>
      <c r="AD18" s="970"/>
      <c r="AE18" s="970"/>
      <c r="AF18" s="970"/>
      <c r="AG18" s="970"/>
      <c r="AH18" s="970">
        <v>-18</v>
      </c>
      <c r="AI18" s="970"/>
      <c r="AJ18" s="970"/>
      <c r="AK18" s="970"/>
      <c r="AL18" s="970"/>
      <c r="AM18" s="970"/>
      <c r="AN18" s="970"/>
      <c r="AO18" s="1020"/>
      <c r="AP18" s="1020"/>
      <c r="AV18" s="840"/>
      <c r="AW18" s="840"/>
      <c r="AX18" s="840"/>
      <c r="AY18" s="840"/>
      <c r="AZ18" s="840"/>
      <c r="BA18" s="840"/>
      <c r="BB18" s="840"/>
      <c r="BC18" s="840"/>
      <c r="BD18" s="840"/>
    </row>
    <row r="19" spans="4:78" ht="14.9" customHeight="1" x14ac:dyDescent="0.35">
      <c r="D19" s="937" t="s">
        <v>2056</v>
      </c>
      <c r="E19" s="1041" t="s">
        <v>107</v>
      </c>
      <c r="F19" s="999">
        <f>'Haver Pivoted'!GQ29</f>
        <v>205.6</v>
      </c>
      <c r="G19" s="999">
        <f>'Haver Pivoted'!GR29</f>
        <v>206.9</v>
      </c>
      <c r="H19" s="999">
        <f>'Haver Pivoted'!GS29</f>
        <v>231.9</v>
      </c>
      <c r="I19" s="999">
        <f>'Haver Pivoted'!GT29</f>
        <v>192.5</v>
      </c>
      <c r="J19" s="999">
        <f>'Haver Pivoted'!GU29</f>
        <v>199.7</v>
      </c>
      <c r="K19" s="999">
        <f>'Haver Pivoted'!GV29</f>
        <v>257.7</v>
      </c>
      <c r="L19" s="999">
        <f>'Haver Pivoted'!GW29</f>
        <v>251</v>
      </c>
      <c r="M19" s="999">
        <f>'Haver Pivoted'!GX29</f>
        <v>280</v>
      </c>
      <c r="N19" s="999">
        <f>'Haver Pivoted'!GY29</f>
        <v>339.3</v>
      </c>
      <c r="O19" s="999">
        <f>'Haver Pivoted'!GZ29</f>
        <v>348.7</v>
      </c>
      <c r="P19" s="999">
        <f>'Haver Pivoted'!HA29</f>
        <v>374</v>
      </c>
      <c r="Q19" s="999">
        <f>'Haver Pivoted'!HB29</f>
        <v>385</v>
      </c>
      <c r="R19" s="999">
        <f>'Haver Pivoted'!HC29</f>
        <v>425.6</v>
      </c>
      <c r="S19" s="999">
        <f>'Haver Pivoted'!HD29</f>
        <v>416.9</v>
      </c>
      <c r="T19" s="999">
        <f>'Haver Pivoted'!HE29</f>
        <v>419.3</v>
      </c>
      <c r="U19" s="999">
        <f>'Haver Pivoted'!HF29</f>
        <v>419.2</v>
      </c>
      <c r="V19" s="999">
        <f>'Haver Pivoted'!HG29</f>
        <v>415.5</v>
      </c>
      <c r="W19" s="999">
        <f>'Haver Pivoted'!HH29</f>
        <v>428.4</v>
      </c>
      <c r="X19" s="999">
        <f>'Haver Pivoted'!HI29</f>
        <v>442.7</v>
      </c>
      <c r="Y19" s="999">
        <f>'Haver Pivoted'!HJ29</f>
        <v>472.3</v>
      </c>
      <c r="Z19" s="999">
        <f>'Haver Pivoted'!HK29</f>
        <v>495.3</v>
      </c>
      <c r="AA19" s="999">
        <f>'Haver Pivoted'!HL29</f>
        <v>490.6</v>
      </c>
      <c r="AB19" s="999">
        <f>'Haver Pivoted'!HM29</f>
        <v>508.6</v>
      </c>
      <c r="AC19" s="999">
        <f>'Haver Pivoted'!HN29</f>
        <v>469.2</v>
      </c>
      <c r="AD19" s="999">
        <f>'Haver Pivoted'!HO29</f>
        <v>469.7</v>
      </c>
      <c r="AE19" s="999">
        <f>'Haver Pivoted'!HP29+AE21</f>
        <v>208.5</v>
      </c>
      <c r="AF19" s="1056">
        <f>AE19*(1+$M$71)^0.25+AF21</f>
        <v>457.71681387337446</v>
      </c>
      <c r="AG19" s="1056">
        <f>AF19*(1+$M$71)^0.25+AG21</f>
        <v>445.02107513037333</v>
      </c>
      <c r="AH19" s="1056">
        <f>AG19*(1+$M$71)^0.25+AH21</f>
        <v>432.67747940975011</v>
      </c>
      <c r="AI19" s="1056">
        <f>AH19*(1+$M$71)^0.25+AI21</f>
        <v>420.67625928396706</v>
      </c>
      <c r="AJ19" s="1056">
        <f>AI19*(1+$M$71)^0.25+AJ21</f>
        <v>439.00791824563726</v>
      </c>
      <c r="AK19" s="1056">
        <f>AJ19*(1+$N71)^0.25+AK21</f>
        <v>443.11183920870417</v>
      </c>
      <c r="AL19" s="1056">
        <f>AK19*(1+$N71)^0.25+AL21</f>
        <v>447.25412432551667</v>
      </c>
      <c r="AM19" s="1056">
        <f>AL19*(1+$N71)^0.25+AM21</f>
        <v>451.43513223073313</v>
      </c>
      <c r="AN19" s="1056">
        <f>AM19*(1+$N71)^0.25+AN21</f>
        <v>455.65522491158993</v>
      </c>
      <c r="AO19" s="1020"/>
      <c r="AP19" s="1020"/>
      <c r="AV19" s="1048"/>
      <c r="AW19" s="1048"/>
      <c r="AX19" s="1048"/>
      <c r="AY19" s="1048"/>
      <c r="AZ19" s="1048"/>
      <c r="BA19" s="1048"/>
      <c r="BB19" s="1048"/>
      <c r="BC19" s="1048"/>
      <c r="BD19" s="1048"/>
    </row>
    <row r="20" spans="4:78" ht="14.9" customHeight="1" x14ac:dyDescent="0.35">
      <c r="D20" s="933" t="s">
        <v>2053</v>
      </c>
      <c r="E20" s="1041" t="s">
        <v>107</v>
      </c>
      <c r="F20" s="999">
        <v>205.6</v>
      </c>
      <c r="G20" s="932">
        <v>206.9</v>
      </c>
      <c r="H20" s="932">
        <v>231.9</v>
      </c>
      <c r="I20" s="932">
        <v>192.5</v>
      </c>
      <c r="J20" s="932">
        <v>199.7</v>
      </c>
      <c r="K20" s="932">
        <v>257.7</v>
      </c>
      <c r="L20" s="932">
        <v>251</v>
      </c>
      <c r="M20" s="932">
        <v>280</v>
      </c>
      <c r="N20" s="932">
        <v>339.3</v>
      </c>
      <c r="O20" s="932">
        <v>348.7</v>
      </c>
      <c r="P20" s="932">
        <v>374</v>
      </c>
      <c r="Q20" s="932">
        <v>385</v>
      </c>
      <c r="R20" s="932">
        <v>425.6</v>
      </c>
      <c r="S20" s="932">
        <v>416.9</v>
      </c>
      <c r="T20" s="932">
        <v>419.3</v>
      </c>
      <c r="U20" s="932">
        <v>419.2</v>
      </c>
      <c r="V20" s="932">
        <v>415.5</v>
      </c>
      <c r="W20" s="932">
        <v>428.4</v>
      </c>
      <c r="X20" s="932">
        <v>442.7</v>
      </c>
      <c r="Y20" s="932">
        <v>472.3</v>
      </c>
      <c r="Z20" s="932">
        <v>495.3</v>
      </c>
      <c r="AA20" s="932">
        <v>490.6</v>
      </c>
      <c r="AB20" s="932">
        <v>508.6</v>
      </c>
      <c r="AC20" s="932">
        <v>469.2</v>
      </c>
      <c r="AD20" s="932">
        <v>469.7</v>
      </c>
      <c r="AE20" s="1056">
        <v>78.824649082816052</v>
      </c>
      <c r="AF20" s="1056">
        <v>333.33760146829013</v>
      </c>
      <c r="AG20" s="1056">
        <v>331.27795026126284</v>
      </c>
      <c r="AH20" s="1056">
        <v>329.23102538056634</v>
      </c>
      <c r="AI20" s="1056">
        <v>327.19674819182734</v>
      </c>
      <c r="AJ20" s="1056">
        <v>325.17504054654444</v>
      </c>
      <c r="AK20" s="1056">
        <v>333.16582477908605</v>
      </c>
      <c r="AL20" s="1056">
        <v>331.10723495866409</v>
      </c>
      <c r="AM20" s="1056">
        <v>329.0613649063983</v>
      </c>
      <c r="AN20" s="1056">
        <v>387.18906678769639</v>
      </c>
      <c r="AO20" s="1020"/>
      <c r="AP20" s="1020"/>
      <c r="AV20" s="1048"/>
      <c r="AW20" s="1048"/>
      <c r="AX20" s="1048"/>
      <c r="AY20" s="1048"/>
      <c r="AZ20" s="1048"/>
      <c r="BA20" s="1048"/>
      <c r="BB20" s="1048"/>
      <c r="BC20" s="1048"/>
      <c r="BD20" s="1048"/>
    </row>
    <row r="21" spans="4:78" ht="14.9" customHeight="1" x14ac:dyDescent="0.35">
      <c r="D21" s="1006" t="s">
        <v>2015</v>
      </c>
      <c r="E21" s="1041"/>
      <c r="F21" s="1000"/>
      <c r="G21" s="1001"/>
      <c r="H21" s="1001"/>
      <c r="I21" s="1001"/>
      <c r="J21" s="1001"/>
      <c r="K21" s="1001"/>
      <c r="L21" s="1001"/>
      <c r="M21" s="1001"/>
      <c r="N21" s="1001"/>
      <c r="O21" s="1001"/>
      <c r="P21" s="1001"/>
      <c r="Q21" s="1001"/>
      <c r="R21" s="1001"/>
      <c r="S21" s="1001"/>
      <c r="T21" s="1001"/>
      <c r="U21" s="1001"/>
      <c r="V21" s="1001"/>
      <c r="W21" s="1001"/>
      <c r="X21" s="1001"/>
      <c r="Y21" s="1001"/>
      <c r="Z21" s="1001"/>
      <c r="AA21" s="1001"/>
      <c r="AB21" s="1056"/>
      <c r="AC21" s="1056"/>
      <c r="AD21" s="1056"/>
      <c r="AE21" s="1056">
        <v>-300</v>
      </c>
      <c r="AF21" s="1056">
        <v>255</v>
      </c>
      <c r="AG21" s="1056"/>
      <c r="AH21" s="1056"/>
      <c r="AI21" s="1056"/>
      <c r="AJ21" s="1056">
        <v>30</v>
      </c>
      <c r="AK21" s="1056"/>
      <c r="AL21" s="1056"/>
      <c r="AM21" s="1056"/>
      <c r="AN21" s="1056"/>
      <c r="AO21" s="1020"/>
      <c r="AP21" s="1020">
        <v>-400</v>
      </c>
      <c r="AQ21">
        <v>255</v>
      </c>
      <c r="AR21">
        <v>0</v>
      </c>
      <c r="AS21">
        <v>0</v>
      </c>
      <c r="AT21">
        <v>0</v>
      </c>
      <c r="AU21">
        <v>0</v>
      </c>
      <c r="AV21" s="1048">
        <v>10</v>
      </c>
      <c r="AW21" s="1048">
        <v>0</v>
      </c>
      <c r="AX21" s="1048">
        <v>0</v>
      </c>
      <c r="AY21" s="1048">
        <v>0</v>
      </c>
      <c r="AZ21" s="1048"/>
      <c r="BA21" s="1048"/>
      <c r="BB21" s="1048"/>
      <c r="BC21" s="1048"/>
      <c r="BD21" s="1048"/>
    </row>
    <row r="22" spans="4:78" x14ac:dyDescent="0.35">
      <c r="E22" s="914"/>
      <c r="F22" s="1068"/>
      <c r="G22" s="1063"/>
      <c r="H22" s="1063"/>
      <c r="I22" s="1063"/>
      <c r="J22" s="1063"/>
      <c r="K22" s="1063"/>
      <c r="L22" s="1063"/>
      <c r="M22" s="1063"/>
      <c r="N22" s="1063"/>
      <c r="O22" s="1063"/>
      <c r="P22" s="1063"/>
      <c r="Q22" s="1063"/>
      <c r="R22" s="1063"/>
      <c r="S22" s="1063"/>
      <c r="T22" s="1063"/>
      <c r="U22" s="971"/>
      <c r="V22" s="1063"/>
      <c r="W22" s="1063"/>
      <c r="X22" s="1003"/>
      <c r="Y22" s="1063"/>
      <c r="Z22" s="1063"/>
      <c r="AA22" s="1063"/>
      <c r="AB22" s="1003"/>
      <c r="AC22" s="1063"/>
      <c r="AD22" s="647"/>
      <c r="AE22" s="1063"/>
      <c r="AF22" s="1003"/>
      <c r="AG22" s="1003"/>
      <c r="AH22" s="1020"/>
      <c r="AI22" s="1020"/>
      <c r="AJ22" s="1003"/>
      <c r="AK22" s="1003"/>
      <c r="AL22" s="1020"/>
      <c r="AM22" s="1020"/>
      <c r="AN22" s="1020"/>
      <c r="AO22" s="1020"/>
      <c r="AP22" s="1020"/>
    </row>
    <row r="23" spans="4:78" x14ac:dyDescent="0.35">
      <c r="D23" s="969" t="s">
        <v>438</v>
      </c>
      <c r="E23" s="56"/>
      <c r="F23" s="1068"/>
      <c r="G23" s="1063"/>
      <c r="H23" s="1063"/>
      <c r="I23" s="1063"/>
      <c r="J23" s="1063"/>
      <c r="K23" s="1063"/>
      <c r="L23" s="1063"/>
      <c r="M23" s="1063"/>
      <c r="N23" s="1063"/>
      <c r="O23" s="1063"/>
      <c r="P23" s="1063"/>
      <c r="Q23" s="1063"/>
      <c r="R23" s="1063"/>
      <c r="S23" s="1063"/>
      <c r="T23" s="1063"/>
      <c r="U23" s="1063"/>
      <c r="V23" s="1063"/>
      <c r="W23" s="1063"/>
      <c r="X23" s="1003"/>
      <c r="Y23" s="1063"/>
      <c r="Z23" s="1063"/>
      <c r="AA23" s="1063"/>
      <c r="AB23" s="1003"/>
      <c r="AC23" s="1063"/>
      <c r="AD23" s="647"/>
      <c r="AE23" s="1063"/>
      <c r="AF23" s="1003"/>
      <c r="AG23" s="1003"/>
      <c r="AH23" s="1020"/>
      <c r="AI23" s="1020"/>
      <c r="AJ23" s="1003"/>
      <c r="AK23" s="1003"/>
      <c r="AL23" s="1020"/>
      <c r="AM23" s="936"/>
      <c r="AN23" s="1020"/>
      <c r="AO23" s="1020"/>
      <c r="AP23" s="1020"/>
    </row>
    <row r="24" spans="4:78" ht="14.9" customHeight="1" x14ac:dyDescent="0.35">
      <c r="D24" s="1047" t="s">
        <v>446</v>
      </c>
      <c r="E24" s="1042"/>
      <c r="F24" s="963">
        <f t="shared" ref="F24:M24" si="9">SUM(F26:F29)</f>
        <v>1902.8</v>
      </c>
      <c r="G24" s="1027">
        <f t="shared" si="9"/>
        <v>1893</v>
      </c>
      <c r="H24" s="1027">
        <f t="shared" si="9"/>
        <v>1884.1999999999998</v>
      </c>
      <c r="I24" s="1027">
        <f t="shared" si="9"/>
        <v>1889</v>
      </c>
      <c r="J24" s="1027">
        <f t="shared" si="9"/>
        <v>1797.5</v>
      </c>
      <c r="K24" s="1027">
        <f t="shared" si="9"/>
        <v>1924.5</v>
      </c>
      <c r="L24" s="1027">
        <f t="shared" si="9"/>
        <v>1961.9</v>
      </c>
      <c r="M24" s="1027">
        <f t="shared" si="9"/>
        <v>2012.3000000000002</v>
      </c>
      <c r="N24" s="1058">
        <f t="shared" ref="N24:AE24" si="10">SUM(N26,N28,N29)</f>
        <v>2119.1999999999998</v>
      </c>
      <c r="O24" s="1058">
        <f t="shared" si="10"/>
        <v>2124.1000000000004</v>
      </c>
      <c r="P24" s="1058">
        <f t="shared" si="10"/>
        <v>2193.1000000000004</v>
      </c>
      <c r="Q24" s="1058">
        <f t="shared" si="10"/>
        <v>2285.3000000000002</v>
      </c>
      <c r="R24" s="1058">
        <f t="shared" si="10"/>
        <v>2353.3000000000002</v>
      </c>
      <c r="S24" s="1058">
        <f t="shared" si="10"/>
        <v>2270.6999999999998</v>
      </c>
      <c r="T24" s="1058">
        <f t="shared" si="10"/>
        <v>2266.1000000000004</v>
      </c>
      <c r="U24" s="1058">
        <f t="shared" si="10"/>
        <v>2245.5</v>
      </c>
      <c r="V24" s="1058">
        <f t="shared" si="10"/>
        <v>2236.1</v>
      </c>
      <c r="W24" s="1058">
        <f t="shared" si="10"/>
        <v>2270.3000000000002</v>
      </c>
      <c r="X24" s="1058">
        <f t="shared" si="10"/>
        <v>2301.1</v>
      </c>
      <c r="Y24" s="1058">
        <f t="shared" si="10"/>
        <v>2325.5</v>
      </c>
      <c r="Z24" s="1058">
        <f t="shared" si="10"/>
        <v>2363.6</v>
      </c>
      <c r="AA24" s="1058">
        <f t="shared" si="10"/>
        <v>2400.1</v>
      </c>
      <c r="AB24" s="1058">
        <f t="shared" si="10"/>
        <v>2436.6</v>
      </c>
      <c r="AC24" s="1058">
        <f t="shared" si="10"/>
        <v>2460.1</v>
      </c>
      <c r="AD24" s="1058">
        <f t="shared" si="10"/>
        <v>2490.5</v>
      </c>
      <c r="AE24" s="1058">
        <f t="shared" si="10"/>
        <v>2523.6000000000004</v>
      </c>
      <c r="AF24" s="1058">
        <f>SUM(AF26,AF28,AF29)</f>
        <v>2564.3999999999996</v>
      </c>
      <c r="AG24" s="1058">
        <f t="shared" ref="AG24:AN24" si="11">SUM(AG26,AG28,AG29)</f>
        <v>2587.0956271646055</v>
      </c>
      <c r="AH24" s="1058">
        <f t="shared" si="11"/>
        <v>2620.2518439313071</v>
      </c>
      <c r="AI24" s="1058">
        <f t="shared" si="11"/>
        <v>2650.1216841840487</v>
      </c>
      <c r="AJ24" s="1058">
        <f t="shared" si="11"/>
        <v>2678.1766203815573</v>
      </c>
      <c r="AK24" s="1058">
        <f t="shared" si="11"/>
        <v>2703.7773350444977</v>
      </c>
      <c r="AL24" s="1058">
        <f t="shared" si="11"/>
        <v>2729.4359962967014</v>
      </c>
      <c r="AM24" s="1058">
        <f t="shared" si="11"/>
        <v>2756.1492686552156</v>
      </c>
      <c r="AN24" s="1058">
        <f t="shared" si="11"/>
        <v>2783.2012152323091</v>
      </c>
      <c r="AO24" s="1020"/>
      <c r="AP24" s="1006" t="s">
        <v>2015</v>
      </c>
      <c r="AQ24" s="1041"/>
      <c r="AR24" s="1000"/>
      <c r="AS24" s="1001"/>
      <c r="AT24" s="1001"/>
      <c r="AU24" s="1001"/>
      <c r="AV24" s="1001"/>
      <c r="AW24" s="1001"/>
      <c r="AX24" s="1001"/>
      <c r="AY24" s="1001"/>
      <c r="AZ24" s="1001"/>
      <c r="BA24" s="1001"/>
      <c r="BB24" s="1001"/>
      <c r="BC24" s="1001"/>
      <c r="BD24" s="1001"/>
      <c r="BE24" s="1001"/>
      <c r="BF24" s="1001"/>
      <c r="BG24" s="1001"/>
      <c r="BH24" s="1001"/>
      <c r="BI24" s="1001"/>
      <c r="BJ24" s="1001"/>
      <c r="BK24" s="1001"/>
      <c r="BL24" s="1001"/>
      <c r="BM24" s="1001"/>
      <c r="BN24" s="1056">
        <v>0</v>
      </c>
      <c r="BO24" s="1056">
        <v>0</v>
      </c>
      <c r="BP24" s="1056">
        <v>0</v>
      </c>
      <c r="BQ24" s="1056">
        <v>-400</v>
      </c>
      <c r="BR24" s="1056">
        <v>255</v>
      </c>
      <c r="BS24" s="1056">
        <v>0</v>
      </c>
      <c r="BT24" s="1056">
        <v>0</v>
      </c>
      <c r="BU24" s="1056">
        <v>0</v>
      </c>
      <c r="BV24" s="1056">
        <v>0</v>
      </c>
      <c r="BW24" s="1056">
        <v>10</v>
      </c>
      <c r="BX24" s="1056">
        <v>0</v>
      </c>
      <c r="BY24" s="1056">
        <v>0</v>
      </c>
      <c r="BZ24" s="1056">
        <v>0</v>
      </c>
    </row>
    <row r="25" spans="4:78" ht="14.9" customHeight="1" x14ac:dyDescent="0.35">
      <c r="D25" s="1047"/>
      <c r="E25" s="1042"/>
      <c r="F25" s="963"/>
      <c r="G25" s="1027"/>
      <c r="H25" s="1027"/>
      <c r="I25" s="1027"/>
      <c r="J25" s="1027"/>
      <c r="K25" s="1027"/>
      <c r="L25" s="1027"/>
      <c r="M25" s="1027"/>
      <c r="N25" s="1027"/>
      <c r="O25" s="1027"/>
      <c r="P25" s="1027"/>
      <c r="Q25" s="1027"/>
      <c r="R25" s="1027"/>
      <c r="S25" s="1027"/>
      <c r="T25" s="1002">
        <f t="shared" ref="T25:AC25" si="12">(T24/S24)^4-1</f>
        <v>-8.0786379529033114E-3</v>
      </c>
      <c r="U25" s="1002">
        <f t="shared" si="12"/>
        <v>-3.5869205711249075E-2</v>
      </c>
      <c r="V25" s="1002">
        <f t="shared" si="12"/>
        <v>-1.6639750319704882E-2</v>
      </c>
      <c r="W25" s="1002">
        <f t="shared" si="12"/>
        <v>6.2595837084799877E-2</v>
      </c>
      <c r="X25" s="1002">
        <f t="shared" si="12"/>
        <v>5.5380275288517966E-2</v>
      </c>
      <c r="Y25" s="1002">
        <f t="shared" si="12"/>
        <v>4.3093900105374727E-2</v>
      </c>
      <c r="Z25" s="1002">
        <f t="shared" si="12"/>
        <v>6.7162485431403907E-2</v>
      </c>
      <c r="AA25" s="1002">
        <f t="shared" si="12"/>
        <v>6.321580164643259E-2</v>
      </c>
      <c r="AB25" s="1002">
        <f t="shared" si="12"/>
        <v>6.2232565571658016E-2</v>
      </c>
      <c r="AC25" s="1002">
        <f t="shared" si="12"/>
        <v>3.914005232977269E-2</v>
      </c>
      <c r="AD25" s="1002">
        <f>(AD24/AC24)^4-1</f>
        <v>5.0352661660615805E-2</v>
      </c>
      <c r="AE25" s="1002">
        <f t="shared" ref="AE25" si="13">(AE24/AD24)^4-1</f>
        <v>5.4231262231418054E-2</v>
      </c>
      <c r="AF25" s="1002">
        <f t="shared" ref="AF25" si="14">(AF24/AE24)^4-1</f>
        <v>6.6254796687862605E-2</v>
      </c>
      <c r="AG25" s="1002">
        <f t="shared" ref="AG25" si="15">(AG24/AF24)^4-1</f>
        <v>3.58738143140791E-2</v>
      </c>
      <c r="AH25" s="1002">
        <f t="shared" ref="AH25" si="16">(AH24/AG24)^4-1</f>
        <v>5.225794494794922E-2</v>
      </c>
      <c r="AI25" s="1002">
        <f t="shared" ref="AI25" si="17">(AI24/AH24)^4-1</f>
        <v>4.6384075095180277E-2</v>
      </c>
      <c r="AJ25" s="1002">
        <f t="shared" ref="AJ25" si="18">(AJ24/AI24)^4-1</f>
        <v>4.3022303463649214E-2</v>
      </c>
      <c r="AK25" s="1002">
        <f t="shared" ref="AK25" si="19">(AK24/AJ24)^4-1</f>
        <v>3.878778644892833E-2</v>
      </c>
      <c r="AL25" s="1002">
        <f t="shared" ref="AL25" si="20">(AL24/AK24)^4-1</f>
        <v>3.850350483443199E-2</v>
      </c>
      <c r="AM25" s="1002">
        <f t="shared" ref="AM25" si="21">(AM24/AL24)^4-1</f>
        <v>3.9726897116440396E-2</v>
      </c>
      <c r="AN25" s="1002">
        <f t="shared" ref="AN25" si="22">(AN24/AM24)^4-1</f>
        <v>3.9842307076111583E-2</v>
      </c>
      <c r="AO25" s="1020"/>
      <c r="AP25" s="1020"/>
    </row>
    <row r="26" spans="4:78" x14ac:dyDescent="0.35">
      <c r="D26" s="649" t="s">
        <v>451</v>
      </c>
      <c r="E26" s="56" t="s">
        <v>452</v>
      </c>
      <c r="F26" s="1023">
        <f>'Haver Pivoted'!GQ33</f>
        <v>531</v>
      </c>
      <c r="G26" s="941">
        <f>'Haver Pivoted'!GR33</f>
        <v>495.6</v>
      </c>
      <c r="H26" s="941">
        <f>'Haver Pivoted'!GS33</f>
        <v>490.1</v>
      </c>
      <c r="I26" s="941">
        <f>'Haver Pivoted'!GT33</f>
        <v>496.9</v>
      </c>
      <c r="J26" s="941">
        <f>'Haver Pivoted'!GU33</f>
        <v>490.3</v>
      </c>
      <c r="K26" s="941">
        <f>'Haver Pivoted'!GV33</f>
        <v>513.9</v>
      </c>
      <c r="L26" s="941">
        <f>'Haver Pivoted'!GW33</f>
        <v>528.1</v>
      </c>
      <c r="M26" s="941">
        <f>'Haver Pivoted'!GX33</f>
        <v>550.6</v>
      </c>
      <c r="N26" s="941">
        <f>'Haver Pivoted'!GY33</f>
        <v>573.9</v>
      </c>
      <c r="O26" s="941">
        <f>'Haver Pivoted'!GZ33</f>
        <v>565</v>
      </c>
      <c r="P26" s="941">
        <f>'Haver Pivoted'!HA33</f>
        <v>592</v>
      </c>
      <c r="Q26" s="941">
        <f>'Haver Pivoted'!HB33</f>
        <v>663.7</v>
      </c>
      <c r="R26" s="941">
        <f>'Haver Pivoted'!HC33</f>
        <v>697.2</v>
      </c>
      <c r="S26" s="941">
        <f>'Haver Pivoted'!HD33</f>
        <v>597.1</v>
      </c>
      <c r="T26" s="1054">
        <f>'Haver Pivoted'!HE33</f>
        <v>593.70000000000005</v>
      </c>
      <c r="U26" s="1054">
        <f>'Haver Pivoted'!HF33</f>
        <v>559.6</v>
      </c>
      <c r="V26" s="1054">
        <f>'Haver Pivoted'!HG33</f>
        <v>547.9</v>
      </c>
      <c r="W26" s="1054">
        <f>'Haver Pivoted'!HH33</f>
        <v>558.29999999999995</v>
      </c>
      <c r="X26" s="1054">
        <f>'Haver Pivoted'!HI33</f>
        <v>562.9</v>
      </c>
      <c r="Y26" s="1054">
        <f>'Haver Pivoted'!HJ33</f>
        <v>560.29999999999995</v>
      </c>
      <c r="Z26" s="1054">
        <f>'Haver Pivoted'!HK33</f>
        <v>573.79999999999995</v>
      </c>
      <c r="AA26" s="1054">
        <f>'Haver Pivoted'!HL33</f>
        <v>595.70000000000005</v>
      </c>
      <c r="AB26" s="1054">
        <f>'Haver Pivoted'!HM33</f>
        <v>610.20000000000005</v>
      </c>
      <c r="AC26" s="1054">
        <f>'Haver Pivoted'!HN33</f>
        <v>615.70000000000005</v>
      </c>
      <c r="AD26" s="1054">
        <f>'Haver Pivoted'!HO33</f>
        <v>629</v>
      </c>
      <c r="AE26" s="1054">
        <f>'Haver Pivoted'!HP33</f>
        <v>638.70000000000005</v>
      </c>
      <c r="AF26" s="1054">
        <f>'Haver Pivoted'!HQ33</f>
        <v>656.8</v>
      </c>
      <c r="AG26" s="1008">
        <f t="shared" ref="AG26:AN26" si="23">$AC130*AG139*(AG112/$AC112)+AG27</f>
        <v>666.27099396911638</v>
      </c>
      <c r="AH26" s="1008">
        <f t="shared" si="23"/>
        <v>675.4111817468588</v>
      </c>
      <c r="AI26" s="1008">
        <f t="shared" si="23"/>
        <v>683.25520597665718</v>
      </c>
      <c r="AJ26" s="1008">
        <f t="shared" si="23"/>
        <v>690.54692406410504</v>
      </c>
      <c r="AK26" s="1008">
        <f t="shared" si="23"/>
        <v>696.87130827217607</v>
      </c>
      <c r="AL26" s="1008">
        <f t="shared" si="23"/>
        <v>703.96509005427299</v>
      </c>
      <c r="AM26" s="1008">
        <f t="shared" si="23"/>
        <v>711.11952973639677</v>
      </c>
      <c r="AN26" s="1008">
        <f t="shared" si="23"/>
        <v>718.78796530822251</v>
      </c>
      <c r="AO26" s="1020"/>
      <c r="AP26" s="1020"/>
    </row>
    <row r="27" spans="4:78" x14ac:dyDescent="0.35">
      <c r="D27" s="649" t="s">
        <v>1835</v>
      </c>
      <c r="E27" s="56"/>
      <c r="F27" s="1023"/>
      <c r="G27" s="941"/>
      <c r="H27" s="941"/>
      <c r="I27" s="941"/>
      <c r="J27" s="941"/>
      <c r="K27" s="941"/>
      <c r="L27" s="941"/>
      <c r="M27" s="941"/>
      <c r="N27" s="941"/>
      <c r="O27" s="941"/>
      <c r="P27" s="941"/>
      <c r="Q27" s="941"/>
      <c r="R27" s="941"/>
      <c r="S27" s="941"/>
      <c r="T27" s="941"/>
      <c r="U27" s="941"/>
      <c r="V27" s="941"/>
      <c r="W27" s="941">
        <v>20</v>
      </c>
      <c r="X27" s="941">
        <v>20</v>
      </c>
      <c r="Y27" s="1008">
        <v>0</v>
      </c>
      <c r="Z27" s="1008">
        <f>-24</f>
        <v>-24</v>
      </c>
      <c r="AA27" s="1008">
        <f>-11</f>
        <v>-11</v>
      </c>
      <c r="AB27" s="1008">
        <f>-11</f>
        <v>-11</v>
      </c>
      <c r="AC27" s="1008">
        <f t="shared" ref="AC27:AN27" si="24">-11</f>
        <v>-11</v>
      </c>
      <c r="AD27" s="1008">
        <f>-11</f>
        <v>-11</v>
      </c>
      <c r="AE27" s="1008">
        <f t="shared" si="24"/>
        <v>-11</v>
      </c>
      <c r="AF27" s="1008">
        <f t="shared" si="24"/>
        <v>-11</v>
      </c>
      <c r="AG27" s="1008">
        <f>-11</f>
        <v>-11</v>
      </c>
      <c r="AH27" s="1008">
        <f t="shared" si="24"/>
        <v>-11</v>
      </c>
      <c r="AI27" s="1008">
        <f t="shared" si="24"/>
        <v>-11</v>
      </c>
      <c r="AJ27" s="1008">
        <f t="shared" si="24"/>
        <v>-11</v>
      </c>
      <c r="AK27" s="1008">
        <f>-11</f>
        <v>-11</v>
      </c>
      <c r="AL27" s="1008">
        <f t="shared" si="24"/>
        <v>-11</v>
      </c>
      <c r="AM27" s="1008">
        <f t="shared" si="24"/>
        <v>-11</v>
      </c>
      <c r="AN27" s="1008">
        <f t="shared" si="24"/>
        <v>-11</v>
      </c>
      <c r="AO27" s="1020"/>
      <c r="AP27" s="1020"/>
    </row>
    <row r="28" spans="4:78" x14ac:dyDescent="0.35">
      <c r="D28" s="649" t="s">
        <v>448</v>
      </c>
      <c r="E28" s="56" t="s">
        <v>453</v>
      </c>
      <c r="F28" s="1023">
        <f>'Haver Pivoted'!GQ36</f>
        <v>20.8</v>
      </c>
      <c r="G28" s="941">
        <f>'Haver Pivoted'!GR36</f>
        <v>20.6</v>
      </c>
      <c r="H28" s="941">
        <f>'Haver Pivoted'!GS36</f>
        <v>20.5</v>
      </c>
      <c r="I28" s="941">
        <f>'Haver Pivoted'!GT36</f>
        <v>20.3</v>
      </c>
      <c r="J28" s="941">
        <f>'Haver Pivoted'!GU36</f>
        <v>19.3</v>
      </c>
      <c r="K28" s="941">
        <f>'Haver Pivoted'!GV36</f>
        <v>19.899999999999999</v>
      </c>
      <c r="L28" s="941">
        <f>'Haver Pivoted'!GW36</f>
        <v>20.6</v>
      </c>
      <c r="M28" s="941">
        <f>'Haver Pivoted'!GX36</f>
        <v>21.2</v>
      </c>
      <c r="N28" s="941">
        <f>'Haver Pivoted'!GY36</f>
        <v>22</v>
      </c>
      <c r="O28" s="941">
        <f>'Haver Pivoted'!GZ36</f>
        <v>22.7</v>
      </c>
      <c r="P28" s="941">
        <f>'Haver Pivoted'!HA36</f>
        <v>23.2</v>
      </c>
      <c r="Q28" s="941">
        <f>'Haver Pivoted'!HB36</f>
        <v>23.5</v>
      </c>
      <c r="R28" s="941">
        <f>'Haver Pivoted'!HC36</f>
        <v>23.5</v>
      </c>
      <c r="S28" s="941">
        <f>'Haver Pivoted'!HD36</f>
        <v>23.3</v>
      </c>
      <c r="T28" s="1054">
        <f>'Haver Pivoted'!HE36</f>
        <v>22.5</v>
      </c>
      <c r="U28" s="1054">
        <f>'Haver Pivoted'!HF36</f>
        <v>21.7</v>
      </c>
      <c r="V28" s="1054">
        <f>'Haver Pivoted'!HG36</f>
        <v>21.4</v>
      </c>
      <c r="W28" s="1054">
        <f>'Haver Pivoted'!HH36</f>
        <v>22</v>
      </c>
      <c r="X28" s="1054">
        <f>'Haver Pivoted'!HI36</f>
        <v>23.2</v>
      </c>
      <c r="Y28" s="1054">
        <f>'Haver Pivoted'!HJ36</f>
        <v>25</v>
      </c>
      <c r="Z28" s="1054">
        <f>'Haver Pivoted'!HK36</f>
        <v>26.6</v>
      </c>
      <c r="AA28" s="1054">
        <f>'Haver Pivoted'!HL36</f>
        <v>27.6</v>
      </c>
      <c r="AB28" s="1054">
        <f>'Haver Pivoted'!HM36</f>
        <v>28.3</v>
      </c>
      <c r="AC28" s="1054">
        <f>'Haver Pivoted'!HN36</f>
        <v>28.6</v>
      </c>
      <c r="AD28" s="1054">
        <f>'Haver Pivoted'!HO36</f>
        <v>29</v>
      </c>
      <c r="AE28" s="1054">
        <f>'Haver Pivoted'!HP36</f>
        <v>29.5</v>
      </c>
      <c r="AF28" s="1054">
        <f>'Haver Pivoted'!HQ36</f>
        <v>30.3</v>
      </c>
      <c r="AG28" s="1008">
        <f t="shared" ref="AG28:AN28" si="25">$AC131*AG140*(AG113/$AC113)</f>
        <v>30.805834188601636</v>
      </c>
      <c r="AH28" s="1008">
        <f t="shared" si="25"/>
        <v>31.148570616087262</v>
      </c>
      <c r="AI28" s="1008">
        <f t="shared" si="25"/>
        <v>31.493618145578861</v>
      </c>
      <c r="AJ28" s="1008">
        <f t="shared" si="25"/>
        <v>31.831270148651345</v>
      </c>
      <c r="AK28" s="1008">
        <f t="shared" si="25"/>
        <v>32.16545549871487</v>
      </c>
      <c r="AL28" s="1008">
        <f t="shared" si="25"/>
        <v>32.499178628377209</v>
      </c>
      <c r="AM28" s="1008">
        <f t="shared" si="25"/>
        <v>32.834981749844914</v>
      </c>
      <c r="AN28" s="1008">
        <f t="shared" si="25"/>
        <v>33.171015981513222</v>
      </c>
      <c r="AO28" s="1020"/>
      <c r="AP28" s="1020"/>
    </row>
    <row r="29" spans="4:78" x14ac:dyDescent="0.35">
      <c r="D29" s="649" t="s">
        <v>449</v>
      </c>
      <c r="E29" s="56" t="s">
        <v>454</v>
      </c>
      <c r="F29" s="1023">
        <f>'Haver Pivoted'!GQ34</f>
        <v>1351</v>
      </c>
      <c r="G29" s="941">
        <f>'Haver Pivoted'!GR34</f>
        <v>1376.8</v>
      </c>
      <c r="H29" s="941">
        <f>'Haver Pivoted'!GS34</f>
        <v>1373.6</v>
      </c>
      <c r="I29" s="941">
        <f>'Haver Pivoted'!GT34</f>
        <v>1371.8</v>
      </c>
      <c r="J29" s="941">
        <f>'Haver Pivoted'!GU34</f>
        <v>1287.9000000000001</v>
      </c>
      <c r="K29" s="941">
        <f>'Haver Pivoted'!GV34</f>
        <v>1390.7</v>
      </c>
      <c r="L29" s="941">
        <f>'Haver Pivoted'!GW34</f>
        <v>1413.2</v>
      </c>
      <c r="M29" s="941">
        <f>'Haver Pivoted'!GX34</f>
        <v>1440.5</v>
      </c>
      <c r="N29" s="941">
        <f>'Haver Pivoted'!GY34</f>
        <v>1523.3</v>
      </c>
      <c r="O29" s="941">
        <f>'Haver Pivoted'!GZ34</f>
        <v>1536.4</v>
      </c>
      <c r="P29" s="941">
        <f>'Haver Pivoted'!HA34</f>
        <v>1577.9</v>
      </c>
      <c r="Q29" s="941">
        <f>'Haver Pivoted'!HB34</f>
        <v>1598.1</v>
      </c>
      <c r="R29" s="941">
        <f>'Haver Pivoted'!HC34</f>
        <v>1632.6</v>
      </c>
      <c r="S29" s="941">
        <f>'Haver Pivoted'!HD34</f>
        <v>1650.3</v>
      </c>
      <c r="T29" s="1054">
        <f>'Haver Pivoted'!HE34</f>
        <v>1649.9</v>
      </c>
      <c r="U29" s="1054">
        <f>'Haver Pivoted'!HF34</f>
        <v>1664.2</v>
      </c>
      <c r="V29" s="1054">
        <f>'Haver Pivoted'!HG34</f>
        <v>1666.8</v>
      </c>
      <c r="W29" s="1054">
        <f>'Haver Pivoted'!HH34</f>
        <v>1690</v>
      </c>
      <c r="X29" s="1054">
        <f>'Haver Pivoted'!HI34</f>
        <v>1715</v>
      </c>
      <c r="Y29" s="1054">
        <f>'Haver Pivoted'!HJ34</f>
        <v>1740.2</v>
      </c>
      <c r="Z29" s="1054">
        <f>'Haver Pivoted'!HK34</f>
        <v>1763.2</v>
      </c>
      <c r="AA29" s="1054">
        <f>'Haver Pivoted'!HL34</f>
        <v>1776.8</v>
      </c>
      <c r="AB29" s="1054">
        <f>'Haver Pivoted'!HM34</f>
        <v>1798.1</v>
      </c>
      <c r="AC29" s="1054">
        <f>'Haver Pivoted'!HN34</f>
        <v>1815.8</v>
      </c>
      <c r="AD29" s="1054">
        <f>'Haver Pivoted'!HO34</f>
        <v>1832.5</v>
      </c>
      <c r="AE29" s="1054">
        <f>'Haver Pivoted'!HP34</f>
        <v>1855.4</v>
      </c>
      <c r="AF29" s="1054">
        <f>'Haver Pivoted'!HQ34</f>
        <v>1877.3</v>
      </c>
      <c r="AG29" s="1008">
        <f t="shared" ref="AG29:AN29" si="26">$AC136*AG141*(AG115/$AC115)</f>
        <v>1890.0187990068873</v>
      </c>
      <c r="AH29" s="1008">
        <f t="shared" si="26"/>
        <v>1913.6920915683609</v>
      </c>
      <c r="AI29" s="1008">
        <f t="shared" si="26"/>
        <v>1935.3728600618126</v>
      </c>
      <c r="AJ29" s="1008">
        <f t="shared" si="26"/>
        <v>1955.7984261688009</v>
      </c>
      <c r="AK29" s="1008">
        <f t="shared" si="26"/>
        <v>1974.7405712736065</v>
      </c>
      <c r="AL29" s="1008">
        <f t="shared" si="26"/>
        <v>1992.9717276140511</v>
      </c>
      <c r="AM29" s="1008">
        <f t="shared" si="26"/>
        <v>2012.1947571689739</v>
      </c>
      <c r="AN29" s="1008">
        <f t="shared" si="26"/>
        <v>2031.2422339425734</v>
      </c>
      <c r="AO29" s="1020"/>
      <c r="AP29" s="1020"/>
    </row>
    <row r="30" spans="4:78" ht="14.9" customHeight="1" x14ac:dyDescent="0.35">
      <c r="D30" s="1049" t="s">
        <v>450</v>
      </c>
      <c r="E30" s="1069" t="s">
        <v>455</v>
      </c>
      <c r="F30" s="964">
        <f>'Haver Pivoted'!GQ35</f>
        <v>76.8</v>
      </c>
      <c r="G30" s="975">
        <f>'Haver Pivoted'!GR35</f>
        <v>74.099999999999994</v>
      </c>
      <c r="H30" s="975">
        <f>'Haver Pivoted'!GS35</f>
        <v>70.3</v>
      </c>
      <c r="I30" s="975">
        <f>'Haver Pivoted'!GT35</f>
        <v>63.5</v>
      </c>
      <c r="J30" s="975">
        <f>'Haver Pivoted'!GU35</f>
        <v>68.5</v>
      </c>
      <c r="K30" s="975">
        <f>'Haver Pivoted'!GV35</f>
        <v>81.599999999999994</v>
      </c>
      <c r="L30" s="975">
        <f>'Haver Pivoted'!GW35</f>
        <v>78.2</v>
      </c>
      <c r="M30" s="975">
        <f>'Haver Pivoted'!GX35</f>
        <v>81.599999999999994</v>
      </c>
      <c r="N30" s="975">
        <f>'Haver Pivoted'!GY35</f>
        <v>99.6</v>
      </c>
      <c r="O30" s="975">
        <f>'Haver Pivoted'!GZ35</f>
        <v>123.7</v>
      </c>
      <c r="P30" s="975">
        <f>'Haver Pivoted'!HA35</f>
        <v>173.4</v>
      </c>
      <c r="Q30" s="975">
        <f>'Haver Pivoted'!HB35</f>
        <v>184.7</v>
      </c>
      <c r="R30" s="975">
        <f>'Haver Pivoted'!HC35</f>
        <v>164.4</v>
      </c>
      <c r="S30" s="975">
        <f>'Haver Pivoted'!HD35</f>
        <v>169.6</v>
      </c>
      <c r="T30" s="977">
        <f>'Haver Pivoted'!HE35</f>
        <v>178.8</v>
      </c>
      <c r="U30" s="1057">
        <f>'Haver Pivoted'!HF35</f>
        <v>173.9</v>
      </c>
      <c r="V30" s="1057">
        <f>'Haver Pivoted'!HG35</f>
        <v>170.2</v>
      </c>
      <c r="W30" s="1057">
        <f>'Haver Pivoted'!HH35</f>
        <v>168.5</v>
      </c>
      <c r="X30" s="1057">
        <f>'Haver Pivoted'!HI35</f>
        <v>172.7</v>
      </c>
      <c r="Y30" s="1057">
        <f>'Haver Pivoted'!HJ35</f>
        <v>173.2</v>
      </c>
      <c r="Z30" s="1057">
        <f>'Haver Pivoted'!HK35</f>
        <v>170.6</v>
      </c>
      <c r="AA30" s="1057">
        <f>'Haver Pivoted'!HL35</f>
        <v>170.1</v>
      </c>
      <c r="AB30" s="1057">
        <f>'Haver Pivoted'!HM35</f>
        <v>174.2</v>
      </c>
      <c r="AC30" s="1057">
        <f>'Haver Pivoted'!HN35</f>
        <v>184.4</v>
      </c>
      <c r="AD30" s="1057">
        <f>'Haver Pivoted'!HO35</f>
        <v>183</v>
      </c>
      <c r="AE30" s="1057">
        <f>'Haver Pivoted'!HP35</f>
        <v>166.7</v>
      </c>
      <c r="AF30" s="976">
        <f>$Y137*AF142*(AF116/$Y116)</f>
        <v>163.11320291351547</v>
      </c>
      <c r="AG30" s="976">
        <f t="shared" ref="AG30:AN30" si="27">$Y137*AG142*(AG116/$Y116)</f>
        <v>166.42552395836239</v>
      </c>
      <c r="AH30" s="976">
        <f t="shared" si="27"/>
        <v>166.94191108754498</v>
      </c>
      <c r="AI30" s="976">
        <f t="shared" si="27"/>
        <v>167.56064521530433</v>
      </c>
      <c r="AJ30" s="976">
        <f t="shared" si="27"/>
        <v>168.61202801886526</v>
      </c>
      <c r="AK30" s="976">
        <f t="shared" si="27"/>
        <v>168.0956408896827</v>
      </c>
      <c r="AL30" s="976">
        <f t="shared" si="27"/>
        <v>168.17472720676471</v>
      </c>
      <c r="AM30" s="976">
        <f t="shared" si="27"/>
        <v>167.96072893701336</v>
      </c>
      <c r="AN30" s="976">
        <f t="shared" si="27"/>
        <v>169.12841514804788</v>
      </c>
      <c r="AO30" s="1020"/>
      <c r="AP30" s="1020"/>
    </row>
    <row r="31" spans="4:78" ht="14.9" customHeight="1" x14ac:dyDescent="0.35">
      <c r="D31" s="916" t="s">
        <v>1837</v>
      </c>
      <c r="E31" s="1042"/>
      <c r="F31" s="620">
        <f>F9+F24</f>
        <v>5162.2</v>
      </c>
      <c r="G31" s="620">
        <f>G9+G24</f>
        <v>5179.8999999999996</v>
      </c>
      <c r="H31" s="620">
        <f>H9+H24</f>
        <v>5227.5</v>
      </c>
      <c r="I31" s="620">
        <f>I9+I24</f>
        <v>5280.7</v>
      </c>
      <c r="J31" s="620">
        <f>J9+J24</f>
        <v>4933</v>
      </c>
      <c r="K31" s="620">
        <f>K9+K24</f>
        <v>5243.7000000000007</v>
      </c>
      <c r="L31" s="620">
        <f>L9+L24</f>
        <v>5440.1</v>
      </c>
      <c r="M31" s="620">
        <f>M9+M24</f>
        <v>5653.6</v>
      </c>
      <c r="N31" s="620">
        <f>N9+N24</f>
        <v>5916</v>
      </c>
      <c r="O31" s="620">
        <f>O9+O24</f>
        <v>6042.9000000000005</v>
      </c>
      <c r="P31" s="620">
        <f>P9+P24</f>
        <v>6240.2000000000007</v>
      </c>
      <c r="Q31" s="620">
        <f>Q9+Q24</f>
        <v>6733.4000000000005</v>
      </c>
      <c r="R31" s="620">
        <f>R9+R24</f>
        <v>6832.4</v>
      </c>
      <c r="S31" s="620">
        <f>S9+S24</f>
        <v>6809.7</v>
      </c>
      <c r="T31" s="620">
        <f>T9+T24</f>
        <v>6777.1</v>
      </c>
      <c r="U31" s="620">
        <f>U9+U24</f>
        <v>6437</v>
      </c>
      <c r="V31" s="620">
        <f>V9+V24</f>
        <v>6446.7000000000007</v>
      </c>
      <c r="W31" s="620">
        <f>W9+W24</f>
        <v>6528.2</v>
      </c>
      <c r="X31" s="620">
        <f>X9+X24</f>
        <v>6603.2999999999993</v>
      </c>
      <c r="Y31" s="725">
        <f>Y9+Y24</f>
        <v>6716.3</v>
      </c>
      <c r="Z31" s="725">
        <f>Z9+Z24</f>
        <v>6820.1</v>
      </c>
      <c r="AA31" s="725">
        <f>AA9+AA24</f>
        <v>6926.9</v>
      </c>
      <c r="AB31" s="725">
        <f>AB9+AB24</f>
        <v>7026.9</v>
      </c>
      <c r="AC31" s="725">
        <f>AC9+AC24</f>
        <v>7171</v>
      </c>
      <c r="AD31" s="725">
        <f>AD9+AD24</f>
        <v>7416</v>
      </c>
      <c r="AE31" s="725">
        <f>AE9+AE24</f>
        <v>7572</v>
      </c>
      <c r="AF31" s="725">
        <f>AF9+AF24</f>
        <v>7701.3</v>
      </c>
      <c r="AG31" s="725">
        <f>AG9+AG24</f>
        <v>7670.4991667558079</v>
      </c>
      <c r="AH31" s="725">
        <f>AH9+AH24</f>
        <v>7724.6343676538581</v>
      </c>
      <c r="AI31" s="725">
        <f>AI9+AI24</f>
        <v>7793.6388666375224</v>
      </c>
      <c r="AJ31" s="725">
        <f>AJ9+AJ24</f>
        <v>7850.6260726125111</v>
      </c>
      <c r="AK31" s="725">
        <f>AK9+AK24</f>
        <v>8118.1649920363179</v>
      </c>
      <c r="AL31" s="725">
        <f>AL9+AL24</f>
        <v>8174.0902206121627</v>
      </c>
      <c r="AM31" s="725">
        <f>AM9+AM24</f>
        <v>8231.3205253332453</v>
      </c>
      <c r="AN31" s="725">
        <f>AN9+AN24</f>
        <v>8288.3739332009518</v>
      </c>
    </row>
    <row r="32" spans="4:78" ht="14.9" customHeight="1" x14ac:dyDescent="0.35">
      <c r="D32" s="916" t="s">
        <v>1853</v>
      </c>
      <c r="E32" s="1042"/>
      <c r="F32" s="620">
        <f>F10+F26</f>
        <v>2217.6999999999998</v>
      </c>
      <c r="G32" s="620">
        <f>G10+G26</f>
        <v>2195.4</v>
      </c>
      <c r="H32" s="620">
        <f>H10+H26</f>
        <v>2226.3000000000002</v>
      </c>
      <c r="I32" s="620">
        <f>I10+I26</f>
        <v>2251.9</v>
      </c>
      <c r="J32" s="620">
        <f>J10+J26</f>
        <v>2112.1</v>
      </c>
      <c r="K32" s="620">
        <f>K10+K26</f>
        <v>2250.6</v>
      </c>
      <c r="L32" s="620">
        <f>L10+L26</f>
        <v>2378.4</v>
      </c>
      <c r="M32" s="620">
        <f>M10+M26</f>
        <v>2544.3000000000002</v>
      </c>
      <c r="N32" s="620">
        <f>N10+N26</f>
        <v>2667.8</v>
      </c>
      <c r="O32" s="620">
        <f>O10+O26</f>
        <v>2741.1</v>
      </c>
      <c r="P32" s="620">
        <f>P10+P26</f>
        <v>2838.8</v>
      </c>
      <c r="Q32" s="620">
        <f>Q10+Q26</f>
        <v>3259.2</v>
      </c>
      <c r="R32" s="620">
        <f>R10+R26</f>
        <v>3297.6000000000004</v>
      </c>
      <c r="S32" s="620">
        <f>S10+S26</f>
        <v>3223.2</v>
      </c>
      <c r="T32" s="620">
        <f>T10+T26</f>
        <v>3193.1000000000004</v>
      </c>
      <c r="U32" s="620">
        <f>U10+U26</f>
        <v>2825.2</v>
      </c>
      <c r="V32" s="620">
        <f>V10+V26</f>
        <v>2810.5</v>
      </c>
      <c r="W32" s="620">
        <f>W10+W26</f>
        <v>2840.7</v>
      </c>
      <c r="X32" s="620">
        <f>X10+X26</f>
        <v>2866.5</v>
      </c>
      <c r="Y32" s="620">
        <f>Y10+Y26</f>
        <v>2903.3</v>
      </c>
      <c r="Z32" s="620">
        <f>Z10+Z26</f>
        <v>2957.6000000000004</v>
      </c>
      <c r="AA32" s="620">
        <f>AA10+AA26</f>
        <v>3019.1000000000004</v>
      </c>
      <c r="AB32" s="620">
        <f>AB10+AB26</f>
        <v>3073</v>
      </c>
      <c r="AC32" s="620">
        <f>AC10+AC26</f>
        <v>3154</v>
      </c>
      <c r="AD32" s="620">
        <f>AD10+AD26</f>
        <v>3200.9</v>
      </c>
      <c r="AE32" s="620">
        <f>AE10+AE26</f>
        <v>3254.7</v>
      </c>
      <c r="AF32" s="620">
        <f>AF10+AF26</f>
        <v>3309.8999999999996</v>
      </c>
      <c r="AG32" s="620">
        <f>AG10+AG26</f>
        <v>3250.3610918606828</v>
      </c>
      <c r="AH32" s="620">
        <f>AH10+AH26</f>
        <v>3269.7761944120775</v>
      </c>
      <c r="AI32" s="620">
        <f>AI10+AI26</f>
        <v>3287.9359887532314</v>
      </c>
      <c r="AJ32" s="620">
        <f>AJ10+AJ26</f>
        <v>3305.5844947396131</v>
      </c>
      <c r="AK32" s="620">
        <f>AK10+AK26</f>
        <v>3535.0696065224292</v>
      </c>
      <c r="AL32" s="620">
        <f>AL10+AL26</f>
        <v>3553.4486935843379</v>
      </c>
      <c r="AM32" s="620">
        <f>AM10+AM26</f>
        <v>3571.9333114204974</v>
      </c>
      <c r="AN32" s="620">
        <f>AN10+AN26</f>
        <v>3590.9769764450721</v>
      </c>
    </row>
    <row r="33" spans="3:41" ht="14.9" customHeight="1" x14ac:dyDescent="0.35">
      <c r="D33" s="916" t="s">
        <v>1854</v>
      </c>
      <c r="E33" s="1042"/>
      <c r="F33" s="620">
        <f>F13+F28</f>
        <v>1424.3</v>
      </c>
      <c r="G33" s="620">
        <f>G13+G28</f>
        <v>1430.8999999999999</v>
      </c>
      <c r="H33" s="620">
        <f>H13+H28</f>
        <v>1448.7</v>
      </c>
      <c r="I33" s="620">
        <f>I13+I28</f>
        <v>1473.5</v>
      </c>
      <c r="J33" s="620">
        <f>J13+J28</f>
        <v>1402.8999999999999</v>
      </c>
      <c r="K33" s="620">
        <f>K13+K28</f>
        <v>1452.8000000000002</v>
      </c>
      <c r="L33" s="620">
        <f>L13+L28</f>
        <v>1490.3</v>
      </c>
      <c r="M33" s="620">
        <f>M13+M28</f>
        <v>1507.6000000000001</v>
      </c>
      <c r="N33" s="620">
        <f>N13+N28</f>
        <v>1543.6</v>
      </c>
      <c r="O33" s="620">
        <f>O13+O28</f>
        <v>1581.4</v>
      </c>
      <c r="P33" s="620">
        <f>P13+P28</f>
        <v>1627.8</v>
      </c>
      <c r="Q33" s="620">
        <f>Q13+Q28</f>
        <v>1669.3</v>
      </c>
      <c r="R33" s="620">
        <f>R13+R28</f>
        <v>1691.5</v>
      </c>
      <c r="S33" s="620">
        <f>S13+S28</f>
        <v>1735.3</v>
      </c>
      <c r="T33" s="620">
        <f>T13+T28</f>
        <v>1745.5</v>
      </c>
      <c r="U33" s="620">
        <f>U13+U28</f>
        <v>1767</v>
      </c>
      <c r="V33" s="620">
        <f>V13+V28</f>
        <v>1791.8000000000002</v>
      </c>
      <c r="W33" s="620">
        <f>W13+W28</f>
        <v>1822.5</v>
      </c>
      <c r="X33" s="620">
        <f>X13+X28</f>
        <v>1847.1000000000001</v>
      </c>
      <c r="Y33" s="620">
        <f>Y13+Y28</f>
        <v>1891.3</v>
      </c>
      <c r="Z33" s="620">
        <f>Z13+Z28</f>
        <v>1919.3999999999999</v>
      </c>
      <c r="AA33" s="620">
        <f>AA13+AA28</f>
        <v>1941.8</v>
      </c>
      <c r="AB33" s="620">
        <f>AB13+AB28</f>
        <v>1965.8999999999999</v>
      </c>
      <c r="AC33" s="620">
        <f>AC13+AC28</f>
        <v>2002.6</v>
      </c>
      <c r="AD33" s="620">
        <f>AD13+AD28</f>
        <v>2011.9</v>
      </c>
      <c r="AE33" s="620">
        <f>AE13+AE28</f>
        <v>2027.7</v>
      </c>
      <c r="AF33" s="620">
        <f>AF13+AF28</f>
        <v>2047</v>
      </c>
      <c r="AG33" s="620">
        <f>AG13+AG28</f>
        <v>2056.6363938170575</v>
      </c>
      <c r="AH33" s="620">
        <f>AH13+AH28</f>
        <v>2079.2098854371875</v>
      </c>
      <c r="AI33" s="620">
        <f>AI13+AI28</f>
        <v>2102.0296406824432</v>
      </c>
      <c r="AJ33" s="620">
        <f>AJ13+AJ28</f>
        <v>2122.2073640783924</v>
      </c>
      <c r="AK33" s="620">
        <f>AK13+AK28</f>
        <v>2142.5717302560834</v>
      </c>
      <c r="AL33" s="620">
        <f>AL13+AL28</f>
        <v>2163.1275652946515</v>
      </c>
      <c r="AM33" s="620">
        <f>AM13+AM28</f>
        <v>2183.8792505080214</v>
      </c>
      <c r="AN33" s="620">
        <f>AN13+AN28</f>
        <v>2204.6172081334507</v>
      </c>
    </row>
    <row r="34" spans="3:41" ht="14.25" customHeight="1" x14ac:dyDescent="0.35"/>
    <row r="35" spans="3:41" ht="14.9" customHeight="1" x14ac:dyDescent="0.35">
      <c r="D35" s="644"/>
      <c r="E35" s="429"/>
      <c r="F35" s="429"/>
      <c r="G35" s="429"/>
      <c r="H35" s="429"/>
      <c r="I35" s="429"/>
      <c r="J35" s="429"/>
      <c r="K35" s="429"/>
      <c r="L35" s="429"/>
      <c r="AI35" s="385"/>
      <c r="AJ35" s="385"/>
      <c r="AK35" s="385"/>
      <c r="AL35" s="385"/>
      <c r="AM35" s="385"/>
      <c r="AN35" s="385"/>
      <c r="AO35" s="385"/>
    </row>
    <row r="36" spans="3:41" ht="14.9" customHeight="1" x14ac:dyDescent="0.35">
      <c r="D36" s="1518" t="s">
        <v>872</v>
      </c>
      <c r="E36" s="1519"/>
      <c r="F36" s="1520"/>
      <c r="G36" s="255">
        <v>2020</v>
      </c>
      <c r="H36" s="256">
        <v>2021</v>
      </c>
      <c r="I36" s="255">
        <v>2022</v>
      </c>
      <c r="J36" s="1070">
        <v>2023</v>
      </c>
      <c r="K36" s="1070">
        <v>2024</v>
      </c>
      <c r="L36" s="902">
        <v>2025</v>
      </c>
      <c r="M36" s="902">
        <v>2026</v>
      </c>
      <c r="N36" s="902">
        <v>2027</v>
      </c>
      <c r="AI36" s="385"/>
      <c r="AJ36" s="385"/>
      <c r="AK36" s="385"/>
      <c r="AL36" s="385"/>
      <c r="AM36" s="385"/>
      <c r="AN36" s="385"/>
      <c r="AO36" s="385"/>
    </row>
    <row r="37" spans="3:41" ht="14.9" customHeight="1" x14ac:dyDescent="0.35">
      <c r="D37" s="1045" t="s">
        <v>456</v>
      </c>
      <c r="E37" s="400"/>
      <c r="F37" s="422"/>
      <c r="G37" s="954">
        <f>AVERAGE(H10:K10)</f>
        <v>1712.425</v>
      </c>
      <c r="H37" s="592">
        <f>AVERAGE(L10:O10)</f>
        <v>2028.5</v>
      </c>
      <c r="I37" s="592">
        <f>AVERAGE(P10:S10)</f>
        <v>2517.2000000000003</v>
      </c>
      <c r="J37" s="592">
        <f>I37*J61/I61</f>
        <v>2081.4347132091889</v>
      </c>
      <c r="K37" s="592">
        <f>J37*K61/J61</f>
        <v>2320.1213658062152</v>
      </c>
      <c r="L37" s="592">
        <f>K37*L61/K61</f>
        <v>2540.0132591479573</v>
      </c>
      <c r="M37" s="592">
        <f>L37*M61/L61</f>
        <v>2630.8646370165779</v>
      </c>
      <c r="N37" s="592">
        <f>M37*N61/M61</f>
        <v>2818.3053745139423</v>
      </c>
      <c r="O37" t="s">
        <v>1859</v>
      </c>
    </row>
    <row r="38" spans="3:41" ht="14.9" customHeight="1" x14ac:dyDescent="0.35">
      <c r="D38" s="1064" t="s">
        <v>461</v>
      </c>
      <c r="E38" s="265"/>
      <c r="F38" s="265"/>
      <c r="G38" s="955">
        <f>AVERAGE(H13:K13)</f>
        <v>1424.4749999999999</v>
      </c>
      <c r="H38" s="366">
        <f>AVERAGE(L13:O13)</f>
        <v>1509.1000000000001</v>
      </c>
      <c r="I38" s="366">
        <f>AVERAGE(P13:S13)</f>
        <v>1657.6</v>
      </c>
      <c r="J38" s="366">
        <f t="shared" ref="J38:N38" si="28">I38*J63/I63</f>
        <v>1803.8930666533647</v>
      </c>
      <c r="K38" s="366">
        <f t="shared" si="28"/>
        <v>1909.4479891825283</v>
      </c>
      <c r="L38" s="366">
        <f t="shared" si="28"/>
        <v>1953.1068548849159</v>
      </c>
      <c r="M38" s="366">
        <f t="shared" si="28"/>
        <v>2040.2592202630758</v>
      </c>
      <c r="N38" s="366">
        <f t="shared" si="28"/>
        <v>2119.5902195175545</v>
      </c>
    </row>
    <row r="39" spans="3:41" ht="14.9" customHeight="1" x14ac:dyDescent="0.35">
      <c r="D39" s="1064" t="s">
        <v>93</v>
      </c>
      <c r="E39" s="265"/>
      <c r="F39" s="265"/>
      <c r="G39" s="955">
        <f>AVERAGE(H15:K15)</f>
        <v>160.52500000000001</v>
      </c>
      <c r="H39" s="366">
        <f>AVERAGE(L15:O15)</f>
        <v>171.17500000000001</v>
      </c>
      <c r="I39" s="366">
        <f>AVERAGE(P15:S15)</f>
        <v>203.52500000000001</v>
      </c>
      <c r="J39" s="366">
        <f>I39*J65/I65</f>
        <v>169.03400797872342</v>
      </c>
      <c r="K39" s="366">
        <f>J39*K65/J65</f>
        <v>113.20103803191489</v>
      </c>
      <c r="L39" s="366">
        <f>K39*L65/K65</f>
        <v>409.21515957446803</v>
      </c>
      <c r="M39" s="366">
        <f>L39*M65/L65</f>
        <v>665.786569148936</v>
      </c>
      <c r="N39" s="366">
        <f>M39*N65/M65</f>
        <v>673.36462765957424</v>
      </c>
    </row>
    <row r="40" spans="3:41" ht="14.9" customHeight="1" x14ac:dyDescent="0.35">
      <c r="D40" s="1064" t="s">
        <v>242</v>
      </c>
      <c r="E40" s="265"/>
      <c r="F40" s="265"/>
      <c r="G40" s="955">
        <f>AVERAGE(H19:K19)</f>
        <v>220.45</v>
      </c>
      <c r="H40" s="366">
        <f>AVERAGE(L19:O19)</f>
        <v>304.75</v>
      </c>
      <c r="I40" s="366">
        <f>AVERAGE(P19:S19)</f>
        <v>400.375</v>
      </c>
      <c r="J40" s="366">
        <f>I40*J70/I70</f>
        <v>395.39654527181443</v>
      </c>
      <c r="K40" s="366">
        <f>J40*K70/J70</f>
        <v>499.32214110533403</v>
      </c>
      <c r="L40" s="366">
        <f>K40*L70/K70</f>
        <v>426.02775309685143</v>
      </c>
      <c r="M40" s="366">
        <f>L40*M70/L70</f>
        <v>380.69111539611214</v>
      </c>
      <c r="N40" s="366">
        <f>M40*N70/M70</f>
        <v>395.12703210651796</v>
      </c>
    </row>
    <row r="41" spans="3:41" ht="14.9" customHeight="1" x14ac:dyDescent="0.35">
      <c r="C41" s="44"/>
      <c r="D41" s="1064" t="s">
        <v>868</v>
      </c>
      <c r="E41" s="44"/>
      <c r="F41" s="268"/>
      <c r="G41" s="693"/>
      <c r="H41" s="540">
        <f>H37/G37-1+0.021</f>
        <v>0.20557742674861665</v>
      </c>
      <c r="I41" s="540">
        <f>I37/H37-1.05</f>
        <v>0.19091693369484841</v>
      </c>
      <c r="J41" s="540">
        <f>J37/I37-1</f>
        <v>-0.17311508294565836</v>
      </c>
      <c r="K41" s="540">
        <f>K37/J37-1+K42</f>
        <v>0.16967410007254818</v>
      </c>
      <c r="L41" s="540">
        <f>L37/K37-1+L42</f>
        <v>9.4776030505340447E-2</v>
      </c>
      <c r="M41" s="988">
        <f>M37/L37-1+M42</f>
        <v>3.5768072289156683E-2</v>
      </c>
      <c r="N41" s="540">
        <f>N37/M37-1+N42</f>
        <v>7.1246819338422362E-2</v>
      </c>
      <c r="O41" t="s">
        <v>856</v>
      </c>
    </row>
    <row r="42" spans="3:41" ht="14.9" customHeight="1" x14ac:dyDescent="0.35">
      <c r="C42" s="44"/>
      <c r="D42" s="1064" t="s">
        <v>1836</v>
      </c>
      <c r="E42" s="44"/>
      <c r="F42" s="268"/>
      <c r="G42" s="693"/>
      <c r="H42" s="540"/>
      <c r="I42" s="540"/>
      <c r="J42" s="540"/>
      <c r="K42" s="540">
        <v>5.5E-2</v>
      </c>
      <c r="L42" s="540"/>
      <c r="M42" s="540"/>
      <c r="N42" s="540"/>
    </row>
    <row r="43" spans="3:41" ht="14.9" customHeight="1" x14ac:dyDescent="0.35">
      <c r="C43" s="44"/>
      <c r="D43" s="1064" t="s">
        <v>869</v>
      </c>
      <c r="E43" s="44"/>
      <c r="F43" s="268"/>
      <c r="G43" s="693"/>
      <c r="H43" s="540">
        <f>H38/G38-1.03</f>
        <v>2.94078520156551E-2</v>
      </c>
      <c r="I43" s="540">
        <f>I38/H38-1.013</f>
        <v>8.5403021668544188E-2</v>
      </c>
      <c r="J43" s="1028">
        <f>J38/I38-1</f>
        <v>8.8255952372927604E-2</v>
      </c>
      <c r="K43" s="1028">
        <f>K38/J38-1</f>
        <v>5.851506637529913E-2</v>
      </c>
      <c r="L43" s="1028">
        <f>L38/K38-1</f>
        <v>2.2864653004284641E-2</v>
      </c>
      <c r="M43" s="1028">
        <f>M38/L38-1</f>
        <v>4.4622425629290641E-2</v>
      </c>
      <c r="N43" s="1028">
        <f>N38/M38-1</f>
        <v>3.8882803943044886E-2</v>
      </c>
      <c r="O43" t="s">
        <v>857</v>
      </c>
    </row>
    <row r="44" spans="3:41" ht="14.9" customHeight="1" x14ac:dyDescent="0.35">
      <c r="C44" s="44"/>
      <c r="D44" s="1064" t="s">
        <v>870</v>
      </c>
      <c r="E44" s="44"/>
      <c r="F44" s="268"/>
      <c r="G44" s="693"/>
      <c r="H44" s="540">
        <f>H39/G39-1</f>
        <v>6.6344806104968068E-2</v>
      </c>
      <c r="I44" s="540">
        <f>I39/H39-1.01</f>
        <v>0.17898787790273096</v>
      </c>
      <c r="J44" s="540">
        <f>J39/I39-1</f>
        <v>-0.16946808510638289</v>
      </c>
      <c r="K44" s="540">
        <f t="shared" ref="K44" si="29">K39/J39-1</f>
        <v>-0.3303061355194058</v>
      </c>
      <c r="L44" s="540">
        <f>L39/K39-1</f>
        <v>2.6149417592716557</v>
      </c>
      <c r="M44" s="540">
        <f>M39/L39-1</f>
        <v>0.62698412698412676</v>
      </c>
      <c r="N44" s="540">
        <f>N39/M39-1</f>
        <v>1.1382113821138073E-2</v>
      </c>
    </row>
    <row r="45" spans="3:41" ht="14.9" customHeight="1" x14ac:dyDescent="0.35">
      <c r="C45" s="44"/>
      <c r="D45" s="1029" t="s">
        <v>871</v>
      </c>
      <c r="E45" s="43"/>
      <c r="F45" s="468"/>
      <c r="G45" s="692"/>
      <c r="H45" s="1030">
        <f>H40/G40-1</f>
        <v>0.38239963710591973</v>
      </c>
      <c r="I45" s="1030">
        <f>I40/H40-1.103</f>
        <v>0.21078178835110739</v>
      </c>
      <c r="J45" s="1030">
        <f>J40/I40-1</f>
        <v>-1.2434479495936457E-2</v>
      </c>
      <c r="K45" s="1030">
        <f>K40/J40-1-0.15</f>
        <v>0.11283890710799263</v>
      </c>
      <c r="L45" s="1030">
        <f>0.08</f>
        <v>0.08</v>
      </c>
      <c r="M45" s="1030">
        <f>M40/L40-1+0.03</f>
        <v>-7.6417099287972051E-2</v>
      </c>
      <c r="N45" s="1030">
        <f>N40/M40-1+0.03</f>
        <v>6.7920287935758966E-2</v>
      </c>
    </row>
    <row r="46" spans="3:41" ht="14.9" customHeight="1" x14ac:dyDescent="0.35">
      <c r="D46" s="252"/>
      <c r="E46" s="1042"/>
      <c r="F46" s="1051"/>
      <c r="G46" s="1051"/>
      <c r="H46" s="1027"/>
      <c r="I46" s="1027"/>
      <c r="J46" s="1027"/>
      <c r="K46" s="1027"/>
      <c r="L46" s="1027"/>
    </row>
    <row r="47" spans="3:41" ht="14.9" customHeight="1" x14ac:dyDescent="0.35">
      <c r="D47" s="252"/>
      <c r="E47" s="1042"/>
      <c r="F47" s="1051"/>
      <c r="G47" s="1051"/>
      <c r="H47" s="1027"/>
      <c r="I47" s="1027"/>
      <c r="J47" s="1027"/>
      <c r="K47" s="1027"/>
      <c r="L47" s="1027"/>
    </row>
    <row r="48" spans="3:41" ht="14.9" customHeight="1" x14ac:dyDescent="0.35">
      <c r="D48" s="252"/>
      <c r="E48" s="1042"/>
      <c r="F48" s="1521" t="s">
        <v>246</v>
      </c>
      <c r="G48" s="1522"/>
      <c r="H48" s="1522"/>
      <c r="I48" s="1522"/>
      <c r="J48" s="1522"/>
      <c r="K48" s="1522"/>
      <c r="L48" s="1522"/>
      <c r="M48" s="1522"/>
      <c r="N48" s="1522"/>
      <c r="O48" s="1522"/>
      <c r="P48" s="1522"/>
      <c r="Q48" s="1522"/>
      <c r="R48" s="1522"/>
      <c r="S48" s="1522"/>
      <c r="T48" s="1522"/>
      <c r="U48" s="1522"/>
      <c r="V48" s="1523"/>
      <c r="W48" s="1397" t="s">
        <v>247</v>
      </c>
      <c r="X48" s="1398"/>
      <c r="Y48" s="1398"/>
      <c r="Z48" s="1398"/>
      <c r="AA48" s="1398"/>
      <c r="AB48" s="1398"/>
      <c r="AC48" s="1398"/>
      <c r="AD48" s="1398"/>
      <c r="AE48" s="1398"/>
      <c r="AF48" s="1398"/>
      <c r="AG48" s="1398"/>
      <c r="AH48" s="1399"/>
      <c r="AJ48" s="913" t="s">
        <v>1907</v>
      </c>
    </row>
    <row r="49" spans="4:41" ht="14.9" customHeight="1" x14ac:dyDescent="0.35">
      <c r="D49" s="252"/>
      <c r="E49" s="1042"/>
      <c r="F49" s="1403">
        <v>2019</v>
      </c>
      <c r="G49" s="1404"/>
      <c r="H49" s="1405"/>
      <c r="I49" s="1404">
        <v>2020</v>
      </c>
      <c r="J49" s="1404"/>
      <c r="K49" s="1404"/>
      <c r="L49" s="1404"/>
      <c r="M49" s="1403">
        <v>2021</v>
      </c>
      <c r="N49" s="1404"/>
      <c r="O49" s="1404"/>
      <c r="P49" s="1404"/>
      <c r="Q49" s="1403">
        <v>2022</v>
      </c>
      <c r="R49" s="1404"/>
      <c r="S49" s="1404"/>
      <c r="T49" s="1405"/>
      <c r="U49" s="277"/>
      <c r="V49" s="277">
        <v>2023</v>
      </c>
      <c r="W49" s="355"/>
      <c r="X49" s="939"/>
      <c r="Y49" s="1524">
        <v>2024</v>
      </c>
      <c r="Z49" s="1406"/>
      <c r="AA49" s="1406"/>
      <c r="AB49" s="1407"/>
      <c r="AC49" s="1524">
        <v>2025</v>
      </c>
      <c r="AD49" s="1406"/>
      <c r="AE49" s="1406"/>
      <c r="AF49" s="1407"/>
      <c r="AG49" s="1410">
        <v>2026</v>
      </c>
      <c r="AH49" s="1411"/>
      <c r="AI49" s="1411"/>
      <c r="AJ49" s="1412"/>
    </row>
    <row r="50" spans="4:41" ht="14.9" customHeight="1" x14ac:dyDescent="0.35">
      <c r="D50" s="252"/>
      <c r="E50" s="1042"/>
      <c r="F50" s="272" t="s">
        <v>250</v>
      </c>
      <c r="G50" s="273" t="s">
        <v>226</v>
      </c>
      <c r="H50" s="271" t="s">
        <v>248</v>
      </c>
      <c r="I50" s="273" t="s">
        <v>249</v>
      </c>
      <c r="J50" s="273" t="s">
        <v>250</v>
      </c>
      <c r="K50" s="273" t="s">
        <v>226</v>
      </c>
      <c r="L50" s="273" t="s">
        <v>248</v>
      </c>
      <c r="M50" s="272" t="s">
        <v>249</v>
      </c>
      <c r="N50" s="273" t="s">
        <v>250</v>
      </c>
      <c r="O50" s="273" t="s">
        <v>226</v>
      </c>
      <c r="P50" s="273" t="s">
        <v>248</v>
      </c>
      <c r="Q50" s="272" t="s">
        <v>249</v>
      </c>
      <c r="R50" s="273" t="s">
        <v>250</v>
      </c>
      <c r="S50" s="273" t="s">
        <v>226</v>
      </c>
      <c r="T50" s="271" t="s">
        <v>248</v>
      </c>
      <c r="U50" s="273" t="s">
        <v>249</v>
      </c>
      <c r="V50" s="273" t="s">
        <v>250</v>
      </c>
      <c r="W50" s="273" t="s">
        <v>226</v>
      </c>
      <c r="X50" s="271" t="s">
        <v>248</v>
      </c>
      <c r="Y50" s="275" t="s">
        <v>249</v>
      </c>
      <c r="Z50" s="269" t="s">
        <v>250</v>
      </c>
      <c r="AA50" s="270" t="s">
        <v>226</v>
      </c>
      <c r="AB50" s="276" t="s">
        <v>248</v>
      </c>
      <c r="AC50" s="275" t="s">
        <v>249</v>
      </c>
      <c r="AD50" s="269" t="s">
        <v>250</v>
      </c>
      <c r="AE50" s="270" t="s">
        <v>226</v>
      </c>
      <c r="AF50" s="270" t="s">
        <v>248</v>
      </c>
      <c r="AG50" s="275" t="s">
        <v>249</v>
      </c>
      <c r="AH50" s="269" t="s">
        <v>250</v>
      </c>
      <c r="AI50" s="270" t="s">
        <v>226</v>
      </c>
      <c r="AJ50" s="276" t="s">
        <v>248</v>
      </c>
    </row>
    <row r="51" spans="4:41" ht="14.9" customHeight="1" x14ac:dyDescent="0.35">
      <c r="D51" s="1064" t="s">
        <v>868</v>
      </c>
      <c r="E51" s="1042"/>
      <c r="F51" s="1051"/>
      <c r="G51" s="1051"/>
      <c r="H51" s="1027"/>
      <c r="I51" s="1027"/>
      <c r="J51" s="1027"/>
      <c r="K51" s="1027"/>
      <c r="L51" s="1027"/>
    </row>
    <row r="52" spans="4:41" ht="14.9" customHeight="1" x14ac:dyDescent="0.35">
      <c r="D52" s="1064" t="s">
        <v>1836</v>
      </c>
      <c r="E52" s="1042"/>
      <c r="F52" s="1051"/>
      <c r="G52" s="1051"/>
      <c r="H52" s="1027"/>
      <c r="I52" s="1027"/>
      <c r="J52" s="1027"/>
      <c r="K52" s="1027"/>
      <c r="L52" s="1027"/>
      <c r="M52" s="915">
        <f>H41</f>
        <v>0.20557742674861665</v>
      </c>
      <c r="N52" s="915">
        <f>H41</f>
        <v>0.20557742674861665</v>
      </c>
      <c r="O52" s="915">
        <f>H41</f>
        <v>0.20557742674861665</v>
      </c>
      <c r="P52" s="915">
        <f>H41</f>
        <v>0.20557742674861665</v>
      </c>
      <c r="Q52" s="915">
        <f>I41</f>
        <v>0.19091693369484841</v>
      </c>
      <c r="R52" s="915">
        <f>I41</f>
        <v>0.19091693369484841</v>
      </c>
      <c r="S52" s="915">
        <f>I41</f>
        <v>0.19091693369484841</v>
      </c>
      <c r="T52" s="915">
        <f>I41</f>
        <v>0.19091693369484841</v>
      </c>
      <c r="U52" s="915">
        <f>J41</f>
        <v>-0.17311508294565836</v>
      </c>
      <c r="V52" s="915">
        <f>J41</f>
        <v>-0.17311508294565836</v>
      </c>
      <c r="W52" s="915">
        <f>J41</f>
        <v>-0.17311508294565836</v>
      </c>
      <c r="X52" s="915">
        <f>J41</f>
        <v>-0.17311508294565836</v>
      </c>
      <c r="Y52" s="915">
        <f>K41</f>
        <v>0.16967410007254818</v>
      </c>
      <c r="Z52" s="915">
        <f>K41</f>
        <v>0.16967410007254818</v>
      </c>
      <c r="AA52" s="915">
        <f>K41</f>
        <v>0.16967410007254818</v>
      </c>
      <c r="AB52" s="915">
        <f t="shared" ref="AB52:AC56" si="30">K41</f>
        <v>0.16967410007254818</v>
      </c>
      <c r="AC52" s="915">
        <f>L41</f>
        <v>9.4776030505340447E-2</v>
      </c>
      <c r="AD52" s="915">
        <f>L41</f>
        <v>9.4776030505340447E-2</v>
      </c>
      <c r="AE52" s="915">
        <f>L41</f>
        <v>9.4776030505340447E-2</v>
      </c>
      <c r="AF52" s="915">
        <f t="shared" ref="AF52:AG56" si="31">L41</f>
        <v>9.4776030505340447E-2</v>
      </c>
      <c r="AG52" s="915">
        <f t="shared" si="31"/>
        <v>3.5768072289156683E-2</v>
      </c>
      <c r="AH52" s="915">
        <f>M41</f>
        <v>3.5768072289156683E-2</v>
      </c>
      <c r="AI52" s="915">
        <f>M41</f>
        <v>3.5768072289156683E-2</v>
      </c>
      <c r="AJ52" s="915">
        <f>M41</f>
        <v>3.5768072289156683E-2</v>
      </c>
    </row>
    <row r="53" spans="4:41" ht="14.9" customHeight="1" x14ac:dyDescent="0.35">
      <c r="D53" s="1064" t="s">
        <v>869</v>
      </c>
      <c r="E53" s="1042"/>
      <c r="F53" s="1051"/>
      <c r="G53" s="1051"/>
      <c r="H53" s="1027"/>
      <c r="I53" s="1027"/>
      <c r="J53" s="1027"/>
      <c r="K53" s="1027"/>
      <c r="L53" s="1027"/>
      <c r="Y53" s="915">
        <f>K42</f>
        <v>5.5E-2</v>
      </c>
      <c r="Z53" s="915">
        <f>K42</f>
        <v>5.5E-2</v>
      </c>
      <c r="AA53" s="915">
        <f>K42</f>
        <v>5.5E-2</v>
      </c>
      <c r="AB53" s="915">
        <f t="shared" si="30"/>
        <v>5.5E-2</v>
      </c>
      <c r="AC53" s="915">
        <f>L42</f>
        <v>0</v>
      </c>
      <c r="AD53" s="915">
        <f>L42</f>
        <v>0</v>
      </c>
      <c r="AE53" s="915">
        <f>L42</f>
        <v>0</v>
      </c>
      <c r="AF53" s="915">
        <f t="shared" si="31"/>
        <v>0</v>
      </c>
      <c r="AG53" s="915">
        <f t="shared" si="31"/>
        <v>0</v>
      </c>
      <c r="AH53" s="915">
        <f>M42</f>
        <v>0</v>
      </c>
      <c r="AI53" s="915">
        <f>M42</f>
        <v>0</v>
      </c>
      <c r="AJ53" s="915">
        <f>M42</f>
        <v>0</v>
      </c>
    </row>
    <row r="54" spans="4:41" ht="14.9" customHeight="1" x14ac:dyDescent="0.35">
      <c r="D54" s="1064" t="s">
        <v>870</v>
      </c>
      <c r="E54" s="1042"/>
      <c r="F54" s="1051"/>
      <c r="G54" s="1051"/>
      <c r="H54" s="1027"/>
      <c r="I54" s="1027"/>
      <c r="J54" s="1027"/>
      <c r="K54" s="1027"/>
      <c r="L54" s="1027"/>
      <c r="M54" s="915">
        <f>H43</f>
        <v>2.94078520156551E-2</v>
      </c>
      <c r="N54" s="915">
        <f>H43</f>
        <v>2.94078520156551E-2</v>
      </c>
      <c r="O54" s="119">
        <f>H43</f>
        <v>2.94078520156551E-2</v>
      </c>
      <c r="P54" s="915">
        <f t="shared" ref="P54:Q56" si="32">H43</f>
        <v>2.94078520156551E-2</v>
      </c>
      <c r="Q54" s="915">
        <f t="shared" si="32"/>
        <v>8.5403021668544188E-2</v>
      </c>
      <c r="R54" s="915">
        <f>I43</f>
        <v>8.5403021668544188E-2</v>
      </c>
      <c r="S54" s="915">
        <f>I43</f>
        <v>8.5403021668544188E-2</v>
      </c>
      <c r="T54" s="915">
        <f t="shared" ref="T54:U56" si="33">I43</f>
        <v>8.5403021668544188E-2</v>
      </c>
      <c r="U54" s="119">
        <f t="shared" si="33"/>
        <v>8.8255952372927604E-2</v>
      </c>
      <c r="V54" s="119">
        <f>J43</f>
        <v>8.8255952372927604E-2</v>
      </c>
      <c r="W54" s="119">
        <f>J43</f>
        <v>8.8255952372927604E-2</v>
      </c>
      <c r="X54" s="119">
        <f>J43</f>
        <v>8.8255952372927604E-2</v>
      </c>
      <c r="Y54" s="915">
        <f>K43</f>
        <v>5.851506637529913E-2</v>
      </c>
      <c r="Z54" s="915">
        <f>K43</f>
        <v>5.851506637529913E-2</v>
      </c>
      <c r="AA54" s="915">
        <f>K43</f>
        <v>5.851506637529913E-2</v>
      </c>
      <c r="AB54" s="915">
        <f t="shared" si="30"/>
        <v>5.851506637529913E-2</v>
      </c>
      <c r="AC54" s="915">
        <f t="shared" si="30"/>
        <v>2.2864653004284641E-2</v>
      </c>
      <c r="AD54" s="915">
        <f>L43</f>
        <v>2.2864653004284641E-2</v>
      </c>
      <c r="AE54" s="915">
        <f>L43</f>
        <v>2.2864653004284641E-2</v>
      </c>
      <c r="AF54" s="915">
        <f t="shared" si="31"/>
        <v>2.2864653004284641E-2</v>
      </c>
      <c r="AG54" s="915">
        <f>M43</f>
        <v>4.4622425629290641E-2</v>
      </c>
      <c r="AH54" s="915">
        <f>M43</f>
        <v>4.4622425629290641E-2</v>
      </c>
      <c r="AI54" s="915">
        <f>M43</f>
        <v>4.4622425629290641E-2</v>
      </c>
      <c r="AJ54" s="915">
        <f>M43</f>
        <v>4.4622425629290641E-2</v>
      </c>
    </row>
    <row r="55" spans="4:41" ht="14.9" customHeight="1" x14ac:dyDescent="0.35">
      <c r="D55" s="1029" t="s">
        <v>871</v>
      </c>
      <c r="E55" s="1042"/>
      <c r="F55" s="1051"/>
      <c r="G55" s="1051"/>
      <c r="H55" s="1027"/>
      <c r="I55" s="1027"/>
      <c r="J55" s="1027"/>
      <c r="K55" s="1027"/>
      <c r="L55" s="1027"/>
      <c r="M55" s="915">
        <f>H44</f>
        <v>6.6344806104968068E-2</v>
      </c>
      <c r="N55" s="915">
        <f>H44</f>
        <v>6.6344806104968068E-2</v>
      </c>
      <c r="O55" s="915">
        <f>H44</f>
        <v>6.6344806104968068E-2</v>
      </c>
      <c r="P55" s="915">
        <f t="shared" si="32"/>
        <v>6.6344806104968068E-2</v>
      </c>
      <c r="Q55" s="915">
        <f t="shared" si="32"/>
        <v>0.17898787790273096</v>
      </c>
      <c r="R55" s="915">
        <f>I44</f>
        <v>0.17898787790273096</v>
      </c>
      <c r="S55" s="915">
        <f>I44</f>
        <v>0.17898787790273096</v>
      </c>
      <c r="T55" s="915">
        <f t="shared" si="33"/>
        <v>0.17898787790273096</v>
      </c>
      <c r="U55" s="915">
        <f t="shared" si="33"/>
        <v>-0.16946808510638289</v>
      </c>
      <c r="V55" s="915">
        <f>J44</f>
        <v>-0.16946808510638289</v>
      </c>
      <c r="W55" s="915">
        <f>J44</f>
        <v>-0.16946808510638289</v>
      </c>
      <c r="X55" s="915">
        <f>J44</f>
        <v>-0.16946808510638289</v>
      </c>
      <c r="Y55" s="915">
        <f>K44</f>
        <v>-0.3303061355194058</v>
      </c>
      <c r="Z55" s="915">
        <f>K44</f>
        <v>-0.3303061355194058</v>
      </c>
      <c r="AA55" s="915">
        <f>K44</f>
        <v>-0.3303061355194058</v>
      </c>
      <c r="AB55" s="915">
        <f t="shared" si="30"/>
        <v>-0.3303061355194058</v>
      </c>
      <c r="AC55" s="915">
        <f t="shared" si="30"/>
        <v>2.6149417592716557</v>
      </c>
      <c r="AD55" s="915">
        <f>L44</f>
        <v>2.6149417592716557</v>
      </c>
      <c r="AE55" s="915">
        <f>L44</f>
        <v>2.6149417592716557</v>
      </c>
      <c r="AF55" s="915">
        <f t="shared" si="31"/>
        <v>2.6149417592716557</v>
      </c>
      <c r="AG55" s="915">
        <f t="shared" si="31"/>
        <v>0.62698412698412676</v>
      </c>
      <c r="AH55" s="915">
        <f>M44</f>
        <v>0.62698412698412676</v>
      </c>
      <c r="AI55" s="915">
        <f>M44</f>
        <v>0.62698412698412676</v>
      </c>
      <c r="AJ55" s="915">
        <f>M44</f>
        <v>0.62698412698412676</v>
      </c>
    </row>
    <row r="56" spans="4:41" ht="14.9" customHeight="1" x14ac:dyDescent="0.35">
      <c r="D56" s="252"/>
      <c r="E56" s="1042"/>
      <c r="F56" s="1051"/>
      <c r="G56" s="1051"/>
      <c r="H56" s="1027"/>
      <c r="I56" s="1027"/>
      <c r="J56" s="1027"/>
      <c r="K56" s="1027"/>
      <c r="L56" s="1027"/>
      <c r="M56" s="915">
        <f>H45</f>
        <v>0.38239963710591973</v>
      </c>
      <c r="N56" s="915">
        <f>H45</f>
        <v>0.38239963710591973</v>
      </c>
      <c r="O56" s="915">
        <f>H45</f>
        <v>0.38239963710591973</v>
      </c>
      <c r="P56" s="915">
        <f t="shared" si="32"/>
        <v>0.38239963710591973</v>
      </c>
      <c r="Q56" s="915">
        <f t="shared" si="32"/>
        <v>0.21078178835110739</v>
      </c>
      <c r="R56" s="915">
        <f>I45</f>
        <v>0.21078178835110739</v>
      </c>
      <c r="S56" s="915">
        <f>I45</f>
        <v>0.21078178835110739</v>
      </c>
      <c r="T56" s="915">
        <f t="shared" si="33"/>
        <v>0.21078178835110739</v>
      </c>
      <c r="U56" s="915">
        <f t="shared" si="33"/>
        <v>-1.2434479495936457E-2</v>
      </c>
      <c r="V56" s="915">
        <f>J45</f>
        <v>-1.2434479495936457E-2</v>
      </c>
      <c r="W56" s="915">
        <f>J45</f>
        <v>-1.2434479495936457E-2</v>
      </c>
      <c r="X56" s="915">
        <f>J45</f>
        <v>-1.2434479495936457E-2</v>
      </c>
      <c r="Y56" s="915">
        <f>K45</f>
        <v>0.11283890710799263</v>
      </c>
      <c r="Z56" s="915">
        <f>K45</f>
        <v>0.11283890710799263</v>
      </c>
      <c r="AA56" s="915">
        <f>K45</f>
        <v>0.11283890710799263</v>
      </c>
      <c r="AB56" s="915">
        <f t="shared" si="30"/>
        <v>0.11283890710799263</v>
      </c>
      <c r="AC56" s="915">
        <f t="shared" si="30"/>
        <v>0.08</v>
      </c>
      <c r="AD56" s="915">
        <f>L45</f>
        <v>0.08</v>
      </c>
      <c r="AE56" s="915">
        <f>L45</f>
        <v>0.08</v>
      </c>
      <c r="AF56" s="915">
        <f t="shared" si="31"/>
        <v>0.08</v>
      </c>
      <c r="AG56" s="915">
        <f t="shared" si="31"/>
        <v>-7.6417099287972051E-2</v>
      </c>
      <c r="AH56" s="915">
        <f>O45</f>
        <v>0</v>
      </c>
      <c r="AI56" s="915" t="e">
        <f>#REF!</f>
        <v>#REF!</v>
      </c>
      <c r="AJ56" s="915">
        <f>P45</f>
        <v>0</v>
      </c>
    </row>
    <row r="57" spans="4:41" ht="14.9" customHeight="1" x14ac:dyDescent="0.35">
      <c r="D57" s="252"/>
      <c r="E57" s="1042"/>
      <c r="F57" s="1051"/>
      <c r="G57" s="1051"/>
      <c r="H57" s="1027"/>
      <c r="I57" s="1027"/>
      <c r="J57" s="968"/>
      <c r="K57" s="1027"/>
      <c r="L57" s="1027"/>
    </row>
    <row r="58" spans="4:41" ht="14.9" customHeight="1" x14ac:dyDescent="0.35">
      <c r="D58" s="252"/>
      <c r="E58" s="1042"/>
      <c r="F58" s="1051"/>
      <c r="G58" s="1051"/>
      <c r="H58" s="1027"/>
      <c r="I58" s="1027"/>
      <c r="J58" s="1027"/>
      <c r="K58" s="1027"/>
      <c r="L58" s="1027"/>
    </row>
    <row r="59" spans="4:41" ht="41.9" customHeight="1" x14ac:dyDescent="0.35">
      <c r="F59" s="268"/>
      <c r="G59" s="268"/>
      <c r="H59" s="1007"/>
      <c r="I59" s="1007"/>
      <c r="J59" s="1007"/>
      <c r="K59" s="1007"/>
      <c r="L59" s="1007"/>
      <c r="M59" s="268" t="s">
        <v>1865</v>
      </c>
      <c r="N59" s="399"/>
      <c r="AF59" s="1007"/>
      <c r="AG59" s="1007"/>
      <c r="AH59" s="1007"/>
      <c r="AI59" s="1007"/>
      <c r="AJ59" s="1007"/>
      <c r="AK59" s="1007"/>
      <c r="AL59" s="1007"/>
      <c r="AN59" s="1007"/>
      <c r="AO59" s="1007"/>
    </row>
    <row r="60" spans="4:41" ht="30.75" customHeight="1" x14ac:dyDescent="0.35">
      <c r="D60" s="929" t="s">
        <v>2043</v>
      </c>
      <c r="E60" s="794">
        <v>2018</v>
      </c>
      <c r="F60" s="1014">
        <v>2019</v>
      </c>
      <c r="G60" s="1014">
        <v>2020</v>
      </c>
      <c r="H60" s="1014">
        <v>2021</v>
      </c>
      <c r="I60" s="1014">
        <v>2022</v>
      </c>
      <c r="J60" s="908">
        <v>2023</v>
      </c>
      <c r="K60" s="910">
        <v>2024</v>
      </c>
      <c r="L60" s="942">
        <v>2025</v>
      </c>
      <c r="M60" s="905">
        <v>2026</v>
      </c>
      <c r="N60" s="910">
        <v>2027</v>
      </c>
      <c r="O60" s="942">
        <v>2028</v>
      </c>
      <c r="P60" s="905">
        <v>2029</v>
      </c>
      <c r="Q60" s="910">
        <v>2030</v>
      </c>
      <c r="R60" s="942">
        <v>2031</v>
      </c>
      <c r="S60" s="905">
        <v>2032</v>
      </c>
      <c r="T60" s="942">
        <v>2033</v>
      </c>
      <c r="U60" s="905">
        <v>2034</v>
      </c>
      <c r="V60" s="910">
        <v>2035</v>
      </c>
    </row>
    <row r="61" spans="4:41" ht="30.75" customHeight="1" x14ac:dyDescent="0.35">
      <c r="D61" s="923" t="s">
        <v>456</v>
      </c>
      <c r="E61" s="1015">
        <v>1683.5</v>
      </c>
      <c r="F61" s="1015">
        <v>1717.9</v>
      </c>
      <c r="G61" s="1015">
        <v>1609</v>
      </c>
      <c r="H61" s="476">
        <v>2044.377</v>
      </c>
      <c r="I61" s="592">
        <v>2632.145</v>
      </c>
      <c r="J61" s="592">
        <v>2176.4810000000002</v>
      </c>
      <c r="K61" s="592">
        <v>2426.067</v>
      </c>
      <c r="L61" s="906">
        <v>2656</v>
      </c>
      <c r="M61" s="906">
        <v>2751</v>
      </c>
      <c r="N61" s="906">
        <v>2947</v>
      </c>
      <c r="O61" s="906">
        <v>3044</v>
      </c>
      <c r="P61" s="906">
        <v>3193</v>
      </c>
      <c r="Q61" s="906">
        <v>3339</v>
      </c>
      <c r="R61" s="906">
        <v>3461</v>
      </c>
      <c r="S61" s="906">
        <v>3594</v>
      </c>
      <c r="T61" s="906">
        <v>3744</v>
      </c>
      <c r="U61" s="906">
        <v>3903</v>
      </c>
      <c r="V61" s="906">
        <v>4072</v>
      </c>
      <c r="W61" s="786"/>
    </row>
    <row r="62" spans="4:41" ht="30.75" customHeight="1" x14ac:dyDescent="0.35">
      <c r="D62" s="1036" t="s">
        <v>868</v>
      </c>
      <c r="E62" s="922"/>
      <c r="F62" s="922"/>
      <c r="G62" s="922"/>
      <c r="H62" s="756">
        <f t="shared" ref="H62:K62" si="34">((H61/G61)-1)*100</f>
        <v>27.058856432566802</v>
      </c>
      <c r="I62" s="756">
        <f t="shared" si="34"/>
        <v>28.750470192141677</v>
      </c>
      <c r="J62" s="756">
        <f t="shared" si="34"/>
        <v>-17.311508294565826</v>
      </c>
      <c r="K62" s="756">
        <f t="shared" si="34"/>
        <v>11.46741000725482</v>
      </c>
      <c r="L62" s="762">
        <f>(L61/K61)-1</f>
        <v>9.4776030505340447E-2</v>
      </c>
      <c r="M62" s="762">
        <f t="shared" ref="M62:V62" si="35">(M61/L61)-1</f>
        <v>3.5768072289156683E-2</v>
      </c>
      <c r="N62" s="762">
        <f t="shared" si="35"/>
        <v>7.1246819338422362E-2</v>
      </c>
      <c r="O62" s="762">
        <f t="shared" si="35"/>
        <v>3.291482863929418E-2</v>
      </c>
      <c r="P62" s="762">
        <f t="shared" si="35"/>
        <v>4.8948751642575505E-2</v>
      </c>
      <c r="Q62" s="762">
        <f t="shared" si="35"/>
        <v>4.5725023488881966E-2</v>
      </c>
      <c r="R62" s="762">
        <f t="shared" si="35"/>
        <v>3.6537885594489339E-2</v>
      </c>
      <c r="S62" s="762">
        <f t="shared" si="35"/>
        <v>3.8428199942213137E-2</v>
      </c>
      <c r="T62" s="762">
        <f t="shared" si="35"/>
        <v>4.173622704507518E-2</v>
      </c>
      <c r="U62" s="762">
        <f t="shared" si="35"/>
        <v>4.2467948717948678E-2</v>
      </c>
      <c r="V62" s="762">
        <f t="shared" si="35"/>
        <v>4.3300025621316962E-2</v>
      </c>
    </row>
    <row r="63" spans="4:41" ht="16.5" customHeight="1" x14ac:dyDescent="0.35">
      <c r="D63" s="903" t="s">
        <v>457</v>
      </c>
      <c r="E63" s="922">
        <v>1170.7</v>
      </c>
      <c r="F63" s="922">
        <v>1243.4000000000001</v>
      </c>
      <c r="G63" s="922">
        <v>1310</v>
      </c>
      <c r="H63" s="537">
        <v>1314.088</v>
      </c>
      <c r="I63" s="366">
        <v>1483.5260000000001</v>
      </c>
      <c r="J63" s="366">
        <v>1614.4559999999999</v>
      </c>
      <c r="K63" s="366">
        <v>1708.9259999999999</v>
      </c>
      <c r="L63" s="366">
        <v>1748</v>
      </c>
      <c r="M63" s="909">
        <v>1826</v>
      </c>
      <c r="N63" s="366">
        <v>1897</v>
      </c>
      <c r="O63" s="366">
        <v>1970</v>
      </c>
      <c r="P63" s="366">
        <v>2048</v>
      </c>
      <c r="Q63" s="366">
        <v>2132</v>
      </c>
      <c r="R63" s="366">
        <v>2216</v>
      </c>
      <c r="S63" s="366">
        <v>2302</v>
      </c>
      <c r="T63" s="366">
        <v>2389</v>
      </c>
      <c r="U63" s="366">
        <v>2478</v>
      </c>
      <c r="V63" s="909">
        <v>2570</v>
      </c>
      <c r="W63" s="786"/>
    </row>
    <row r="64" spans="4:41" ht="16.5" customHeight="1" x14ac:dyDescent="0.35">
      <c r="D64" s="925" t="s">
        <v>2049</v>
      </c>
      <c r="E64" s="922"/>
      <c r="F64" s="922"/>
      <c r="G64" s="922"/>
      <c r="H64" s="537"/>
      <c r="I64" s="366"/>
      <c r="J64" s="366"/>
      <c r="K64" s="366"/>
      <c r="L64" s="762">
        <f>(L63/K63-1)</f>
        <v>2.2864653004284641E-2</v>
      </c>
      <c r="M64" s="762">
        <f t="shared" ref="M64:V64" si="36">(M63/L63-1)</f>
        <v>4.4622425629290641E-2</v>
      </c>
      <c r="N64" s="762">
        <f t="shared" si="36"/>
        <v>3.8882803943044886E-2</v>
      </c>
      <c r="O64" s="762">
        <f t="shared" si="36"/>
        <v>3.8481813389562358E-2</v>
      </c>
      <c r="P64" s="762">
        <f t="shared" si="36"/>
        <v>3.9593908629441676E-2</v>
      </c>
      <c r="Q64" s="762">
        <f t="shared" si="36"/>
        <v>4.1015625E-2</v>
      </c>
      <c r="R64" s="762">
        <f t="shared" si="36"/>
        <v>3.9399624765478425E-2</v>
      </c>
      <c r="S64" s="762">
        <f t="shared" si="36"/>
        <v>3.8808664259927905E-2</v>
      </c>
      <c r="T64" s="762">
        <f t="shared" si="36"/>
        <v>3.779322328410073E-2</v>
      </c>
      <c r="U64" s="762">
        <f t="shared" si="36"/>
        <v>3.7254081205525313E-2</v>
      </c>
      <c r="V64" s="762">
        <f t="shared" si="36"/>
        <v>3.7126715092816731E-2</v>
      </c>
      <c r="W64" s="786"/>
    </row>
    <row r="65" spans="4:26" x14ac:dyDescent="0.35">
      <c r="D65" s="693" t="s">
        <v>458</v>
      </c>
      <c r="E65" s="537">
        <f>E66+E68</f>
        <v>136.30000000000001</v>
      </c>
      <c r="F65" s="537">
        <f t="shared" ref="F65:K65" si="37">F66+F68</f>
        <v>170.6</v>
      </c>
      <c r="G65" s="537">
        <f t="shared" si="37"/>
        <v>156</v>
      </c>
      <c r="H65" s="537">
        <f t="shared" si="37"/>
        <v>155.25900000000001</v>
      </c>
      <c r="I65" s="537">
        <f t="shared" si="37"/>
        <v>188</v>
      </c>
      <c r="J65" s="537">
        <f t="shared" si="37"/>
        <v>156.14000000000001</v>
      </c>
      <c r="K65" s="537">
        <f t="shared" si="37"/>
        <v>104.566</v>
      </c>
      <c r="L65" s="537">
        <f>L66+L68</f>
        <v>378</v>
      </c>
      <c r="M65" s="920">
        <f>M66+M68</f>
        <v>615</v>
      </c>
      <c r="N65" s="920">
        <f t="shared" ref="N65:V65" si="38">N66+N68</f>
        <v>622</v>
      </c>
      <c r="O65" s="920">
        <f t="shared" si="38"/>
        <v>625</v>
      </c>
      <c r="P65" s="920">
        <f t="shared" si="38"/>
        <v>626</v>
      </c>
      <c r="Q65" s="920">
        <f t="shared" si="38"/>
        <v>647</v>
      </c>
      <c r="R65" s="920">
        <f t="shared" si="38"/>
        <v>698</v>
      </c>
      <c r="S65" s="920">
        <f t="shared" si="38"/>
        <v>723</v>
      </c>
      <c r="T65" s="920">
        <f t="shared" si="38"/>
        <v>733</v>
      </c>
      <c r="U65" s="920">
        <f t="shared" si="38"/>
        <v>750</v>
      </c>
      <c r="V65" s="920">
        <f t="shared" si="38"/>
        <v>778</v>
      </c>
      <c r="W65" s="1067"/>
    </row>
    <row r="66" spans="4:26" x14ac:dyDescent="0.35">
      <c r="D66" s="833" t="s">
        <v>1861</v>
      </c>
      <c r="E66" s="922">
        <v>95</v>
      </c>
      <c r="F66" s="922">
        <v>99.8</v>
      </c>
      <c r="G66" s="922">
        <v>87</v>
      </c>
      <c r="H66" s="537">
        <v>75.274000000000001</v>
      </c>
      <c r="I66" s="921">
        <v>88</v>
      </c>
      <c r="J66" s="907">
        <v>75.802000000000007</v>
      </c>
      <c r="K66" s="537">
        <v>101.435</v>
      </c>
      <c r="L66" s="537">
        <v>183</v>
      </c>
      <c r="M66" s="920">
        <v>197</v>
      </c>
      <c r="N66" s="537">
        <v>201</v>
      </c>
      <c r="O66" s="537">
        <v>201</v>
      </c>
      <c r="P66" s="537">
        <v>209</v>
      </c>
      <c r="Q66" s="537">
        <v>235</v>
      </c>
      <c r="R66" s="537">
        <v>293</v>
      </c>
      <c r="S66" s="537">
        <v>334</v>
      </c>
      <c r="T66" s="537">
        <v>351</v>
      </c>
      <c r="U66" s="537">
        <v>368</v>
      </c>
      <c r="V66" s="920">
        <v>388</v>
      </c>
      <c r="W66" s="537"/>
      <c r="X66" s="537"/>
    </row>
    <row r="67" spans="4:26" x14ac:dyDescent="0.35">
      <c r="D67" s="927" t="s">
        <v>2051</v>
      </c>
      <c r="E67" s="922"/>
      <c r="F67" s="922"/>
      <c r="G67" s="922"/>
      <c r="H67" s="537"/>
      <c r="I67" s="921"/>
      <c r="J67" s="907"/>
      <c r="K67" s="537"/>
      <c r="L67" s="930">
        <f>(L66/K66-1)</f>
        <v>0.80411100704884908</v>
      </c>
      <c r="M67" s="930">
        <f t="shared" ref="M67:V67" si="39">(M66/L66-1)</f>
        <v>7.6502732240437243E-2</v>
      </c>
      <c r="N67" s="930">
        <f t="shared" si="39"/>
        <v>2.0304568527918843E-2</v>
      </c>
      <c r="O67" s="930">
        <f t="shared" si="39"/>
        <v>0</v>
      </c>
      <c r="P67" s="930">
        <f t="shared" si="39"/>
        <v>3.9800995024875663E-2</v>
      </c>
      <c r="Q67" s="930">
        <f t="shared" si="39"/>
        <v>0.12440191387559807</v>
      </c>
      <c r="R67" s="930">
        <f t="shared" si="39"/>
        <v>0.24680851063829778</v>
      </c>
      <c r="S67" s="930">
        <f t="shared" si="39"/>
        <v>0.13993174061433455</v>
      </c>
      <c r="T67" s="930">
        <f t="shared" si="39"/>
        <v>5.0898203592814273E-2</v>
      </c>
      <c r="U67" s="930">
        <f t="shared" si="39"/>
        <v>4.8433048433048409E-2</v>
      </c>
      <c r="V67" s="930">
        <f t="shared" si="39"/>
        <v>5.4347826086956541E-2</v>
      </c>
      <c r="W67" s="537"/>
      <c r="X67" s="537"/>
    </row>
    <row r="68" spans="4:26" ht="16.5" customHeight="1" x14ac:dyDescent="0.35">
      <c r="D68" s="649" t="s">
        <v>1860</v>
      </c>
      <c r="E68" s="922">
        <v>41.3</v>
      </c>
      <c r="F68" s="922">
        <v>70.8</v>
      </c>
      <c r="G68" s="922">
        <v>69</v>
      </c>
      <c r="H68" s="537">
        <v>79.984999999999999</v>
      </c>
      <c r="I68" s="921">
        <v>100</v>
      </c>
      <c r="J68" s="907">
        <v>80.338000000000008</v>
      </c>
      <c r="K68" s="537">
        <v>3.1309999999999998</v>
      </c>
      <c r="L68" s="537">
        <v>195</v>
      </c>
      <c r="M68" s="920">
        <v>418</v>
      </c>
      <c r="N68" s="537">
        <v>421</v>
      </c>
      <c r="O68" s="537">
        <v>424</v>
      </c>
      <c r="P68" s="537">
        <v>417</v>
      </c>
      <c r="Q68" s="537">
        <v>412</v>
      </c>
      <c r="R68" s="537">
        <v>405</v>
      </c>
      <c r="S68" s="537">
        <v>389</v>
      </c>
      <c r="T68" s="537">
        <v>382</v>
      </c>
      <c r="U68" s="537">
        <v>382</v>
      </c>
      <c r="V68" s="920">
        <v>390</v>
      </c>
      <c r="W68" s="537"/>
      <c r="X68" s="537"/>
      <c r="Y68" s="1052"/>
      <c r="Z68" s="1066"/>
    </row>
    <row r="69" spans="4:26" ht="16.5" customHeight="1" x14ac:dyDescent="0.35">
      <c r="D69" s="928" t="s">
        <v>2052</v>
      </c>
      <c r="E69" s="922"/>
      <c r="F69" s="922"/>
      <c r="G69" s="922"/>
      <c r="H69" s="537"/>
      <c r="I69" s="921"/>
      <c r="J69" s="907"/>
      <c r="K69" s="537"/>
      <c r="L69" s="762">
        <f>(L68/K68-1)</f>
        <v>61.280421590546155</v>
      </c>
      <c r="M69" s="762">
        <f t="shared" ref="M69:V69" si="40">(M68/L68-1)</f>
        <v>1.1435897435897435</v>
      </c>
      <c r="N69" s="762">
        <f t="shared" si="40"/>
        <v>7.1770334928229484E-3</v>
      </c>
      <c r="O69" s="762">
        <f t="shared" si="40"/>
        <v>7.1258907363420665E-3</v>
      </c>
      <c r="P69" s="762">
        <f t="shared" si="40"/>
        <v>-1.650943396226412E-2</v>
      </c>
      <c r="Q69" s="762">
        <f t="shared" si="40"/>
        <v>-1.1990407673860948E-2</v>
      </c>
      <c r="R69" s="762">
        <f t="shared" si="40"/>
        <v>-1.6990291262135915E-2</v>
      </c>
      <c r="S69" s="762">
        <f t="shared" si="40"/>
        <v>-3.9506172839506193E-2</v>
      </c>
      <c r="T69" s="762">
        <f t="shared" si="40"/>
        <v>-1.7994858611825149E-2</v>
      </c>
      <c r="U69" s="762">
        <f t="shared" si="40"/>
        <v>0</v>
      </c>
      <c r="V69" s="762">
        <f t="shared" si="40"/>
        <v>2.0942408376963373E-2</v>
      </c>
      <c r="W69" s="537"/>
      <c r="X69" s="537"/>
      <c r="Y69" s="1052"/>
      <c r="Z69" s="1066"/>
    </row>
    <row r="70" spans="4:26" ht="16.5" customHeight="1" x14ac:dyDescent="0.35">
      <c r="D70" s="903" t="s">
        <v>2047</v>
      </c>
      <c r="E70" s="922">
        <v>204.7</v>
      </c>
      <c r="F70" s="922">
        <v>230.2</v>
      </c>
      <c r="G70" s="922">
        <v>212</v>
      </c>
      <c r="H70" s="537">
        <v>371.83100000000002</v>
      </c>
      <c r="I70" s="366">
        <v>424.86700000000002</v>
      </c>
      <c r="J70" s="366">
        <v>419.584</v>
      </c>
      <c r="K70" s="366">
        <v>529.86699999999996</v>
      </c>
      <c r="L70" s="366">
        <v>452.089</v>
      </c>
      <c r="M70" s="366">
        <v>403.97899999999998</v>
      </c>
      <c r="N70" s="366">
        <v>419.298</v>
      </c>
      <c r="O70" s="366">
        <v>432.53399999999999</v>
      </c>
      <c r="P70" s="366">
        <v>451.53899999999999</v>
      </c>
      <c r="Q70" s="366">
        <v>477.34</v>
      </c>
      <c r="R70" s="918">
        <v>493.46499999999997</v>
      </c>
      <c r="S70" s="918">
        <v>509.96199999999999</v>
      </c>
      <c r="T70" s="918">
        <v>525.923</v>
      </c>
      <c r="U70" s="918">
        <v>539.06700000000001</v>
      </c>
      <c r="V70" s="956">
        <v>551.90599999999995</v>
      </c>
      <c r="W70" s="1065">
        <v>575.64499999999998</v>
      </c>
      <c r="X70" s="1052"/>
      <c r="Y70" s="1052"/>
      <c r="Z70" s="1066"/>
    </row>
    <row r="71" spans="4:26" ht="16.5" customHeight="1" x14ac:dyDescent="0.35">
      <c r="D71" s="926" t="s">
        <v>2050</v>
      </c>
      <c r="E71" s="1016"/>
      <c r="F71" s="1016"/>
      <c r="G71" s="1016"/>
      <c r="H71" s="1039"/>
      <c r="I71" s="612"/>
      <c r="J71" s="612"/>
      <c r="K71" s="931"/>
      <c r="L71" s="931">
        <f>(L70/K70-1)</f>
        <v>-0.14678777881996796</v>
      </c>
      <c r="M71" s="931">
        <f t="shared" ref="M71:V71" si="41">(M70/L70-1)</f>
        <v>-0.10641709928797205</v>
      </c>
      <c r="N71" s="931">
        <f t="shared" si="41"/>
        <v>3.7920287935759189E-2</v>
      </c>
      <c r="O71" s="931">
        <f t="shared" si="41"/>
        <v>3.1567047779860635E-2</v>
      </c>
      <c r="P71" s="931">
        <f t="shared" si="41"/>
        <v>4.3938742387881646E-2</v>
      </c>
      <c r="Q71" s="931">
        <f t="shared" si="41"/>
        <v>5.7140136289445698E-2</v>
      </c>
      <c r="R71" s="931">
        <f t="shared" si="41"/>
        <v>3.3780952779989049E-2</v>
      </c>
      <c r="S71" s="931">
        <f t="shared" si="41"/>
        <v>3.3430942417395304E-2</v>
      </c>
      <c r="T71" s="931">
        <f t="shared" si="41"/>
        <v>3.1298410469799753E-2</v>
      </c>
      <c r="U71" s="931">
        <f t="shared" si="41"/>
        <v>2.4992251717456782E-2</v>
      </c>
      <c r="V71" s="931">
        <f t="shared" si="41"/>
        <v>2.3817076541505777E-2</v>
      </c>
      <c r="W71" s="1065"/>
      <c r="X71" s="1052"/>
      <c r="Y71" s="1052"/>
      <c r="Z71" s="1066"/>
    </row>
    <row r="72" spans="4:26" ht="16.5" customHeight="1" x14ac:dyDescent="0.35">
      <c r="J72" s="119"/>
      <c r="K72" s="119"/>
      <c r="L72" s="119"/>
      <c r="M72" s="119"/>
      <c r="N72" s="119"/>
      <c r="O72" s="119"/>
    </row>
    <row r="73" spans="4:26" x14ac:dyDescent="0.35">
      <c r="D73" s="738" t="s">
        <v>459</v>
      </c>
      <c r="E73" s="794">
        <v>2018</v>
      </c>
      <c r="F73" s="795">
        <v>2019</v>
      </c>
      <c r="G73" s="795">
        <v>2020</v>
      </c>
      <c r="H73" s="938">
        <v>2021</v>
      </c>
      <c r="I73" s="795">
        <v>2022</v>
      </c>
      <c r="J73" s="938">
        <v>2023</v>
      </c>
      <c r="K73" s="1070">
        <v>2024</v>
      </c>
      <c r="L73" s="1070">
        <v>2025</v>
      </c>
      <c r="M73" s="905">
        <v>2026</v>
      </c>
      <c r="O73" s="644" t="s">
        <v>460</v>
      </c>
    </row>
    <row r="74" spans="4:26" ht="14.9" customHeight="1" x14ac:dyDescent="0.35">
      <c r="D74" s="1045" t="s">
        <v>456</v>
      </c>
      <c r="E74" s="422">
        <v>1622</v>
      </c>
      <c r="F74" s="422">
        <v>1687</v>
      </c>
      <c r="G74" s="944">
        <f t="shared" ref="G74:M77" si="42">G37</f>
        <v>1712.425</v>
      </c>
      <c r="H74" s="944">
        <f t="shared" si="42"/>
        <v>2028.5</v>
      </c>
      <c r="I74" s="944">
        <f t="shared" si="42"/>
        <v>2517.2000000000003</v>
      </c>
      <c r="J74" s="918">
        <f t="shared" si="42"/>
        <v>2081.4347132091889</v>
      </c>
      <c r="K74" s="918">
        <f t="shared" si="42"/>
        <v>2320.1213658062152</v>
      </c>
      <c r="L74" s="918">
        <f t="shared" si="42"/>
        <v>2540.0132591479573</v>
      </c>
      <c r="M74" s="956">
        <f t="shared" si="42"/>
        <v>2630.8646370165779</v>
      </c>
    </row>
    <row r="75" spans="4:26" x14ac:dyDescent="0.35">
      <c r="D75" s="1064" t="s">
        <v>461</v>
      </c>
      <c r="E75" s="265">
        <v>1332</v>
      </c>
      <c r="F75" s="265">
        <v>1388</v>
      </c>
      <c r="G75" s="918">
        <f t="shared" si="42"/>
        <v>1424.4749999999999</v>
      </c>
      <c r="H75" s="918">
        <f t="shared" si="42"/>
        <v>1509.1000000000001</v>
      </c>
      <c r="I75" s="918">
        <f t="shared" si="42"/>
        <v>1657.6</v>
      </c>
      <c r="J75" s="918">
        <f t="shared" si="42"/>
        <v>1803.8930666533647</v>
      </c>
      <c r="K75" s="918">
        <f t="shared" si="42"/>
        <v>1909.4479891825283</v>
      </c>
      <c r="L75" s="918">
        <f t="shared" si="42"/>
        <v>1953.1068548849159</v>
      </c>
      <c r="M75" s="956">
        <f t="shared" si="42"/>
        <v>2040.2592202630758</v>
      </c>
      <c r="N75" s="1050"/>
    </row>
    <row r="76" spans="4:26" x14ac:dyDescent="0.35">
      <c r="D76" s="1064" t="s">
        <v>93</v>
      </c>
      <c r="E76" s="265">
        <v>150</v>
      </c>
      <c r="F76" s="265">
        <v>175</v>
      </c>
      <c r="G76" s="918">
        <f t="shared" si="42"/>
        <v>160.52500000000001</v>
      </c>
      <c r="H76" s="918">
        <f t="shared" si="42"/>
        <v>171.17500000000001</v>
      </c>
      <c r="I76" s="918">
        <f t="shared" si="42"/>
        <v>203.52500000000001</v>
      </c>
      <c r="J76" s="918">
        <f t="shared" si="42"/>
        <v>169.03400797872342</v>
      </c>
      <c r="K76" s="918">
        <f t="shared" si="42"/>
        <v>113.20103803191489</v>
      </c>
      <c r="L76" s="918">
        <f t="shared" si="42"/>
        <v>409.21515957446803</v>
      </c>
      <c r="M76" s="956">
        <f t="shared" si="42"/>
        <v>665.786569148936</v>
      </c>
      <c r="N76" s="1050"/>
    </row>
    <row r="77" spans="4:26" x14ac:dyDescent="0.35">
      <c r="D77" s="1029" t="s">
        <v>242</v>
      </c>
      <c r="E77" s="690">
        <v>208</v>
      </c>
      <c r="F77" s="690">
        <v>219</v>
      </c>
      <c r="G77" s="945">
        <f t="shared" si="42"/>
        <v>220.45</v>
      </c>
      <c r="H77" s="945">
        <f t="shared" si="42"/>
        <v>304.75</v>
      </c>
      <c r="I77" s="945">
        <f t="shared" si="42"/>
        <v>400.375</v>
      </c>
      <c r="J77" s="945">
        <f t="shared" si="42"/>
        <v>395.39654527181443</v>
      </c>
      <c r="K77" s="945">
        <f t="shared" si="42"/>
        <v>499.32214110533403</v>
      </c>
      <c r="L77" s="945">
        <f t="shared" si="42"/>
        <v>426.02775309685143</v>
      </c>
      <c r="M77" s="967">
        <f t="shared" si="42"/>
        <v>380.69111539611214</v>
      </c>
      <c r="O77" s="1385" t="s">
        <v>851</v>
      </c>
      <c r="P77" s="1385" t="s">
        <v>851</v>
      </c>
      <c r="Q77" s="1385" t="s">
        <v>851</v>
      </c>
      <c r="R77" s="1385" t="s">
        <v>851</v>
      </c>
      <c r="S77" s="1385" t="s">
        <v>851</v>
      </c>
      <c r="T77" s="1385" t="s">
        <v>851</v>
      </c>
      <c r="U77" s="1385" t="s">
        <v>851</v>
      </c>
      <c r="V77" s="1386" t="s">
        <v>851</v>
      </c>
    </row>
    <row r="78" spans="4:26" ht="14.9" customHeight="1" x14ac:dyDescent="0.35">
      <c r="D78" s="387"/>
      <c r="E78" s="265"/>
      <c r="F78" s="265"/>
      <c r="G78" s="265"/>
      <c r="P78" s="1387">
        <v>2022</v>
      </c>
      <c r="Q78" s="1388">
        <v>2022</v>
      </c>
      <c r="R78" s="1388">
        <v>2022</v>
      </c>
      <c r="S78" s="1389">
        <v>2022</v>
      </c>
    </row>
    <row r="79" spans="4:26" ht="17.25" customHeight="1" x14ac:dyDescent="0.35">
      <c r="D79" s="356" t="s">
        <v>463</v>
      </c>
      <c r="E79" s="265"/>
      <c r="F79" s="265"/>
      <c r="G79" s="265"/>
      <c r="P79" s="235" t="s">
        <v>852</v>
      </c>
      <c r="Q79" s="235" t="s">
        <v>853</v>
      </c>
      <c r="R79" s="235" t="s">
        <v>854</v>
      </c>
      <c r="S79" s="235" t="s">
        <v>855</v>
      </c>
      <c r="T79" s="148" t="s">
        <v>867</v>
      </c>
    </row>
    <row r="80" spans="4:26" ht="30" customHeight="1" x14ac:dyDescent="0.35">
      <c r="D80" s="952" t="s">
        <v>464</v>
      </c>
      <c r="E80" s="795">
        <v>2018</v>
      </c>
      <c r="F80" s="795">
        <v>2019</v>
      </c>
      <c r="G80" s="795">
        <v>2020</v>
      </c>
      <c r="H80" s="938">
        <v>2021</v>
      </c>
      <c r="I80" s="795">
        <v>2022</v>
      </c>
      <c r="J80" s="795">
        <v>2023</v>
      </c>
      <c r="K80" s="943">
        <v>2024</v>
      </c>
      <c r="L80" s="943">
        <v>2025</v>
      </c>
      <c r="M80" s="905">
        <v>2026</v>
      </c>
      <c r="O80" s="40" t="s">
        <v>462</v>
      </c>
      <c r="P80" s="101">
        <v>2973</v>
      </c>
      <c r="Q80" s="101">
        <v>3062.8</v>
      </c>
      <c r="R80" s="101">
        <v>3085.2</v>
      </c>
      <c r="S80" s="1013">
        <v>2106.1999999999998</v>
      </c>
      <c r="T80" s="101">
        <v>3123.2</v>
      </c>
    </row>
    <row r="81" spans="4:23" x14ac:dyDescent="0.35">
      <c r="D81" s="1045" t="s">
        <v>456</v>
      </c>
      <c r="E81" s="953">
        <f t="shared" ref="E81:M81" si="43">E74/E61</f>
        <v>0.96346896346896349</v>
      </c>
      <c r="F81" s="953">
        <f t="shared" si="43"/>
        <v>0.98201292275452579</v>
      </c>
      <c r="G81" s="953">
        <f t="shared" si="43"/>
        <v>1.0642790553138595</v>
      </c>
      <c r="H81" s="953">
        <f t="shared" si="43"/>
        <v>0.99223381988742787</v>
      </c>
      <c r="I81" s="953">
        <f t="shared" si="43"/>
        <v>0.95633029335389974</v>
      </c>
      <c r="J81" s="953">
        <f t="shared" si="43"/>
        <v>0.95633029335389952</v>
      </c>
      <c r="K81" s="953">
        <f t="shared" si="43"/>
        <v>0.95633029335389963</v>
      </c>
      <c r="L81" s="953">
        <f t="shared" si="43"/>
        <v>0.95633029335389963</v>
      </c>
      <c r="M81" s="919">
        <f t="shared" si="43"/>
        <v>0.95633029335389963</v>
      </c>
      <c r="T81" s="360"/>
    </row>
    <row r="82" spans="4:23" x14ac:dyDescent="0.35">
      <c r="D82" s="1064" t="s">
        <v>461</v>
      </c>
      <c r="E82" s="756">
        <f t="shared" ref="E82:M82" si="44">E75/E63</f>
        <v>1.1377808148970701</v>
      </c>
      <c r="F82" s="756">
        <f t="shared" si="44"/>
        <v>1.1162940324915553</v>
      </c>
      <c r="G82" s="756">
        <f t="shared" si="44"/>
        <v>1.0873854961832061</v>
      </c>
      <c r="H82" s="756">
        <f t="shared" si="44"/>
        <v>1.148401020327406</v>
      </c>
      <c r="I82" s="756">
        <f t="shared" si="44"/>
        <v>1.1173380176687162</v>
      </c>
      <c r="J82" s="756">
        <f t="shared" si="44"/>
        <v>1.1173380176687162</v>
      </c>
      <c r="K82" s="756">
        <f t="shared" si="44"/>
        <v>1.1173380176687162</v>
      </c>
      <c r="L82" s="756">
        <f t="shared" si="44"/>
        <v>1.1173380176687162</v>
      </c>
      <c r="M82" s="757">
        <f t="shared" si="44"/>
        <v>1.1173380176687162</v>
      </c>
    </row>
    <row r="83" spans="4:23" x14ac:dyDescent="0.35">
      <c r="D83" s="1064" t="s">
        <v>93</v>
      </c>
      <c r="E83" s="756">
        <f t="shared" ref="E83:M83" si="45">E76/E65</f>
        <v>1.1005135730007336</v>
      </c>
      <c r="F83" s="756">
        <f t="shared" si="45"/>
        <v>1.0257913247362251</v>
      </c>
      <c r="G83" s="756">
        <f t="shared" si="45"/>
        <v>1.0290064102564103</v>
      </c>
      <c r="H83" s="756">
        <f t="shared" si="45"/>
        <v>1.1025125757605034</v>
      </c>
      <c r="I83" s="756">
        <f t="shared" si="45"/>
        <v>1.0825797872340426</v>
      </c>
      <c r="J83" s="756">
        <f t="shared" si="45"/>
        <v>1.0825797872340426</v>
      </c>
      <c r="K83" s="756">
        <f t="shared" si="45"/>
        <v>1.0825797872340426</v>
      </c>
      <c r="L83" s="756">
        <f t="shared" si="45"/>
        <v>1.0825797872340424</v>
      </c>
      <c r="M83" s="757">
        <f t="shared" si="45"/>
        <v>1.0825797872340424</v>
      </c>
    </row>
    <row r="84" spans="4:23" x14ac:dyDescent="0.35">
      <c r="D84" s="1029" t="s">
        <v>242</v>
      </c>
      <c r="E84" s="1031">
        <f>E77/E70</f>
        <v>1.0161211529066927</v>
      </c>
      <c r="F84" s="1031">
        <f>F77/F70</f>
        <v>0.95134665508253702</v>
      </c>
      <c r="G84" s="1031">
        <f>G77/G70</f>
        <v>1.0398584905660377</v>
      </c>
      <c r="H84" s="1031">
        <f>H77/H70</f>
        <v>0.81959277198512226</v>
      </c>
      <c r="I84" s="1031">
        <f>I77/I70</f>
        <v>0.94235372481270607</v>
      </c>
      <c r="J84" s="1031">
        <f>J77/J66</f>
        <v>5.2161756321972295</v>
      </c>
      <c r="K84" s="1031">
        <f>K77/K66</f>
        <v>4.9225823542695721</v>
      </c>
      <c r="L84" s="1031">
        <f>L77/L66</f>
        <v>2.328020508725964</v>
      </c>
      <c r="M84" s="904">
        <f>M77/M66</f>
        <v>1.9324422101325489</v>
      </c>
    </row>
    <row r="86" spans="4:23" x14ac:dyDescent="0.35">
      <c r="D86" s="387"/>
      <c r="E86" s="265"/>
      <c r="F86" s="265"/>
      <c r="G86" s="265"/>
    </row>
    <row r="87" spans="4:23" x14ac:dyDescent="0.35">
      <c r="D87" s="268"/>
    </row>
    <row r="88" spans="4:23" ht="30" customHeight="1" x14ac:dyDescent="0.35">
      <c r="D88" s="911" t="s">
        <v>2054</v>
      </c>
      <c r="E88" s="794">
        <v>2018</v>
      </c>
      <c r="F88" s="1014">
        <v>2019</v>
      </c>
      <c r="G88" s="1014">
        <v>2020</v>
      </c>
      <c r="H88" s="908">
        <v>2021</v>
      </c>
      <c r="I88" s="1014">
        <v>2022</v>
      </c>
      <c r="J88" s="1014">
        <v>2023</v>
      </c>
      <c r="K88" s="1017">
        <v>2024</v>
      </c>
      <c r="L88" s="1017">
        <v>2025</v>
      </c>
      <c r="M88" s="905">
        <v>2026</v>
      </c>
    </row>
    <row r="89" spans="4:23" x14ac:dyDescent="0.35">
      <c r="D89" s="699" t="s">
        <v>1863</v>
      </c>
      <c r="E89" s="476">
        <v>14016.099999999999</v>
      </c>
      <c r="F89" s="476">
        <v>14604.2</v>
      </c>
      <c r="G89" s="476">
        <v>14711.300000000001</v>
      </c>
      <c r="H89" s="1053">
        <v>21015.3</v>
      </c>
      <c r="I89" s="476">
        <v>21762.3</v>
      </c>
      <c r="J89" s="476">
        <v>23254.9</v>
      </c>
      <c r="K89" s="476">
        <v>24584</v>
      </c>
      <c r="L89" s="476">
        <v>25839.9</v>
      </c>
      <c r="M89" s="906">
        <v>27043.9</v>
      </c>
      <c r="N89" s="537">
        <v>28283.7</v>
      </c>
      <c r="O89" s="537">
        <v>29490.2</v>
      </c>
      <c r="P89" s="537">
        <v>30697.1</v>
      </c>
      <c r="Q89" s="537">
        <v>31942.6</v>
      </c>
      <c r="R89" s="537">
        <v>33259.5</v>
      </c>
      <c r="S89" s="537">
        <v>34654.1</v>
      </c>
      <c r="T89" s="537">
        <v>36089.300000000003</v>
      </c>
      <c r="U89" s="537">
        <v>37573.599999999999</v>
      </c>
      <c r="V89" s="537">
        <v>39101.9</v>
      </c>
      <c r="W89">
        <v>40670.699999999997</v>
      </c>
    </row>
    <row r="90" spans="4:23" x14ac:dyDescent="0.35">
      <c r="D90" s="1064" t="s">
        <v>466</v>
      </c>
      <c r="E90" s="265">
        <v>8804</v>
      </c>
      <c r="F90" s="265">
        <v>9209</v>
      </c>
      <c r="G90" s="537">
        <v>9300</v>
      </c>
      <c r="H90" s="951">
        <v>10074.1</v>
      </c>
      <c r="I90" s="537">
        <v>10981.9</v>
      </c>
      <c r="J90" s="537">
        <v>11570.8</v>
      </c>
      <c r="K90" s="537">
        <v>12224.5</v>
      </c>
      <c r="L90" s="537">
        <v>12860.7</v>
      </c>
      <c r="M90" s="920">
        <v>13405</v>
      </c>
      <c r="N90" s="537">
        <v>13990.2</v>
      </c>
      <c r="O90" s="537">
        <v>14574.7</v>
      </c>
      <c r="P90" s="537">
        <v>15159.9</v>
      </c>
      <c r="Q90" s="537">
        <v>15760.5</v>
      </c>
      <c r="R90" s="537">
        <v>16371.4</v>
      </c>
      <c r="S90" s="537">
        <v>16990</v>
      </c>
      <c r="T90" s="537">
        <v>17621.900000000001</v>
      </c>
      <c r="U90" s="537">
        <v>18273.8</v>
      </c>
      <c r="V90" s="537">
        <v>18948.2</v>
      </c>
      <c r="W90">
        <v>19649.599999999999</v>
      </c>
    </row>
    <row r="91" spans="4:23" x14ac:dyDescent="0.35">
      <c r="D91" s="1064" t="s">
        <v>467</v>
      </c>
      <c r="E91" s="265">
        <v>13844</v>
      </c>
      <c r="F91" s="265">
        <v>14403</v>
      </c>
      <c r="G91" s="537">
        <v>14201</v>
      </c>
      <c r="H91" s="951">
        <v>15545.1</v>
      </c>
      <c r="I91" s="537">
        <v>17367.8</v>
      </c>
      <c r="J91" s="537">
        <v>18563.3</v>
      </c>
      <c r="K91" s="537">
        <v>19605.8</v>
      </c>
      <c r="L91" s="537">
        <v>20695.3</v>
      </c>
      <c r="M91" s="920">
        <v>21671.3</v>
      </c>
      <c r="N91" s="537">
        <v>22602</v>
      </c>
      <c r="O91" s="537">
        <v>23473.3</v>
      </c>
      <c r="P91" s="537">
        <v>24365.8</v>
      </c>
      <c r="Q91" s="537">
        <v>25339.1</v>
      </c>
      <c r="R91" s="537">
        <v>26354</v>
      </c>
      <c r="S91" s="537">
        <v>27369.5</v>
      </c>
      <c r="T91" s="537">
        <v>28436.400000000001</v>
      </c>
      <c r="U91" s="537">
        <v>29571.8</v>
      </c>
      <c r="V91" s="537">
        <v>30745.4</v>
      </c>
      <c r="W91">
        <v>31989.599999999999</v>
      </c>
    </row>
    <row r="92" spans="4:23" x14ac:dyDescent="0.35">
      <c r="D92" s="1029" t="s">
        <v>1862</v>
      </c>
      <c r="E92" s="1039">
        <v>2335</v>
      </c>
      <c r="F92" s="1039">
        <v>2442</v>
      </c>
      <c r="G92" s="1039">
        <v>2392</v>
      </c>
      <c r="H92" s="1018">
        <v>2796</v>
      </c>
      <c r="I92" s="1039">
        <v>3262.7</v>
      </c>
      <c r="J92" s="1039">
        <v>3531.5</v>
      </c>
      <c r="K92" s="1039">
        <v>3750</v>
      </c>
      <c r="L92" s="1039">
        <v>3963</v>
      </c>
      <c r="M92" s="912">
        <v>4156.2</v>
      </c>
      <c r="N92" s="537">
        <v>4192.5</v>
      </c>
      <c r="O92" s="537">
        <v>4192.8</v>
      </c>
      <c r="P92" s="537">
        <v>4205.8999999999996</v>
      </c>
      <c r="Q92" s="537">
        <v>4292.3</v>
      </c>
      <c r="R92" s="537">
        <v>4432.8999999999996</v>
      </c>
      <c r="S92" s="537">
        <v>4614</v>
      </c>
      <c r="T92" s="537">
        <v>4806.8999999999996</v>
      </c>
      <c r="U92" s="537">
        <v>5014.7</v>
      </c>
      <c r="V92" s="537">
        <v>5232.5</v>
      </c>
      <c r="W92">
        <v>5459.2</v>
      </c>
    </row>
    <row r="94" spans="4:23" x14ac:dyDescent="0.35">
      <c r="D94" s="268" t="s">
        <v>468</v>
      </c>
    </row>
    <row r="95" spans="4:23" x14ac:dyDescent="0.35">
      <c r="D95" s="738" t="s">
        <v>469</v>
      </c>
      <c r="E95" s="795">
        <v>2018</v>
      </c>
      <c r="F95" s="1014">
        <v>2019</v>
      </c>
      <c r="G95" s="1014">
        <v>2020</v>
      </c>
      <c r="H95" s="908">
        <v>2021</v>
      </c>
      <c r="I95" s="1014">
        <v>2022</v>
      </c>
      <c r="J95" s="1014">
        <v>2023</v>
      </c>
      <c r="K95" s="1017">
        <v>2024</v>
      </c>
      <c r="L95" s="1017">
        <v>2025</v>
      </c>
      <c r="M95" s="905">
        <v>2026</v>
      </c>
    </row>
    <row r="96" spans="4:23" x14ac:dyDescent="0.35">
      <c r="D96" s="946" t="s">
        <v>456</v>
      </c>
      <c r="E96" s="947">
        <f t="shared" ref="E96:M96" si="46">E61/E89</f>
        <v>0.12011187134794987</v>
      </c>
      <c r="F96" s="947">
        <f t="shared" si="46"/>
        <v>0.11763054463784391</v>
      </c>
      <c r="G96" s="947">
        <f t="shared" si="46"/>
        <v>0.10937170746297063</v>
      </c>
      <c r="H96" s="947">
        <f t="shared" si="46"/>
        <v>9.7280409987009472E-2</v>
      </c>
      <c r="I96" s="947">
        <f t="shared" si="46"/>
        <v>0.12094976174393332</v>
      </c>
      <c r="J96" s="947">
        <f t="shared" si="46"/>
        <v>9.3592361179794373E-2</v>
      </c>
      <c r="K96" s="947">
        <f t="shared" si="46"/>
        <v>9.8684794988610477E-2</v>
      </c>
      <c r="L96" s="947">
        <f t="shared" si="46"/>
        <v>0.10278677549061722</v>
      </c>
      <c r="M96" s="947">
        <f t="shared" si="46"/>
        <v>0.10172349402268163</v>
      </c>
    </row>
    <row r="97" spans="4:40" x14ac:dyDescent="0.35">
      <c r="D97" s="957" t="s">
        <v>457</v>
      </c>
      <c r="E97" s="1061">
        <f t="shared" ref="E97:M97" si="47">E63/E90</f>
        <v>0.13297364834166289</v>
      </c>
      <c r="F97" s="1061">
        <f t="shared" si="47"/>
        <v>0.13502008904332718</v>
      </c>
      <c r="G97" s="1061">
        <f t="shared" si="47"/>
        <v>0.14086021505376345</v>
      </c>
      <c r="H97" s="1061">
        <f t="shared" si="47"/>
        <v>0.13044222312663165</v>
      </c>
      <c r="I97" s="1061">
        <f t="shared" si="47"/>
        <v>0.13508828162704087</v>
      </c>
      <c r="J97" s="1061">
        <f t="shared" si="47"/>
        <v>0.13952846821308812</v>
      </c>
      <c r="K97" s="1061">
        <f t="shared" si="47"/>
        <v>0.13979516544643952</v>
      </c>
      <c r="L97" s="1061">
        <f t="shared" si="47"/>
        <v>0.13591795158894926</v>
      </c>
      <c r="M97" s="1061">
        <f t="shared" si="47"/>
        <v>0.13621782916822081</v>
      </c>
    </row>
    <row r="98" spans="4:40" x14ac:dyDescent="0.35">
      <c r="D98" s="1064" t="s">
        <v>470</v>
      </c>
      <c r="E98" s="1061">
        <f t="shared" ref="E98:M98" si="48">E65/E91</f>
        <v>9.8454203987286912E-3</v>
      </c>
      <c r="F98" s="1061">
        <f t="shared" si="48"/>
        <v>1.1844754565021176E-2</v>
      </c>
      <c r="G98" s="1061">
        <f t="shared" si="48"/>
        <v>1.0985141891416098E-2</v>
      </c>
      <c r="H98" s="1061">
        <f t="shared" si="48"/>
        <v>9.9876488411139216E-3</v>
      </c>
      <c r="I98" s="1061">
        <f t="shared" si="48"/>
        <v>1.0824629486751345E-2</v>
      </c>
      <c r="J98" s="1061">
        <f t="shared" si="48"/>
        <v>8.4112199878254423E-3</v>
      </c>
      <c r="K98" s="1061">
        <f t="shared" si="48"/>
        <v>5.3334217425455733E-3</v>
      </c>
      <c r="L98" s="1061">
        <f t="shared" si="48"/>
        <v>1.8265016694611821E-2</v>
      </c>
      <c r="M98" s="1061">
        <f t="shared" si="48"/>
        <v>2.8378546741542963E-2</v>
      </c>
    </row>
    <row r="99" spans="4:40" x14ac:dyDescent="0.35">
      <c r="D99" s="958" t="s">
        <v>94</v>
      </c>
      <c r="E99" s="1033">
        <f t="shared" ref="E99:M99" si="49">E70/E92</f>
        <v>8.7665952890792292E-2</v>
      </c>
      <c r="F99" s="1033">
        <f t="shared" si="49"/>
        <v>9.4266994266994267E-2</v>
      </c>
      <c r="G99" s="1033">
        <f t="shared" si="49"/>
        <v>8.8628762541806017E-2</v>
      </c>
      <c r="H99" s="1033">
        <f t="shared" si="49"/>
        <v>0.13298676680972818</v>
      </c>
      <c r="I99" s="1033">
        <f t="shared" si="49"/>
        <v>0.13021945014864991</v>
      </c>
      <c r="J99" s="1033">
        <f t="shared" si="49"/>
        <v>0.11881183633017131</v>
      </c>
      <c r="K99" s="1033">
        <f t="shared" si="49"/>
        <v>0.14129786666666666</v>
      </c>
      <c r="L99" s="1033">
        <f t="shared" si="49"/>
        <v>0.11407746656573303</v>
      </c>
      <c r="M99" s="1033">
        <f t="shared" si="49"/>
        <v>9.7199124199990383E-2</v>
      </c>
    </row>
    <row r="101" spans="4:40" x14ac:dyDescent="0.35">
      <c r="D101" s="268" t="s">
        <v>471</v>
      </c>
    </row>
    <row r="102" spans="4:40" x14ac:dyDescent="0.35">
      <c r="D102" s="962" t="s">
        <v>318</v>
      </c>
    </row>
    <row r="103" spans="4:40" x14ac:dyDescent="0.35">
      <c r="D103" s="738" t="s">
        <v>472</v>
      </c>
      <c r="E103" s="795">
        <v>2018</v>
      </c>
      <c r="F103" s="1014">
        <v>2019</v>
      </c>
      <c r="G103" s="908">
        <v>2020</v>
      </c>
      <c r="H103" s="1014">
        <v>2021</v>
      </c>
      <c r="I103" s="1014">
        <v>2022</v>
      </c>
      <c r="J103" s="1014">
        <v>2023</v>
      </c>
      <c r="K103" s="1017">
        <v>2024</v>
      </c>
      <c r="L103" s="1017">
        <v>2025</v>
      </c>
      <c r="M103" s="905">
        <v>2026</v>
      </c>
    </row>
    <row r="104" spans="4:40" ht="20.25" customHeight="1" x14ac:dyDescent="0.35">
      <c r="D104" s="946" t="s">
        <v>456</v>
      </c>
      <c r="E104" s="947">
        <f t="shared" ref="E104:G107" si="50">E96*E81</f>
        <v>0.11572406018792676</v>
      </c>
      <c r="F104" s="947">
        <f t="shared" si="50"/>
        <v>0.11551471494501581</v>
      </c>
      <c r="G104" s="947">
        <f t="shared" si="50"/>
        <v>0.11640201749675418</v>
      </c>
      <c r="H104" s="947">
        <f>N123</f>
        <v>0.13069068394312749</v>
      </c>
      <c r="I104" s="947">
        <f>H104</f>
        <v>0.13069068394312749</v>
      </c>
      <c r="J104" s="947">
        <f t="shared" ref="J104" si="51">I104</f>
        <v>0.13069068394312749</v>
      </c>
      <c r="K104" s="947">
        <f>J104</f>
        <v>0.13069068394312749</v>
      </c>
      <c r="L104" s="947">
        <f>K104</f>
        <v>0.13069068394312749</v>
      </c>
      <c r="M104" s="948"/>
      <c r="N104" s="959"/>
      <c r="O104" s="1061"/>
      <c r="P104" s="1061"/>
      <c r="Q104" s="1061"/>
      <c r="R104" s="1061"/>
      <c r="S104" s="1061"/>
      <c r="T104" s="1061"/>
      <c r="U104" s="1061"/>
      <c r="V104" s="1061"/>
      <c r="W104" s="1061"/>
      <c r="X104" s="1061"/>
      <c r="Y104" s="1061"/>
    </row>
    <row r="105" spans="4:40" ht="18.75" customHeight="1" x14ac:dyDescent="0.35">
      <c r="D105" s="957" t="s">
        <v>457</v>
      </c>
      <c r="E105" s="1061">
        <f t="shared" si="50"/>
        <v>0.15129486597001363</v>
      </c>
      <c r="F105" s="1061">
        <f t="shared" si="50"/>
        <v>0.15072211966554458</v>
      </c>
      <c r="G105" s="1061">
        <f t="shared" si="50"/>
        <v>0.15316935483870969</v>
      </c>
      <c r="H105" s="1061">
        <f>N125</f>
        <v>0.14945046310392582</v>
      </c>
      <c r="I105" s="1061">
        <f>H105</f>
        <v>0.14945046310392582</v>
      </c>
      <c r="J105" s="1061">
        <f>I105</f>
        <v>0.14945046310392582</v>
      </c>
      <c r="K105" s="1061">
        <f t="shared" ref="K105:L105" si="52">J105</f>
        <v>0.14945046310392582</v>
      </c>
      <c r="L105" s="1061">
        <f t="shared" si="52"/>
        <v>0.14945046310392582</v>
      </c>
      <c r="M105" s="949"/>
      <c r="N105" s="959"/>
      <c r="O105" s="1061"/>
      <c r="P105" s="1061"/>
      <c r="Q105" s="1061"/>
      <c r="R105" s="1061"/>
      <c r="S105" s="1061"/>
      <c r="T105" s="1061"/>
      <c r="U105" s="1061"/>
      <c r="V105" s="1061"/>
      <c r="W105" s="1061"/>
      <c r="X105" s="1061"/>
      <c r="Y105" s="1061"/>
    </row>
    <row r="106" spans="4:40" ht="19.399999999999999" customHeight="1" x14ac:dyDescent="0.35">
      <c r="D106" s="1064" t="s">
        <v>93</v>
      </c>
      <c r="E106" s="1061">
        <f t="shared" si="50"/>
        <v>1.0835018780699219E-2</v>
      </c>
      <c r="F106" s="1061">
        <f t="shared" si="50"/>
        <v>1.2150246476428523E-2</v>
      </c>
      <c r="G106" s="1061">
        <f t="shared" si="50"/>
        <v>1.1303781423843392E-2</v>
      </c>
      <c r="H106" s="1061">
        <f>N126</f>
        <v>1.1311737253238165E-2</v>
      </c>
      <c r="I106" s="1061">
        <f>AVERAGE($F83:$G83)*I98</f>
        <v>1.1121212075755579E-2</v>
      </c>
      <c r="J106" s="1061">
        <f>AVERAGE($F83:$G83)*J98</f>
        <v>8.6416778897542498E-3</v>
      </c>
      <c r="K106" s="1061">
        <f>J106</f>
        <v>8.6416778897542498E-3</v>
      </c>
      <c r="L106" s="1061">
        <f>K106</f>
        <v>8.6416778897542498E-3</v>
      </c>
      <c r="M106" s="949"/>
      <c r="N106" s="959"/>
      <c r="O106" s="1061"/>
      <c r="P106" s="1061"/>
      <c r="Q106" s="1061"/>
      <c r="R106" s="1061"/>
      <c r="S106" s="1061"/>
      <c r="T106" s="1061"/>
      <c r="U106" s="1061"/>
      <c r="V106" s="1061"/>
      <c r="W106" s="1061"/>
      <c r="X106" s="1061"/>
      <c r="Y106" s="1061"/>
    </row>
    <row r="107" spans="4:40" ht="19.399999999999999" customHeight="1" x14ac:dyDescent="0.35">
      <c r="D107" s="958" t="s">
        <v>94</v>
      </c>
      <c r="E107" s="1033">
        <f t="shared" si="50"/>
        <v>8.9079229122055667E-2</v>
      </c>
      <c r="F107" s="1033">
        <f t="shared" si="50"/>
        <v>8.9680589680589687E-2</v>
      </c>
      <c r="G107" s="1033">
        <f t="shared" si="50"/>
        <v>9.2161371237458184E-2</v>
      </c>
      <c r="H107" s="1033" t="e">
        <f>M127</f>
        <v>#REF!</v>
      </c>
      <c r="I107" s="1033" t="e">
        <f>N127</f>
        <v>#REF!</v>
      </c>
      <c r="J107" s="1033" t="e">
        <f>I107</f>
        <v>#REF!</v>
      </c>
      <c r="K107" s="1033" t="e">
        <f>J107</f>
        <v>#REF!</v>
      </c>
      <c r="L107" s="1033" t="e">
        <f>K107</f>
        <v>#REF!</v>
      </c>
      <c r="M107" s="950"/>
      <c r="N107" s="959"/>
      <c r="O107" s="1061"/>
      <c r="P107" s="1061"/>
      <c r="Q107" s="1061"/>
      <c r="R107" s="1061"/>
      <c r="S107" s="1061"/>
      <c r="T107" s="1061"/>
      <c r="U107" s="1061"/>
      <c r="V107" s="1061"/>
      <c r="W107" s="1061"/>
      <c r="X107" s="1061"/>
      <c r="Y107" s="1061"/>
    </row>
    <row r="108" spans="4:40" x14ac:dyDescent="0.35">
      <c r="E108" s="840"/>
      <c r="F108" s="840"/>
      <c r="G108" s="840"/>
      <c r="H108" s="840"/>
      <c r="I108" s="840"/>
      <c r="J108" s="840"/>
      <c r="K108" s="840"/>
      <c r="L108" s="840"/>
    </row>
    <row r="109" spans="4:40" x14ac:dyDescent="0.35">
      <c r="D109" s="961" t="s">
        <v>331</v>
      </c>
      <c r="E109" s="1061"/>
      <c r="F109" s="1061"/>
      <c r="G109" s="1061"/>
      <c r="H109" s="1061"/>
      <c r="I109" s="1061"/>
      <c r="J109" s="1061"/>
      <c r="K109" s="1061"/>
      <c r="L109" s="1061"/>
      <c r="M109" s="1061"/>
      <c r="N109" s="1061"/>
      <c r="O109" s="1061"/>
      <c r="P109" s="1061"/>
      <c r="Q109" s="1061"/>
      <c r="R109" s="1061"/>
      <c r="S109" s="1061"/>
      <c r="T109" s="1061"/>
      <c r="U109" s="1061"/>
      <c r="V109" s="1061"/>
      <c r="W109" s="1061"/>
      <c r="X109" s="1061"/>
      <c r="Y109" s="1061"/>
    </row>
    <row r="110" spans="4:40" x14ac:dyDescent="0.35">
      <c r="D110" s="1501" t="s">
        <v>2055</v>
      </c>
      <c r="E110" s="1515"/>
      <c r="F110" s="1403">
        <v>2019</v>
      </c>
      <c r="G110" s="1413"/>
      <c r="H110" s="1405"/>
      <c r="I110" s="1403">
        <v>2020</v>
      </c>
      <c r="J110" s="1413"/>
      <c r="K110" s="1413"/>
      <c r="L110" s="1405"/>
      <c r="M110" s="1403">
        <v>2021</v>
      </c>
      <c r="N110" s="1413"/>
      <c r="O110" s="1413"/>
      <c r="P110" s="1413"/>
      <c r="Q110" s="1403">
        <v>2022</v>
      </c>
      <c r="R110" s="1404"/>
      <c r="S110" s="1404"/>
      <c r="T110" s="1405"/>
      <c r="U110" s="277"/>
      <c r="V110" s="277">
        <v>2023</v>
      </c>
      <c r="W110" s="282"/>
      <c r="X110" s="279"/>
      <c r="Y110" s="283"/>
      <c r="Z110" s="282">
        <v>2024</v>
      </c>
      <c r="AA110" s="282"/>
      <c r="AB110" s="431"/>
      <c r="AC110" s="1410">
        <v>2025</v>
      </c>
      <c r="AD110" s="1411"/>
      <c r="AE110" s="1411"/>
      <c r="AF110" s="1412"/>
      <c r="AG110" s="1410">
        <v>2026</v>
      </c>
      <c r="AH110" s="1411"/>
      <c r="AI110" s="1411"/>
      <c r="AJ110" s="1412"/>
      <c r="AK110" s="1410">
        <v>2027</v>
      </c>
      <c r="AL110" s="1411"/>
      <c r="AM110" s="1411"/>
      <c r="AN110" s="1412"/>
    </row>
    <row r="111" spans="4:40" x14ac:dyDescent="0.35">
      <c r="D111" s="1516"/>
      <c r="E111" s="1517"/>
      <c r="F111" s="244" t="s">
        <v>250</v>
      </c>
      <c r="G111" s="245" t="s">
        <v>226</v>
      </c>
      <c r="H111" s="246" t="s">
        <v>248</v>
      </c>
      <c r="I111" s="244" t="s">
        <v>249</v>
      </c>
      <c r="J111" s="245" t="s">
        <v>250</v>
      </c>
      <c r="K111" s="245" t="s">
        <v>226</v>
      </c>
      <c r="L111" s="246" t="s">
        <v>248</v>
      </c>
      <c r="M111" s="244" t="s">
        <v>249</v>
      </c>
      <c r="N111" s="245" t="s">
        <v>250</v>
      </c>
      <c r="O111" s="245" t="s">
        <v>226</v>
      </c>
      <c r="P111" s="245" t="s">
        <v>248</v>
      </c>
      <c r="Q111" s="244" t="s">
        <v>249</v>
      </c>
      <c r="R111" s="245" t="s">
        <v>250</v>
      </c>
      <c r="S111" s="245" t="s">
        <v>226</v>
      </c>
      <c r="T111" s="246" t="s">
        <v>248</v>
      </c>
      <c r="U111" s="245" t="s">
        <v>249</v>
      </c>
      <c r="V111" s="273" t="s">
        <v>250</v>
      </c>
      <c r="W111" s="273" t="s">
        <v>226</v>
      </c>
      <c r="X111" s="271" t="s">
        <v>248</v>
      </c>
      <c r="Y111" s="272" t="s">
        <v>249</v>
      </c>
      <c r="Z111" s="274" t="s">
        <v>250</v>
      </c>
      <c r="AA111" s="273" t="s">
        <v>226</v>
      </c>
      <c r="AB111" s="270" t="s">
        <v>248</v>
      </c>
      <c r="AC111" s="275" t="s">
        <v>249</v>
      </c>
      <c r="AD111" s="269" t="s">
        <v>250</v>
      </c>
      <c r="AE111" s="270" t="s">
        <v>226</v>
      </c>
      <c r="AF111" s="270" t="s">
        <v>248</v>
      </c>
      <c r="AG111" s="275" t="s">
        <v>249</v>
      </c>
      <c r="AH111" s="269" t="s">
        <v>250</v>
      </c>
      <c r="AI111" s="270" t="s">
        <v>226</v>
      </c>
      <c r="AJ111" s="276" t="s">
        <v>248</v>
      </c>
      <c r="AK111" s="275" t="s">
        <v>249</v>
      </c>
      <c r="AL111" s="269" t="s">
        <v>250</v>
      </c>
      <c r="AM111" s="270" t="s">
        <v>226</v>
      </c>
      <c r="AN111" s="276" t="s">
        <v>248</v>
      </c>
    </row>
    <row r="112" spans="4:40" x14ac:dyDescent="0.35">
      <c r="D112" s="965" t="s">
        <v>465</v>
      </c>
      <c r="E112" s="1019"/>
      <c r="F112" s="476">
        <f t="shared" ref="F112:AN112" si="53">F113+F114</f>
        <v>0</v>
      </c>
      <c r="G112" s="476">
        <f t="shared" si="53"/>
        <v>0</v>
      </c>
      <c r="H112" s="476">
        <f t="shared" si="53"/>
        <v>0</v>
      </c>
      <c r="I112" s="476">
        <f t="shared" si="53"/>
        <v>15134.800000000001</v>
      </c>
      <c r="J112" s="476">
        <f t="shared" si="53"/>
        <v>14265.5</v>
      </c>
      <c r="K112" s="476">
        <f t="shared" si="53"/>
        <v>14943.5</v>
      </c>
      <c r="L112" s="476">
        <f t="shared" si="53"/>
        <v>15319.300000000001</v>
      </c>
      <c r="M112" s="476">
        <f t="shared" si="53"/>
        <v>15399.800000000001</v>
      </c>
      <c r="N112" s="476">
        <f t="shared" si="53"/>
        <v>15959.6</v>
      </c>
      <c r="O112" s="476">
        <f t="shared" si="53"/>
        <v>16325.6</v>
      </c>
      <c r="P112" s="476">
        <f t="shared" si="53"/>
        <v>16677.3</v>
      </c>
      <c r="Q112" s="476">
        <f t="shared" si="53"/>
        <v>16874</v>
      </c>
      <c r="R112" s="476">
        <f t="shared" si="53"/>
        <v>17129</v>
      </c>
      <c r="S112" s="476">
        <f t="shared" si="53"/>
        <v>17573.3</v>
      </c>
      <c r="T112" s="978">
        <f t="shared" si="53"/>
        <v>17787.8</v>
      </c>
      <c r="U112" s="476">
        <f t="shared" si="53"/>
        <v>18221.900000000001</v>
      </c>
      <c r="V112" s="476">
        <f t="shared" si="53"/>
        <v>18526.900000000001</v>
      </c>
      <c r="W112" s="476">
        <f>W113+W114</f>
        <v>18799.900000000001</v>
      </c>
      <c r="X112" s="476">
        <f t="shared" si="53"/>
        <v>19067.300000000003</v>
      </c>
      <c r="Y112" s="476">
        <f t="shared" si="53"/>
        <v>19325.900000000001</v>
      </c>
      <c r="Z112" s="476">
        <f t="shared" si="53"/>
        <v>19553.800000000003</v>
      </c>
      <c r="AA112" s="476">
        <f>AA113+AA114</f>
        <v>19712.2</v>
      </c>
      <c r="AB112" s="1022">
        <f t="shared" si="53"/>
        <v>19946.2</v>
      </c>
      <c r="AC112" s="1022">
        <f t="shared" si="53"/>
        <v>20203.400000000001</v>
      </c>
      <c r="AD112" s="1022">
        <f t="shared" si="53"/>
        <v>20375.099999999999</v>
      </c>
      <c r="AE112" s="1022">
        <f t="shared" si="53"/>
        <v>20740.099999999999</v>
      </c>
      <c r="AF112" s="1022">
        <f t="shared" si="53"/>
        <v>20932.5</v>
      </c>
      <c r="AG112" s="1022">
        <f t="shared" si="53"/>
        <v>21214.3</v>
      </c>
      <c r="AH112" s="1021">
        <f t="shared" si="53"/>
        <v>21500.6</v>
      </c>
      <c r="AI112" s="1021">
        <f t="shared" si="53"/>
        <v>21746.3</v>
      </c>
      <c r="AJ112" s="1021">
        <f t="shared" si="53"/>
        <v>21974.7</v>
      </c>
      <c r="AK112" s="1021">
        <f t="shared" si="53"/>
        <v>22172.799999999999</v>
      </c>
      <c r="AL112" s="1021">
        <f t="shared" si="53"/>
        <v>22395</v>
      </c>
      <c r="AM112" s="1021">
        <f t="shared" si="53"/>
        <v>22619.1</v>
      </c>
      <c r="AN112" s="1021">
        <f t="shared" si="53"/>
        <v>22859.3</v>
      </c>
    </row>
    <row r="113" spans="4:76" x14ac:dyDescent="0.35">
      <c r="D113" s="833" t="s">
        <v>466</v>
      </c>
      <c r="E113" s="734"/>
      <c r="F113" s="537"/>
      <c r="G113" s="537"/>
      <c r="H113" s="537"/>
      <c r="I113" s="360">
        <v>9624.7000000000007</v>
      </c>
      <c r="J113" s="580">
        <v>8995.7000000000007</v>
      </c>
      <c r="K113" s="580">
        <v>9425.4</v>
      </c>
      <c r="L113" s="580">
        <v>9783.7000000000007</v>
      </c>
      <c r="M113" s="580">
        <v>9878.7000000000007</v>
      </c>
      <c r="N113" s="580">
        <v>10170</v>
      </c>
      <c r="O113" s="580">
        <v>10447.700000000001</v>
      </c>
      <c r="P113" s="580">
        <v>10754.1</v>
      </c>
      <c r="Q113" s="580">
        <v>10892.8</v>
      </c>
      <c r="R113" s="580">
        <v>10995.9</v>
      </c>
      <c r="S113" s="580">
        <v>11278.9</v>
      </c>
      <c r="T113" s="580">
        <v>11325</v>
      </c>
      <c r="U113" s="580">
        <v>11479.2</v>
      </c>
      <c r="V113" s="580">
        <v>11641.6</v>
      </c>
      <c r="W113" s="580">
        <v>11836.2</v>
      </c>
      <c r="X113" s="580">
        <v>11972.7</v>
      </c>
      <c r="Y113" s="580">
        <v>12149.5</v>
      </c>
      <c r="Z113" s="580">
        <v>12317.2</v>
      </c>
      <c r="AA113" s="580">
        <v>12458.4</v>
      </c>
      <c r="AB113" s="828">
        <v>12626.6</v>
      </c>
      <c r="AC113" s="828">
        <v>12788.7</v>
      </c>
      <c r="AD113" s="828">
        <v>12945.1</v>
      </c>
      <c r="AE113" s="828">
        <v>13082.2</v>
      </c>
      <c r="AF113" s="828">
        <v>13185.5</v>
      </c>
      <c r="AG113" s="828">
        <v>13329.5</v>
      </c>
      <c r="AH113" s="353">
        <v>13477.8</v>
      </c>
      <c r="AI113" s="353">
        <v>13627.1</v>
      </c>
      <c r="AJ113" s="353">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91" t="s">
        <v>850</v>
      </c>
      <c r="E114" s="697"/>
      <c r="F114" s="537"/>
      <c r="G114" s="537"/>
      <c r="H114" s="537"/>
      <c r="I114" s="580">
        <v>5510.1</v>
      </c>
      <c r="J114" s="580">
        <v>5269.8</v>
      </c>
      <c r="K114" s="580">
        <v>5518.1</v>
      </c>
      <c r="L114" s="580">
        <v>5535.6</v>
      </c>
      <c r="M114" s="580">
        <v>5521.1</v>
      </c>
      <c r="N114" s="580">
        <v>5789.6</v>
      </c>
      <c r="O114" s="580">
        <v>5877.9</v>
      </c>
      <c r="P114" s="580">
        <v>5923.2</v>
      </c>
      <c r="Q114" s="580">
        <v>5981.2</v>
      </c>
      <c r="R114" s="580">
        <v>6133.1</v>
      </c>
      <c r="S114" s="580">
        <v>6294.4</v>
      </c>
      <c r="T114" s="580">
        <v>6462.8</v>
      </c>
      <c r="U114" s="580">
        <v>6742.7</v>
      </c>
      <c r="V114" s="580">
        <v>6885.3</v>
      </c>
      <c r="W114" s="580">
        <v>6963.7</v>
      </c>
      <c r="X114" s="580">
        <v>7094.6</v>
      </c>
      <c r="Y114" s="580">
        <v>7176.4</v>
      </c>
      <c r="Z114" s="580">
        <v>7236.6</v>
      </c>
      <c r="AA114" s="580">
        <v>7253.8</v>
      </c>
      <c r="AB114" s="828">
        <v>7319.6</v>
      </c>
      <c r="AC114" s="828">
        <v>7414.7</v>
      </c>
      <c r="AD114" s="828">
        <v>7430</v>
      </c>
      <c r="AE114" s="828">
        <v>7657.9</v>
      </c>
      <c r="AF114" s="828">
        <v>7747</v>
      </c>
      <c r="AG114" s="828">
        <v>7884.8</v>
      </c>
      <c r="AH114" s="353">
        <v>8022.8</v>
      </c>
      <c r="AI114" s="353">
        <v>8119.2</v>
      </c>
      <c r="AJ114" s="353">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91" t="s">
        <v>467</v>
      </c>
      <c r="E115" s="697"/>
      <c r="F115" s="537"/>
      <c r="G115" s="537"/>
      <c r="H115" s="537"/>
      <c r="I115" s="580">
        <v>14440.2</v>
      </c>
      <c r="J115" s="580">
        <v>13049.8</v>
      </c>
      <c r="K115" s="580">
        <v>14388.7</v>
      </c>
      <c r="L115" s="580">
        <v>14586</v>
      </c>
      <c r="M115" s="580">
        <v>15217.7</v>
      </c>
      <c r="N115" s="580">
        <v>15950.9</v>
      </c>
      <c r="O115" s="580">
        <v>16285.1</v>
      </c>
      <c r="P115" s="580">
        <v>16718.2</v>
      </c>
      <c r="Q115" s="580">
        <v>17175.099999999999</v>
      </c>
      <c r="R115" s="580">
        <v>17603.8</v>
      </c>
      <c r="S115" s="580">
        <v>17876.2</v>
      </c>
      <c r="T115" s="580">
        <v>18108.3</v>
      </c>
      <c r="U115" s="580">
        <v>18487</v>
      </c>
      <c r="V115" s="580">
        <v>18693.099999999999</v>
      </c>
      <c r="W115" s="580">
        <v>18961.8</v>
      </c>
      <c r="X115" s="580">
        <v>19190.599999999999</v>
      </c>
      <c r="Y115" s="580">
        <v>19443.8</v>
      </c>
      <c r="Z115" s="580">
        <v>19756.099999999999</v>
      </c>
      <c r="AA115" s="580">
        <v>20032.8</v>
      </c>
      <c r="AB115" s="828">
        <v>20351.3</v>
      </c>
      <c r="AC115" s="828">
        <v>20555</v>
      </c>
      <c r="AD115" s="828">
        <v>20789.900000000001</v>
      </c>
      <c r="AE115" s="828">
        <v>21084.9</v>
      </c>
      <c r="AF115" s="828">
        <v>21302.400000000001</v>
      </c>
      <c r="AG115" s="828">
        <v>21532.2</v>
      </c>
      <c r="AH115" s="353">
        <v>21801.9</v>
      </c>
      <c r="AI115" s="353">
        <v>22048.9</v>
      </c>
      <c r="AJ115" s="353">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52" t="s">
        <v>1866</v>
      </c>
      <c r="E116" s="708"/>
      <c r="F116" s="708"/>
      <c r="G116" s="708"/>
      <c r="H116" s="1039"/>
      <c r="I116" s="1024">
        <v>1736.3</v>
      </c>
      <c r="J116" s="1024">
        <v>1597.1</v>
      </c>
      <c r="K116" s="1024">
        <v>2041.1</v>
      </c>
      <c r="L116" s="1024">
        <v>1947.4</v>
      </c>
      <c r="M116" s="1024">
        <v>2280.4</v>
      </c>
      <c r="N116" s="1024">
        <v>2580</v>
      </c>
      <c r="O116" s="1024">
        <v>2541.1</v>
      </c>
      <c r="P116" s="1024">
        <v>2555</v>
      </c>
      <c r="Q116" s="1024">
        <v>2738.7</v>
      </c>
      <c r="R116" s="1024">
        <v>2876.9</v>
      </c>
      <c r="S116" s="1024">
        <v>2950.7</v>
      </c>
      <c r="T116" s="1024">
        <v>2921.1</v>
      </c>
      <c r="U116" s="1024">
        <v>3060.5</v>
      </c>
      <c r="V116" s="1024">
        <v>3052.8</v>
      </c>
      <c r="W116" s="1024">
        <v>3153.1</v>
      </c>
      <c r="X116" s="1024">
        <v>3310.6</v>
      </c>
      <c r="Y116" s="1024">
        <v>3243.8</v>
      </c>
      <c r="Z116" s="1024">
        <v>3343.4</v>
      </c>
      <c r="AA116" s="1024">
        <v>3342.6</v>
      </c>
      <c r="AB116" s="1025">
        <v>3446.9</v>
      </c>
      <c r="AC116" s="1025">
        <v>3437</v>
      </c>
      <c r="AD116" s="1025">
        <v>3458.2</v>
      </c>
      <c r="AE116" s="1025">
        <v>3452.9</v>
      </c>
      <c r="AF116" s="1025">
        <v>3506.2</v>
      </c>
      <c r="AG116" s="1025">
        <v>3577.4</v>
      </c>
      <c r="AH116" s="353">
        <v>3588.5</v>
      </c>
      <c r="AI116" s="353">
        <v>3601.8</v>
      </c>
      <c r="AJ116" s="353">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966"/>
      <c r="E118" s="734"/>
      <c r="F118" s="734"/>
      <c r="G118" s="734"/>
      <c r="H118" s="537"/>
      <c r="I118" s="537"/>
      <c r="J118" s="537"/>
      <c r="K118" s="537"/>
      <c r="L118" s="537"/>
      <c r="M118" s="537"/>
      <c r="N118" s="537"/>
      <c r="O118" s="537"/>
      <c r="P118" s="537"/>
      <c r="Q118" s="537"/>
      <c r="R118" s="537"/>
      <c r="S118" s="537"/>
      <c r="T118" s="537"/>
      <c r="U118" s="537"/>
      <c r="V118" s="537"/>
      <c r="W118" s="537"/>
      <c r="X118" s="537"/>
      <c r="Y118" s="537"/>
      <c r="Z118" s="940"/>
      <c r="AA118" s="537"/>
      <c r="AB118" s="537"/>
      <c r="AC118" s="537"/>
    </row>
    <row r="119" spans="4:76" x14ac:dyDescent="0.35">
      <c r="D119" s="644"/>
      <c r="AC119" s="44"/>
    </row>
    <row r="120" spans="4:76" x14ac:dyDescent="0.35">
      <c r="D120" s="1501" t="s">
        <v>473</v>
      </c>
      <c r="E120" s="1515"/>
      <c r="F120" s="1403">
        <v>2019</v>
      </c>
      <c r="G120" s="1413"/>
      <c r="H120" s="1405"/>
      <c r="I120" s="1413">
        <v>2020</v>
      </c>
      <c r="J120" s="1413"/>
      <c r="K120" s="1413"/>
      <c r="L120" s="1405"/>
      <c r="M120" s="1403">
        <v>2021</v>
      </c>
      <c r="N120" s="1413"/>
      <c r="O120" s="1413"/>
      <c r="P120" s="1413"/>
      <c r="Q120" s="1403">
        <v>2022</v>
      </c>
      <c r="R120" s="1404"/>
      <c r="S120" s="1404"/>
      <c r="T120" s="1405"/>
      <c r="U120" s="277"/>
      <c r="V120" s="277">
        <v>2023</v>
      </c>
      <c r="W120" s="282"/>
      <c r="X120" s="279"/>
      <c r="Y120" s="1403">
        <v>2024</v>
      </c>
      <c r="Z120" s="1413"/>
      <c r="AA120" s="1413"/>
      <c r="AB120" s="1405"/>
      <c r="AC120" s="1403">
        <v>2025</v>
      </c>
      <c r="AD120" s="1413"/>
      <c r="AE120" s="1413"/>
      <c r="AF120" s="1405"/>
      <c r="AG120" s="1410">
        <v>2026</v>
      </c>
      <c r="AH120" s="1411"/>
      <c r="AI120" s="1411"/>
      <c r="AJ120" s="1412"/>
      <c r="AK120" s="1410">
        <v>2027</v>
      </c>
      <c r="AL120" s="1411"/>
      <c r="AM120" s="1411"/>
      <c r="AN120" s="1412"/>
    </row>
    <row r="121" spans="4:76" x14ac:dyDescent="0.35">
      <c r="D121" s="1516"/>
      <c r="E121" s="1517"/>
      <c r="F121" s="244" t="s">
        <v>250</v>
      </c>
      <c r="G121" s="245" t="s">
        <v>226</v>
      </c>
      <c r="H121" s="246" t="s">
        <v>248</v>
      </c>
      <c r="I121" s="245" t="s">
        <v>249</v>
      </c>
      <c r="J121" s="245" t="s">
        <v>250</v>
      </c>
      <c r="K121" s="245" t="s">
        <v>226</v>
      </c>
      <c r="L121" s="246" t="s">
        <v>248</v>
      </c>
      <c r="M121" s="244" t="s">
        <v>249</v>
      </c>
      <c r="N121" s="245" t="s">
        <v>250</v>
      </c>
      <c r="O121" s="245" t="s">
        <v>226</v>
      </c>
      <c r="P121" s="245" t="s">
        <v>248</v>
      </c>
      <c r="Q121" s="244" t="s">
        <v>249</v>
      </c>
      <c r="R121" s="245" t="s">
        <v>250</v>
      </c>
      <c r="S121" s="245" t="s">
        <v>226</v>
      </c>
      <c r="T121" s="246" t="s">
        <v>248</v>
      </c>
      <c r="U121" s="244" t="s">
        <v>249</v>
      </c>
      <c r="V121" s="273" t="s">
        <v>250</v>
      </c>
      <c r="W121" s="273" t="s">
        <v>226</v>
      </c>
      <c r="X121" s="271" t="s">
        <v>248</v>
      </c>
      <c r="Y121" s="272" t="s">
        <v>249</v>
      </c>
      <c r="Z121" s="274" t="s">
        <v>250</v>
      </c>
      <c r="AA121" s="273" t="s">
        <v>226</v>
      </c>
      <c r="AB121" s="273" t="s">
        <v>248</v>
      </c>
      <c r="AC121" s="272" t="s">
        <v>249</v>
      </c>
      <c r="AD121" s="274" t="s">
        <v>250</v>
      </c>
      <c r="AE121" s="273" t="s">
        <v>226</v>
      </c>
      <c r="AF121" s="273" t="s">
        <v>248</v>
      </c>
      <c r="AG121" s="275" t="s">
        <v>249</v>
      </c>
      <c r="AH121" s="269" t="s">
        <v>250</v>
      </c>
      <c r="AI121" s="270" t="s">
        <v>226</v>
      </c>
      <c r="AJ121" s="276" t="s">
        <v>248</v>
      </c>
      <c r="AK121" s="275" t="s">
        <v>249</v>
      </c>
      <c r="AL121" s="269" t="s">
        <v>250</v>
      </c>
      <c r="AM121" s="270" t="s">
        <v>226</v>
      </c>
      <c r="AN121" s="276" t="s">
        <v>248</v>
      </c>
    </row>
    <row r="122" spans="4:76" x14ac:dyDescent="0.35">
      <c r="D122" s="1512" t="s">
        <v>474</v>
      </c>
      <c r="E122" s="1513"/>
      <c r="F122" s="378"/>
      <c r="G122" s="422"/>
      <c r="H122" s="422"/>
      <c r="I122" s="422"/>
      <c r="J122" s="422"/>
      <c r="K122" s="422"/>
      <c r="L122" s="422"/>
      <c r="M122" s="422"/>
      <c r="N122" s="422"/>
      <c r="O122" s="422"/>
      <c r="P122" s="422"/>
      <c r="Q122" s="422"/>
      <c r="R122" s="422"/>
      <c r="S122" s="422"/>
      <c r="T122" s="400"/>
      <c r="U122" s="422"/>
      <c r="V122" s="422"/>
      <c r="W122" s="400"/>
      <c r="X122" s="400"/>
      <c r="Y122" s="400"/>
      <c r="Z122" s="400"/>
      <c r="AA122" s="400"/>
      <c r="AB122" s="400"/>
      <c r="AC122" s="422"/>
    </row>
    <row r="123" spans="4:76" x14ac:dyDescent="0.35">
      <c r="D123" s="649" t="s">
        <v>447</v>
      </c>
      <c r="F123" s="1040"/>
      <c r="G123" s="1061"/>
      <c r="H123" s="1061">
        <f>H10/H130</f>
        <v>0.11784269540900824</v>
      </c>
      <c r="I123" s="1061">
        <f>I10/I130</f>
        <v>0.1180117541051952</v>
      </c>
      <c r="J123" s="1061">
        <f>J10/J130</f>
        <v>0.1155795009941633</v>
      </c>
      <c r="K123" s="1061">
        <f>K10/K130</f>
        <v>0.11765861590054538</v>
      </c>
      <c r="L123" s="1061">
        <f>L10/L130</f>
        <v>0.12157349733238718</v>
      </c>
      <c r="M123" s="1061">
        <f>M10/M130</f>
        <v>0.12918672688512056</v>
      </c>
      <c r="N123" s="1061">
        <f>N10/N130</f>
        <v>0.13069068394312749</v>
      </c>
      <c r="O123" s="1061">
        <f>O10/O130</f>
        <v>0.13256292794658739</v>
      </c>
      <c r="P123" s="1061">
        <f>P10/P130</f>
        <v>0.13379224924374153</v>
      </c>
      <c r="Q123" s="1061">
        <f>Q10/Q130</f>
        <v>0.15304828789942623</v>
      </c>
      <c r="R123" s="1061">
        <f>R10/R130</f>
        <v>0.1511939578233745</v>
      </c>
      <c r="S123" s="1059">
        <f>S10/S130</f>
        <v>0.14887778993497472</v>
      </c>
      <c r="T123" s="1059">
        <f>T10/T130</f>
        <v>0.14547876359281167</v>
      </c>
      <c r="U123" s="1059">
        <f>U10/U130</f>
        <v>0.12419418497566111</v>
      </c>
      <c r="V123" s="1059">
        <f>V10/V130</f>
        <v>0.12198554029792807</v>
      </c>
      <c r="W123" s="1059">
        <f>W10/W130</f>
        <v>0.12127008416220353</v>
      </c>
      <c r="X123" s="1059">
        <f>X10/X130</f>
        <v>0.12067935836048742</v>
      </c>
      <c r="Y123" s="1059">
        <f>Y10/Y130</f>
        <v>0.12110404713909133</v>
      </c>
      <c r="Z123" s="1059">
        <f>Z10/Z130</f>
        <v>0.12177404523999263</v>
      </c>
      <c r="AA123" s="1059">
        <f>AA10/AA130</f>
        <v>0.12279892777696139</v>
      </c>
      <c r="AB123" s="1059">
        <f>AB10/AB130</f>
        <v>0.12333116330311984</v>
      </c>
      <c r="AC123" s="1059">
        <f>AC10/AC130</f>
        <v>0.12549564426338117</v>
      </c>
      <c r="AD123" s="1059">
        <f>AD10/AD130</f>
        <v>0.12661287543506405</v>
      </c>
      <c r="AE123" s="1059">
        <f>AE10/AE130</f>
        <v>0.12795116726093525</v>
      </c>
      <c r="AF123" s="1059">
        <f>AF10/AF130</f>
        <v>0.12881439870267961</v>
      </c>
      <c r="AG123" s="1060">
        <f>AF123+AG124</f>
        <v>0.12881439870267961</v>
      </c>
      <c r="AH123" s="1060">
        <f t="shared" ref="AH123:AN123" si="54">AG123+AH124</f>
        <v>0.12881439870267961</v>
      </c>
      <c r="AI123" s="1060">
        <f t="shared" si="54"/>
        <v>0.12881439870267961</v>
      </c>
      <c r="AJ123" s="1060">
        <f t="shared" si="54"/>
        <v>0.12881439870267961</v>
      </c>
      <c r="AK123" s="1060">
        <f t="shared" si="54"/>
        <v>0.12881439870267961</v>
      </c>
      <c r="AL123" s="1060">
        <f t="shared" si="54"/>
        <v>0.12881439870267961</v>
      </c>
      <c r="AM123" s="1060">
        <f t="shared" si="54"/>
        <v>0.12881439870267961</v>
      </c>
      <c r="AN123" s="1060">
        <f t="shared" si="54"/>
        <v>0.12881439870267961</v>
      </c>
    </row>
    <row r="124" spans="4:76" x14ac:dyDescent="0.35">
      <c r="D124" s="649" t="s">
        <v>848</v>
      </c>
      <c r="F124" s="1040"/>
      <c r="G124" s="1061"/>
      <c r="H124" s="1061"/>
      <c r="I124" s="1061"/>
      <c r="J124" s="1061"/>
      <c r="K124" s="1061"/>
      <c r="L124" s="1061"/>
      <c r="M124" s="1061"/>
      <c r="N124" s="1061"/>
      <c r="O124" s="1061"/>
      <c r="P124" s="1061"/>
      <c r="Q124" s="1061"/>
      <c r="R124" s="1061"/>
      <c r="S124" s="1059"/>
      <c r="T124" s="1059"/>
      <c r="U124" s="1059"/>
      <c r="V124" s="1059"/>
      <c r="W124" s="1061"/>
      <c r="X124" s="1061"/>
      <c r="Y124" s="1060"/>
      <c r="Z124" s="1060"/>
      <c r="AA124" s="1060"/>
      <c r="AB124" s="1060"/>
      <c r="AC124" s="1060"/>
      <c r="AD124" s="1060"/>
      <c r="AE124" s="1060"/>
      <c r="AF124" s="1060"/>
      <c r="AG124" s="1060"/>
      <c r="AH124" s="1060"/>
      <c r="AI124" s="1060"/>
      <c r="AJ124" s="1060"/>
      <c r="AK124" s="1060"/>
      <c r="AL124" s="1060"/>
      <c r="AM124" s="1060"/>
      <c r="AN124" s="1060"/>
    </row>
    <row r="125" spans="4:76" x14ac:dyDescent="0.35">
      <c r="D125" s="649" t="s">
        <v>448</v>
      </c>
      <c r="F125" s="1040"/>
      <c r="G125" s="1061"/>
      <c r="H125" s="1061">
        <f>H13/H135</f>
        <v>0.15051429053199564</v>
      </c>
      <c r="I125" s="1061">
        <f>I13/I135</f>
        <v>0.1508000747151485</v>
      </c>
      <c r="J125" s="1061">
        <f>J13/J135</f>
        <v>0.15365138592750532</v>
      </c>
      <c r="K125" s="1061">
        <f>K13/K135</f>
        <v>0.15176613885505483</v>
      </c>
      <c r="L125" s="1061">
        <f>L13/L135</f>
        <v>0.14983331464282437</v>
      </c>
      <c r="M125" s="1061">
        <f>M13/M135</f>
        <v>0.15030994347197363</v>
      </c>
      <c r="N125" s="1061">
        <f>N13/N135</f>
        <v>0.14945046310392582</v>
      </c>
      <c r="O125" s="1061">
        <f>O13/O135</f>
        <v>0.14898111332007954</v>
      </c>
      <c r="P125" s="1061">
        <f>P13/P135</f>
        <v>0.14896026735982176</v>
      </c>
      <c r="Q125" s="1061">
        <f>Q13/Q135</f>
        <v>0.1508455157875441</v>
      </c>
      <c r="R125" s="1061">
        <f>R13/R135</f>
        <v>0.15145324289722428</v>
      </c>
      <c r="S125" s="1059">
        <f>S13/S135</f>
        <v>0.1515446578737718</v>
      </c>
      <c r="T125" s="1059">
        <f>T13/T135</f>
        <v>0.15186504019179239</v>
      </c>
      <c r="U125" s="1059">
        <f>U13/U135</f>
        <v>0.15176785683229274</v>
      </c>
      <c r="V125" s="1059">
        <f>V13/V135</f>
        <v>0.15180018349095836</v>
      </c>
      <c r="W125" s="1059">
        <f>W13/W135</f>
        <v>0.15184866578956244</v>
      </c>
      <c r="X125" s="1059">
        <f>X13/X135</f>
        <v>0.15206896839226608</v>
      </c>
      <c r="Y125" s="1059">
        <f>Y13/Y135</f>
        <v>0.15334494601745188</v>
      </c>
      <c r="Z125" s="1059">
        <f>Z13/Z135</f>
        <v>0.15339854608520881</v>
      </c>
      <c r="AA125" s="1059">
        <f>AA13/AA135</f>
        <v>0.15336912106401732</v>
      </c>
      <c r="AB125" s="1059">
        <f>AB13/AB135</f>
        <v>0.1531784367514408</v>
      </c>
      <c r="AC125" s="1059">
        <f>AC13/AC135</f>
        <v>0.15408152114523002</v>
      </c>
      <c r="AD125" s="1059">
        <f>AD13/AD135</f>
        <v>0.15391601335092758</v>
      </c>
      <c r="AE125" s="1059">
        <f>AE13/AE135</f>
        <v>0.15376328364870379</v>
      </c>
      <c r="AF125" s="1059">
        <f>AF13/AF135</f>
        <v>0.15354921234362984</v>
      </c>
      <c r="AG125" s="1060">
        <f t="shared" ref="AG125:AJ126" si="55">AF125</f>
        <v>0.15354921234362984</v>
      </c>
      <c r="AH125" s="1060">
        <f t="shared" si="55"/>
        <v>0.15354921234362984</v>
      </c>
      <c r="AI125" s="1060">
        <f t="shared" si="55"/>
        <v>0.15354921234362984</v>
      </c>
      <c r="AJ125" s="1060">
        <f>AI125</f>
        <v>0.15354921234362984</v>
      </c>
      <c r="AK125" s="1060">
        <f t="shared" ref="AK125:AN126" si="56">AJ125</f>
        <v>0.15354921234362984</v>
      </c>
      <c r="AL125" s="1060">
        <f t="shared" si="56"/>
        <v>0.15354921234362984</v>
      </c>
      <c r="AM125" s="1060">
        <f t="shared" si="56"/>
        <v>0.15354921234362984</v>
      </c>
      <c r="AN125" s="1060">
        <f t="shared" si="56"/>
        <v>0.15354921234362984</v>
      </c>
    </row>
    <row r="126" spans="4:76" x14ac:dyDescent="0.35">
      <c r="D126" s="649" t="s">
        <v>449</v>
      </c>
      <c r="F126" s="1040"/>
      <c r="G126" s="1061"/>
      <c r="H126" s="1061">
        <f>H15/H136</f>
        <v>1.2169240187742332E-2</v>
      </c>
      <c r="I126" s="1061">
        <f>I15/I136</f>
        <v>1.2652467403520625E-2</v>
      </c>
      <c r="J126" s="1061">
        <f>J15/J136</f>
        <v>9.8610658440268922E-3</v>
      </c>
      <c r="K126" s="1061">
        <f>K15/K136</f>
        <v>1.0332062544891983E-2</v>
      </c>
      <c r="L126" s="1061">
        <f>L15/L136</f>
        <v>1.0725569160259799E-2</v>
      </c>
      <c r="M126" s="1061">
        <f>M15/M136</f>
        <v>1.0566750134378645E-2</v>
      </c>
      <c r="N126" s="1061">
        <f>N15/N136</f>
        <v>1.1311737253238165E-2</v>
      </c>
      <c r="O126" s="1061">
        <f>O15/O136</f>
        <v>1.1232731201963286E-2</v>
      </c>
      <c r="P126" s="1061">
        <f>P15/P136</f>
        <v>1.1638418079096045E-2</v>
      </c>
      <c r="Q126" s="1061">
        <f>Q15/Q136</f>
        <v>1.2059012187299552E-2</v>
      </c>
      <c r="R126" s="1061">
        <f>R15/R136</f>
        <v>1.1967103245373895E-2</v>
      </c>
      <c r="S126" s="1059">
        <f>S15/S136</f>
        <v>1.1227791718595437E-2</v>
      </c>
      <c r="T126" s="1059">
        <f>T15/T136</f>
        <v>1.0413330830305774E-2</v>
      </c>
      <c r="U126" s="1059">
        <f>U15/U136</f>
        <v>9.7690268837561534E-3</v>
      </c>
      <c r="V126" s="1059">
        <f>V15/V136</f>
        <v>9.5008318577443022E-3</v>
      </c>
      <c r="W126" s="1059">
        <f>W15/W136</f>
        <v>9.2290816272716722E-3</v>
      </c>
      <c r="X126" s="1059">
        <f>X15/X136</f>
        <v>9.1034152136983734E-3</v>
      </c>
      <c r="Y126" s="1059">
        <f>Y15/Y136</f>
        <v>9.3345950894372504E-3</v>
      </c>
      <c r="Z126" s="1059">
        <f>Z15/Z136</f>
        <v>9.1060482585125623E-3</v>
      </c>
      <c r="AA126" s="1059">
        <f>AA15/AA136</f>
        <v>9.4445110019567898E-3</v>
      </c>
      <c r="AB126" s="1059">
        <f>AB15/AB136</f>
        <v>9.3310992418174747E-3</v>
      </c>
      <c r="AC126" s="1059">
        <f>AC15/AC136</f>
        <v>9.6618827535879352E-3</v>
      </c>
      <c r="AD126" s="1059">
        <f>AD15/AD136</f>
        <v>1.7830773596794594E-2</v>
      </c>
      <c r="AE126" s="1059">
        <f>AE15/AE136</f>
        <v>2.0567281821971276E-2</v>
      </c>
      <c r="AF126" s="1059">
        <f>AF15/AF136</f>
        <v>2.1840063963193112E-2</v>
      </c>
      <c r="AG126" s="1060">
        <f t="shared" si="55"/>
        <v>2.1840063963193112E-2</v>
      </c>
      <c r="AH126" s="1060">
        <f t="shared" si="55"/>
        <v>2.1840063963193112E-2</v>
      </c>
      <c r="AI126" s="1060">
        <f t="shared" si="55"/>
        <v>2.1840063963193112E-2</v>
      </c>
      <c r="AJ126" s="1060">
        <f t="shared" si="55"/>
        <v>2.1840063963193112E-2</v>
      </c>
      <c r="AK126" s="1060">
        <f t="shared" si="56"/>
        <v>2.1840063963193112E-2</v>
      </c>
      <c r="AL126" s="1060">
        <f t="shared" si="56"/>
        <v>2.1840063963193112E-2</v>
      </c>
      <c r="AM126" s="1060">
        <f t="shared" si="56"/>
        <v>2.1840063963193112E-2</v>
      </c>
      <c r="AN126" s="1060">
        <f t="shared" si="56"/>
        <v>2.1840063963193112E-2</v>
      </c>
    </row>
    <row r="127" spans="4:76" x14ac:dyDescent="0.35">
      <c r="D127" s="528" t="s">
        <v>450</v>
      </c>
      <c r="F127" s="1040"/>
      <c r="G127" s="1061"/>
      <c r="H127" s="1061" t="e">
        <f>#REF!/H137</f>
        <v>#REF!</v>
      </c>
      <c r="I127" s="1061" t="e">
        <f>#REF!/I137</f>
        <v>#REF!</v>
      </c>
      <c r="J127" s="1061" t="e">
        <f>#REF!/J137</f>
        <v>#REF!</v>
      </c>
      <c r="K127" s="1061" t="e">
        <f>#REF!/K137</f>
        <v>#REF!</v>
      </c>
      <c r="L127" s="1061" t="e">
        <f>#REF!/L137</f>
        <v>#REF!</v>
      </c>
      <c r="M127" s="1061" t="e">
        <f>#REF!/M137</f>
        <v>#REF!</v>
      </c>
      <c r="N127" s="1061" t="e">
        <f>#REF!/N137</f>
        <v>#REF!</v>
      </c>
      <c r="O127" s="1061" t="e">
        <f>#REF!/O137</f>
        <v>#REF!</v>
      </c>
      <c r="P127" s="1061" t="e">
        <f>#REF!/P137</f>
        <v>#REF!</v>
      </c>
      <c r="Q127" s="1061" t="e">
        <f>#REF!/Q137</f>
        <v>#REF!</v>
      </c>
      <c r="R127" s="1059" t="e">
        <f>#REF!/R137</f>
        <v>#REF!</v>
      </c>
      <c r="S127" s="1059" t="e">
        <f>#REF!/S137</f>
        <v>#REF!</v>
      </c>
      <c r="T127" s="1059" t="e">
        <f>#REF!/T137</f>
        <v>#REF!</v>
      </c>
      <c r="U127" s="1059" t="e">
        <f>#REF!/U137</f>
        <v>#REF!</v>
      </c>
      <c r="V127" s="1059" t="e">
        <f>#REF!/V137</f>
        <v>#REF!</v>
      </c>
      <c r="W127" s="1059" t="e">
        <f>#REF!/W137</f>
        <v>#REF!</v>
      </c>
      <c r="X127" s="1059" t="e">
        <f>#REF!/X137</f>
        <v>#REF!</v>
      </c>
      <c r="Y127" s="1059" t="e">
        <f>#REF!/Y137</f>
        <v>#REF!</v>
      </c>
      <c r="Z127" s="1059" t="e">
        <f>#REF!/Z137</f>
        <v>#REF!</v>
      </c>
      <c r="AA127" s="1059" t="e">
        <f>#REF!/AA137</f>
        <v>#REF!</v>
      </c>
      <c r="AB127" s="1059" t="e">
        <f>#REF!/AB137</f>
        <v>#REF!</v>
      </c>
      <c r="AC127" s="1059" t="e">
        <f>#REF!/AC137</f>
        <v>#REF!</v>
      </c>
      <c r="AD127" s="1059" t="e">
        <f>#REF!/AD137</f>
        <v>#REF!</v>
      </c>
      <c r="AE127" s="1059" t="e">
        <f>#REF!/AE137</f>
        <v>#REF!</v>
      </c>
      <c r="AF127" s="1059" t="e">
        <f>#REF!/AF137</f>
        <v>#REF!</v>
      </c>
      <c r="AG127" s="1060" t="e">
        <f t="shared" ref="AG127:AN127" si="57">AF127+AG128</f>
        <v>#REF!</v>
      </c>
      <c r="AH127" s="1060" t="e">
        <f t="shared" si="57"/>
        <v>#REF!</v>
      </c>
      <c r="AI127" s="1060" t="e">
        <f t="shared" si="57"/>
        <v>#REF!</v>
      </c>
      <c r="AJ127" s="1060" t="e">
        <f t="shared" si="57"/>
        <v>#REF!</v>
      </c>
      <c r="AK127" s="1060" t="e">
        <f t="shared" si="57"/>
        <v>#REF!</v>
      </c>
      <c r="AL127" s="1060" t="e">
        <f t="shared" si="57"/>
        <v>#REF!</v>
      </c>
      <c r="AM127" s="1060" t="e">
        <f t="shared" si="57"/>
        <v>#REF!</v>
      </c>
      <c r="AN127" s="1060" t="e">
        <f t="shared" si="57"/>
        <v>#REF!</v>
      </c>
    </row>
    <row r="128" spans="4:76" x14ac:dyDescent="0.35">
      <c r="D128" s="528" t="s">
        <v>1699</v>
      </c>
      <c r="F128" s="1040"/>
      <c r="G128" s="1061"/>
      <c r="H128" s="1061"/>
      <c r="I128" s="1061"/>
      <c r="J128" s="1061"/>
      <c r="K128" s="1061"/>
      <c r="L128" s="1061"/>
      <c r="M128" s="1061"/>
      <c r="N128" s="1061"/>
      <c r="O128" s="1061"/>
      <c r="P128" s="1061"/>
      <c r="Q128" s="1061"/>
      <c r="R128" s="1061"/>
      <c r="S128" s="1061"/>
      <c r="T128" s="1061"/>
      <c r="U128" s="1061">
        <v>-1.2E-2</v>
      </c>
      <c r="V128" s="1061"/>
      <c r="W128" s="1061"/>
      <c r="X128" s="1061"/>
      <c r="Y128" s="1060"/>
      <c r="Z128" s="1060"/>
      <c r="AA128" s="1060"/>
      <c r="AB128" s="1060"/>
      <c r="AC128" s="1060"/>
      <c r="AD128" s="1060"/>
      <c r="AE128" s="1060"/>
      <c r="AF128" s="1060"/>
      <c r="AG128" s="1060"/>
      <c r="AH128" s="1060"/>
      <c r="AI128" s="1060"/>
      <c r="AJ128" s="1060"/>
      <c r="AK128" s="1060"/>
      <c r="AL128" s="1060"/>
      <c r="AM128" s="1060"/>
      <c r="AN128" s="1060"/>
    </row>
    <row r="129" spans="4:40" x14ac:dyDescent="0.35">
      <c r="D129" s="401" t="s">
        <v>475</v>
      </c>
      <c r="F129" s="392"/>
      <c r="G129" s="265"/>
      <c r="H129" s="265"/>
      <c r="I129" s="265"/>
      <c r="J129" s="265"/>
      <c r="K129" s="265"/>
      <c r="L129" s="265"/>
      <c r="M129" s="265"/>
      <c r="N129" s="265"/>
      <c r="O129" s="265"/>
      <c r="P129" s="265"/>
      <c r="Q129" s="265"/>
      <c r="R129" s="265"/>
      <c r="S129" s="265"/>
      <c r="T129" s="265"/>
      <c r="U129" s="265"/>
      <c r="V129" s="265"/>
      <c r="W129" s="265"/>
      <c r="X129" s="265"/>
      <c r="Y129" s="265"/>
      <c r="Z129" s="265"/>
      <c r="AA129" s="265"/>
      <c r="AB129" s="265"/>
      <c r="AC129" s="265"/>
    </row>
    <row r="130" spans="4:40" ht="14.9" customHeight="1" x14ac:dyDescent="0.35">
      <c r="D130" s="833" t="s">
        <v>476</v>
      </c>
      <c r="F130" s="1034">
        <f>SUM(F131:F134)</f>
        <v>14464.9</v>
      </c>
      <c r="G130" s="537">
        <f t="shared" ref="G130:Z130" si="58">SUM(G131:G134)</f>
        <v>14564.8</v>
      </c>
      <c r="H130" s="537">
        <f t="shared" si="58"/>
        <v>14733.199999999999</v>
      </c>
      <c r="I130" s="537">
        <f t="shared" si="58"/>
        <v>14871.400000000001</v>
      </c>
      <c r="J130" s="537">
        <f t="shared" si="58"/>
        <v>14031.9</v>
      </c>
      <c r="K130" s="537">
        <f t="shared" si="58"/>
        <v>14760.5</v>
      </c>
      <c r="L130" s="537">
        <f t="shared" si="58"/>
        <v>15219.6</v>
      </c>
      <c r="M130" s="537">
        <f t="shared" si="58"/>
        <v>15432.699999999999</v>
      </c>
      <c r="N130" s="537">
        <f t="shared" si="58"/>
        <v>16021.8</v>
      </c>
      <c r="O130" s="537">
        <f t="shared" si="58"/>
        <v>16415.599999999999</v>
      </c>
      <c r="P130" s="537">
        <f t="shared" si="58"/>
        <v>16793.2</v>
      </c>
      <c r="Q130" s="537">
        <f t="shared" si="58"/>
        <v>16958.7</v>
      </c>
      <c r="R130" s="537">
        <f t="shared" si="58"/>
        <v>17199.099999999999</v>
      </c>
      <c r="S130" s="452">
        <f t="shared" si="58"/>
        <v>17639.300000000003</v>
      </c>
      <c r="T130" s="452">
        <f t="shared" si="58"/>
        <v>17867.900000000001</v>
      </c>
      <c r="U130" s="452">
        <f t="shared" si="58"/>
        <v>18242.399999999998</v>
      </c>
      <c r="V130" s="452">
        <f t="shared" si="58"/>
        <v>18548.100000000002</v>
      </c>
      <c r="W130" s="452">
        <f t="shared" si="58"/>
        <v>18820.8</v>
      </c>
      <c r="X130" s="452">
        <f t="shared" si="58"/>
        <v>19088.599999999999</v>
      </c>
      <c r="Y130" s="452">
        <f t="shared" si="58"/>
        <v>19347</v>
      </c>
      <c r="Z130" s="452">
        <f t="shared" si="58"/>
        <v>19575.600000000002</v>
      </c>
      <c r="AA130" s="452">
        <f t="shared" ref="AA130:AF130" si="59">SUM(AA131:AA134)</f>
        <v>19734.7</v>
      </c>
      <c r="AB130" s="452">
        <f t="shared" si="59"/>
        <v>19969</v>
      </c>
      <c r="AC130" s="452">
        <f t="shared" si="59"/>
        <v>20226.2</v>
      </c>
      <c r="AD130" s="452">
        <f t="shared" si="59"/>
        <v>20313.100000000002</v>
      </c>
      <c r="AE130" s="452">
        <f t="shared" si="59"/>
        <v>20445.300000000003</v>
      </c>
      <c r="AF130" s="452">
        <f t="shared" si="59"/>
        <v>20596.3</v>
      </c>
      <c r="AG130" s="247"/>
      <c r="AH130" s="247"/>
      <c r="AI130" s="247"/>
      <c r="AJ130" s="247"/>
      <c r="AK130" s="247"/>
      <c r="AL130" s="247"/>
      <c r="AM130" s="247"/>
      <c r="AN130" s="247"/>
    </row>
    <row r="131" spans="4:40" x14ac:dyDescent="0.35">
      <c r="D131" s="960" t="s">
        <v>750</v>
      </c>
      <c r="E131" s="268" t="s">
        <v>746</v>
      </c>
      <c r="F131" s="1034">
        <f>'Haver Pivoted'!GQ81</f>
        <v>9285</v>
      </c>
      <c r="G131" s="537">
        <f>'Haver Pivoted'!GR81</f>
        <v>9341</v>
      </c>
      <c r="H131" s="537">
        <f>'Haver Pivoted'!GS81</f>
        <v>9488.7999999999993</v>
      </c>
      <c r="I131" s="537">
        <f>'Haver Pivoted'!GT81</f>
        <v>9636.6</v>
      </c>
      <c r="J131" s="537">
        <f>'Haver Pivoted'!GU81</f>
        <v>9004.7999999999993</v>
      </c>
      <c r="K131" s="537">
        <f>'Haver Pivoted'!GV81</f>
        <v>9441.5</v>
      </c>
      <c r="L131" s="537">
        <f>'Haver Pivoted'!GW81</f>
        <v>9808.9</v>
      </c>
      <c r="M131" s="537">
        <f>'Haver Pivoted'!GX81</f>
        <v>9888.9</v>
      </c>
      <c r="N131" s="537">
        <f>'Haver Pivoted'!GY81</f>
        <v>10181.299999999999</v>
      </c>
      <c r="O131" s="537">
        <f>'Haver Pivoted'!GZ81</f>
        <v>10462.4</v>
      </c>
      <c r="P131" s="537">
        <f>'Haver Pivoted'!HA81</f>
        <v>10772</v>
      </c>
      <c r="Q131" s="537">
        <f>'Haver Pivoted'!HB81</f>
        <v>10910.5</v>
      </c>
      <c r="R131" s="537">
        <f>'Haver Pivoted'!HC81</f>
        <v>11013.3</v>
      </c>
      <c r="S131" s="452">
        <f>'Haver Pivoted'!HD81</f>
        <v>11297</v>
      </c>
      <c r="T131" s="452">
        <f>'Haver Pivoted'!HE81</f>
        <v>11345.6</v>
      </c>
      <c r="U131" s="452">
        <f>'Haver Pivoted'!HF81</f>
        <v>11499.8</v>
      </c>
      <c r="V131" s="452">
        <f>'Haver Pivoted'!HG81</f>
        <v>11662.7</v>
      </c>
      <c r="W131" s="452">
        <f>'Haver Pivoted'!HH81</f>
        <v>11857.2</v>
      </c>
      <c r="X131" s="452">
        <f>'Haver Pivoted'!HI81</f>
        <v>11993.9</v>
      </c>
      <c r="Y131" s="452">
        <f>'Haver Pivoted'!HJ81</f>
        <v>12170.6</v>
      </c>
      <c r="Z131" s="452">
        <f>'Haver Pivoted'!HK81</f>
        <v>12339.1</v>
      </c>
      <c r="AA131" s="452">
        <f>'Haver Pivoted'!HL81</f>
        <v>12481</v>
      </c>
      <c r="AB131" s="452">
        <f>'Haver Pivoted'!HM81</f>
        <v>12649.3</v>
      </c>
      <c r="AC131" s="452">
        <f>'Haver Pivoted'!HN81</f>
        <v>12811.4</v>
      </c>
      <c r="AD131" s="452">
        <f>'Haver Pivoted'!HO81</f>
        <v>12883</v>
      </c>
      <c r="AE131" s="452">
        <f>'Haver Pivoted'!HP81</f>
        <v>12995.3</v>
      </c>
      <c r="AF131" s="452">
        <f>'Haver Pivoted'!HQ81</f>
        <v>13133.9</v>
      </c>
      <c r="AG131" s="247"/>
      <c r="AH131" s="247"/>
      <c r="AI131" s="247"/>
      <c r="AJ131" s="247"/>
      <c r="AK131" s="247"/>
      <c r="AL131" s="247"/>
      <c r="AM131" s="247"/>
      <c r="AN131" s="247"/>
    </row>
    <row r="132" spans="4:40" x14ac:dyDescent="0.35">
      <c r="D132" s="960" t="s">
        <v>477</v>
      </c>
      <c r="E132" s="268" t="s">
        <v>747</v>
      </c>
      <c r="F132" s="1034">
        <f>'Haver Pivoted'!GQ82</f>
        <v>1535.6</v>
      </c>
      <c r="G132" s="537">
        <f>'Haver Pivoted'!GR82</f>
        <v>1570.9</v>
      </c>
      <c r="H132" s="537">
        <f>'Haver Pivoted'!GS82</f>
        <v>1582.7</v>
      </c>
      <c r="I132" s="537">
        <f>'Haver Pivoted'!GT82</f>
        <v>1583.4</v>
      </c>
      <c r="J132" s="537">
        <f>'Haver Pivoted'!GU82</f>
        <v>1429.5</v>
      </c>
      <c r="K132" s="537">
        <f>'Haver Pivoted'!GV82</f>
        <v>1710.7</v>
      </c>
      <c r="L132" s="537">
        <f>'Haver Pivoted'!GW82</f>
        <v>1674.4</v>
      </c>
      <c r="M132" s="537">
        <f>'Haver Pivoted'!GX82</f>
        <v>1699.8</v>
      </c>
      <c r="N132" s="537">
        <f>'Haver Pivoted'!GY82</f>
        <v>1848.9</v>
      </c>
      <c r="O132" s="537">
        <f>'Haver Pivoted'!GZ82</f>
        <v>1870.4</v>
      </c>
      <c r="P132" s="537">
        <f>'Haver Pivoted'!HA82</f>
        <v>1855.6</v>
      </c>
      <c r="Q132" s="537">
        <f>'Haver Pivoted'!HB82</f>
        <v>1836</v>
      </c>
      <c r="R132" s="537">
        <f>'Haver Pivoted'!HC82</f>
        <v>1849.5</v>
      </c>
      <c r="S132" s="452">
        <f>'Haver Pivoted'!HD82</f>
        <v>1889.1</v>
      </c>
      <c r="T132" s="452">
        <f>'Haver Pivoted'!HE82</f>
        <v>1901.1</v>
      </c>
      <c r="U132" s="452">
        <f>'Haver Pivoted'!HF82</f>
        <v>1933.8</v>
      </c>
      <c r="V132" s="452">
        <f>'Haver Pivoted'!HG82</f>
        <v>1931.7</v>
      </c>
      <c r="W132" s="452">
        <f>'Haver Pivoted'!HH82</f>
        <v>1943.1</v>
      </c>
      <c r="X132" s="452">
        <f>'Haver Pivoted'!HI82</f>
        <v>1959.3</v>
      </c>
      <c r="Y132" s="452">
        <f>'Haver Pivoted'!HJ82</f>
        <v>1982.9</v>
      </c>
      <c r="Z132" s="452">
        <f>'Haver Pivoted'!HK82</f>
        <v>2013.2</v>
      </c>
      <c r="AA132" s="452">
        <f>'Haver Pivoted'!HL82</f>
        <v>2031.7</v>
      </c>
      <c r="AB132" s="452">
        <f>'Haver Pivoted'!HM82</f>
        <v>2064.5</v>
      </c>
      <c r="AC132" s="452">
        <f>'Haver Pivoted'!HN82</f>
        <v>2103.3000000000002</v>
      </c>
      <c r="AD132" s="452">
        <f>'Haver Pivoted'!HO82</f>
        <v>2105.1999999999998</v>
      </c>
      <c r="AE132" s="452">
        <f>'Haver Pivoted'!HP82</f>
        <v>2117.6999999999998</v>
      </c>
      <c r="AF132" s="452">
        <f>'Haver Pivoted'!HQ82</f>
        <v>2112.1</v>
      </c>
      <c r="AG132" s="247"/>
      <c r="AH132" s="247"/>
      <c r="AI132" s="247"/>
      <c r="AJ132" s="247"/>
      <c r="AK132" s="247"/>
      <c r="AL132" s="247"/>
      <c r="AM132" s="247"/>
      <c r="AN132" s="247"/>
    </row>
    <row r="133" spans="4:40" x14ac:dyDescent="0.35">
      <c r="D133" s="960" t="s">
        <v>478</v>
      </c>
      <c r="E133" s="268" t="s">
        <v>753</v>
      </c>
      <c r="F133" s="1034">
        <f>'Haver Pivoted'!GQ83</f>
        <v>682.8</v>
      </c>
      <c r="G133" s="537">
        <f>'Haver Pivoted'!GR83</f>
        <v>690.2</v>
      </c>
      <c r="H133" s="537">
        <f>'Haver Pivoted'!GS83</f>
        <v>706.3</v>
      </c>
      <c r="I133" s="537">
        <f>'Haver Pivoted'!GT83</f>
        <v>729.2</v>
      </c>
      <c r="J133" s="537">
        <f>'Haver Pivoted'!GU83</f>
        <v>736.2</v>
      </c>
      <c r="K133" s="537">
        <f>'Haver Pivoted'!GV83</f>
        <v>752.5</v>
      </c>
      <c r="L133" s="537">
        <f>'Haver Pivoted'!GW83</f>
        <v>755.7</v>
      </c>
      <c r="M133" s="537">
        <f>'Haver Pivoted'!GX83</f>
        <v>754.4</v>
      </c>
      <c r="N133" s="537">
        <f>'Haver Pivoted'!GY83</f>
        <v>770</v>
      </c>
      <c r="O133" s="537">
        <f>'Haver Pivoted'!GZ83</f>
        <v>782.6</v>
      </c>
      <c r="P133" s="537">
        <f>'Haver Pivoted'!HA83</f>
        <v>799.9</v>
      </c>
      <c r="Q133" s="537">
        <f>'Haver Pivoted'!HB83</f>
        <v>818.6</v>
      </c>
      <c r="R133" s="537">
        <f>'Haver Pivoted'!HC83</f>
        <v>860.4</v>
      </c>
      <c r="S133" s="452">
        <f>'Haver Pivoted'!HD83</f>
        <v>887.2</v>
      </c>
      <c r="T133" s="452">
        <f>'Haver Pivoted'!HE83</f>
        <v>918.3</v>
      </c>
      <c r="U133" s="452">
        <f>'Haver Pivoted'!HF83</f>
        <v>965.5</v>
      </c>
      <c r="V133" s="452">
        <f>'Haver Pivoted'!HG83</f>
        <v>998</v>
      </c>
      <c r="W133" s="452">
        <f>'Haver Pivoted'!HH83</f>
        <v>1012.9</v>
      </c>
      <c r="X133" s="452">
        <f>'Haver Pivoted'!HI83</f>
        <v>1033.5999999999999</v>
      </c>
      <c r="Y133" s="452">
        <f>'Haver Pivoted'!HJ83</f>
        <v>1069</v>
      </c>
      <c r="Z133" s="452">
        <f>'Haver Pivoted'!HK83</f>
        <v>1069.7</v>
      </c>
      <c r="AA133" s="452">
        <f>'Haver Pivoted'!HL83</f>
        <v>1077.3</v>
      </c>
      <c r="AB133" s="452">
        <f>'Haver Pivoted'!HM83</f>
        <v>1096.7</v>
      </c>
      <c r="AC133" s="452">
        <f>'Haver Pivoted'!HN83</f>
        <v>1115.5999999999999</v>
      </c>
      <c r="AD133" s="452">
        <f>'Haver Pivoted'!HO83</f>
        <v>1119.2</v>
      </c>
      <c r="AE133" s="452">
        <f>'Haver Pivoted'!HP83</f>
        <v>1112.2</v>
      </c>
      <c r="AF133" s="452">
        <f>'Haver Pivoted'!HQ83</f>
        <v>1111.9000000000001</v>
      </c>
      <c r="AG133" s="247"/>
      <c r="AH133" s="247"/>
      <c r="AI133" s="247"/>
      <c r="AJ133" s="247"/>
      <c r="AK133" s="247"/>
      <c r="AL133" s="247"/>
      <c r="AM133" s="247"/>
      <c r="AN133" s="247"/>
    </row>
    <row r="134" spans="4:40" x14ac:dyDescent="0.35">
      <c r="D134" s="960" t="s">
        <v>479</v>
      </c>
      <c r="E134" s="268" t="s">
        <v>749</v>
      </c>
      <c r="F134" s="1034">
        <f>'Haver Pivoted'!GQ84</f>
        <v>2961.5</v>
      </c>
      <c r="G134" s="537">
        <f>'Haver Pivoted'!GR84</f>
        <v>2962.7</v>
      </c>
      <c r="H134" s="537">
        <f>'Haver Pivoted'!GS84</f>
        <v>2955.4</v>
      </c>
      <c r="I134" s="537">
        <f>'Haver Pivoted'!GT84</f>
        <v>2922.2</v>
      </c>
      <c r="J134" s="537">
        <f>'Haver Pivoted'!GU84</f>
        <v>2861.4</v>
      </c>
      <c r="K134" s="537">
        <f>'Haver Pivoted'!GV84</f>
        <v>2855.8</v>
      </c>
      <c r="L134" s="537">
        <f>'Haver Pivoted'!GW84</f>
        <v>2980.6</v>
      </c>
      <c r="M134" s="537">
        <f>'Haver Pivoted'!GX84</f>
        <v>3089.6</v>
      </c>
      <c r="N134" s="537">
        <f>'Haver Pivoted'!GY84</f>
        <v>3221.6</v>
      </c>
      <c r="O134" s="537">
        <f>'Haver Pivoted'!GZ84</f>
        <v>3300.2</v>
      </c>
      <c r="P134" s="537">
        <f>'Haver Pivoted'!HA84</f>
        <v>3365.7</v>
      </c>
      <c r="Q134" s="537">
        <f>'Haver Pivoted'!HB84</f>
        <v>3393.6</v>
      </c>
      <c r="R134" s="537">
        <f>'Haver Pivoted'!HC84</f>
        <v>3475.9</v>
      </c>
      <c r="S134" s="452">
        <f>'Haver Pivoted'!HD84</f>
        <v>3566</v>
      </c>
      <c r="T134" s="452">
        <f>'Haver Pivoted'!HE84</f>
        <v>3702.9</v>
      </c>
      <c r="U134" s="452">
        <f>'Haver Pivoted'!HF84</f>
        <v>3843.3</v>
      </c>
      <c r="V134" s="452">
        <f>'Haver Pivoted'!HG84</f>
        <v>3955.7</v>
      </c>
      <c r="W134" s="452">
        <f>'Haver Pivoted'!HH84</f>
        <v>4007.6</v>
      </c>
      <c r="X134" s="452">
        <f>'Haver Pivoted'!HI84</f>
        <v>4101.8</v>
      </c>
      <c r="Y134" s="452">
        <f>'Haver Pivoted'!HJ84</f>
        <v>4124.5</v>
      </c>
      <c r="Z134" s="452">
        <f>'Haver Pivoted'!HK84</f>
        <v>4153.6000000000004</v>
      </c>
      <c r="AA134" s="452">
        <f>'Haver Pivoted'!HL84</f>
        <v>4144.7</v>
      </c>
      <c r="AB134" s="452">
        <f>'Haver Pivoted'!HM84</f>
        <v>4158.5</v>
      </c>
      <c r="AC134" s="452">
        <f>'Haver Pivoted'!HN84</f>
        <v>4195.8999999999996</v>
      </c>
      <c r="AD134" s="452">
        <f>'Haver Pivoted'!HO84</f>
        <v>4205.7</v>
      </c>
      <c r="AE134" s="452">
        <f>'Haver Pivoted'!HP84</f>
        <v>4220.1000000000004</v>
      </c>
      <c r="AF134" s="452">
        <f>'Haver Pivoted'!HQ84</f>
        <v>4238.3999999999996</v>
      </c>
      <c r="AG134" s="247"/>
      <c r="AH134" s="247"/>
      <c r="AI134" s="247"/>
      <c r="AJ134" s="247"/>
      <c r="AK134" s="247"/>
      <c r="AL134" s="247"/>
      <c r="AM134" s="247"/>
      <c r="AN134" s="247"/>
    </row>
    <row r="135" spans="4:40" x14ac:dyDescent="0.35">
      <c r="D135" s="833" t="s">
        <v>466</v>
      </c>
      <c r="F135" s="1034">
        <f>F131</f>
        <v>9285</v>
      </c>
      <c r="G135" s="537">
        <f t="shared" ref="G135:AB135" si="60">G131</f>
        <v>9341</v>
      </c>
      <c r="H135" s="537">
        <f t="shared" si="60"/>
        <v>9488.7999999999993</v>
      </c>
      <c r="I135" s="537">
        <f t="shared" si="60"/>
        <v>9636.6</v>
      </c>
      <c r="J135" s="537">
        <f t="shared" si="60"/>
        <v>9004.7999999999993</v>
      </c>
      <c r="K135" s="537">
        <f t="shared" si="60"/>
        <v>9441.5</v>
      </c>
      <c r="L135" s="537">
        <f t="shared" si="60"/>
        <v>9808.9</v>
      </c>
      <c r="M135" s="537">
        <f t="shared" si="60"/>
        <v>9888.9</v>
      </c>
      <c r="N135" s="537">
        <f t="shared" si="60"/>
        <v>10181.299999999999</v>
      </c>
      <c r="O135" s="537">
        <f t="shared" si="60"/>
        <v>10462.4</v>
      </c>
      <c r="P135" s="537">
        <f t="shared" si="60"/>
        <v>10772</v>
      </c>
      <c r="Q135" s="537">
        <f t="shared" si="60"/>
        <v>10910.5</v>
      </c>
      <c r="R135" s="537">
        <f t="shared" si="60"/>
        <v>11013.3</v>
      </c>
      <c r="S135" s="452">
        <f t="shared" si="60"/>
        <v>11297</v>
      </c>
      <c r="T135" s="452">
        <f t="shared" si="60"/>
        <v>11345.6</v>
      </c>
      <c r="U135" s="452">
        <f t="shared" si="60"/>
        <v>11499.8</v>
      </c>
      <c r="V135" s="452">
        <f t="shared" si="60"/>
        <v>11662.7</v>
      </c>
      <c r="W135" s="452">
        <f t="shared" si="60"/>
        <v>11857.2</v>
      </c>
      <c r="X135" s="452">
        <f t="shared" si="60"/>
        <v>11993.9</v>
      </c>
      <c r="Y135" s="452">
        <f t="shared" si="60"/>
        <v>12170.6</v>
      </c>
      <c r="Z135" s="452">
        <f t="shared" si="60"/>
        <v>12339.1</v>
      </c>
      <c r="AA135" s="452">
        <f t="shared" si="60"/>
        <v>12481</v>
      </c>
      <c r="AB135" s="452">
        <f t="shared" si="60"/>
        <v>12649.3</v>
      </c>
      <c r="AC135" s="452">
        <f>AC131</f>
        <v>12811.4</v>
      </c>
      <c r="AD135" s="452">
        <f>AD131</f>
        <v>12883</v>
      </c>
      <c r="AE135" s="452">
        <f>AE131</f>
        <v>12995.3</v>
      </c>
      <c r="AF135" s="452">
        <f>AF131</f>
        <v>13133.9</v>
      </c>
      <c r="AG135" s="247"/>
      <c r="AH135" s="247"/>
      <c r="AI135" s="247"/>
      <c r="AJ135" s="247"/>
      <c r="AK135" s="247"/>
      <c r="AL135" s="247"/>
      <c r="AM135" s="247"/>
      <c r="AN135" s="247"/>
    </row>
    <row r="136" spans="4:40" x14ac:dyDescent="0.35">
      <c r="D136" s="833" t="s">
        <v>467</v>
      </c>
      <c r="E136" s="268" t="s">
        <v>483</v>
      </c>
      <c r="F136" s="1034">
        <f>'Haver Pivoted'!GQ5</f>
        <v>14350.7</v>
      </c>
      <c r="G136" s="537">
        <f>'Haver Pivoted'!GR5</f>
        <v>14548.3</v>
      </c>
      <c r="H136" s="537">
        <f>'Haver Pivoted'!GS5</f>
        <v>14701</v>
      </c>
      <c r="I136" s="537">
        <f>'Haver Pivoted'!GT5</f>
        <v>14503.1</v>
      </c>
      <c r="J136" s="537">
        <f>'Haver Pivoted'!GU5</f>
        <v>13193.3</v>
      </c>
      <c r="K136" s="537">
        <f>'Haver Pivoted'!GV5</f>
        <v>14479.2</v>
      </c>
      <c r="L136" s="537">
        <f>'Haver Pivoted'!GW5</f>
        <v>14749.8</v>
      </c>
      <c r="M136" s="537">
        <f>'Haver Pivoted'!GX5</f>
        <v>15255.4</v>
      </c>
      <c r="N136" s="537">
        <f>'Haver Pivoted'!GY5</f>
        <v>16027.6</v>
      </c>
      <c r="O136" s="537">
        <f>'Haver Pivoted'!GZ5</f>
        <v>16380.7</v>
      </c>
      <c r="P136" s="537">
        <f>'Haver Pivoted'!HA5</f>
        <v>16815</v>
      </c>
      <c r="Q136" s="537">
        <f>'Haver Pivoted'!HB5</f>
        <v>17149</v>
      </c>
      <c r="R136" s="537">
        <f>'Haver Pivoted'!HC5</f>
        <v>17606.599999999999</v>
      </c>
      <c r="S136" s="452">
        <f>'Haver Pivoted'!HD5</f>
        <v>17893.099999999999</v>
      </c>
      <c r="T136" s="452">
        <f>'Haver Pivoted'!HE5</f>
        <v>18111.400000000001</v>
      </c>
      <c r="U136" s="452">
        <f>'Haver Pivoted'!HF5</f>
        <v>18487</v>
      </c>
      <c r="V136" s="452">
        <f>'Haver Pivoted'!HG5</f>
        <v>18693.099999999999</v>
      </c>
      <c r="W136" s="452">
        <f>'Haver Pivoted'!HH5</f>
        <v>18961.8</v>
      </c>
      <c r="X136" s="452">
        <f>'Haver Pivoted'!HI5</f>
        <v>19190.599999999999</v>
      </c>
      <c r="Y136" s="452">
        <f>'Haver Pivoted'!HJ5</f>
        <v>19443.8</v>
      </c>
      <c r="Z136" s="452">
        <f>'Haver Pivoted'!HK5</f>
        <v>19756.099999999999</v>
      </c>
      <c r="AA136" s="452">
        <f>'Haver Pivoted'!HL5</f>
        <v>20032.8</v>
      </c>
      <c r="AB136" s="452">
        <f>'Haver Pivoted'!HM5</f>
        <v>20351.3</v>
      </c>
      <c r="AC136" s="452">
        <f>'Haver Pivoted'!HN5</f>
        <v>20555</v>
      </c>
      <c r="AD136" s="452">
        <f>'Haver Pivoted'!HO5</f>
        <v>20789.900000000001</v>
      </c>
      <c r="AE136" s="452">
        <f>'Haver Pivoted'!HP5</f>
        <v>21111.200000000001</v>
      </c>
      <c r="AF136" s="452">
        <f>'Haver Pivoted'!HQ5</f>
        <v>21387.3</v>
      </c>
      <c r="AG136" s="247"/>
      <c r="AH136" s="247"/>
      <c r="AI136" s="247"/>
      <c r="AJ136" s="247"/>
      <c r="AK136" s="247"/>
      <c r="AL136" s="247"/>
      <c r="AM136" s="247"/>
      <c r="AN136" s="247"/>
    </row>
    <row r="137" spans="4:40" x14ac:dyDescent="0.35">
      <c r="D137" s="833" t="s">
        <v>480</v>
      </c>
      <c r="E137" s="268" t="s">
        <v>748</v>
      </c>
      <c r="F137" s="1034">
        <f>'Haver Pivoted'!GQ85</f>
        <v>1906.5</v>
      </c>
      <c r="G137" s="537">
        <f>'Haver Pivoted'!GR85</f>
        <v>1968.1</v>
      </c>
      <c r="H137" s="537">
        <f>'Haver Pivoted'!GS85</f>
        <v>2003.2</v>
      </c>
      <c r="I137" s="537">
        <f>'Haver Pivoted'!GT85</f>
        <v>1743.5</v>
      </c>
      <c r="J137" s="537">
        <f>'Haver Pivoted'!GU85</f>
        <v>1673.1</v>
      </c>
      <c r="K137" s="537">
        <f>'Haver Pivoted'!GV85</f>
        <v>2331.6999999999998</v>
      </c>
      <c r="L137" s="537">
        <f>'Haver Pivoted'!GW85</f>
        <v>2116.6999999999998</v>
      </c>
      <c r="M137" s="537">
        <f>'Haver Pivoted'!GX85</f>
        <v>2418.6</v>
      </c>
      <c r="N137" s="537">
        <f>'Haver Pivoted'!GY85</f>
        <v>2771.6</v>
      </c>
      <c r="O137" s="537">
        <f>'Haver Pivoted'!GZ85</f>
        <v>2779.8</v>
      </c>
      <c r="P137" s="537">
        <f>'Haver Pivoted'!HA85</f>
        <v>2821.2</v>
      </c>
      <c r="Q137" s="537">
        <f>'Haver Pivoted'!HB85</f>
        <v>2768.8</v>
      </c>
      <c r="R137" s="452">
        <f>'Haver Pivoted'!HC85</f>
        <v>2931.8</v>
      </c>
      <c r="S137" s="452">
        <f>'Haver Pivoted'!HD85</f>
        <v>3004.2</v>
      </c>
      <c r="T137" s="452">
        <f>'Haver Pivoted'!HE85</f>
        <v>2947.7</v>
      </c>
      <c r="U137" s="452">
        <f>'Haver Pivoted'!HF85</f>
        <v>3060.5</v>
      </c>
      <c r="V137" s="452">
        <f>'Haver Pivoted'!HG85</f>
        <v>3052.8</v>
      </c>
      <c r="W137" s="452">
        <f>'Haver Pivoted'!HH85</f>
        <v>3153.1</v>
      </c>
      <c r="X137" s="452">
        <f>'Haver Pivoted'!HI85</f>
        <v>3310.6</v>
      </c>
      <c r="Y137" s="452">
        <f>'Haver Pivoted'!HJ85</f>
        <v>3243.8</v>
      </c>
      <c r="Z137" s="452">
        <f>'Haver Pivoted'!HK85</f>
        <v>3343.4</v>
      </c>
      <c r="AA137" s="452">
        <f>'Haver Pivoted'!HL85</f>
        <v>3342.6</v>
      </c>
      <c r="AB137" s="452">
        <f>'Haver Pivoted'!HM85</f>
        <v>3446.9</v>
      </c>
      <c r="AC137" s="452">
        <f>'Haver Pivoted'!HN85</f>
        <v>3437</v>
      </c>
      <c r="AD137" s="452">
        <f>'Haver Pivoted'!HO85</f>
        <v>3458.2</v>
      </c>
      <c r="AE137" s="452">
        <f>'Haver Pivoted'!HP85</f>
        <v>3583.3</v>
      </c>
      <c r="AF137" s="452">
        <f>'Haver Pivoted'!HQ85</f>
        <v>0</v>
      </c>
      <c r="AG137" s="247"/>
      <c r="AH137" s="247"/>
      <c r="AI137" s="247"/>
      <c r="AJ137" s="247"/>
      <c r="AK137" s="247"/>
      <c r="AL137" s="247"/>
      <c r="AM137" s="247"/>
      <c r="AN137" s="247"/>
    </row>
    <row r="138" spans="4:40" x14ac:dyDescent="0.35">
      <c r="D138" s="401" t="s">
        <v>481</v>
      </c>
      <c r="F138" s="392"/>
      <c r="G138" s="265"/>
      <c r="H138" s="265"/>
      <c r="I138" s="265"/>
      <c r="J138" s="265"/>
      <c r="K138" s="265"/>
      <c r="L138" s="265"/>
      <c r="M138" s="265"/>
      <c r="N138" s="265"/>
      <c r="O138" s="265"/>
      <c r="P138" s="265"/>
      <c r="Q138" s="265"/>
      <c r="R138" s="265"/>
      <c r="S138" s="265"/>
      <c r="T138" s="265"/>
      <c r="U138" s="265"/>
      <c r="V138" s="265"/>
      <c r="W138" s="265"/>
      <c r="X138" s="265"/>
      <c r="Y138" s="265"/>
      <c r="Z138" s="265"/>
      <c r="AA138" s="265"/>
      <c r="AB138" s="265"/>
      <c r="AC138" s="265"/>
      <c r="AD138" s="265"/>
      <c r="AE138" s="265"/>
      <c r="AF138" s="265"/>
      <c r="AG138" s="265"/>
      <c r="AH138" s="265"/>
      <c r="AI138" s="265"/>
      <c r="AJ138" s="265"/>
      <c r="AK138" s="265"/>
      <c r="AL138" s="265"/>
      <c r="AM138" s="265"/>
      <c r="AN138" s="265"/>
    </row>
    <row r="139" spans="4:40" x14ac:dyDescent="0.35">
      <c r="D139" s="1064" t="s">
        <v>451</v>
      </c>
      <c r="F139" s="1040">
        <f t="shared" ref="F139:AE139" si="61">F26/F130</f>
        <v>3.670955208815823E-2</v>
      </c>
      <c r="G139" s="1061">
        <f t="shared" si="61"/>
        <v>3.4027243765791498E-2</v>
      </c>
      <c r="H139" s="1061">
        <f t="shared" si="61"/>
        <v>3.3265006923139578E-2</v>
      </c>
      <c r="I139" s="1061">
        <f t="shared" si="61"/>
        <v>3.3413128555482327E-2</v>
      </c>
      <c r="J139" s="1061">
        <f t="shared" si="61"/>
        <v>3.4941811158859457E-2</v>
      </c>
      <c r="K139" s="1061">
        <f t="shared" si="61"/>
        <v>3.4815893770536226E-2</v>
      </c>
      <c r="L139" s="1061">
        <f t="shared" si="61"/>
        <v>3.4698678020447321E-2</v>
      </c>
      <c r="M139" s="1061">
        <f t="shared" si="61"/>
        <v>3.5677490004989411E-2</v>
      </c>
      <c r="N139" s="1061">
        <f t="shared" si="61"/>
        <v>3.5819945324495374E-2</v>
      </c>
      <c r="O139" s="1061">
        <f t="shared" si="61"/>
        <v>3.4418479982455716E-2</v>
      </c>
      <c r="P139" s="1061">
        <f t="shared" si="61"/>
        <v>3.5252364052116333E-2</v>
      </c>
      <c r="Q139" s="1061">
        <f t="shared" si="61"/>
        <v>3.9136254547813221E-2</v>
      </c>
      <c r="R139" s="1061">
        <f t="shared" si="61"/>
        <v>4.0537004843276686E-2</v>
      </c>
      <c r="S139" s="1059">
        <f t="shared" si="61"/>
        <v>3.3850549624985113E-2</v>
      </c>
      <c r="T139" s="1059">
        <f t="shared" si="61"/>
        <v>3.3227183944391898E-2</v>
      </c>
      <c r="U139" s="1037">
        <f t="shared" si="61"/>
        <v>3.0675788273472792E-2</v>
      </c>
      <c r="V139" s="1037">
        <f t="shared" si="61"/>
        <v>2.9539413740490936E-2</v>
      </c>
      <c r="W139" s="1037">
        <f t="shared" si="61"/>
        <v>2.9663988778372861E-2</v>
      </c>
      <c r="X139" s="1037">
        <f t="shared" si="61"/>
        <v>2.9488804836394499E-2</v>
      </c>
      <c r="Y139" s="1037">
        <f t="shared" si="61"/>
        <v>2.8960562361089574E-2</v>
      </c>
      <c r="Z139" s="1037">
        <f t="shared" si="61"/>
        <v>2.9312000653875226E-2</v>
      </c>
      <c r="AA139" s="1037">
        <f t="shared" si="61"/>
        <v>3.0185409456439674E-2</v>
      </c>
      <c r="AB139" s="1037">
        <f t="shared" si="61"/>
        <v>3.0557363914066805E-2</v>
      </c>
      <c r="AC139" s="1037">
        <f t="shared" si="61"/>
        <v>3.0440715507608945E-2</v>
      </c>
      <c r="AD139" s="1037">
        <f t="shared" si="61"/>
        <v>3.0965239180627276E-2</v>
      </c>
      <c r="AE139" s="1037">
        <f t="shared" si="61"/>
        <v>3.1239453566345318E-2</v>
      </c>
      <c r="AF139" s="1037">
        <f t="shared" ref="AF139" si="62">AF26/AF130</f>
        <v>3.1889222821574748E-2</v>
      </c>
      <c r="AG139" s="1060">
        <f>AF139</f>
        <v>3.1889222821574748E-2</v>
      </c>
      <c r="AH139" s="1060">
        <f t="shared" ref="AH139:AN142" si="63">AG139</f>
        <v>3.1889222821574748E-2</v>
      </c>
      <c r="AI139" s="1060">
        <f t="shared" si="63"/>
        <v>3.1889222821574748E-2</v>
      </c>
      <c r="AJ139" s="1060">
        <f t="shared" si="63"/>
        <v>3.1889222821574748E-2</v>
      </c>
      <c r="AK139" s="1060">
        <f t="shared" si="63"/>
        <v>3.1889222821574748E-2</v>
      </c>
      <c r="AL139" s="1060">
        <f t="shared" si="63"/>
        <v>3.1889222821574748E-2</v>
      </c>
      <c r="AM139" s="1060">
        <f t="shared" si="63"/>
        <v>3.1889222821574748E-2</v>
      </c>
      <c r="AN139" s="1060">
        <f t="shared" si="63"/>
        <v>3.1889222821574748E-2</v>
      </c>
    </row>
    <row r="140" spans="4:40" x14ac:dyDescent="0.35">
      <c r="D140" s="1064" t="s">
        <v>448</v>
      </c>
      <c r="F140" s="1040">
        <f t="shared" ref="F140:AE140" si="64">F28/F135</f>
        <v>2.2401723209477652E-3</v>
      </c>
      <c r="G140" s="1061">
        <f t="shared" si="64"/>
        <v>2.2053313349748422E-3</v>
      </c>
      <c r="H140" s="1061">
        <f t="shared" si="64"/>
        <v>2.1604417839979767E-3</v>
      </c>
      <c r="I140" s="1061">
        <f t="shared" si="64"/>
        <v>2.106552103438972E-3</v>
      </c>
      <c r="J140" s="1061">
        <f t="shared" si="64"/>
        <v>2.1433013503909027E-3</v>
      </c>
      <c r="K140" s="1061">
        <f t="shared" si="64"/>
        <v>2.1077159349679603E-3</v>
      </c>
      <c r="L140" s="1061">
        <f t="shared" si="64"/>
        <v>2.100133552182202E-3</v>
      </c>
      <c r="M140" s="1061">
        <f t="shared" si="64"/>
        <v>2.1438178159350384E-3</v>
      </c>
      <c r="N140" s="1061">
        <f t="shared" si="64"/>
        <v>2.1608242562344694E-3</v>
      </c>
      <c r="O140" s="1061">
        <f t="shared" si="64"/>
        <v>2.1696742621195903E-3</v>
      </c>
      <c r="P140" s="1061">
        <f t="shared" si="64"/>
        <v>2.1537318975120684E-3</v>
      </c>
      <c r="Q140" s="1061">
        <f t="shared" si="64"/>
        <v>2.1538884560744235E-3</v>
      </c>
      <c r="R140" s="1061">
        <f t="shared" si="64"/>
        <v>2.1337836978925482E-3</v>
      </c>
      <c r="S140" s="1059">
        <f t="shared" si="64"/>
        <v>2.0624944675577588E-3</v>
      </c>
      <c r="T140" s="1059">
        <f t="shared" si="64"/>
        <v>1.98314765195318E-3</v>
      </c>
      <c r="U140" s="1037">
        <f t="shared" si="64"/>
        <v>1.8869893389450252E-3</v>
      </c>
      <c r="V140" s="1037">
        <f t="shared" si="64"/>
        <v>1.8349095835441191E-3</v>
      </c>
      <c r="W140" s="1037">
        <f t="shared" si="64"/>
        <v>1.8554127449988192E-3</v>
      </c>
      <c r="X140" s="1037">
        <f t="shared" si="64"/>
        <v>1.9343166109438965E-3</v>
      </c>
      <c r="Y140" s="1037">
        <f t="shared" si="64"/>
        <v>2.054130445499811E-3</v>
      </c>
      <c r="Z140" s="1037">
        <f t="shared" si="64"/>
        <v>2.1557487985347391E-3</v>
      </c>
      <c r="AA140" s="1037">
        <f t="shared" si="64"/>
        <v>2.2113612691290765E-3</v>
      </c>
      <c r="AB140" s="1037">
        <f t="shared" si="64"/>
        <v>2.2372779521396442E-3</v>
      </c>
      <c r="AC140" s="1037">
        <f t="shared" si="64"/>
        <v>2.2323867805235965E-3</v>
      </c>
      <c r="AD140" s="1037">
        <f t="shared" si="64"/>
        <v>2.2510284871536134E-3</v>
      </c>
      <c r="AE140" s="1037">
        <f t="shared" si="64"/>
        <v>2.2700514801505161E-3</v>
      </c>
      <c r="AF140" s="1037">
        <f t="shared" ref="AF140" si="65">AF28/AF135</f>
        <v>2.3070070580710985E-3</v>
      </c>
      <c r="AG140" s="1060">
        <f>AF140</f>
        <v>2.3070070580710985E-3</v>
      </c>
      <c r="AH140" s="1060">
        <f t="shared" si="63"/>
        <v>2.3070070580710985E-3</v>
      </c>
      <c r="AI140" s="1060">
        <f t="shared" si="63"/>
        <v>2.3070070580710985E-3</v>
      </c>
      <c r="AJ140" s="1060">
        <f t="shared" si="63"/>
        <v>2.3070070580710985E-3</v>
      </c>
      <c r="AK140" s="1060">
        <f t="shared" si="63"/>
        <v>2.3070070580710985E-3</v>
      </c>
      <c r="AL140" s="1060">
        <f t="shared" si="63"/>
        <v>2.3070070580710985E-3</v>
      </c>
      <c r="AM140" s="1060">
        <f t="shared" si="63"/>
        <v>2.3070070580710985E-3</v>
      </c>
      <c r="AN140" s="1060">
        <f t="shared" si="63"/>
        <v>2.3070070580710985E-3</v>
      </c>
    </row>
    <row r="141" spans="4:40" x14ac:dyDescent="0.35">
      <c r="D141" s="1064" t="s">
        <v>449</v>
      </c>
      <c r="F141" s="1040">
        <f t="shared" ref="F141:AE141" si="66">F29/F136</f>
        <v>9.414174918296668E-2</v>
      </c>
      <c r="G141" s="1061">
        <f t="shared" si="66"/>
        <v>9.4636486737282019E-2</v>
      </c>
      <c r="H141" s="1061">
        <f t="shared" si="66"/>
        <v>9.343582069246989E-2</v>
      </c>
      <c r="I141" s="1061">
        <f t="shared" si="66"/>
        <v>9.458667457302232E-2</v>
      </c>
      <c r="J141" s="1061">
        <f t="shared" si="66"/>
        <v>9.761773021154678E-2</v>
      </c>
      <c r="K141" s="1061">
        <f t="shared" si="66"/>
        <v>9.6048124205757229E-2</v>
      </c>
      <c r="L141" s="1061">
        <f t="shared" si="66"/>
        <v>9.5811468630083121E-2</v>
      </c>
      <c r="M141" s="1061">
        <f t="shared" si="66"/>
        <v>9.4425580450201246E-2</v>
      </c>
      <c r="N141" s="1061">
        <f t="shared" si="66"/>
        <v>9.5042302028999964E-2</v>
      </c>
      <c r="O141" s="1061">
        <f t="shared" si="66"/>
        <v>9.3793305536393437E-2</v>
      </c>
      <c r="P141" s="1061">
        <f t="shared" si="66"/>
        <v>9.383883437407077E-2</v>
      </c>
      <c r="Q141" s="1061">
        <f t="shared" si="66"/>
        <v>9.318910723657356E-2</v>
      </c>
      <c r="R141" s="1061">
        <f t="shared" si="66"/>
        <v>9.272659116467688E-2</v>
      </c>
      <c r="S141" s="1059">
        <f t="shared" si="66"/>
        <v>9.2231083490283972E-2</v>
      </c>
      <c r="T141" s="1059">
        <f t="shared" si="66"/>
        <v>9.1097319920050351E-2</v>
      </c>
      <c r="U141" s="1037">
        <f t="shared" si="66"/>
        <v>9.0020014063936823E-2</v>
      </c>
      <c r="V141" s="1037">
        <f t="shared" si="66"/>
        <v>8.9166590881127272E-2</v>
      </c>
      <c r="W141" s="1037">
        <f t="shared" si="66"/>
        <v>8.9126559714795009E-2</v>
      </c>
      <c r="X141" s="1037">
        <f t="shared" si="66"/>
        <v>8.9366669098412774E-2</v>
      </c>
      <c r="Y141" s="1037">
        <f t="shared" si="66"/>
        <v>8.9498966251452913E-2</v>
      </c>
      <c r="Z141" s="1037">
        <f t="shared" si="66"/>
        <v>8.9248384043409387E-2</v>
      </c>
      <c r="AA141" s="1037">
        <f t="shared" si="66"/>
        <v>8.8694540952837353E-2</v>
      </c>
      <c r="AB141" s="1037">
        <f t="shared" si="66"/>
        <v>8.8353078181737779E-2</v>
      </c>
      <c r="AC141" s="1037">
        <f t="shared" si="66"/>
        <v>8.8338603746047184E-2</v>
      </c>
      <c r="AD141" s="1037">
        <f t="shared" si="66"/>
        <v>8.8143762115257887E-2</v>
      </c>
      <c r="AE141" s="1037">
        <f t="shared" si="66"/>
        <v>8.7886998370533181E-2</v>
      </c>
      <c r="AF141" s="1037">
        <f t="shared" ref="AF141" si="67">AF29/AF136</f>
        <v>8.7776390661747861E-2</v>
      </c>
      <c r="AG141" s="1060">
        <f t="shared" ref="AG141" si="68">AF141</f>
        <v>8.7776390661747861E-2</v>
      </c>
      <c r="AH141" s="1060">
        <f t="shared" si="63"/>
        <v>8.7776390661747861E-2</v>
      </c>
      <c r="AI141" s="1060">
        <f t="shared" si="63"/>
        <v>8.7776390661747861E-2</v>
      </c>
      <c r="AJ141" s="1060">
        <f t="shared" si="63"/>
        <v>8.7776390661747861E-2</v>
      </c>
      <c r="AK141" s="1060">
        <f t="shared" si="63"/>
        <v>8.7776390661747861E-2</v>
      </c>
      <c r="AL141" s="1060">
        <f t="shared" si="63"/>
        <v>8.7776390661747861E-2</v>
      </c>
      <c r="AM141" s="1060">
        <f t="shared" si="63"/>
        <v>8.7776390661747861E-2</v>
      </c>
      <c r="AN141" s="1060">
        <f t="shared" si="63"/>
        <v>8.7776390661747861E-2</v>
      </c>
    </row>
    <row r="142" spans="4:40" x14ac:dyDescent="0.35">
      <c r="D142" s="1029" t="s">
        <v>482</v>
      </c>
      <c r="E142" s="468"/>
      <c r="F142" s="1032">
        <f t="shared" ref="F142:AE142" si="69">F30/F137</f>
        <v>4.028324154209284E-2</v>
      </c>
      <c r="G142" s="1033">
        <f t="shared" si="69"/>
        <v>3.7650525887912199E-2</v>
      </c>
      <c r="H142" s="1033">
        <f t="shared" si="69"/>
        <v>3.5093849840255591E-2</v>
      </c>
      <c r="I142" s="1033">
        <f t="shared" si="69"/>
        <v>3.6420992256954401E-2</v>
      </c>
      <c r="J142" s="1033">
        <f t="shared" si="69"/>
        <v>4.0941964018887098E-2</v>
      </c>
      <c r="K142" s="1033">
        <f t="shared" si="69"/>
        <v>3.4995925719432178E-2</v>
      </c>
      <c r="L142" s="1033">
        <f t="shared" si="69"/>
        <v>3.6944300089762371E-2</v>
      </c>
      <c r="M142" s="1033">
        <f t="shared" si="69"/>
        <v>3.3738526420243116E-2</v>
      </c>
      <c r="N142" s="1033">
        <f t="shared" si="69"/>
        <v>3.5935921489392411E-2</v>
      </c>
      <c r="O142" s="1033">
        <f t="shared" si="69"/>
        <v>4.4499604288078275E-2</v>
      </c>
      <c r="P142" s="1033">
        <f t="shared" si="69"/>
        <v>6.1463207145895371E-2</v>
      </c>
      <c r="Q142" s="1033">
        <f t="shared" si="69"/>
        <v>6.6707598959838188E-2</v>
      </c>
      <c r="R142" s="1038">
        <f t="shared" si="69"/>
        <v>5.6074766355140186E-2</v>
      </c>
      <c r="S142" s="1038">
        <f t="shared" si="69"/>
        <v>5.6454297317089411E-2</v>
      </c>
      <c r="T142" s="979">
        <f t="shared" si="69"/>
        <v>6.0657461749838867E-2</v>
      </c>
      <c r="U142" s="1062">
        <f t="shared" si="69"/>
        <v>5.6820780918150633E-2</v>
      </c>
      <c r="V142" s="1062">
        <f t="shared" si="69"/>
        <v>5.575209643605869E-2</v>
      </c>
      <c r="W142" s="1062">
        <f t="shared" si="69"/>
        <v>5.3439472265389615E-2</v>
      </c>
      <c r="X142" s="1062">
        <f t="shared" si="69"/>
        <v>5.2165770555186369E-2</v>
      </c>
      <c r="Y142" s="1062">
        <f t="shared" si="69"/>
        <v>5.3394167334607549E-2</v>
      </c>
      <c r="Z142" s="1062">
        <f t="shared" si="69"/>
        <v>5.1025901776634561E-2</v>
      </c>
      <c r="AA142" s="1062">
        <f t="shared" si="69"/>
        <v>5.0888529886914377E-2</v>
      </c>
      <c r="AB142" s="1062">
        <f t="shared" si="69"/>
        <v>5.0538164727726355E-2</v>
      </c>
      <c r="AC142" s="1062">
        <f t="shared" si="69"/>
        <v>5.3651440209485014E-2</v>
      </c>
      <c r="AD142" s="1062">
        <f t="shared" si="69"/>
        <v>5.2917702851194265E-2</v>
      </c>
      <c r="AE142" s="1062">
        <f t="shared" si="69"/>
        <v>4.6521362989423151E-2</v>
      </c>
      <c r="AF142" s="1060">
        <f>AE142</f>
        <v>4.6521362989423151E-2</v>
      </c>
      <c r="AG142" s="1060">
        <f>AF142</f>
        <v>4.6521362989423151E-2</v>
      </c>
      <c r="AH142" s="1060">
        <f t="shared" si="63"/>
        <v>4.6521362989423151E-2</v>
      </c>
      <c r="AI142" s="1060">
        <f t="shared" si="63"/>
        <v>4.6521362989423151E-2</v>
      </c>
      <c r="AJ142" s="1060">
        <f t="shared" si="63"/>
        <v>4.6521362989423151E-2</v>
      </c>
      <c r="AK142" s="1060">
        <f t="shared" si="63"/>
        <v>4.6521362989423151E-2</v>
      </c>
      <c r="AL142" s="1060">
        <f t="shared" si="63"/>
        <v>4.6521362989423151E-2</v>
      </c>
      <c r="AM142" s="1060">
        <f t="shared" si="63"/>
        <v>4.6521362989423151E-2</v>
      </c>
      <c r="AN142" s="1060">
        <f t="shared" si="63"/>
        <v>4.6521362989423151E-2</v>
      </c>
    </row>
    <row r="146" spans="4:29" x14ac:dyDescent="0.35">
      <c r="D146" s="1514" t="s">
        <v>1655</v>
      </c>
      <c r="E146" s="1514"/>
      <c r="F146" s="1514"/>
      <c r="G146" s="1514"/>
      <c r="H146" s="1514"/>
      <c r="I146" s="1514"/>
      <c r="J146" s="1514"/>
      <c r="K146" s="1514"/>
      <c r="L146" s="1514"/>
      <c r="M146" s="1514"/>
      <c r="N146" s="1514"/>
      <c r="O146" s="1514"/>
      <c r="P146" s="1514"/>
      <c r="Q146" s="1514"/>
      <c r="R146" s="1514"/>
      <c r="S146" s="1514"/>
      <c r="T146" s="1514"/>
      <c r="U146" s="1514"/>
      <c r="V146" s="1514"/>
      <c r="W146" s="1514"/>
      <c r="X146" s="1514"/>
      <c r="Y146" s="1514"/>
      <c r="Z146" s="1514"/>
      <c r="AA146" s="1514"/>
      <c r="AB146" s="1514"/>
      <c r="AC146" s="1514"/>
    </row>
    <row r="147" spans="4:29" x14ac:dyDescent="0.35">
      <c r="D147" s="1012" t="s">
        <v>1649</v>
      </c>
      <c r="E147" s="285"/>
      <c r="F147" s="400"/>
      <c r="G147" s="400"/>
      <c r="H147" s="400"/>
      <c r="I147" s="400"/>
      <c r="J147" s="400"/>
      <c r="K147" s="400"/>
      <c r="L147" s="400"/>
      <c r="M147" s="400"/>
      <c r="N147" s="400"/>
      <c r="O147" s="400"/>
      <c r="P147" s="400"/>
      <c r="Q147" s="400"/>
      <c r="R147" s="400"/>
      <c r="S147" s="1035"/>
      <c r="T147" s="400"/>
      <c r="U147" s="257"/>
      <c r="V147" s="257"/>
      <c r="W147" s="257"/>
      <c r="X147" s="257"/>
      <c r="Y147" s="257"/>
      <c r="Z147" s="257"/>
      <c r="AA147" s="257"/>
      <c r="AB147" s="257"/>
      <c r="AC147" s="254"/>
    </row>
    <row r="148" spans="4:29" x14ac:dyDescent="0.35">
      <c r="D148" s="980" t="s">
        <v>476</v>
      </c>
      <c r="E148" s="981"/>
      <c r="F148" s="982"/>
      <c r="G148" s="982">
        <f>(G130/F130)^4-1</f>
        <v>2.7913001349364253E-2</v>
      </c>
      <c r="H148" s="982">
        <f t="shared" ref="H148:S148" si="70">(H130/G130)^4-1</f>
        <v>4.7056786044947341E-2</v>
      </c>
      <c r="I148" s="982">
        <f t="shared" si="70"/>
        <v>3.8051936788167096E-2</v>
      </c>
      <c r="J148" s="982">
        <f t="shared" si="70"/>
        <v>-0.20739190510676964</v>
      </c>
      <c r="K148" s="982">
        <f t="shared" si="70"/>
        <v>0.2244423790709198</v>
      </c>
      <c r="L148" s="982">
        <f t="shared" si="70"/>
        <v>0.1303389096118206</v>
      </c>
      <c r="M148" s="982">
        <f t="shared" si="70"/>
        <v>5.7194029157374704E-2</v>
      </c>
      <c r="N148" s="982">
        <f t="shared" si="70"/>
        <v>0.16165607755558908</v>
      </c>
      <c r="O148" s="982">
        <f t="shared" si="70"/>
        <v>0.10200057153332942</v>
      </c>
      <c r="P148" s="982">
        <f t="shared" si="70"/>
        <v>9.5233695872873669E-2</v>
      </c>
      <c r="Q148" s="982">
        <f t="shared" si="70"/>
        <v>4.0007303437983976E-2</v>
      </c>
      <c r="R148" s="982">
        <f t="shared" si="70"/>
        <v>5.791958247645268E-2</v>
      </c>
      <c r="S148" s="982">
        <f t="shared" si="70"/>
        <v>0.10637537198937319</v>
      </c>
      <c r="T148" s="983"/>
      <c r="U148" s="247"/>
      <c r="V148" s="247"/>
      <c r="W148" s="247"/>
      <c r="X148" s="247"/>
      <c r="Y148" s="247"/>
      <c r="Z148" s="247"/>
      <c r="AA148" s="247"/>
      <c r="AB148" s="247"/>
      <c r="AC148" s="248"/>
    </row>
    <row r="149" spans="4:29" x14ac:dyDescent="0.35">
      <c r="D149" s="984" t="s">
        <v>750</v>
      </c>
      <c r="E149" s="985"/>
      <c r="F149" s="982"/>
      <c r="G149" s="982">
        <f t="shared" ref="G149:S155" si="71">(G131/F131)^4-1</f>
        <v>2.4344066214849969E-2</v>
      </c>
      <c r="H149" s="982">
        <f t="shared" si="71"/>
        <v>6.4808926543423739E-2</v>
      </c>
      <c r="I149" s="982">
        <f t="shared" si="71"/>
        <v>6.3775927543532784E-2</v>
      </c>
      <c r="J149" s="982">
        <f t="shared" si="71"/>
        <v>-0.23756828092741555</v>
      </c>
      <c r="K149" s="982">
        <f t="shared" si="71"/>
        <v>0.20855857524533361</v>
      </c>
      <c r="L149" s="982">
        <f t="shared" si="71"/>
        <v>0.16497669658506031</v>
      </c>
      <c r="M149" s="982">
        <f t="shared" si="71"/>
        <v>3.3024716454245651E-2</v>
      </c>
      <c r="N149" s="982">
        <f t="shared" si="71"/>
        <v>0.12362397469645003</v>
      </c>
      <c r="O149" s="982">
        <f t="shared" si="71"/>
        <v>0.11509621639666689</v>
      </c>
      <c r="P149" s="982">
        <f t="shared" si="71"/>
        <v>0.12372514482875774</v>
      </c>
      <c r="Q149" s="982">
        <f t="shared" si="71"/>
        <v>5.2430039350033653E-2</v>
      </c>
      <c r="R149" s="982">
        <f t="shared" si="71"/>
        <v>3.8224476617268799E-2</v>
      </c>
      <c r="S149" s="982">
        <f t="shared" si="71"/>
        <v>0.10708925865024077</v>
      </c>
      <c r="T149" s="983"/>
      <c r="U149" s="247"/>
      <c r="V149" s="247"/>
      <c r="W149" s="247"/>
      <c r="X149" s="247"/>
      <c r="Y149" s="247"/>
      <c r="Z149" s="247"/>
      <c r="AA149" s="247"/>
      <c r="AB149" s="247"/>
      <c r="AC149" s="248"/>
    </row>
    <row r="150" spans="4:29" x14ac:dyDescent="0.35">
      <c r="D150" s="984" t="s">
        <v>477</v>
      </c>
      <c r="E150" s="985"/>
      <c r="F150" s="982"/>
      <c r="G150" s="982">
        <f t="shared" si="71"/>
        <v>9.5170520378034862E-2</v>
      </c>
      <c r="H150" s="982">
        <f t="shared" si="71"/>
        <v>3.0386715102811657E-2</v>
      </c>
      <c r="I150" s="982">
        <f t="shared" si="71"/>
        <v>1.7703027313564768E-3</v>
      </c>
      <c r="J150" s="982">
        <f t="shared" si="71"/>
        <v>-0.3356849730909669</v>
      </c>
      <c r="K150" s="982">
        <f t="shared" si="71"/>
        <v>1.0509675199920907</v>
      </c>
      <c r="L150" s="982">
        <f t="shared" si="71"/>
        <v>-8.2213976413022638E-2</v>
      </c>
      <c r="M150" s="982">
        <f t="shared" si="71"/>
        <v>6.2073171040291086E-2</v>
      </c>
      <c r="N150" s="982">
        <f t="shared" si="71"/>
        <v>0.39978839992481441</v>
      </c>
      <c r="O150" s="982">
        <f t="shared" si="71"/>
        <v>4.7331788686077791E-2</v>
      </c>
      <c r="P150" s="982">
        <f t="shared" si="71"/>
        <v>-3.1277292254130451E-2</v>
      </c>
      <c r="Q150" s="982">
        <f t="shared" si="71"/>
        <v>-4.1585772607082738E-2</v>
      </c>
      <c r="R150" s="982">
        <f t="shared" si="71"/>
        <v>2.9737752261594474E-2</v>
      </c>
      <c r="S150" s="982">
        <f t="shared" si="71"/>
        <v>8.843487685029161E-2</v>
      </c>
      <c r="T150" s="983"/>
      <c r="U150" s="247"/>
      <c r="V150" s="247"/>
      <c r="W150" s="247"/>
      <c r="X150" s="247"/>
      <c r="Y150" s="247"/>
      <c r="Z150" s="247"/>
      <c r="AA150" s="247"/>
      <c r="AB150" s="247"/>
      <c r="AC150" s="248"/>
    </row>
    <row r="151" spans="4:29" x14ac:dyDescent="0.35">
      <c r="D151" s="984" t="s">
        <v>478</v>
      </c>
      <c r="E151" s="985"/>
      <c r="F151" s="982"/>
      <c r="G151" s="982">
        <f t="shared" si="71"/>
        <v>4.4060751620176752E-2</v>
      </c>
      <c r="H151" s="982">
        <f t="shared" si="71"/>
        <v>9.6622128532301677E-2</v>
      </c>
      <c r="I151" s="982">
        <f t="shared" si="71"/>
        <v>0.13613467539727431</v>
      </c>
      <c r="J151" s="982">
        <f t="shared" si="71"/>
        <v>3.8954701049413121E-2</v>
      </c>
      <c r="K151" s="982">
        <f t="shared" si="71"/>
        <v>9.1547814973823805E-2</v>
      </c>
      <c r="L151" s="982">
        <f t="shared" si="71"/>
        <v>1.7118776820983284E-2</v>
      </c>
      <c r="M151" s="982">
        <f t="shared" si="71"/>
        <v>-6.8633020493281682E-3</v>
      </c>
      <c r="N151" s="982">
        <f t="shared" si="71"/>
        <v>8.5315940617201047E-2</v>
      </c>
      <c r="O151" s="982">
        <f t="shared" si="71"/>
        <v>6.7078755396489553E-2</v>
      </c>
      <c r="P151" s="982">
        <f t="shared" si="71"/>
        <v>9.1398651624003957E-2</v>
      </c>
      <c r="Q151" s="982">
        <f t="shared" si="71"/>
        <v>9.6842257828838152E-2</v>
      </c>
      <c r="R151" s="982">
        <f t="shared" si="71"/>
        <v>0.22043497653146304</v>
      </c>
      <c r="S151" s="982">
        <f t="shared" si="71"/>
        <v>0.1305363369278012</v>
      </c>
      <c r="T151" s="983"/>
      <c r="U151" s="247"/>
      <c r="V151" s="247"/>
      <c r="W151" s="247"/>
      <c r="X151" s="247"/>
      <c r="Y151" s="247"/>
      <c r="Z151" s="247"/>
      <c r="AA151" s="247"/>
      <c r="AB151" s="247"/>
      <c r="AC151" s="248"/>
    </row>
    <row r="152" spans="4:29" x14ac:dyDescent="0.35">
      <c r="D152" s="984" t="s">
        <v>479</v>
      </c>
      <c r="E152" s="985"/>
      <c r="F152" s="982"/>
      <c r="G152" s="982">
        <f t="shared" si="71"/>
        <v>1.6217856588427448E-3</v>
      </c>
      <c r="H152" s="982">
        <f t="shared" si="71"/>
        <v>-9.8195076585786412E-3</v>
      </c>
      <c r="I152" s="982">
        <f t="shared" si="71"/>
        <v>-4.4183177856190636E-2</v>
      </c>
      <c r="J152" s="982">
        <f t="shared" si="71"/>
        <v>-8.0663409946468811E-2</v>
      </c>
      <c r="K152" s="982">
        <f t="shared" si="71"/>
        <v>-7.805384683529093E-3</v>
      </c>
      <c r="L152" s="982">
        <f t="shared" si="71"/>
        <v>0.18659805306579469</v>
      </c>
      <c r="M152" s="982">
        <f t="shared" si="71"/>
        <v>0.15450079755868118</v>
      </c>
      <c r="N152" s="982">
        <f t="shared" si="71"/>
        <v>0.18216321292460647</v>
      </c>
      <c r="O152" s="982">
        <f t="shared" si="71"/>
        <v>0.10122122504116104</v>
      </c>
      <c r="P152" s="982">
        <f t="shared" si="71"/>
        <v>8.1784043249750082E-2</v>
      </c>
      <c r="Q152" s="982">
        <f t="shared" si="71"/>
        <v>3.3572614427288761E-2</v>
      </c>
      <c r="R152" s="982">
        <f t="shared" si="71"/>
        <v>0.10059234887772717</v>
      </c>
      <c r="S152" s="982">
        <f t="shared" si="71"/>
        <v>0.10778699227577726</v>
      </c>
      <c r="T152" s="983"/>
      <c r="U152" s="247"/>
      <c r="V152" s="247"/>
      <c r="W152" s="247"/>
      <c r="X152" s="247"/>
      <c r="Y152" s="247"/>
      <c r="Z152" s="247"/>
      <c r="AA152" s="247"/>
      <c r="AB152" s="247"/>
      <c r="AC152" s="248"/>
    </row>
    <row r="153" spans="4:29" x14ac:dyDescent="0.35">
      <c r="D153" s="980" t="s">
        <v>466</v>
      </c>
      <c r="E153" s="981"/>
      <c r="F153" s="982"/>
      <c r="G153" s="982">
        <f t="shared" si="71"/>
        <v>2.4344066214849969E-2</v>
      </c>
      <c r="H153" s="982">
        <f t="shared" si="71"/>
        <v>6.4808926543423739E-2</v>
      </c>
      <c r="I153" s="982">
        <f t="shared" si="71"/>
        <v>6.3775927543532784E-2</v>
      </c>
      <c r="J153" s="982">
        <f t="shared" si="71"/>
        <v>-0.23756828092741555</v>
      </c>
      <c r="K153" s="982">
        <f t="shared" si="71"/>
        <v>0.20855857524533361</v>
      </c>
      <c r="L153" s="982">
        <f t="shared" si="71"/>
        <v>0.16497669658506031</v>
      </c>
      <c r="M153" s="982">
        <f t="shared" si="71"/>
        <v>3.3024716454245651E-2</v>
      </c>
      <c r="N153" s="982">
        <f t="shared" si="71"/>
        <v>0.12362397469645003</v>
      </c>
      <c r="O153" s="982">
        <f t="shared" si="71"/>
        <v>0.11509621639666689</v>
      </c>
      <c r="P153" s="982">
        <f t="shared" si="71"/>
        <v>0.12372514482875774</v>
      </c>
      <c r="Q153" s="982">
        <f t="shared" si="71"/>
        <v>5.2430039350033653E-2</v>
      </c>
      <c r="R153" s="982">
        <f t="shared" si="71"/>
        <v>3.8224476617268799E-2</v>
      </c>
      <c r="S153" s="982">
        <f t="shared" si="71"/>
        <v>0.10708925865024077</v>
      </c>
      <c r="T153" s="983"/>
      <c r="U153" s="247"/>
      <c r="V153" s="247"/>
      <c r="W153" s="247"/>
      <c r="X153" s="247"/>
      <c r="Y153" s="247"/>
      <c r="Z153" s="247"/>
      <c r="AA153" s="247"/>
      <c r="AB153" s="247"/>
      <c r="AC153" s="248"/>
    </row>
    <row r="154" spans="4:29" x14ac:dyDescent="0.35">
      <c r="D154" s="980" t="s">
        <v>467</v>
      </c>
      <c r="E154" s="985"/>
      <c r="F154" s="982"/>
      <c r="G154" s="982">
        <f t="shared" si="71"/>
        <v>5.6225503215933115E-2</v>
      </c>
      <c r="H154" s="982">
        <f t="shared" si="71"/>
        <v>4.2649929393125507E-2</v>
      </c>
      <c r="I154" s="982">
        <f t="shared" si="71"/>
        <v>-5.2769102927969436E-2</v>
      </c>
      <c r="J154" s="982">
        <f t="shared" si="71"/>
        <v>-0.31518953937074856</v>
      </c>
      <c r="K154" s="982">
        <f t="shared" si="71"/>
        <v>0.45065626029776107</v>
      </c>
      <c r="L154" s="982">
        <f t="shared" si="71"/>
        <v>7.6877388443889805E-2</v>
      </c>
      <c r="M154" s="982">
        <f t="shared" si="71"/>
        <v>0.14432627928306685</v>
      </c>
      <c r="N154" s="982">
        <f t="shared" si="71"/>
        <v>0.2183710840574129</v>
      </c>
      <c r="O154" s="982">
        <f t="shared" si="71"/>
        <v>9.1078117112424195E-2</v>
      </c>
      <c r="P154" s="982">
        <f t="shared" si="71"/>
        <v>0.11034428128211049</v>
      </c>
      <c r="Q154" s="982">
        <f t="shared" si="71"/>
        <v>8.1851657477481465E-2</v>
      </c>
      <c r="R154" s="982">
        <f t="shared" si="71"/>
        <v>0.11108373349601819</v>
      </c>
      <c r="S154" s="982">
        <f t="shared" si="71"/>
        <v>6.669526070653653E-2</v>
      </c>
      <c r="T154" s="983"/>
      <c r="U154" s="247"/>
      <c r="V154" s="247"/>
      <c r="W154" s="247"/>
      <c r="X154" s="247"/>
      <c r="Y154" s="247"/>
      <c r="Z154" s="247"/>
      <c r="AA154" s="247"/>
      <c r="AB154" s="247"/>
      <c r="AC154" s="248"/>
    </row>
    <row r="155" spans="4:29" x14ac:dyDescent="0.35">
      <c r="D155" s="986" t="s">
        <v>480</v>
      </c>
      <c r="E155" s="1009"/>
      <c r="F155" s="1010"/>
      <c r="G155" s="1010">
        <f t="shared" si="71"/>
        <v>0.13564189817892713</v>
      </c>
      <c r="H155" s="1010">
        <f t="shared" si="71"/>
        <v>7.3269037673770798E-2</v>
      </c>
      <c r="I155" s="1010">
        <f t="shared" si="71"/>
        <v>-0.42616033971107714</v>
      </c>
      <c r="J155" s="1010">
        <f t="shared" si="71"/>
        <v>-0.1519923111645074</v>
      </c>
      <c r="K155" s="1010">
        <f t="shared" si="71"/>
        <v>2.7722728159712235</v>
      </c>
      <c r="L155" s="1010">
        <f t="shared" si="71"/>
        <v>-0.3208799565110998</v>
      </c>
      <c r="M155" s="1010">
        <f t="shared" si="71"/>
        <v>0.70458614812577447</v>
      </c>
      <c r="N155" s="1010">
        <f t="shared" si="71"/>
        <v>0.72451118896038591</v>
      </c>
      <c r="O155" s="1010">
        <f t="shared" si="71"/>
        <v>1.1886942360848751E-2</v>
      </c>
      <c r="P155" s="1010">
        <f t="shared" si="71"/>
        <v>6.0916730790548046E-2</v>
      </c>
      <c r="Q155" s="1010">
        <f t="shared" si="71"/>
        <v>-7.2250253285111588E-2</v>
      </c>
      <c r="R155" s="1010">
        <f t="shared" si="71"/>
        <v>0.25710344596791712</v>
      </c>
      <c r="S155" s="1010">
        <f t="shared" si="71"/>
        <v>0.10249849452981286</v>
      </c>
      <c r="T155" s="1011"/>
      <c r="U155" s="270"/>
      <c r="V155" s="270"/>
      <c r="W155" s="270"/>
      <c r="X155" s="270"/>
      <c r="Y155" s="270"/>
      <c r="Z155" s="270"/>
      <c r="AA155" s="270"/>
      <c r="AB155" s="270"/>
      <c r="AC155" s="276"/>
    </row>
    <row r="158" spans="4:29" ht="14.9" customHeight="1" x14ac:dyDescent="0.35"/>
  </sheetData>
  <mergeCells count="44">
    <mergeCell ref="AG6:AJ6"/>
    <mergeCell ref="AK6:AN6"/>
    <mergeCell ref="Y6:AB6"/>
    <mergeCell ref="AG5:AN5"/>
    <mergeCell ref="D1:AC1"/>
    <mergeCell ref="D5:E7"/>
    <mergeCell ref="F5:AB5"/>
    <mergeCell ref="F6:H6"/>
    <mergeCell ref="I6:L6"/>
    <mergeCell ref="M6:P6"/>
    <mergeCell ref="Q6:T6"/>
    <mergeCell ref="U6:X6"/>
    <mergeCell ref="AC6:AF6"/>
    <mergeCell ref="D36:F36"/>
    <mergeCell ref="F48:V48"/>
    <mergeCell ref="W48:AH48"/>
    <mergeCell ref="AG49:AJ49"/>
    <mergeCell ref="O77:V77"/>
    <mergeCell ref="AC49:AF49"/>
    <mergeCell ref="F49:H49"/>
    <mergeCell ref="I49:L49"/>
    <mergeCell ref="M49:P49"/>
    <mergeCell ref="Q49:T49"/>
    <mergeCell ref="Y49:AB49"/>
    <mergeCell ref="P78:S78"/>
    <mergeCell ref="D110:E111"/>
    <mergeCell ref="F110:H110"/>
    <mergeCell ref="I110:L110"/>
    <mergeCell ref="M110:P110"/>
    <mergeCell ref="Q110:T110"/>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03" t="s">
        <v>430</v>
      </c>
      <c r="C1" s="1503"/>
      <c r="D1" s="1503"/>
      <c r="E1" s="1503"/>
      <c r="F1" s="1503"/>
      <c r="G1" s="1503"/>
      <c r="H1" s="1503"/>
      <c r="I1" s="1503"/>
      <c r="J1" s="1503"/>
      <c r="K1" s="1503"/>
      <c r="L1" s="1503"/>
      <c r="M1" s="1503"/>
      <c r="N1" s="1503"/>
      <c r="O1" s="1503"/>
      <c r="P1" s="1503"/>
      <c r="Q1" s="1503"/>
      <c r="R1" s="1503"/>
      <c r="S1" s="1503"/>
      <c r="T1" s="1503"/>
      <c r="U1" s="1503"/>
      <c r="V1" s="1503"/>
      <c r="W1" s="1503"/>
      <c r="X1" s="1503"/>
      <c r="Y1" s="1503"/>
      <c r="Z1" s="1503"/>
      <c r="AA1" s="1503"/>
      <c r="AB1" s="1503"/>
      <c r="AC1" s="1503"/>
    </row>
    <row r="2" spans="1:29" ht="34.5" hidden="1" customHeight="1" outlineLevel="1" x14ac:dyDescent="0.35">
      <c r="B2" s="1435" t="s">
        <v>819</v>
      </c>
      <c r="C2" s="1416"/>
      <c r="D2" s="1416"/>
      <c r="E2" s="1416"/>
      <c r="F2" s="1416"/>
      <c r="G2" s="1416"/>
      <c r="H2" s="1416"/>
      <c r="I2" s="1416"/>
      <c r="J2" s="1416"/>
      <c r="K2" s="1416"/>
      <c r="L2" s="1416"/>
      <c r="M2" s="1416"/>
      <c r="N2" s="1416"/>
      <c r="O2" s="1416"/>
      <c r="P2" s="1416"/>
      <c r="Q2" s="1416"/>
      <c r="R2" s="1416"/>
      <c r="S2" s="1416"/>
      <c r="T2" s="1416"/>
      <c r="U2" s="1416"/>
      <c r="V2" s="1416"/>
      <c r="W2" s="1416"/>
      <c r="X2" s="1416"/>
      <c r="Y2" s="1416"/>
      <c r="Z2" s="1416"/>
      <c r="AA2" s="1416"/>
      <c r="AB2" s="1416"/>
      <c r="AC2" s="1416"/>
    </row>
    <row r="3" spans="1:29" ht="3" hidden="1" customHeight="1" outlineLevel="1" x14ac:dyDescent="0.35">
      <c r="B3" s="1416"/>
      <c r="C3" s="1416"/>
      <c r="D3" s="1416"/>
      <c r="E3" s="1416"/>
      <c r="F3" s="1416"/>
      <c r="G3" s="1416"/>
      <c r="H3" s="1416"/>
      <c r="I3" s="1416"/>
      <c r="J3" s="1416"/>
      <c r="K3" s="1416"/>
      <c r="L3" s="1416"/>
      <c r="M3" s="1416"/>
      <c r="N3" s="1416"/>
      <c r="O3" s="1416"/>
      <c r="P3" s="1416"/>
      <c r="Q3" s="1416"/>
      <c r="R3" s="1416"/>
      <c r="S3" s="1416"/>
      <c r="T3" s="1416"/>
      <c r="U3" s="1416"/>
      <c r="V3" s="1416"/>
      <c r="W3" s="1416"/>
      <c r="X3" s="1416"/>
      <c r="Y3" s="1416"/>
      <c r="Z3" s="1416"/>
      <c r="AA3" s="1416"/>
      <c r="AB3" s="1416"/>
      <c r="AC3" s="1416"/>
    </row>
    <row r="4" spans="1:29" ht="10.4" hidden="1" customHeight="1" outlineLevel="1" x14ac:dyDescent="0.35">
      <c r="B4" s="1416"/>
      <c r="C4" s="1416"/>
      <c r="D4" s="1416"/>
      <c r="E4" s="1416"/>
      <c r="F4" s="1416"/>
      <c r="G4" s="1416"/>
      <c r="H4" s="1416"/>
      <c r="I4" s="1416"/>
      <c r="J4" s="1416"/>
      <c r="K4" s="1416"/>
      <c r="L4" s="1416"/>
      <c r="M4" s="1416"/>
      <c r="N4" s="1416"/>
      <c r="O4" s="1416"/>
      <c r="P4" s="1416"/>
      <c r="Q4" s="1416"/>
      <c r="R4" s="1416"/>
      <c r="S4" s="1416"/>
      <c r="T4" s="1416"/>
      <c r="U4" s="1416"/>
      <c r="V4" s="1416"/>
      <c r="W4" s="1416"/>
      <c r="X4" s="1416"/>
      <c r="Y4" s="1416"/>
      <c r="Z4" s="1416"/>
      <c r="AA4" s="1416"/>
      <c r="AB4" s="1416"/>
      <c r="AC4" s="1416"/>
    </row>
    <row r="5" spans="1:29" ht="14.25" hidden="1" customHeight="1" outlineLevel="1" x14ac:dyDescent="0.35">
      <c r="B5" s="1416"/>
      <c r="C5" s="1416"/>
      <c r="D5" s="1416"/>
      <c r="E5" s="1416"/>
      <c r="F5" s="1416"/>
      <c r="G5" s="1416"/>
      <c r="H5" s="1416"/>
      <c r="I5" s="1416"/>
      <c r="J5" s="1416"/>
      <c r="K5" s="1416"/>
      <c r="L5" s="1416"/>
      <c r="M5" s="1416"/>
      <c r="N5" s="1416"/>
      <c r="O5" s="1416"/>
      <c r="P5" s="1416"/>
      <c r="Q5" s="1416"/>
      <c r="R5" s="1416"/>
      <c r="S5" s="1416"/>
      <c r="T5" s="1416"/>
      <c r="U5" s="1416"/>
      <c r="V5" s="1416"/>
      <c r="W5" s="1416"/>
      <c r="X5" s="1416"/>
      <c r="Y5" s="1416"/>
      <c r="Z5" s="1416"/>
      <c r="AA5" s="1416"/>
      <c r="AB5" s="1416"/>
      <c r="AC5" s="1416"/>
    </row>
    <row r="6" spans="1:29" ht="14.25" hidden="1" customHeight="1" outlineLevel="1" x14ac:dyDescent="0.35">
      <c r="B6" s="1416"/>
      <c r="C6" s="1416"/>
      <c r="D6" s="1416"/>
      <c r="E6" s="1416"/>
      <c r="F6" s="1416"/>
      <c r="G6" s="1416"/>
      <c r="H6" s="1416"/>
      <c r="I6" s="1416"/>
      <c r="J6" s="1416"/>
      <c r="K6" s="1416"/>
      <c r="L6" s="1416"/>
      <c r="M6" s="1416"/>
      <c r="N6" s="1416"/>
      <c r="O6" s="1416"/>
      <c r="P6" s="1416"/>
      <c r="Q6" s="1416"/>
      <c r="R6" s="1416"/>
      <c r="S6" s="1416"/>
      <c r="T6" s="1416"/>
      <c r="U6" s="1416"/>
      <c r="V6" s="1416"/>
      <c r="W6" s="1416"/>
      <c r="X6" s="1416"/>
      <c r="Y6" s="1416"/>
      <c r="Z6" s="1416"/>
      <c r="AA6" s="1416"/>
      <c r="AB6" s="1416"/>
      <c r="AC6" s="1416"/>
    </row>
    <row r="7" spans="1:29" x14ac:dyDescent="0.35">
      <c r="B7" s="853"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41" t="s">
        <v>270</v>
      </c>
      <c r="C8" s="842"/>
      <c r="D8" s="1097" t="s">
        <v>246</v>
      </c>
      <c r="E8" s="1098"/>
      <c r="F8" s="1098"/>
      <c r="G8" s="1098"/>
      <c r="H8" s="1098"/>
      <c r="I8" s="1098"/>
      <c r="J8" s="1098"/>
      <c r="K8" s="1098"/>
      <c r="L8" s="1098"/>
      <c r="M8" s="1098"/>
      <c r="N8" s="1098"/>
      <c r="O8" s="1098"/>
      <c r="P8" s="1466"/>
      <c r="Q8" s="1466"/>
      <c r="R8" s="1466"/>
      <c r="S8" s="1466"/>
      <c r="T8" s="1466"/>
      <c r="U8" s="1466"/>
      <c r="V8" s="1422"/>
      <c r="W8" s="1441" t="s">
        <v>247</v>
      </c>
      <c r="X8" s="1442"/>
      <c r="Y8" s="1442"/>
      <c r="Z8" s="1442"/>
      <c r="AA8" s="1442"/>
      <c r="AB8" s="1442"/>
      <c r="AC8" s="1443"/>
    </row>
    <row r="9" spans="1:29" ht="14.9" customHeight="1" x14ac:dyDescent="0.35">
      <c r="B9" s="843"/>
      <c r="C9" s="844"/>
      <c r="D9" s="249">
        <v>2018</v>
      </c>
      <c r="E9" s="1403">
        <v>2019</v>
      </c>
      <c r="F9" s="1413"/>
      <c r="G9" s="1413"/>
      <c r="H9" s="1405"/>
      <c r="I9" s="1403">
        <v>2020</v>
      </c>
      <c r="J9" s="1413"/>
      <c r="K9" s="1413"/>
      <c r="L9" s="1413"/>
      <c r="M9" s="1403">
        <v>2021</v>
      </c>
      <c r="N9" s="1413"/>
      <c r="O9" s="1413"/>
      <c r="P9" s="1413"/>
      <c r="Q9" s="1403">
        <v>2022</v>
      </c>
      <c r="R9" s="1404"/>
      <c r="S9" s="1404"/>
      <c r="T9" s="1405"/>
      <c r="U9" s="277"/>
      <c r="V9" s="277">
        <v>2023</v>
      </c>
      <c r="W9" s="760"/>
      <c r="X9" s="431"/>
      <c r="Y9" s="1410">
        <v>2024</v>
      </c>
      <c r="Z9" s="1411"/>
      <c r="AA9" s="1411"/>
      <c r="AB9" s="1412"/>
      <c r="AC9" s="408">
        <v>2025</v>
      </c>
    </row>
    <row r="10" spans="1:29" x14ac:dyDescent="0.35">
      <c r="B10" s="843"/>
      <c r="C10" s="844"/>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01" t="s">
        <v>431</v>
      </c>
      <c r="C11" s="1508"/>
      <c r="D11" s="794"/>
      <c r="E11" s="795"/>
      <c r="F11" s="795"/>
      <c r="G11" s="795"/>
      <c r="H11" s="422"/>
      <c r="I11" s="422"/>
      <c r="J11" s="422"/>
      <c r="K11" s="422"/>
      <c r="L11" s="422"/>
      <c r="M11" s="703"/>
      <c r="N11" s="703"/>
      <c r="O11" s="703"/>
      <c r="P11" s="422"/>
      <c r="Q11" s="422"/>
      <c r="R11" s="422"/>
      <c r="S11" s="422"/>
      <c r="T11" s="400"/>
      <c r="U11" s="422"/>
      <c r="V11" s="422"/>
      <c r="W11" s="253"/>
      <c r="X11" s="253"/>
      <c r="Y11" s="253"/>
      <c r="Z11" s="253"/>
      <c r="AA11" s="253"/>
      <c r="AB11" s="253"/>
      <c r="AC11" s="254"/>
    </row>
    <row r="12" spans="1:29" ht="17.149999999999999" customHeight="1" x14ac:dyDescent="0.35">
      <c r="A12" t="s">
        <v>1800</v>
      </c>
      <c r="B12" s="1079" t="s">
        <v>432</v>
      </c>
      <c r="C12" s="268" t="s">
        <v>433</v>
      </c>
      <c r="D12" s="719">
        <f>'Haver Pivoted'!GO31</f>
        <v>2223</v>
      </c>
      <c r="E12" s="620">
        <f>'Haver Pivoted'!GP31</f>
        <v>2303.8000000000002</v>
      </c>
      <c r="F12" s="620">
        <f>'Haver Pivoted'!GQ31</f>
        <v>2321.6999999999998</v>
      </c>
      <c r="G12" s="620">
        <f>'Haver Pivoted'!GR31</f>
        <v>2337.1</v>
      </c>
      <c r="H12" s="620">
        <f>'Haver Pivoted'!GS31</f>
        <v>2349.5</v>
      </c>
      <c r="I12" s="620">
        <f>'Haver Pivoted'!GT31</f>
        <v>2417</v>
      </c>
      <c r="J12" s="620">
        <f>'Haver Pivoted'!GU31</f>
        <v>4659.2</v>
      </c>
      <c r="K12" s="620">
        <f>'Haver Pivoted'!GV31</f>
        <v>3514.2</v>
      </c>
      <c r="L12" s="620">
        <f>'Haver Pivoted'!GW31</f>
        <v>2896.7</v>
      </c>
      <c r="M12" s="620">
        <f>'Haver Pivoted'!GX31</f>
        <v>5152.8</v>
      </c>
      <c r="N12" s="620">
        <f>'Haver Pivoted'!GY31</f>
        <v>3403.1</v>
      </c>
      <c r="O12" s="620">
        <f>'Haver Pivoted'!GZ31</f>
        <v>3121.9</v>
      </c>
      <c r="P12" s="620">
        <f>'Haver Pivoted'!HA31</f>
        <v>2958.3</v>
      </c>
      <c r="Q12" s="620">
        <f>'Haver Pivoted'!HB31</f>
        <v>2978.4</v>
      </c>
      <c r="R12" s="620">
        <f>'Haver Pivoted'!HC31</f>
        <v>2983.3</v>
      </c>
      <c r="S12" s="796">
        <f>'Haver Pivoted'!HD31</f>
        <v>2976.9</v>
      </c>
      <c r="T12" s="796">
        <f>'Haver Pivoted'!HE31</f>
        <v>3033.2</v>
      </c>
      <c r="U12" s="796">
        <f>'Haver Pivoted'!HF31</f>
        <v>3055.3</v>
      </c>
      <c r="V12" s="796">
        <f>'Haver Pivoted'!HG31</f>
        <v>3066.9</v>
      </c>
      <c r="W12" s="725">
        <f t="shared" ref="W12:AC12" si="0">SUM(W14:W39)-W38</f>
        <v>3255.5779999999995</v>
      </c>
      <c r="X12" s="725">
        <f t="shared" si="0"/>
        <v>3276.5948571428576</v>
      </c>
      <c r="Y12" s="725">
        <f t="shared" si="0"/>
        <v>3341.4180078428576</v>
      </c>
      <c r="Z12" s="725">
        <f t="shared" si="0"/>
        <v>3367.8180078428577</v>
      </c>
      <c r="AA12" s="725">
        <f t="shared" si="0"/>
        <v>3399.1180078428579</v>
      </c>
      <c r="AB12" s="725">
        <f t="shared" si="0"/>
        <v>3433.2720078428579</v>
      </c>
      <c r="AC12" s="1071">
        <f t="shared" si="0"/>
        <v>3501.7053503188577</v>
      </c>
    </row>
    <row r="13" spans="1:29" ht="15.65" customHeight="1" x14ac:dyDescent="0.35">
      <c r="A13" t="s">
        <v>1800</v>
      </c>
      <c r="B13" s="1078" t="s">
        <v>763</v>
      </c>
      <c r="C13" s="268" t="s">
        <v>790</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25">
        <v>34</v>
      </c>
      <c r="V13" s="620">
        <v>34</v>
      </c>
      <c r="W13" s="725">
        <v>34</v>
      </c>
      <c r="X13" s="725">
        <v>34</v>
      </c>
      <c r="Y13" s="725">
        <v>34</v>
      </c>
      <c r="Z13" s="725">
        <v>34</v>
      </c>
      <c r="AA13" s="725">
        <v>34</v>
      </c>
      <c r="AB13" s="725">
        <v>34</v>
      </c>
      <c r="AC13" s="1071">
        <v>34</v>
      </c>
    </row>
    <row r="14" spans="1:29" ht="15" customHeight="1" x14ac:dyDescent="0.35">
      <c r="A14" t="s">
        <v>1797</v>
      </c>
      <c r="B14" s="856" t="s">
        <v>1789</v>
      </c>
      <c r="C14" s="268"/>
      <c r="D14" s="719">
        <f>'Unemployment Insurance'!D21+'Unemployment Insurance'!D20</f>
        <v>27.1</v>
      </c>
      <c r="E14" s="620">
        <f>'Unemployment Insurance'!E21+'Unemployment Insurance'!E20</f>
        <v>29.6</v>
      </c>
      <c r="F14" s="620">
        <f>'Unemployment Insurance'!F21+'Unemployment Insurance'!F20</f>
        <v>27.3</v>
      </c>
      <c r="G14" s="620">
        <f>'Unemployment Insurance'!G21+'Unemployment Insurance'!G20</f>
        <v>26.4</v>
      </c>
      <c r="H14" s="620">
        <f>'Unemployment Insurance'!H21+'Unemployment Insurance'!H20</f>
        <v>26.7</v>
      </c>
      <c r="I14" s="620">
        <f>'Unemployment Insurance'!I21+'Unemployment Insurance'!I20</f>
        <v>39.200000000000003</v>
      </c>
      <c r="J14" s="620">
        <f>'Unemployment Insurance'!J21+'Unemployment Insurance'!J20</f>
        <v>949.8</v>
      </c>
      <c r="K14" s="620">
        <f>'Unemployment Insurance'!K21+'Unemployment Insurance'!K20</f>
        <v>801</v>
      </c>
      <c r="L14" s="620">
        <f>'Unemployment Insurance'!L21+'Unemployment Insurance'!L20</f>
        <v>322</v>
      </c>
      <c r="M14" s="620">
        <f>'Unemployment Insurance'!M21+'Unemployment Insurance'!M20</f>
        <v>588.5</v>
      </c>
      <c r="N14" s="620">
        <f>'Unemployment Insurance'!N21+'Unemployment Insurance'!N20</f>
        <v>437.5</v>
      </c>
      <c r="O14" s="620">
        <f>'Unemployment Insurance'!O21+'Unemployment Insurance'!O20</f>
        <v>203</v>
      </c>
      <c r="P14" s="620">
        <f>'Unemployment Insurance'!P21+'Unemployment Insurance'!P20</f>
        <v>30.7</v>
      </c>
      <c r="Q14" s="620">
        <f>'Unemployment Insurance'!Q21+'Unemployment Insurance'!Q20</f>
        <v>24.4</v>
      </c>
      <c r="R14" s="620">
        <f>'Unemployment Insurance'!R21+'Unemployment Insurance'!R20</f>
        <v>21.8</v>
      </c>
      <c r="S14" s="620">
        <f>'Unemployment Insurance'!S21+'Unemployment Insurance'!S20</f>
        <v>23.2</v>
      </c>
      <c r="T14" s="620">
        <f>'Unemployment Insurance'!T21+'Unemployment Insurance'!T20</f>
        <v>25.8</v>
      </c>
      <c r="U14" s="620">
        <f>'Unemployment Insurance'!U21+'Unemployment Insurance'!U20</f>
        <v>30</v>
      </c>
      <c r="V14" s="1075">
        <f>V15+V16</f>
        <v>30.857142857142858</v>
      </c>
      <c r="W14" s="725">
        <f>'Unemployment Insurance'!W21+'Unemployment Insurance'!W20</f>
        <v>30.857142857142858</v>
      </c>
      <c r="X14" s="725">
        <f>'Unemployment Insurance'!X21+'Unemployment Insurance'!X20</f>
        <v>35.5</v>
      </c>
      <c r="Y14" s="725">
        <f>'Unemployment Insurance'!Y21+'Unemployment Insurance'!Y20</f>
        <v>35.5</v>
      </c>
      <c r="Z14" s="725">
        <f>'Unemployment Insurance'!Z21+'Unemployment Insurance'!Z20</f>
        <v>36.1</v>
      </c>
      <c r="AA14" s="725">
        <f>'Unemployment Insurance'!AA21+'Unemployment Insurance'!AA20</f>
        <v>37</v>
      </c>
      <c r="AB14" s="725">
        <f>'Unemployment Insurance'!AB21+'Unemployment Insurance'!AB20</f>
        <v>37.299999999999997</v>
      </c>
      <c r="AC14" s="1071">
        <f>'Unemployment Insurance'!AC21+'Unemployment Insurance'!AC20</f>
        <v>37.1</v>
      </c>
    </row>
    <row r="15" spans="1:29" x14ac:dyDescent="0.35">
      <c r="B15" s="521" t="s">
        <v>191</v>
      </c>
      <c r="C15" s="268"/>
      <c r="D15" s="719"/>
      <c r="E15" s="620"/>
      <c r="F15" s="620"/>
      <c r="G15" s="620"/>
      <c r="H15" s="620"/>
      <c r="I15" s="620"/>
      <c r="J15" s="620"/>
      <c r="K15" s="620"/>
      <c r="L15" s="620"/>
      <c r="M15" s="620"/>
      <c r="N15" s="620"/>
      <c r="O15" s="620"/>
      <c r="P15" s="620"/>
      <c r="Q15" s="620"/>
      <c r="R15" s="620"/>
      <c r="S15" s="620"/>
      <c r="T15" s="620"/>
      <c r="U15" s="620"/>
      <c r="V15" s="620">
        <f>'Unemployment Insurance'!V20</f>
        <v>0</v>
      </c>
      <c r="W15" s="725"/>
      <c r="X15" s="725"/>
      <c r="Y15" s="725"/>
      <c r="Z15" s="725"/>
      <c r="AA15" s="725"/>
      <c r="AB15" s="725"/>
      <c r="AC15" s="1071"/>
    </row>
    <row r="16" spans="1:29" x14ac:dyDescent="0.35">
      <c r="B16" s="521" t="s">
        <v>193</v>
      </c>
      <c r="C16" s="268"/>
      <c r="D16" s="719"/>
      <c r="E16" s="620"/>
      <c r="F16" s="620"/>
      <c r="G16" s="620"/>
      <c r="H16" s="620"/>
      <c r="I16" s="620"/>
      <c r="J16" s="620"/>
      <c r="K16" s="620"/>
      <c r="L16" s="620"/>
      <c r="M16" s="620"/>
      <c r="N16" s="620"/>
      <c r="O16" s="620"/>
      <c r="P16" s="620"/>
      <c r="Q16" s="620"/>
      <c r="R16" s="620"/>
      <c r="S16" s="620"/>
      <c r="T16" s="620"/>
      <c r="U16" s="620"/>
      <c r="V16" s="620">
        <f>'Unemployment Insurance'!V21</f>
        <v>30.857142857142858</v>
      </c>
      <c r="W16" s="725"/>
      <c r="X16" s="725"/>
      <c r="Y16" s="725"/>
      <c r="Z16" s="725"/>
      <c r="AA16" s="725"/>
      <c r="AB16" s="725"/>
      <c r="AC16" s="1071"/>
    </row>
    <row r="17" spans="1:101" ht="17.899999999999999" customHeight="1" x14ac:dyDescent="0.35">
      <c r="A17" t="s">
        <v>1797</v>
      </c>
      <c r="B17" s="856" t="s">
        <v>46</v>
      </c>
      <c r="C17" s="268"/>
      <c r="D17" s="719">
        <f>Medicare!D10</f>
        <v>755</v>
      </c>
      <c r="E17" s="620">
        <f>Medicare!E10</f>
        <v>773.5</v>
      </c>
      <c r="F17" s="620">
        <f>Medicare!F10</f>
        <v>788.5</v>
      </c>
      <c r="G17" s="620">
        <f>Medicare!G10</f>
        <v>798</v>
      </c>
      <c r="H17" s="620">
        <f>Medicare!H10</f>
        <v>802</v>
      </c>
      <c r="I17" s="620">
        <f>Medicare!I10</f>
        <v>805.1</v>
      </c>
      <c r="J17" s="620">
        <f>Medicare!J10</f>
        <v>821</v>
      </c>
      <c r="K17" s="620">
        <f>Medicare!K10</f>
        <v>835.4</v>
      </c>
      <c r="L17" s="620">
        <f>Medicare!L10</f>
        <v>848.1</v>
      </c>
      <c r="M17" s="620">
        <f>Medicare!M10</f>
        <v>863.4</v>
      </c>
      <c r="N17" s="620">
        <f>Medicare!N10</f>
        <v>878.9</v>
      </c>
      <c r="O17" s="620">
        <f>Medicare!O10</f>
        <v>894</v>
      </c>
      <c r="P17" s="620">
        <f>Medicare!P10</f>
        <v>908.8</v>
      </c>
      <c r="Q17" s="620">
        <f>Medicare!Q10</f>
        <v>923.7</v>
      </c>
      <c r="R17" s="620">
        <f>Medicare!R10</f>
        <v>933</v>
      </c>
      <c r="S17" s="620">
        <f>Medicare!S10</f>
        <v>945</v>
      </c>
      <c r="T17" s="620">
        <f>Medicare!T10</f>
        <v>968</v>
      </c>
      <c r="U17" s="620">
        <f>Medicare!U10</f>
        <v>993.1</v>
      </c>
      <c r="V17" s="1075">
        <f>Medicare!V10</f>
        <v>1016.2</v>
      </c>
      <c r="W17" s="725">
        <f>Medicare!W10</f>
        <v>1036.4000000000001</v>
      </c>
      <c r="X17" s="725">
        <f>Medicare!X10</f>
        <v>1053.5999999999999</v>
      </c>
      <c r="Y17" s="725">
        <f>Medicare!Y10</f>
        <v>1069.0999999999999</v>
      </c>
      <c r="Z17" s="725">
        <f>Medicare!Z10</f>
        <v>1088.2</v>
      </c>
      <c r="AA17" s="725">
        <f>Medicare!AA10</f>
        <v>1111.9000000000001</v>
      </c>
      <c r="AB17" s="725">
        <f>Medicare!AB10</f>
        <v>1140.3</v>
      </c>
      <c r="AC17" s="1071">
        <f>Medicare!AC10</f>
        <v>1172.5999999999999</v>
      </c>
    </row>
    <row r="18" spans="1:101" ht="18" customHeight="1" x14ac:dyDescent="0.35">
      <c r="A18" t="s">
        <v>1797</v>
      </c>
      <c r="B18" s="832" t="s">
        <v>434</v>
      </c>
      <c r="C18" s="268"/>
      <c r="D18" s="719"/>
      <c r="E18" s="620"/>
      <c r="F18" s="620"/>
      <c r="G18" s="620"/>
      <c r="H18" s="620">
        <f>'Rebate Checks (expired)'!H10 +'Rebate Checks (expired)'!H11</f>
        <v>0</v>
      </c>
      <c r="I18" s="620">
        <f>'Rebate Checks (expired)'!I10 +'Rebate Checks (expired)'!I11</f>
        <v>0</v>
      </c>
      <c r="J18" s="620">
        <f>'Rebate Checks (expired)'!J10 +'Rebate Checks (expired)'!J11</f>
        <v>1078.0999999999999</v>
      </c>
      <c r="K18" s="620">
        <f>'Rebate Checks (expired)'!K10 +'Rebate Checks (expired)'!K11</f>
        <v>15.6</v>
      </c>
      <c r="L18" s="620">
        <f>'Rebate Checks (expired)'!L10 +'Rebate Checks (expired)'!L11</f>
        <v>5</v>
      </c>
      <c r="M18" s="620">
        <f>'Rebate Checks (expired)'!M10 +'Rebate Checks (expired)'!M11</f>
        <v>1933.6999999999998</v>
      </c>
      <c r="N18" s="620">
        <f>'Rebate Checks (expired)'!N10 +'Rebate Checks (expired)'!N11</f>
        <v>290.10000000000002</v>
      </c>
      <c r="O18" s="620">
        <f>'Rebate Checks (expired)'!O10 +'Rebate Checks (expired)'!O11</f>
        <v>38.9</v>
      </c>
      <c r="P18" s="620">
        <f>'Rebate Checks (expired)'!P10 +'Rebate Checks (expired)'!P11</f>
        <v>14.2</v>
      </c>
      <c r="Q18" s="620">
        <f>'Rebate Checks (expired)'!Q10 +'Rebate Checks (expired)'!Q11</f>
        <v>0</v>
      </c>
      <c r="R18" s="620">
        <f>'Rebate Checks (expired)'!Q10 +'Rebate Checks (expired)'!R11</f>
        <v>0</v>
      </c>
      <c r="S18" s="620">
        <f>'Rebate Checks (expired)'!S10 +'Rebate Checks (expired)'!S11</f>
        <v>0</v>
      </c>
      <c r="T18" s="620">
        <f>'Rebate Checks (expired)'!T10 +'Rebate Checks (expired)'!T11</f>
        <v>0</v>
      </c>
      <c r="U18" s="620">
        <f>'Rebate Checks (expired)'!U10 +'Rebate Checks (expired)'!U11</f>
        <v>0</v>
      </c>
      <c r="V18" s="1075">
        <f>V19+V20</f>
        <v>0</v>
      </c>
      <c r="W18" s="725">
        <f>'Rebate Checks (expired)'!W10 +'Rebate Checks (expired)'!W11</f>
        <v>0</v>
      </c>
      <c r="X18" s="725">
        <f>'Rebate Checks (expired)'!X10 +'Rebate Checks (expired)'!X11</f>
        <v>0</v>
      </c>
      <c r="Y18" s="725">
        <f>'Rebate Checks (expired)'!Y10 +'Rebate Checks (expired)'!Y11</f>
        <v>0</v>
      </c>
      <c r="Z18" s="725">
        <f>'Rebate Checks (expired)'!Z10 +'Rebate Checks (expired)'!Z11</f>
        <v>0</v>
      </c>
      <c r="AA18" s="725">
        <f>'Rebate Checks (expired)'!AA10 +'Rebate Checks (expired)'!AA11</f>
        <v>0</v>
      </c>
      <c r="AB18" s="725">
        <f>'Rebate Checks (expired)'!AB10 +'Rebate Checks (expired)'!AB11</f>
        <v>0</v>
      </c>
      <c r="AC18" s="1071">
        <f>'Rebate Checks (expired)'!AC10 +'Rebate Checks (expired)'!AC11</f>
        <v>0</v>
      </c>
    </row>
    <row r="19" spans="1:101" ht="18" customHeight="1" x14ac:dyDescent="0.35">
      <c r="B19" s="833" t="s">
        <v>1790</v>
      </c>
      <c r="C19" s="268"/>
      <c r="D19" s="719"/>
      <c r="E19" s="620"/>
      <c r="F19" s="620"/>
      <c r="G19" s="620"/>
      <c r="H19" s="620"/>
      <c r="I19" s="620"/>
      <c r="J19" s="620"/>
      <c r="K19" s="620"/>
      <c r="L19" s="620"/>
      <c r="M19" s="620"/>
      <c r="N19" s="620"/>
      <c r="O19" s="620"/>
      <c r="P19" s="620"/>
      <c r="Q19" s="620"/>
      <c r="R19" s="620"/>
      <c r="S19" s="620"/>
      <c r="T19" s="620"/>
      <c r="U19" s="620"/>
      <c r="V19" s="620">
        <v>0</v>
      </c>
      <c r="W19" s="725"/>
      <c r="X19" s="725"/>
      <c r="Y19" s="725"/>
      <c r="Z19" s="725"/>
      <c r="AA19" s="725"/>
      <c r="AB19" s="725"/>
      <c r="AC19" s="1071"/>
    </row>
    <row r="20" spans="1:101" ht="18" customHeight="1" x14ac:dyDescent="0.35">
      <c r="B20" s="833" t="s">
        <v>1791</v>
      </c>
      <c r="C20" s="268"/>
      <c r="D20" s="719"/>
      <c r="E20" s="620"/>
      <c r="F20" s="620"/>
      <c r="G20" s="620"/>
      <c r="H20" s="620"/>
      <c r="I20" s="620"/>
      <c r="J20" s="620"/>
      <c r="K20" s="620"/>
      <c r="L20" s="620"/>
      <c r="M20" s="620"/>
      <c r="N20" s="620"/>
      <c r="O20" s="620"/>
      <c r="P20" s="620"/>
      <c r="Q20" s="620"/>
      <c r="R20" s="620"/>
      <c r="S20" s="620"/>
      <c r="T20" s="620"/>
      <c r="U20" s="620"/>
      <c r="V20" s="620">
        <v>0</v>
      </c>
      <c r="W20" s="725"/>
      <c r="X20" s="725"/>
      <c r="Y20" s="725"/>
      <c r="Z20" s="725"/>
      <c r="AA20" s="725"/>
      <c r="AB20" s="725"/>
      <c r="AC20" s="1071"/>
    </row>
    <row r="21" spans="1:101" ht="18" customHeight="1" x14ac:dyDescent="0.35">
      <c r="A21" t="s">
        <v>1797</v>
      </c>
      <c r="B21" s="834"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75">
        <v>0</v>
      </c>
      <c r="W21" s="725">
        <v>0</v>
      </c>
      <c r="X21" s="725">
        <v>0</v>
      </c>
      <c r="Y21" s="725">
        <v>0</v>
      </c>
      <c r="Z21" s="725">
        <v>0</v>
      </c>
      <c r="AA21" s="725">
        <v>0</v>
      </c>
      <c r="AB21" s="725">
        <v>0</v>
      </c>
      <c r="AC21" s="1071">
        <v>0</v>
      </c>
    </row>
    <row r="22" spans="1:101" ht="21.65" customHeight="1" x14ac:dyDescent="0.35">
      <c r="B22" s="529" t="s">
        <v>435</v>
      </c>
      <c r="C22" s="268"/>
      <c r="D22" s="719"/>
      <c r="E22" s="620"/>
      <c r="F22" s="620"/>
      <c r="G22" s="620"/>
      <c r="H22" s="620"/>
      <c r="I22" s="620"/>
      <c r="J22" s="620">
        <f>'PPP (expired)'!J53</f>
        <v>57.2</v>
      </c>
      <c r="K22" s="620">
        <f>'PPP (expired)'!K53</f>
        <v>81.2</v>
      </c>
      <c r="L22" s="620">
        <f>'PPP (expired)'!L53</f>
        <v>24.4</v>
      </c>
      <c r="M22" s="620">
        <f>'PPP (expired)'!M53</f>
        <v>11.7</v>
      </c>
      <c r="N22" s="620">
        <f>'PPP (expired)'!N53</f>
        <v>28.5</v>
      </c>
      <c r="O22" s="620">
        <f>'PPP (expired)'!O53</f>
        <v>18.8</v>
      </c>
      <c r="P22" s="620">
        <f>'PPP (expired)'!P53</f>
        <v>1.6</v>
      </c>
      <c r="Q22" s="620">
        <f>'PPP (expired)'!Q53</f>
        <v>0</v>
      </c>
      <c r="R22" s="620">
        <f>'PPP (expired)'!R53</f>
        <v>0</v>
      </c>
      <c r="S22" s="620">
        <f>'PPP (expired)'!S53</f>
        <v>0</v>
      </c>
      <c r="T22" s="620">
        <f>'PPP (expired)'!T53</f>
        <v>0</v>
      </c>
      <c r="U22" s="620">
        <f>'PPP (expired)'!U53</f>
        <v>0</v>
      </c>
      <c r="V22" s="620">
        <f>'PPP (expired)'!V53</f>
        <v>0</v>
      </c>
      <c r="W22" s="725">
        <f>'PPP (expired)'!W53</f>
        <v>0</v>
      </c>
      <c r="X22" s="725">
        <f>'PPP (expired)'!X53</f>
        <v>0</v>
      </c>
      <c r="Y22" s="725">
        <f>'PPP (expired)'!Y53</f>
        <v>0</v>
      </c>
      <c r="Z22" s="725">
        <f>'PPP (expired)'!Z53</f>
        <v>0</v>
      </c>
      <c r="AA22" s="725">
        <f>'PPP (expired)'!AA53</f>
        <v>0</v>
      </c>
      <c r="AB22" s="725">
        <f>'PPP (expired)'!AB53</f>
        <v>0</v>
      </c>
      <c r="AC22" s="725">
        <f>'PPP (expired)'!AC53</f>
        <v>0</v>
      </c>
    </row>
    <row r="23" spans="1:101" ht="22.4" customHeight="1" x14ac:dyDescent="0.35">
      <c r="B23" s="529" t="s">
        <v>206</v>
      </c>
      <c r="C23" s="837"/>
      <c r="D23" s="502"/>
      <c r="E23" s="508"/>
      <c r="F23" s="508"/>
      <c r="G23" s="508"/>
      <c r="H23" s="508"/>
      <c r="I23" s="508"/>
      <c r="J23" s="508"/>
      <c r="K23" s="508"/>
      <c r="L23" s="508"/>
      <c r="M23" s="620">
        <f>'ARP Quarterly'!C4</f>
        <v>0</v>
      </c>
      <c r="N23" s="620">
        <f>'ARP Quarterly'!D4</f>
        <v>0</v>
      </c>
      <c r="O23" s="620">
        <f>'ARP Quarterly'!E4</f>
        <v>3.1040000000000418</v>
      </c>
      <c r="P23" s="620">
        <f>'ARP Quarterly'!F4</f>
        <v>19.719000000000005</v>
      </c>
      <c r="Q23" s="620">
        <f>'ARP Quarterly'!G4</f>
        <v>19.719000000000005</v>
      </c>
      <c r="R23" s="620">
        <f>'ARP Quarterly'!H4</f>
        <v>19.719000000000005</v>
      </c>
      <c r="S23" s="620">
        <f>'ARP Quarterly'!I4</f>
        <v>19.719000000000005</v>
      </c>
      <c r="T23" s="620">
        <f>'ARP Quarterly'!J4</f>
        <v>1.4159999999999999</v>
      </c>
      <c r="U23" s="620">
        <f>'ARP Quarterly'!K4</f>
        <v>1.4159999999999999</v>
      </c>
      <c r="V23" s="620">
        <f>'ARP Quarterly'!L4</f>
        <v>1.4159999999999999</v>
      </c>
      <c r="W23" s="725">
        <f>'ARP Quarterly'!M4</f>
        <v>1.4159999999999999</v>
      </c>
      <c r="X23" s="725">
        <f>'ARP Quarterly'!N4</f>
        <v>1.4790000000000001</v>
      </c>
      <c r="Y23" s="725">
        <f>'ARP Quarterly'!O4</f>
        <v>1.4790000000000001</v>
      </c>
      <c r="Z23" s="725">
        <f>'ARP Quarterly'!P4</f>
        <v>1.4790000000000001</v>
      </c>
      <c r="AA23" s="725">
        <f>'ARP Quarterly'!Q4</f>
        <v>1.4790000000000001</v>
      </c>
      <c r="AB23" s="725">
        <f>'ARP Quarterly'!R4</f>
        <v>1.63</v>
      </c>
      <c r="AC23" s="725">
        <f>'ARP Quarterly'!S4</f>
        <v>1.63</v>
      </c>
      <c r="AE23" s="837"/>
      <c r="AF23" s="837"/>
      <c r="AG23" s="837"/>
      <c r="AH23" s="837"/>
      <c r="AI23" s="837"/>
      <c r="AJ23" s="837"/>
      <c r="AK23" s="837"/>
      <c r="AL23" s="837"/>
      <c r="AM23" s="837"/>
      <c r="AN23" s="837"/>
      <c r="AO23" s="837"/>
      <c r="AP23" s="837"/>
      <c r="AQ23" s="837"/>
      <c r="AR23" s="837"/>
      <c r="AS23" s="837"/>
      <c r="AT23" s="837"/>
      <c r="AU23" s="837"/>
      <c r="AV23" s="837"/>
      <c r="AW23" s="837"/>
      <c r="AX23" s="837"/>
      <c r="AY23" s="837"/>
      <c r="AZ23" s="837"/>
      <c r="BA23" s="837"/>
      <c r="BB23" s="837"/>
      <c r="BC23" s="837"/>
      <c r="BD23" s="837"/>
      <c r="BE23" s="837"/>
      <c r="BF23" s="837"/>
      <c r="BG23" s="837"/>
      <c r="BH23" s="837"/>
      <c r="BI23" s="837"/>
      <c r="BJ23" s="837"/>
      <c r="BK23" s="837"/>
      <c r="BL23" s="837"/>
      <c r="BM23" s="837"/>
      <c r="BN23" s="837"/>
      <c r="BO23" s="837"/>
      <c r="BP23" s="837"/>
      <c r="BQ23" s="837"/>
      <c r="BR23" s="837"/>
      <c r="BS23" s="837"/>
      <c r="BT23" s="837"/>
      <c r="BU23" s="837"/>
      <c r="BV23" s="837"/>
      <c r="BW23" s="837"/>
      <c r="BX23" s="837"/>
      <c r="BY23" s="837"/>
      <c r="BZ23" s="837"/>
      <c r="CA23" s="837"/>
      <c r="CB23" s="837"/>
      <c r="CC23" s="837"/>
      <c r="CD23" s="837"/>
      <c r="CE23" s="837"/>
      <c r="CF23" s="837"/>
      <c r="CG23" s="837"/>
      <c r="CH23" s="837"/>
      <c r="CI23" s="837"/>
      <c r="CJ23" s="837"/>
      <c r="CK23" s="837"/>
      <c r="CL23" s="837"/>
      <c r="CM23" s="837"/>
      <c r="CN23" s="837"/>
      <c r="CO23" s="837"/>
      <c r="CP23" s="837"/>
      <c r="CQ23" s="837"/>
      <c r="CR23" s="837"/>
      <c r="CS23" s="837"/>
      <c r="CT23" s="837"/>
      <c r="CU23" s="837"/>
      <c r="CV23" s="837"/>
      <c r="CW23" s="837"/>
    </row>
    <row r="24" spans="1:101" ht="36.65" customHeight="1" x14ac:dyDescent="0.35">
      <c r="B24" s="374" t="s">
        <v>1385</v>
      </c>
      <c r="C24" s="268"/>
      <c r="D24" s="719">
        <f>D85</f>
        <v>0</v>
      </c>
      <c r="E24" s="620">
        <f t="shared" ref="E24:AC24" si="1">E85</f>
        <v>0</v>
      </c>
      <c r="F24" s="620">
        <f t="shared" si="1"/>
        <v>0</v>
      </c>
      <c r="G24" s="620">
        <f t="shared" si="1"/>
        <v>0</v>
      </c>
      <c r="H24" s="620">
        <f t="shared" si="1"/>
        <v>0</v>
      </c>
      <c r="I24" s="620">
        <f t="shared" si="1"/>
        <v>6.9950000000000045</v>
      </c>
      <c r="J24" s="620">
        <f t="shared" si="1"/>
        <v>51.122999999999998</v>
      </c>
      <c r="K24" s="620">
        <f t="shared" si="1"/>
        <v>51.055</v>
      </c>
      <c r="L24" s="620">
        <f t="shared" si="1"/>
        <v>51.762999999999998</v>
      </c>
      <c r="M24" s="620">
        <f t="shared" si="1"/>
        <v>91.453000000000003</v>
      </c>
      <c r="N24" s="620">
        <f t="shared" si="1"/>
        <v>101.11800000000002</v>
      </c>
      <c r="O24" s="620">
        <f t="shared" si="1"/>
        <v>93.417000000000002</v>
      </c>
      <c r="P24" s="620">
        <f t="shared" si="1"/>
        <v>99.84</v>
      </c>
      <c r="Q24" s="620">
        <f t="shared" si="1"/>
        <v>77.435000000000002</v>
      </c>
      <c r="R24" s="620">
        <f t="shared" si="1"/>
        <v>74.290999999999997</v>
      </c>
      <c r="S24" s="620">
        <f t="shared" si="1"/>
        <v>69.937000000000012</v>
      </c>
      <c r="T24" s="620">
        <f t="shared" si="1"/>
        <v>91.18</v>
      </c>
      <c r="U24" s="620">
        <f t="shared" si="1"/>
        <v>84.404000000000025</v>
      </c>
      <c r="V24" s="620">
        <f t="shared" si="1"/>
        <v>52.51</v>
      </c>
      <c r="W24" s="725">
        <f t="shared" si="1"/>
        <v>52.51</v>
      </c>
      <c r="X24" s="725">
        <f t="shared" si="1"/>
        <v>52.51</v>
      </c>
      <c r="Y24" s="725">
        <f t="shared" si="1"/>
        <v>52.51</v>
      </c>
      <c r="Z24" s="725">
        <f t="shared" si="1"/>
        <v>52.51</v>
      </c>
      <c r="AA24" s="725">
        <f t="shared" si="1"/>
        <v>52.51</v>
      </c>
      <c r="AB24" s="725">
        <f t="shared" si="1"/>
        <v>52.51</v>
      </c>
      <c r="AC24" s="725">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1800</v>
      </c>
      <c r="B25" s="1079" t="s">
        <v>432</v>
      </c>
      <c r="C25" s="268" t="s">
        <v>433</v>
      </c>
      <c r="D25" s="620">
        <f>'Haver Pivoted'!GO31</f>
        <v>2223</v>
      </c>
      <c r="E25" s="620">
        <f>'Haver Pivoted'!GP31</f>
        <v>2303.8000000000002</v>
      </c>
      <c r="F25" s="620">
        <f>'Haver Pivoted'!GQ31</f>
        <v>2321.6999999999998</v>
      </c>
      <c r="G25" s="620">
        <f>'Haver Pivoted'!GR31</f>
        <v>2337.1</v>
      </c>
      <c r="H25" s="620">
        <f>'Haver Pivoted'!GS31</f>
        <v>2349.5</v>
      </c>
      <c r="I25" s="620">
        <f>'Haver Pivoted'!GT31</f>
        <v>2417</v>
      </c>
      <c r="J25" s="620">
        <f>'Haver Pivoted'!GU31</f>
        <v>4659.2</v>
      </c>
      <c r="K25" s="620">
        <f>'Haver Pivoted'!GV31</f>
        <v>3514.2</v>
      </c>
      <c r="L25" s="620">
        <f>'Haver Pivoted'!GW31</f>
        <v>2896.7</v>
      </c>
      <c r="M25" s="620">
        <f>'Haver Pivoted'!GX31</f>
        <v>5152.8</v>
      </c>
      <c r="N25" s="620">
        <f>'Haver Pivoted'!GY31</f>
        <v>3403.1</v>
      </c>
      <c r="O25" s="620">
        <f>'Haver Pivoted'!GZ31</f>
        <v>3121.9</v>
      </c>
      <c r="P25" s="620">
        <f>'Haver Pivoted'!HA31</f>
        <v>2958.3</v>
      </c>
      <c r="Q25" s="620">
        <f>'Haver Pivoted'!HB31</f>
        <v>2978.4</v>
      </c>
      <c r="R25" s="620">
        <f>'Haver Pivoted'!HC31</f>
        <v>2983.3</v>
      </c>
      <c r="S25" s="620">
        <f>'Haver Pivoted'!HD31</f>
        <v>2976.9</v>
      </c>
      <c r="T25" s="620">
        <f>'Haver Pivoted'!HE31</f>
        <v>3033.2</v>
      </c>
      <c r="U25" s="620">
        <f>'Haver Pivoted'!HF31</f>
        <v>3055.3</v>
      </c>
      <c r="V25" s="620">
        <f>'Haver Pivoted'!HG31</f>
        <v>3066.9</v>
      </c>
      <c r="W25" s="725"/>
      <c r="X25" s="725"/>
      <c r="Y25" s="725"/>
      <c r="Z25" s="725"/>
      <c r="AA25" s="725"/>
      <c r="AB25" s="725"/>
      <c r="AC25" s="725"/>
    </row>
    <row r="26" spans="1:101" ht="17.149999999999999" customHeight="1" x14ac:dyDescent="0.35">
      <c r="B26" s="387" t="s">
        <v>1799</v>
      </c>
      <c r="C26" s="268"/>
      <c r="D26" s="620">
        <f>D27+D28</f>
        <v>812.1</v>
      </c>
      <c r="E26" s="620">
        <f t="shared" ref="E26:V26" si="2">E27+E28</f>
        <v>833.1</v>
      </c>
      <c r="F26" s="620">
        <f t="shared" si="2"/>
        <v>845.8</v>
      </c>
      <c r="G26" s="620">
        <f t="shared" si="2"/>
        <v>854.4</v>
      </c>
      <c r="H26" s="620">
        <f t="shared" si="2"/>
        <v>858.7</v>
      </c>
      <c r="I26" s="620">
        <f t="shared" si="2"/>
        <v>881.29500000000007</v>
      </c>
      <c r="J26" s="620">
        <f t="shared" si="2"/>
        <v>2987.223</v>
      </c>
      <c r="K26" s="620">
        <f t="shared" si="2"/>
        <v>1814.4549999999999</v>
      </c>
      <c r="L26" s="620">
        <f t="shared" si="2"/>
        <v>1281.463</v>
      </c>
      <c r="M26" s="620">
        <f>M27+M28</f>
        <v>3523.1529999999998</v>
      </c>
      <c r="N26" s="620">
        <f t="shared" si="2"/>
        <v>1770.518</v>
      </c>
      <c r="O26" s="620">
        <f t="shared" si="2"/>
        <v>1470.1543333333329</v>
      </c>
      <c r="P26" s="620">
        <f t="shared" si="2"/>
        <v>1297.9923333333329</v>
      </c>
      <c r="Q26" s="620">
        <f t="shared" si="2"/>
        <v>1139.5540000000001</v>
      </c>
      <c r="R26" s="620">
        <f t="shared" si="2"/>
        <v>1143.1099999999999</v>
      </c>
      <c r="S26" s="620">
        <f t="shared" si="2"/>
        <v>1152.1559999999999</v>
      </c>
      <c r="T26" s="620">
        <f t="shared" si="2"/>
        <v>1180.6959999999999</v>
      </c>
      <c r="U26" s="620">
        <f t="shared" si="2"/>
        <v>1142.9199999999998</v>
      </c>
      <c r="V26" s="620">
        <f t="shared" si="2"/>
        <v>1134.9831428571429</v>
      </c>
      <c r="W26" s="725">
        <f>W27+W28</f>
        <v>53.925999999999995</v>
      </c>
      <c r="X26" s="725">
        <f t="shared" ref="X26" si="3">X27+X28</f>
        <v>53.988999999999997</v>
      </c>
      <c r="Y26" s="725">
        <f t="shared" ref="Y26" si="4">Y27+Y28</f>
        <v>53.988999999999997</v>
      </c>
      <c r="Z26" s="725">
        <f t="shared" ref="Z26" si="5">Z27+Z28</f>
        <v>53.988999999999997</v>
      </c>
      <c r="AA26" s="725">
        <f t="shared" ref="AA26" si="6">AA27+AA28</f>
        <v>53.988999999999997</v>
      </c>
      <c r="AB26" s="725">
        <f t="shared" ref="AB26" si="7">AB27+AB28</f>
        <v>54.14</v>
      </c>
      <c r="AC26" s="725">
        <f t="shared" ref="AC26" si="8">AC27+AC28</f>
        <v>54.14</v>
      </c>
    </row>
    <row r="27" spans="1:101" ht="17.149999999999999" customHeight="1" x14ac:dyDescent="0.35">
      <c r="B27" s="521" t="s">
        <v>1798</v>
      </c>
      <c r="C27" s="268"/>
      <c r="D27" s="719">
        <f t="shared" ref="D27:V27" si="9">D13+D14+D17</f>
        <v>812.1</v>
      </c>
      <c r="E27" s="620">
        <f t="shared" si="9"/>
        <v>833.1</v>
      </c>
      <c r="F27" s="620">
        <f t="shared" si="9"/>
        <v>845.8</v>
      </c>
      <c r="G27" s="620">
        <f t="shared" si="9"/>
        <v>854.4</v>
      </c>
      <c r="H27" s="620">
        <f t="shared" si="9"/>
        <v>858.7</v>
      </c>
      <c r="I27" s="620">
        <f t="shared" si="9"/>
        <v>874.30000000000007</v>
      </c>
      <c r="J27" s="620">
        <f t="shared" si="9"/>
        <v>1800.8</v>
      </c>
      <c r="K27" s="620">
        <f t="shared" si="9"/>
        <v>1666.6</v>
      </c>
      <c r="L27" s="620">
        <f t="shared" si="9"/>
        <v>1200.3</v>
      </c>
      <c r="M27" s="620">
        <f t="shared" si="9"/>
        <v>1486.3</v>
      </c>
      <c r="N27" s="620">
        <f t="shared" si="9"/>
        <v>1350.8</v>
      </c>
      <c r="O27" s="620">
        <f t="shared" si="9"/>
        <v>1315.9333333333329</v>
      </c>
      <c r="P27" s="620">
        <f t="shared" si="9"/>
        <v>1162.633333333333</v>
      </c>
      <c r="Q27" s="620">
        <f t="shared" si="9"/>
        <v>1042.4000000000001</v>
      </c>
      <c r="R27" s="620">
        <f t="shared" si="9"/>
        <v>1049.0999999999999</v>
      </c>
      <c r="S27" s="620">
        <f t="shared" si="9"/>
        <v>1062.5</v>
      </c>
      <c r="T27" s="620">
        <f t="shared" si="9"/>
        <v>1088.0999999999999</v>
      </c>
      <c r="U27" s="620">
        <f t="shared" si="9"/>
        <v>1057.0999999999999</v>
      </c>
      <c r="V27" s="620">
        <f t="shared" si="9"/>
        <v>1081.0571428571429</v>
      </c>
      <c r="W27" s="725"/>
      <c r="X27" s="725"/>
      <c r="Y27" s="725"/>
      <c r="Z27" s="725"/>
      <c r="AA27" s="725"/>
      <c r="AB27" s="725"/>
      <c r="AC27" s="1071"/>
    </row>
    <row r="28" spans="1:101" ht="28.5" customHeight="1" x14ac:dyDescent="0.35">
      <c r="B28" s="521" t="s">
        <v>1795</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1801</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1792</v>
      </c>
      <c r="C30" s="268"/>
      <c r="D30" s="391"/>
      <c r="E30" s="365"/>
      <c r="F30" s="365"/>
      <c r="G30" s="365"/>
      <c r="H30" s="365"/>
      <c r="I30" s="365"/>
      <c r="J30" s="365"/>
      <c r="K30" s="365"/>
      <c r="L30" s="365"/>
      <c r="M30" s="365"/>
      <c r="N30" s="365"/>
      <c r="O30" s="365"/>
      <c r="P30" s="365"/>
      <c r="Q30" s="365"/>
      <c r="R30" s="365"/>
      <c r="S30" s="365"/>
      <c r="T30" s="365"/>
      <c r="U30" s="365"/>
      <c r="V30" s="620"/>
      <c r="W30" s="725"/>
      <c r="X30" s="725"/>
      <c r="Y30" s="725"/>
      <c r="Z30" s="725"/>
      <c r="AA30" s="725"/>
      <c r="AB30" s="725"/>
      <c r="AC30" s="1071"/>
    </row>
    <row r="31" spans="1:101" ht="18" customHeight="1" x14ac:dyDescent="0.35">
      <c r="B31" s="403" t="s">
        <v>1793</v>
      </c>
      <c r="C31" s="268"/>
      <c r="D31" s="391"/>
      <c r="E31" s="365"/>
      <c r="F31" s="365"/>
      <c r="G31" s="365"/>
      <c r="H31" s="365"/>
      <c r="I31" s="365"/>
      <c r="J31" s="365"/>
      <c r="K31" s="365"/>
      <c r="L31" s="365"/>
      <c r="M31" s="365"/>
      <c r="N31" s="365"/>
      <c r="O31" s="365"/>
      <c r="P31" s="365"/>
      <c r="Q31" s="365"/>
      <c r="R31" s="365"/>
      <c r="S31" s="365"/>
      <c r="T31" s="365"/>
      <c r="U31" s="365"/>
      <c r="V31" s="620"/>
      <c r="W31" s="725"/>
      <c r="X31" s="725"/>
      <c r="Y31" s="725"/>
      <c r="Z31" s="725"/>
      <c r="AA31" s="725"/>
      <c r="AB31" s="725"/>
      <c r="AC31" s="1071"/>
    </row>
    <row r="32" spans="1:101" ht="20.149999999999999" customHeight="1" x14ac:dyDescent="0.35">
      <c r="B32" s="389" t="s">
        <v>437</v>
      </c>
      <c r="C32" s="385"/>
      <c r="D32" s="875"/>
      <c r="E32" s="761"/>
      <c r="F32" s="761"/>
      <c r="G32" s="761"/>
      <c r="H32" s="694"/>
      <c r="I32" s="694"/>
      <c r="J32" s="694"/>
      <c r="K32" s="694"/>
      <c r="L32" s="694"/>
      <c r="M32" s="694">
        <f>'ARP Quarterly'!C5</f>
        <v>0</v>
      </c>
      <c r="N32" s="694">
        <f>'ARP Quarterly'!D5</f>
        <v>33.921840000000024</v>
      </c>
      <c r="O32" s="694">
        <f>'ARP Quarterly'!E5</f>
        <v>44.966160000000031</v>
      </c>
      <c r="P32" s="694">
        <f>'ARP Quarterly'!F5</f>
        <v>52.756999999999998</v>
      </c>
      <c r="Q32" s="694">
        <f>'ARP Quarterly'!G5</f>
        <v>52.756999999999998</v>
      </c>
      <c r="R32" s="694">
        <f>'ARP Quarterly'!H5</f>
        <v>52.756999999999998</v>
      </c>
      <c r="S32" s="694">
        <f>'ARP Quarterly'!I5</f>
        <v>52.756999999999998</v>
      </c>
      <c r="T32" s="694">
        <v>30</v>
      </c>
      <c r="U32" s="694">
        <f>'ARP Quarterly'!K5</f>
        <v>12</v>
      </c>
      <c r="V32" s="1076">
        <f>'ARP Quarterly'!L5</f>
        <v>12</v>
      </c>
      <c r="W32" s="696">
        <f>'ARP Quarterly'!M5</f>
        <v>12</v>
      </c>
      <c r="X32" s="696">
        <f>'ARP Quarterly'!N5</f>
        <v>4.2219999999999995</v>
      </c>
      <c r="Y32" s="696">
        <f>'ARP Quarterly'!O5</f>
        <v>4.2219999999999995</v>
      </c>
      <c r="Z32" s="696">
        <f>'ARP Quarterly'!P5</f>
        <v>4.2219999999999995</v>
      </c>
      <c r="AA32" s="696">
        <f>'ARP Quarterly'!Q5</f>
        <v>4.2219999999999995</v>
      </c>
      <c r="AB32" s="696">
        <f>'ARP Quarterly'!R5</f>
        <v>2.3719999999999999</v>
      </c>
      <c r="AC32" s="1096">
        <f>'ARP Quarterly'!S5</f>
        <v>2.3719999999999999</v>
      </c>
    </row>
    <row r="33" spans="2:101" ht="22.4" customHeight="1" x14ac:dyDescent="0.35">
      <c r="B33" s="374" t="s">
        <v>206</v>
      </c>
      <c r="C33" s="837"/>
      <c r="D33" s="391"/>
      <c r="E33" s="365"/>
      <c r="F33" s="365"/>
      <c r="G33" s="365"/>
      <c r="H33" s="365"/>
      <c r="I33" s="365"/>
      <c r="J33" s="365"/>
      <c r="K33" s="365"/>
      <c r="L33" s="365"/>
      <c r="M33" s="620">
        <f>'ARP Quarterly'!C4</f>
        <v>0</v>
      </c>
      <c r="N33" s="620">
        <f>'ARP Quarterly'!D4</f>
        <v>0</v>
      </c>
      <c r="O33" s="620">
        <f>'ARP Quarterly'!E4</f>
        <v>3.1040000000000418</v>
      </c>
      <c r="P33" s="620">
        <f>'ARP Quarterly'!F4</f>
        <v>19.719000000000005</v>
      </c>
      <c r="Q33" s="620">
        <f>'ARP Quarterly'!G4</f>
        <v>19.719000000000005</v>
      </c>
      <c r="R33" s="620">
        <f>'ARP Quarterly'!H4</f>
        <v>19.719000000000005</v>
      </c>
      <c r="S33" s="620">
        <f>'ARP Quarterly'!I4</f>
        <v>19.719000000000005</v>
      </c>
      <c r="T33" s="620">
        <f>'ARP Quarterly'!J4</f>
        <v>1.4159999999999999</v>
      </c>
      <c r="U33" s="620">
        <f>'ARP Quarterly'!K4</f>
        <v>1.4159999999999999</v>
      </c>
      <c r="V33" s="620">
        <f>'ARP Quarterly'!L4</f>
        <v>1.4159999999999999</v>
      </c>
      <c r="W33" s="725">
        <f>'ARP Quarterly'!M4</f>
        <v>1.4159999999999999</v>
      </c>
      <c r="X33" s="725">
        <f>'ARP Quarterly'!N4</f>
        <v>1.4790000000000001</v>
      </c>
      <c r="Y33" s="725">
        <f>'ARP Quarterly'!O4</f>
        <v>1.4790000000000001</v>
      </c>
      <c r="Z33" s="725">
        <f>'ARP Quarterly'!P4</f>
        <v>1.4790000000000001</v>
      </c>
      <c r="AA33" s="725">
        <f>'ARP Quarterly'!Q4</f>
        <v>1.4790000000000001</v>
      </c>
      <c r="AB33" s="725">
        <f>'ARP Quarterly'!R4</f>
        <v>1.63</v>
      </c>
      <c r="AC33" s="1071">
        <f>'ARP Quarterly'!S4</f>
        <v>1.63</v>
      </c>
      <c r="AE33" s="837"/>
      <c r="AF33" s="837"/>
      <c r="AG33" s="837"/>
      <c r="AH33" s="837"/>
      <c r="AI33" s="837"/>
      <c r="AJ33" s="837"/>
      <c r="AK33" s="837"/>
      <c r="AL33" s="837"/>
      <c r="AM33" s="837"/>
      <c r="AN33" s="837"/>
      <c r="AO33" s="837"/>
      <c r="AP33" s="837"/>
      <c r="AQ33" s="837"/>
      <c r="AR33" s="837"/>
      <c r="AS33" s="837"/>
      <c r="AT33" s="837"/>
      <c r="AU33" s="837"/>
      <c r="AV33" s="837"/>
      <c r="AW33" s="837"/>
      <c r="AX33" s="837"/>
      <c r="AY33" s="837"/>
      <c r="AZ33" s="837"/>
      <c r="BA33" s="837"/>
      <c r="BB33" s="837"/>
      <c r="BC33" s="837"/>
      <c r="BD33" s="837"/>
      <c r="BE33" s="837"/>
      <c r="BF33" s="837"/>
      <c r="BG33" s="837"/>
      <c r="BH33" s="837"/>
      <c r="BI33" s="837"/>
      <c r="BJ33" s="837"/>
      <c r="BK33" s="837"/>
      <c r="BL33" s="837"/>
      <c r="BM33" s="837"/>
      <c r="BN33" s="837"/>
      <c r="BO33" s="837"/>
      <c r="BP33" s="837"/>
      <c r="BQ33" s="837"/>
      <c r="BR33" s="837"/>
      <c r="BS33" s="837"/>
      <c r="BT33" s="837"/>
      <c r="BU33" s="837"/>
      <c r="BV33" s="837"/>
      <c r="BW33" s="837"/>
      <c r="BX33" s="837"/>
      <c r="BY33" s="837"/>
      <c r="BZ33" s="837"/>
      <c r="CA33" s="837"/>
      <c r="CB33" s="837"/>
      <c r="CC33" s="837"/>
      <c r="CD33" s="837"/>
      <c r="CE33" s="837"/>
      <c r="CF33" s="837"/>
      <c r="CG33" s="837"/>
      <c r="CH33" s="837"/>
      <c r="CI33" s="837"/>
      <c r="CJ33" s="837"/>
      <c r="CK33" s="837"/>
      <c r="CL33" s="837"/>
      <c r="CM33" s="837"/>
      <c r="CN33" s="837"/>
      <c r="CO33" s="837"/>
      <c r="CP33" s="837"/>
      <c r="CQ33" s="837"/>
      <c r="CR33" s="837"/>
      <c r="CS33" s="837"/>
      <c r="CT33" s="837"/>
      <c r="CU33" s="837"/>
      <c r="CV33" s="837"/>
      <c r="CW33" s="837"/>
    </row>
    <row r="34" spans="2:101" ht="36.65" customHeight="1" x14ac:dyDescent="0.35">
      <c r="B34" s="374" t="s">
        <v>1385</v>
      </c>
      <c r="C34" s="268"/>
      <c r="D34" s="392">
        <f>D85</f>
        <v>0</v>
      </c>
      <c r="E34" s="265">
        <f t="shared" ref="E34:AC34" si="12">E85</f>
        <v>0</v>
      </c>
      <c r="F34" s="265">
        <f t="shared" si="12"/>
        <v>0</v>
      </c>
      <c r="G34" s="265">
        <f t="shared" si="12"/>
        <v>0</v>
      </c>
      <c r="H34" s="265">
        <f t="shared" si="12"/>
        <v>0</v>
      </c>
      <c r="I34" s="620">
        <f t="shared" si="12"/>
        <v>6.9950000000000045</v>
      </c>
      <c r="J34" s="620">
        <f t="shared" si="12"/>
        <v>51.122999999999998</v>
      </c>
      <c r="K34" s="620">
        <f t="shared" si="12"/>
        <v>51.055</v>
      </c>
      <c r="L34" s="620">
        <f t="shared" si="12"/>
        <v>51.762999999999998</v>
      </c>
      <c r="M34" s="620">
        <f t="shared" si="12"/>
        <v>91.453000000000003</v>
      </c>
      <c r="N34" s="620">
        <f t="shared" si="12"/>
        <v>101.11800000000002</v>
      </c>
      <c r="O34" s="620">
        <f t="shared" si="12"/>
        <v>93.417000000000002</v>
      </c>
      <c r="P34" s="620">
        <f t="shared" si="12"/>
        <v>99.84</v>
      </c>
      <c r="Q34" s="620">
        <f t="shared" si="12"/>
        <v>77.435000000000002</v>
      </c>
      <c r="R34" s="620">
        <f t="shared" si="12"/>
        <v>74.290999999999997</v>
      </c>
      <c r="S34" s="620">
        <f t="shared" si="12"/>
        <v>69.937000000000012</v>
      </c>
      <c r="T34" s="620">
        <f t="shared" si="12"/>
        <v>91.18</v>
      </c>
      <c r="U34" s="620">
        <f t="shared" si="12"/>
        <v>84.404000000000025</v>
      </c>
      <c r="V34" s="620">
        <f>V85</f>
        <v>52.51</v>
      </c>
      <c r="W34" s="725">
        <f>W85</f>
        <v>52.51</v>
      </c>
      <c r="X34" s="725">
        <f t="shared" si="12"/>
        <v>52.51</v>
      </c>
      <c r="Y34" s="725">
        <f t="shared" si="12"/>
        <v>52.51</v>
      </c>
      <c r="Z34" s="725">
        <f t="shared" si="12"/>
        <v>52.51</v>
      </c>
      <c r="AA34" s="725">
        <f t="shared" si="12"/>
        <v>52.51</v>
      </c>
      <c r="AB34" s="725">
        <f t="shared" si="12"/>
        <v>52.51</v>
      </c>
      <c r="AC34" s="1071">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77" t="s">
        <v>763</v>
      </c>
      <c r="C35" s="268" t="s">
        <v>790</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82">
        <f>'Haver Pivoted'!HD89</f>
        <v>94.3</v>
      </c>
      <c r="T35" s="582">
        <f>'Haver Pivoted'!HE89</f>
        <v>94.3</v>
      </c>
      <c r="U35" s="725">
        <v>34</v>
      </c>
      <c r="V35" s="620">
        <v>34</v>
      </c>
      <c r="W35" s="725">
        <v>34</v>
      </c>
      <c r="X35" s="725">
        <v>34</v>
      </c>
      <c r="Y35" s="725">
        <v>34</v>
      </c>
      <c r="Z35" s="725">
        <v>34</v>
      </c>
      <c r="AA35" s="725">
        <v>34</v>
      </c>
      <c r="AB35" s="725">
        <v>34</v>
      </c>
      <c r="AC35" s="1071">
        <v>34</v>
      </c>
    </row>
    <row r="36" spans="2:101" ht="21.65" customHeight="1" x14ac:dyDescent="0.35">
      <c r="B36" s="374" t="s">
        <v>435</v>
      </c>
      <c r="C36" s="268"/>
      <c r="D36" s="392"/>
      <c r="E36" s="265"/>
      <c r="F36" s="265"/>
      <c r="G36" s="265"/>
      <c r="H36" s="620"/>
      <c r="I36" s="620"/>
      <c r="J36" s="620">
        <f>'PPP (expired)'!J53</f>
        <v>57.2</v>
      </c>
      <c r="K36" s="620">
        <f>'PPP (expired)'!K53</f>
        <v>81.2</v>
      </c>
      <c r="L36" s="620">
        <f>'PPP (expired)'!L53</f>
        <v>24.4</v>
      </c>
      <c r="M36" s="620">
        <f>'PPP (expired)'!M53</f>
        <v>11.7</v>
      </c>
      <c r="N36" s="620">
        <f>'PPP (expired)'!N53</f>
        <v>28.5</v>
      </c>
      <c r="O36" s="620">
        <f>'PPP (expired)'!O53</f>
        <v>18.8</v>
      </c>
      <c r="P36" s="620">
        <f>'PPP (expired)'!P53</f>
        <v>1.6</v>
      </c>
      <c r="Q36" s="620">
        <f>'PPP (expired)'!Q53</f>
        <v>0</v>
      </c>
      <c r="R36" s="620">
        <f>'PPP (expired)'!Q61</f>
        <v>0</v>
      </c>
      <c r="S36" s="620">
        <f>'PPP (expired)'!S53</f>
        <v>0</v>
      </c>
      <c r="T36" s="620">
        <f>'PPP (expired)'!T53</f>
        <v>0</v>
      </c>
      <c r="U36" s="620">
        <f>'PPP (expired)'!U53</f>
        <v>0</v>
      </c>
      <c r="V36" s="620">
        <f>'PPP (expired)'!V53</f>
        <v>0</v>
      </c>
      <c r="W36" s="725">
        <f>'PPP (expired)'!W53</f>
        <v>0</v>
      </c>
      <c r="X36" s="725">
        <f>'PPP (expired)'!X53</f>
        <v>0</v>
      </c>
      <c r="Y36" s="725">
        <f>'PPP (expired)'!Y53</f>
        <v>0</v>
      </c>
      <c r="Z36" s="725">
        <f>'PPP (expired)'!Z53</f>
        <v>0</v>
      </c>
      <c r="AA36" s="725">
        <f>'PPP (expired)'!AA53</f>
        <v>0</v>
      </c>
      <c r="AB36" s="725">
        <f>'PPP (expired)'!AB53</f>
        <v>0</v>
      </c>
      <c r="AC36" s="1071">
        <f>'PPP (expired)'!AC53</f>
        <v>0</v>
      </c>
    </row>
    <row r="37" spans="2:101" ht="21.65" customHeight="1" x14ac:dyDescent="0.35">
      <c r="B37" s="403" t="s">
        <v>764</v>
      </c>
      <c r="C37" s="268"/>
      <c r="D37" s="719">
        <f t="shared" ref="D37:AC37" si="13">D109</f>
        <v>0</v>
      </c>
      <c r="E37" s="620">
        <f t="shared" si="13"/>
        <v>0</v>
      </c>
      <c r="F37" s="620">
        <f t="shared" si="13"/>
        <v>0</v>
      </c>
      <c r="G37" s="620">
        <f t="shared" si="13"/>
        <v>0</v>
      </c>
      <c r="H37" s="620">
        <f t="shared" si="13"/>
        <v>0</v>
      </c>
      <c r="I37" s="620">
        <f t="shared" si="13"/>
        <v>-6.9950000000003456</v>
      </c>
      <c r="J37" s="620">
        <f t="shared" si="13"/>
        <v>-38.323000000000548</v>
      </c>
      <c r="K37" s="620">
        <f t="shared" si="13"/>
        <v>85.244999999999436</v>
      </c>
      <c r="L37" s="620">
        <f t="shared" si="13"/>
        <v>17.936999999999443</v>
      </c>
      <c r="M37" s="620">
        <f t="shared" si="13"/>
        <v>20.752999999999702</v>
      </c>
      <c r="N37" s="620">
        <f t="shared" si="13"/>
        <v>-8.8338400000009187</v>
      </c>
      <c r="O37" s="620">
        <f t="shared" si="13"/>
        <v>-12.81449333333353</v>
      </c>
      <c r="P37" s="620">
        <f t="shared" si="13"/>
        <v>-32.243333333333567</v>
      </c>
      <c r="Q37" s="620">
        <f t="shared" si="13"/>
        <v>72.944079999999303</v>
      </c>
      <c r="R37" s="620">
        <f t="shared" si="13"/>
        <v>74.4880799999994</v>
      </c>
      <c r="S37" s="620">
        <f t="shared" si="13"/>
        <v>64.242079999999305</v>
      </c>
      <c r="T37" s="620">
        <f t="shared" si="13"/>
        <v>111.2590799999989</v>
      </c>
      <c r="U37" s="1074">
        <f t="shared" si="13"/>
        <v>80.691958999999542</v>
      </c>
      <c r="V37" s="620">
        <f>V109</f>
        <v>93.528816142856385</v>
      </c>
      <c r="W37" s="725">
        <f t="shared" si="13"/>
        <v>93.528816142856385</v>
      </c>
      <c r="X37" s="725">
        <f t="shared" si="13"/>
        <v>93.528816142856385</v>
      </c>
      <c r="Y37" s="725">
        <f t="shared" si="13"/>
        <v>93.528816142856385</v>
      </c>
      <c r="Z37" s="725">
        <f t="shared" si="13"/>
        <v>93.528816142856385</v>
      </c>
      <c r="AA37" s="725">
        <f t="shared" si="13"/>
        <v>93.528816142856385</v>
      </c>
      <c r="AB37" s="725">
        <f t="shared" si="13"/>
        <v>93.528816142856385</v>
      </c>
      <c r="AC37" s="1071">
        <f t="shared" si="13"/>
        <v>93.528816142856385</v>
      </c>
    </row>
    <row r="38" spans="2:101" ht="21" customHeight="1" x14ac:dyDescent="0.35">
      <c r="B38" s="389" t="s">
        <v>761</v>
      </c>
      <c r="C38" s="385"/>
      <c r="D38" s="875">
        <f t="shared" ref="D38:AC38" si="14">D33+D21</f>
        <v>0</v>
      </c>
      <c r="E38" s="761">
        <f t="shared" si="14"/>
        <v>0</v>
      </c>
      <c r="F38" s="761">
        <f t="shared" si="14"/>
        <v>0</v>
      </c>
      <c r="G38" s="761">
        <f t="shared" si="14"/>
        <v>0</v>
      </c>
      <c r="H38" s="761">
        <f t="shared" si="14"/>
        <v>0</v>
      </c>
      <c r="I38" s="761">
        <f t="shared" si="14"/>
        <v>0</v>
      </c>
      <c r="J38" s="761">
        <f t="shared" si="14"/>
        <v>160.9</v>
      </c>
      <c r="K38" s="761">
        <f t="shared" si="14"/>
        <v>58.4</v>
      </c>
      <c r="L38" s="761">
        <f t="shared" si="14"/>
        <v>34.5</v>
      </c>
      <c r="M38" s="761">
        <f t="shared" si="14"/>
        <v>21.4</v>
      </c>
      <c r="N38" s="761">
        <f t="shared" si="14"/>
        <v>13.3</v>
      </c>
      <c r="O38" s="761">
        <f t="shared" si="14"/>
        <v>21.804000000000041</v>
      </c>
      <c r="P38" s="694">
        <f t="shared" si="14"/>
        <v>51.919000000000011</v>
      </c>
      <c r="Q38" s="761">
        <f t="shared" si="14"/>
        <v>46.619</v>
      </c>
      <c r="R38" s="761">
        <f t="shared" si="14"/>
        <v>39.719000000000008</v>
      </c>
      <c r="S38" s="761">
        <f t="shared" si="14"/>
        <v>27.819000000000003</v>
      </c>
      <c r="T38" s="694">
        <f t="shared" si="14"/>
        <v>6.3160000000000007</v>
      </c>
      <c r="U38" s="694">
        <f t="shared" si="14"/>
        <v>1.4159999999999999</v>
      </c>
      <c r="V38" s="1076">
        <f t="shared" si="14"/>
        <v>1.4159999999999999</v>
      </c>
      <c r="W38" s="696">
        <f t="shared" si="14"/>
        <v>1.4159999999999999</v>
      </c>
      <c r="X38" s="696">
        <f t="shared" si="14"/>
        <v>1.4790000000000001</v>
      </c>
      <c r="Y38" s="696">
        <f t="shared" si="14"/>
        <v>1.4790000000000001</v>
      </c>
      <c r="Z38" s="696">
        <f t="shared" si="14"/>
        <v>1.4790000000000001</v>
      </c>
      <c r="AA38" s="696">
        <f t="shared" si="14"/>
        <v>1.4790000000000001</v>
      </c>
      <c r="AB38" s="696">
        <f t="shared" si="14"/>
        <v>1.63</v>
      </c>
      <c r="AC38" s="696">
        <f t="shared" si="14"/>
        <v>1.63</v>
      </c>
    </row>
    <row r="39" spans="2:101" ht="44.9" customHeight="1" x14ac:dyDescent="0.35">
      <c r="B39" s="374" t="s">
        <v>768</v>
      </c>
      <c r="C39" s="268"/>
      <c r="D39" s="719">
        <f t="shared" ref="D39:AC39" si="15">D101</f>
        <v>1410.9</v>
      </c>
      <c r="E39" s="620">
        <f t="shared" si="15"/>
        <v>1470.7000000000003</v>
      </c>
      <c r="F39" s="620">
        <f t="shared" si="15"/>
        <v>1475.8999999999996</v>
      </c>
      <c r="G39" s="620">
        <f t="shared" si="15"/>
        <v>1482.6999999999998</v>
      </c>
      <c r="H39" s="620">
        <f t="shared" si="15"/>
        <v>1490.8000000000002</v>
      </c>
      <c r="I39" s="620">
        <f t="shared" si="15"/>
        <v>1542.7000000000003</v>
      </c>
      <c r="J39" s="620">
        <f t="shared" si="15"/>
        <v>1549.4000000000003</v>
      </c>
      <c r="K39" s="620">
        <f t="shared" si="15"/>
        <v>1556.1000000000004</v>
      </c>
      <c r="L39" s="620">
        <f t="shared" si="15"/>
        <v>1562.8000000000004</v>
      </c>
      <c r="M39" s="620">
        <f t="shared" si="15"/>
        <v>1587.4940000000006</v>
      </c>
      <c r="N39" s="620">
        <f t="shared" si="15"/>
        <v>1594.1940000000006</v>
      </c>
      <c r="O39" s="620">
        <f t="shared" si="15"/>
        <v>1600.8940000000007</v>
      </c>
      <c r="P39" s="620">
        <f t="shared" si="15"/>
        <v>1607.5940000000007</v>
      </c>
      <c r="Q39" s="620">
        <f t="shared" si="15"/>
        <v>1686.2449200000008</v>
      </c>
      <c r="R39" s="620">
        <f t="shared" si="15"/>
        <v>1692.9449200000008</v>
      </c>
      <c r="S39" s="620">
        <f t="shared" si="15"/>
        <v>1699.6449200000009</v>
      </c>
      <c r="T39" s="620">
        <f t="shared" si="15"/>
        <v>1706.3449200000009</v>
      </c>
      <c r="U39" s="620">
        <f t="shared" si="15"/>
        <v>1819.6880410000008</v>
      </c>
      <c r="V39" s="620">
        <f t="shared" si="15"/>
        <v>1826.3880410000008</v>
      </c>
      <c r="W39" s="725">
        <f t="shared" si="15"/>
        <v>1833.0880410000009</v>
      </c>
      <c r="X39" s="725">
        <f t="shared" si="15"/>
        <v>1839.7880410000009</v>
      </c>
      <c r="Y39" s="725">
        <f t="shared" si="15"/>
        <v>1889.111191700001</v>
      </c>
      <c r="Z39" s="725">
        <f t="shared" si="15"/>
        <v>1895.811191700001</v>
      </c>
      <c r="AA39" s="725">
        <f t="shared" si="15"/>
        <v>1902.5111917000011</v>
      </c>
      <c r="AB39" s="725">
        <f t="shared" si="15"/>
        <v>1909.2111917000011</v>
      </c>
      <c r="AC39" s="1071">
        <f t="shared" si="15"/>
        <v>1945.544534176001</v>
      </c>
    </row>
    <row r="40" spans="2:101" ht="44.9" customHeight="1" x14ac:dyDescent="0.35">
      <c r="B40" s="530" t="s">
        <v>1138</v>
      </c>
      <c r="D40" s="719"/>
      <c r="E40" s="620"/>
      <c r="F40" s="620"/>
      <c r="G40" s="620"/>
      <c r="H40" s="620"/>
      <c r="I40" s="620"/>
      <c r="J40" s="620"/>
      <c r="K40" s="620"/>
      <c r="L40" s="620"/>
      <c r="M40" s="620"/>
      <c r="N40" s="620"/>
      <c r="O40" s="620"/>
      <c r="P40" s="620"/>
      <c r="Q40" s="620"/>
      <c r="R40" s="620"/>
      <c r="S40" s="859">
        <f>'IRA and CHIPS'!E191</f>
        <v>-0.622</v>
      </c>
      <c r="T40" s="859">
        <f>'IRA and CHIPS'!F191</f>
        <v>21.89</v>
      </c>
      <c r="U40" s="859">
        <f>'IRA and CHIPS'!G191</f>
        <v>21.89</v>
      </c>
      <c r="V40" s="859">
        <f>'IRA and CHIPS'!H191</f>
        <v>21.89</v>
      </c>
      <c r="W40" s="855">
        <f>'IRA and CHIPS'!I191</f>
        <v>21.89</v>
      </c>
      <c r="X40" s="855">
        <f>'IRA and CHIPS'!J191</f>
        <v>15.439</v>
      </c>
      <c r="Y40" s="855">
        <f>'IRA and CHIPS'!K191</f>
        <v>15.439</v>
      </c>
      <c r="Z40" s="855">
        <f>'IRA and CHIPS'!L191</f>
        <v>15.439</v>
      </c>
      <c r="AA40" s="855">
        <f>'IRA and CHIPS'!M191</f>
        <v>15.439</v>
      </c>
      <c r="AB40" s="855">
        <f>'IRA and CHIPS'!N191</f>
        <v>16.966999999999999</v>
      </c>
      <c r="AC40" s="1080">
        <f>'IRA and CHIPS'!O191</f>
        <v>16.966999999999999</v>
      </c>
    </row>
    <row r="41" spans="2:101" ht="31.4" customHeight="1" x14ac:dyDescent="0.35">
      <c r="B41" s="709" t="s">
        <v>765</v>
      </c>
      <c r="C41" s="385"/>
      <c r="D41" s="694">
        <f t="shared" ref="D41:R41" si="16">D39+SUM(D34:D37)+D40</f>
        <v>1440.9</v>
      </c>
      <c r="E41" s="694">
        <f t="shared" si="16"/>
        <v>1500.7000000000003</v>
      </c>
      <c r="F41" s="694">
        <f t="shared" si="16"/>
        <v>1505.8999999999996</v>
      </c>
      <c r="G41" s="694">
        <f t="shared" si="16"/>
        <v>1512.6999999999998</v>
      </c>
      <c r="H41" s="694">
        <f t="shared" si="16"/>
        <v>1520.8000000000002</v>
      </c>
      <c r="I41" s="694">
        <f t="shared" si="16"/>
        <v>1572.6999999999998</v>
      </c>
      <c r="J41" s="694">
        <f t="shared" si="16"/>
        <v>1649.3999999999996</v>
      </c>
      <c r="K41" s="694">
        <f t="shared" si="16"/>
        <v>1803.7999999999997</v>
      </c>
      <c r="L41" s="694">
        <f t="shared" si="16"/>
        <v>1687.1</v>
      </c>
      <c r="M41" s="694">
        <f t="shared" si="16"/>
        <v>1745.8000000000002</v>
      </c>
      <c r="N41" s="694">
        <f t="shared" si="16"/>
        <v>1749.3781599999998</v>
      </c>
      <c r="O41" s="694">
        <f t="shared" si="16"/>
        <v>1919.2298400000002</v>
      </c>
      <c r="P41" s="694">
        <f t="shared" si="16"/>
        <v>1899.9240000000002</v>
      </c>
      <c r="Q41" s="694">
        <f t="shared" si="16"/>
        <v>1930.924</v>
      </c>
      <c r="R41" s="694">
        <f t="shared" si="16"/>
        <v>1936.0240000000003</v>
      </c>
      <c r="S41" s="694">
        <f>S39+SUM(S34:S37)+S40</f>
        <v>1927.5020000000002</v>
      </c>
      <c r="T41" s="863">
        <f>T39+SUM(T34:T37)+T40</f>
        <v>2024.9739999999999</v>
      </c>
      <c r="U41" s="863">
        <f>U39+SUM(U34:U37)+U40</f>
        <v>2040.6740000000004</v>
      </c>
      <c r="V41" s="1076">
        <f>V39+SUM(V34:V37)+V40</f>
        <v>2028.3168571428573</v>
      </c>
      <c r="W41" s="696">
        <f t="shared" ref="W41:AC41" si="17">W39+SUM(W34:W37)+W40</f>
        <v>2035.0168571428574</v>
      </c>
      <c r="X41" s="696">
        <f t="shared" si="17"/>
        <v>2035.2658571428574</v>
      </c>
      <c r="Y41" s="696">
        <f t="shared" si="17"/>
        <v>2084.589007842857</v>
      </c>
      <c r="Z41" s="696">
        <f t="shared" si="17"/>
        <v>2091.2890078428572</v>
      </c>
      <c r="AA41" s="696">
        <f t="shared" si="17"/>
        <v>2097.9890078428575</v>
      </c>
      <c r="AB41" s="696">
        <f t="shared" si="17"/>
        <v>2106.2170078428576</v>
      </c>
      <c r="AC41" s="696">
        <f t="shared" si="17"/>
        <v>2142.5503503188575</v>
      </c>
    </row>
    <row r="42" spans="2:101" ht="31.4" customHeight="1" x14ac:dyDescent="0.35">
      <c r="B42" s="709"/>
      <c r="C42" s="385"/>
      <c r="D42" s="694"/>
      <c r="E42" s="694"/>
      <c r="F42" s="694"/>
      <c r="G42" s="694"/>
      <c r="H42" s="694"/>
      <c r="I42" s="694"/>
      <c r="J42" s="694"/>
      <c r="K42" s="694"/>
      <c r="L42" s="694"/>
      <c r="M42" s="694"/>
      <c r="N42" s="694"/>
      <c r="O42" s="694"/>
      <c r="P42" s="694"/>
      <c r="Q42" s="694"/>
      <c r="R42" s="694"/>
      <c r="S42" s="694"/>
      <c r="T42" s="694"/>
      <c r="U42" s="694"/>
      <c r="V42" s="694">
        <f>V12-SUM(V14,V17,V18,V21,V32,V33,V34,V35)+V40</f>
        <v>1941.8068571428573</v>
      </c>
      <c r="W42" s="696"/>
      <c r="X42" s="696"/>
      <c r="Y42" s="696"/>
      <c r="Z42" s="696"/>
      <c r="AA42" s="696"/>
      <c r="AB42" s="696"/>
      <c r="AC42" s="696"/>
    </row>
    <row r="43" spans="2:101" ht="31.4" customHeight="1" x14ac:dyDescent="0.35">
      <c r="B43" s="1501" t="s">
        <v>438</v>
      </c>
      <c r="C43" s="1508"/>
      <c r="D43" s="705"/>
      <c r="E43" s="706"/>
      <c r="F43" s="706"/>
      <c r="G43" s="706"/>
      <c r="H43" s="706"/>
      <c r="I43" s="706"/>
      <c r="J43" s="706"/>
      <c r="K43" s="706"/>
      <c r="L43" s="706"/>
      <c r="M43" s="706"/>
      <c r="N43" s="706"/>
      <c r="O43" s="706"/>
      <c r="P43" s="706"/>
      <c r="Q43" s="706"/>
      <c r="R43" s="706"/>
      <c r="S43" s="706"/>
      <c r="T43" s="694"/>
      <c r="U43" s="706"/>
      <c r="V43" s="694">
        <f>V39+V37</f>
        <v>1919.9168571428572</v>
      </c>
      <c r="W43" s="696"/>
      <c r="X43" s="696"/>
      <c r="Y43" s="696"/>
      <c r="Z43" s="696"/>
      <c r="AA43" s="696"/>
      <c r="AB43" s="696"/>
      <c r="AC43" s="1096"/>
    </row>
    <row r="44" spans="2:101" x14ac:dyDescent="0.35">
      <c r="B44" s="403" t="s">
        <v>770</v>
      </c>
      <c r="C44" s="268" t="s">
        <v>439</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59">
        <f>'Haver Pivoted'!HD37</f>
        <v>1023</v>
      </c>
      <c r="T44" s="759">
        <f>'Haver Pivoted'!HE37</f>
        <v>1084.0999999999999</v>
      </c>
      <c r="U44" s="759">
        <f>'Haver Pivoted'!HF37</f>
        <v>1068</v>
      </c>
      <c r="V44" s="759">
        <f>'Haver Pivoted'!HG37</f>
        <v>1094.7</v>
      </c>
      <c r="W44" s="405"/>
      <c r="X44" s="405"/>
      <c r="Y44" s="405"/>
      <c r="Z44" s="405"/>
      <c r="AA44" s="405"/>
      <c r="AB44" s="405"/>
      <c r="AC44" s="1099"/>
    </row>
    <row r="45" spans="2:101" x14ac:dyDescent="0.35">
      <c r="B45" s="693" t="s">
        <v>197</v>
      </c>
      <c r="C45" s="268"/>
      <c r="D45" s="719">
        <f>Medicaid!D30</f>
        <v>589.5</v>
      </c>
      <c r="E45" s="620">
        <f>Medicaid!E30</f>
        <v>598.70000000000005</v>
      </c>
      <c r="F45" s="620">
        <f>Medicaid!F30</f>
        <v>614.4</v>
      </c>
      <c r="G45" s="620">
        <f>Medicaid!G30</f>
        <v>622.4</v>
      </c>
      <c r="H45" s="620">
        <f>Medicaid!H30</f>
        <v>620.6</v>
      </c>
      <c r="I45" s="620">
        <f>Medicaid!I30</f>
        <v>606.5</v>
      </c>
      <c r="J45" s="620">
        <f>Medicaid!J30</f>
        <v>654.6</v>
      </c>
      <c r="K45" s="620">
        <f>Medicaid!K30</f>
        <v>690.7</v>
      </c>
      <c r="L45" s="620">
        <f>Medicaid!L30</f>
        <v>678.5</v>
      </c>
      <c r="M45" s="620">
        <f>Medicaid!M30</f>
        <v>704.8</v>
      </c>
      <c r="N45" s="620">
        <f>Medicaid!N30</f>
        <v>745.5</v>
      </c>
      <c r="O45" s="620">
        <f>Medicaid!O30</f>
        <v>749.2</v>
      </c>
      <c r="P45" s="620">
        <f>Medicaid!P30</f>
        <v>746.4</v>
      </c>
      <c r="Q45" s="620">
        <f>Medicaid!Q30</f>
        <v>792.1</v>
      </c>
      <c r="R45" s="620">
        <f>Medicaid!R30</f>
        <v>819.3</v>
      </c>
      <c r="S45" s="759">
        <f>Medicaid!S30</f>
        <v>818.9</v>
      </c>
      <c r="T45" s="620">
        <f>Medicaid!T30</f>
        <v>827.1</v>
      </c>
      <c r="U45" s="620">
        <f>Medicaid!U30</f>
        <v>876.8</v>
      </c>
      <c r="V45" s="620">
        <f>Medicaid!V30</f>
        <v>910.9</v>
      </c>
      <c r="W45" s="725">
        <f>Medicaid!W30</f>
        <v>867.3</v>
      </c>
      <c r="X45" s="725">
        <f>Medicaid!X30</f>
        <v>857.7</v>
      </c>
      <c r="Y45" s="725">
        <f>Medicaid!Y30</f>
        <v>909.4</v>
      </c>
      <c r="Z45" s="725">
        <f>Medicaid!Z30</f>
        <v>934.7</v>
      </c>
      <c r="AA45" s="725">
        <f>Medicaid!AA30</f>
        <v>947.9</v>
      </c>
      <c r="AB45" s="725">
        <f>Medicaid!AB30</f>
        <v>960.7</v>
      </c>
      <c r="AC45" s="1071">
        <f>Medicaid!AC30</f>
        <v>955.2</v>
      </c>
    </row>
    <row r="46" spans="2:101" ht="14.9" customHeight="1" x14ac:dyDescent="0.35">
      <c r="B46" s="709" t="s">
        <v>771</v>
      </c>
      <c r="C46" s="385"/>
      <c r="D46" s="718">
        <f>D44-D45</f>
        <v>144.10000000000002</v>
      </c>
      <c r="E46" s="694">
        <f t="shared" ref="E46:O46" si="18">E44-E45</f>
        <v>145.59999999999991</v>
      </c>
      <c r="F46" s="694">
        <f t="shared" si="18"/>
        <v>147.89999999999998</v>
      </c>
      <c r="G46" s="694">
        <f t="shared" si="18"/>
        <v>149.80000000000007</v>
      </c>
      <c r="H46" s="694">
        <f t="shared" si="18"/>
        <v>151.5</v>
      </c>
      <c r="I46" s="694">
        <f t="shared" si="18"/>
        <v>154.20000000000005</v>
      </c>
      <c r="J46" s="694">
        <f t="shared" si="18"/>
        <v>156.60000000000002</v>
      </c>
      <c r="K46" s="694">
        <f t="shared" si="18"/>
        <v>159.59999999999991</v>
      </c>
      <c r="L46" s="694">
        <f t="shared" si="18"/>
        <v>162.29999999999995</v>
      </c>
      <c r="M46" s="694">
        <f t="shared" si="18"/>
        <v>165.90000000000009</v>
      </c>
      <c r="N46" s="694">
        <f t="shared" si="18"/>
        <v>169.20000000000005</v>
      </c>
      <c r="O46" s="694">
        <f t="shared" si="18"/>
        <v>174.5</v>
      </c>
      <c r="P46" s="694">
        <f>P44-P45</f>
        <v>175.30000000000007</v>
      </c>
      <c r="Q46" s="694">
        <f>Q44-Q45</f>
        <v>177.19999999999993</v>
      </c>
      <c r="R46" s="694">
        <f>R44-R45</f>
        <v>184.40000000000009</v>
      </c>
      <c r="S46" s="759">
        <f>S44-S45</f>
        <v>204.10000000000002</v>
      </c>
      <c r="T46" s="759">
        <f>T44-T45</f>
        <v>256.99999999999989</v>
      </c>
      <c r="U46" s="694">
        <f>T46*(1+AVERAGE($F$48:$I$48))+U47</f>
        <v>190.71451531976618</v>
      </c>
      <c r="V46" s="1076">
        <f>U46*(1+AVERAGE($F$48:$I$48))+V47</f>
        <v>193.47098220247852</v>
      </c>
      <c r="W46" s="696">
        <f t="shared" ref="W46:AC46" si="19">V46*(1+AVERAGE($F$48:$I$48))</f>
        <v>196.26728931267826</v>
      </c>
      <c r="X46" s="696">
        <f t="shared" si="19"/>
        <v>199.10401247579478</v>
      </c>
      <c r="Y46" s="696">
        <f t="shared" si="19"/>
        <v>201.98173583987366</v>
      </c>
      <c r="Z46" s="696">
        <f t="shared" si="19"/>
        <v>204.90105199586665</v>
      </c>
      <c r="AA46" s="696">
        <f t="shared" si="19"/>
        <v>207.86256209965993</v>
      </c>
      <c r="AB46" s="696">
        <f t="shared" si="19"/>
        <v>210.86687599586637</v>
      </c>
      <c r="AC46" s="1096">
        <f t="shared" si="19"/>
        <v>213.91461234340684</v>
      </c>
    </row>
    <row r="47" spans="2:101" ht="14.9" customHeight="1" x14ac:dyDescent="0.35">
      <c r="B47" s="709" t="s">
        <v>1646</v>
      </c>
      <c r="C47" s="385"/>
      <c r="D47" s="718"/>
      <c r="E47" s="694"/>
      <c r="F47" s="694"/>
      <c r="G47" s="694"/>
      <c r="H47" s="694"/>
      <c r="I47" s="694"/>
      <c r="J47" s="694"/>
      <c r="K47" s="694"/>
      <c r="L47" s="694"/>
      <c r="M47" s="694"/>
      <c r="N47" s="694"/>
      <c r="O47" s="694"/>
      <c r="P47" s="694"/>
      <c r="Q47" s="694"/>
      <c r="R47" s="694"/>
      <c r="S47" s="759"/>
      <c r="T47" s="694"/>
      <c r="U47" s="694">
        <v>-70</v>
      </c>
      <c r="V47" s="694"/>
      <c r="W47" s="696"/>
      <c r="X47" s="696"/>
      <c r="Y47" s="696"/>
      <c r="Z47" s="696"/>
      <c r="AA47" s="696"/>
      <c r="AB47" s="696"/>
      <c r="AC47" s="1096"/>
    </row>
    <row r="48" spans="2:101" x14ac:dyDescent="0.35">
      <c r="B48" s="874" t="s">
        <v>772</v>
      </c>
      <c r="C48" s="468"/>
      <c r="D48" s="720"/>
      <c r="E48" s="708">
        <f>E46/D46-1</f>
        <v>1.0409437890353201E-2</v>
      </c>
      <c r="F48" s="708">
        <f t="shared" ref="F48:N48" si="20">F46/E46-1</f>
        <v>1.5796703296703685E-2</v>
      </c>
      <c r="G48" s="708">
        <f t="shared" si="20"/>
        <v>1.2846517917512346E-2</v>
      </c>
      <c r="H48" s="708">
        <f t="shared" si="20"/>
        <v>1.1348464619492127E-2</v>
      </c>
      <c r="I48" s="708">
        <f t="shared" si="20"/>
        <v>1.782178217821806E-2</v>
      </c>
      <c r="J48" s="708">
        <f t="shared" si="20"/>
        <v>1.5564202334630295E-2</v>
      </c>
      <c r="K48" s="708">
        <f t="shared" si="20"/>
        <v>1.9157088122604637E-2</v>
      </c>
      <c r="L48" s="708">
        <f t="shared" si="20"/>
        <v>1.6917293233082997E-2</v>
      </c>
      <c r="M48" s="708">
        <f t="shared" si="20"/>
        <v>2.2181146025878951E-2</v>
      </c>
      <c r="N48" s="708">
        <f t="shared" si="20"/>
        <v>1.9891500904158921E-2</v>
      </c>
      <c r="O48" s="708">
        <f>O46/N46-1</f>
        <v>3.1323877068557548E-2</v>
      </c>
      <c r="P48" s="708">
        <f t="shared" ref="P48:S48" si="21">P46/O46-1</f>
        <v>4.5845272206308518E-3</v>
      </c>
      <c r="Q48" s="708">
        <f t="shared" si="21"/>
        <v>1.0838562464346113E-2</v>
      </c>
      <c r="R48" s="708">
        <f t="shared" si="21"/>
        <v>4.0632054176073185E-2</v>
      </c>
      <c r="S48" s="780">
        <f t="shared" si="21"/>
        <v>0.1068329718004335</v>
      </c>
      <c r="T48" s="695"/>
      <c r="U48" s="695"/>
      <c r="V48" s="695"/>
      <c r="W48" s="716"/>
      <c r="X48" s="716"/>
      <c r="Y48" s="716"/>
      <c r="Z48" s="716"/>
      <c r="AA48" s="716"/>
      <c r="AB48" s="716"/>
      <c r="AC48" s="1095"/>
    </row>
    <row r="51" spans="2:39" x14ac:dyDescent="0.35">
      <c r="B51" s="1450"/>
      <c r="C51" s="1450"/>
      <c r="U51" s="265"/>
      <c r="V51" s="265"/>
      <c r="W51" s="265"/>
      <c r="X51" s="265"/>
      <c r="Y51" s="265"/>
      <c r="Z51" s="265"/>
      <c r="AA51" s="265"/>
      <c r="AB51" s="265"/>
      <c r="AC51" s="265"/>
    </row>
    <row r="52" spans="2:39" x14ac:dyDescent="0.35">
      <c r="B52" s="356"/>
      <c r="C52" s="268"/>
      <c r="U52" s="620"/>
      <c r="V52" s="620">
        <f>V40+V39+V34+V35+V36+V37</f>
        <v>2028.3168571428573</v>
      </c>
      <c r="W52" s="620"/>
      <c r="X52" s="620"/>
      <c r="Y52" s="620"/>
      <c r="Z52" s="620"/>
      <c r="AA52" s="620"/>
      <c r="AB52" s="620"/>
      <c r="AC52" s="620"/>
      <c r="AD52" s="647"/>
      <c r="AE52" s="647"/>
      <c r="AF52" s="647"/>
      <c r="AG52" s="647"/>
      <c r="AH52" s="647"/>
      <c r="AI52" s="647"/>
      <c r="AJ52" s="647"/>
      <c r="AK52" s="647"/>
      <c r="AL52" s="647"/>
      <c r="AM52" s="647"/>
    </row>
    <row r="53" spans="2:39" x14ac:dyDescent="0.35">
      <c r="B53" s="356"/>
      <c r="C53" s="268"/>
      <c r="U53" s="265"/>
      <c r="V53" s="265"/>
      <c r="W53" s="265"/>
      <c r="X53" s="265"/>
      <c r="Y53" s="265"/>
      <c r="Z53" s="265"/>
      <c r="AA53" s="265"/>
      <c r="AB53" s="265"/>
      <c r="AC53" s="265"/>
      <c r="AD53" s="647"/>
      <c r="AE53" s="647"/>
      <c r="AF53" s="647"/>
      <c r="AG53" s="647"/>
      <c r="AH53" s="647"/>
      <c r="AI53" s="647"/>
      <c r="AJ53" s="647"/>
      <c r="AK53" s="647"/>
      <c r="AL53" s="647"/>
      <c r="AM53" s="647"/>
    </row>
    <row r="54" spans="2:39" ht="28.5" customHeight="1" x14ac:dyDescent="0.35">
      <c r="B54" s="375"/>
      <c r="C54" s="268"/>
      <c r="U54" s="620"/>
      <c r="V54" s="620"/>
      <c r="W54" s="620"/>
      <c r="X54" s="620"/>
      <c r="Y54" s="620"/>
      <c r="Z54" s="620"/>
      <c r="AA54" s="620"/>
      <c r="AB54" s="620"/>
      <c r="AC54" s="620"/>
      <c r="AD54" s="647"/>
      <c r="AE54" s="647"/>
      <c r="AF54" s="647"/>
      <c r="AG54" s="647"/>
      <c r="AH54" s="647"/>
      <c r="AI54" s="647"/>
      <c r="AJ54" s="647"/>
      <c r="AK54" s="647"/>
      <c r="AL54" s="647"/>
      <c r="AM54" s="647"/>
    </row>
    <row r="55" spans="2:39" x14ac:dyDescent="0.35">
      <c r="B55" s="375"/>
      <c r="C55" s="268"/>
      <c r="U55" s="620"/>
      <c r="V55" s="620"/>
      <c r="W55" s="620"/>
      <c r="X55" s="620"/>
      <c r="Y55" s="620"/>
      <c r="Z55" s="620"/>
      <c r="AA55" s="620"/>
      <c r="AB55" s="620"/>
      <c r="AC55" s="620"/>
      <c r="AD55" s="647"/>
      <c r="AE55" s="647"/>
      <c r="AF55" s="647"/>
      <c r="AG55" s="647"/>
      <c r="AH55" s="647"/>
      <c r="AI55" s="647"/>
      <c r="AJ55" s="647"/>
      <c r="AK55" s="647"/>
      <c r="AL55" s="647"/>
      <c r="AM55" s="647"/>
    </row>
    <row r="56" spans="2:39" x14ac:dyDescent="0.35">
      <c r="B56" s="356"/>
      <c r="C56" s="268"/>
      <c r="U56" s="620"/>
      <c r="V56" s="620"/>
      <c r="W56" s="620"/>
      <c r="X56" s="620"/>
      <c r="Y56" s="620"/>
      <c r="Z56" s="620"/>
      <c r="AA56" s="620"/>
      <c r="AB56" s="620"/>
      <c r="AC56" s="620"/>
      <c r="AD56" s="647"/>
      <c r="AE56" s="647"/>
      <c r="AF56" s="647"/>
      <c r="AG56" s="647"/>
      <c r="AH56" s="647"/>
      <c r="AI56" s="647"/>
      <c r="AJ56" s="647"/>
      <c r="AK56" s="647"/>
      <c r="AL56" s="647"/>
      <c r="AM56" s="647"/>
    </row>
    <row r="57" spans="2:39" x14ac:dyDescent="0.35">
      <c r="B57" s="380"/>
      <c r="C57" s="385"/>
      <c r="U57" s="694"/>
      <c r="V57" s="694"/>
      <c r="W57" s="694"/>
      <c r="X57" s="694"/>
      <c r="Y57" s="694"/>
      <c r="Z57" s="694"/>
      <c r="AA57" s="694"/>
      <c r="AB57" s="694"/>
      <c r="AC57" s="694"/>
      <c r="AD57" s="647"/>
      <c r="AE57" s="647"/>
      <c r="AF57" s="647"/>
      <c r="AG57" s="647"/>
      <c r="AH57" s="647"/>
      <c r="AI57" s="647"/>
      <c r="AJ57" s="647"/>
      <c r="AK57" s="647"/>
      <c r="AL57" s="647"/>
      <c r="AM57" s="647"/>
    </row>
    <row r="58" spans="2:39" x14ac:dyDescent="0.35">
      <c r="B58" s="375"/>
      <c r="C58" s="837"/>
      <c r="U58" s="620"/>
      <c r="V58" s="620"/>
      <c r="W58" s="620"/>
      <c r="X58" s="620"/>
      <c r="Y58" s="620"/>
      <c r="Z58" s="620"/>
      <c r="AA58" s="620"/>
      <c r="AB58" s="620"/>
      <c r="AC58" s="620"/>
      <c r="AD58" s="647"/>
      <c r="AE58" s="647"/>
      <c r="AF58" s="647"/>
      <c r="AG58" s="647"/>
      <c r="AH58" s="647"/>
      <c r="AI58" s="647"/>
      <c r="AJ58" s="647"/>
      <c r="AK58" s="647"/>
      <c r="AL58" s="647"/>
      <c r="AM58" s="647"/>
    </row>
    <row r="59" spans="2:39" x14ac:dyDescent="0.35">
      <c r="B59" s="375"/>
      <c r="C59" s="837"/>
      <c r="U59" s="365"/>
      <c r="V59" s="365"/>
      <c r="W59" s="365"/>
      <c r="X59" s="365"/>
      <c r="Y59" s="365"/>
      <c r="Z59" s="365"/>
      <c r="AA59" s="365"/>
      <c r="AB59" s="365"/>
      <c r="AC59" s="365"/>
      <c r="AD59" s="647"/>
      <c r="AE59" s="647"/>
      <c r="AF59" s="647"/>
      <c r="AG59" s="647"/>
      <c r="AH59" s="647"/>
      <c r="AI59" s="647"/>
      <c r="AJ59" s="647"/>
      <c r="AK59" s="647"/>
      <c r="AL59" s="647"/>
      <c r="AM59" s="647"/>
    </row>
    <row r="60" spans="2:39" x14ac:dyDescent="0.35">
      <c r="B60" s="375"/>
      <c r="C60" s="268"/>
      <c r="U60" s="620"/>
      <c r="V60" s="620"/>
      <c r="W60" s="620"/>
      <c r="X60" s="620"/>
      <c r="Y60" s="620"/>
      <c r="Z60" s="620"/>
      <c r="AA60" s="620"/>
      <c r="AB60" s="620"/>
      <c r="AC60" s="620"/>
      <c r="AD60" s="647"/>
      <c r="AE60" s="647"/>
      <c r="AF60" s="647"/>
      <c r="AG60" s="647"/>
      <c r="AH60" s="647"/>
      <c r="AI60" s="647"/>
      <c r="AJ60" s="647"/>
      <c r="AK60" s="647"/>
      <c r="AL60" s="647"/>
      <c r="AM60" s="647"/>
    </row>
    <row r="61" spans="2:39" x14ac:dyDescent="0.35">
      <c r="B61" s="375"/>
      <c r="C61" s="268"/>
      <c r="U61" s="620"/>
      <c r="V61" s="620"/>
      <c r="W61" s="620"/>
      <c r="X61" s="620"/>
      <c r="Y61" s="620"/>
      <c r="Z61" s="620"/>
      <c r="AA61" s="620"/>
      <c r="AB61" s="620"/>
      <c r="AC61" s="620"/>
      <c r="AD61" s="647"/>
      <c r="AE61" s="647"/>
      <c r="AF61" s="647"/>
      <c r="AG61" s="647"/>
      <c r="AH61" s="647"/>
      <c r="AI61" s="647"/>
      <c r="AJ61" s="647"/>
      <c r="AK61" s="647"/>
      <c r="AL61" s="647"/>
      <c r="AM61" s="647"/>
    </row>
    <row r="62" spans="2:39" x14ac:dyDescent="0.35">
      <c r="B62" s="375"/>
      <c r="C62" s="268"/>
      <c r="U62" s="620"/>
      <c r="V62" s="620"/>
      <c r="W62" s="620"/>
      <c r="X62" s="620"/>
      <c r="Y62" s="620"/>
      <c r="Z62" s="620"/>
      <c r="AA62" s="620"/>
      <c r="AB62" s="620"/>
      <c r="AC62" s="620"/>
      <c r="AD62" s="647"/>
      <c r="AE62" s="647"/>
      <c r="AF62" s="647"/>
      <c r="AG62" s="647"/>
      <c r="AH62" s="647"/>
      <c r="AI62" s="647"/>
      <c r="AJ62" s="647"/>
      <c r="AK62" s="647"/>
      <c r="AL62" s="647"/>
      <c r="AM62" s="647"/>
    </row>
    <row r="63" spans="2:39" x14ac:dyDescent="0.35">
      <c r="B63" s="356"/>
      <c r="C63" s="268"/>
      <c r="U63" s="620"/>
      <c r="V63" s="620"/>
      <c r="W63" s="620"/>
      <c r="X63" s="620"/>
      <c r="Y63" s="620"/>
      <c r="Z63" s="620"/>
      <c r="AA63" s="620"/>
      <c r="AB63" s="620"/>
      <c r="AC63" s="620"/>
      <c r="AD63" s="647"/>
      <c r="AE63" s="647"/>
      <c r="AF63" s="647"/>
      <c r="AG63" s="647"/>
      <c r="AH63" s="647"/>
      <c r="AI63" s="647"/>
      <c r="AJ63" s="647"/>
      <c r="AK63" s="647"/>
      <c r="AL63" s="647"/>
      <c r="AM63" s="647"/>
    </row>
    <row r="64" spans="2:39" x14ac:dyDescent="0.35">
      <c r="B64" s="380"/>
      <c r="C64" s="385"/>
      <c r="U64" s="761"/>
      <c r="V64" s="761"/>
      <c r="W64" s="761"/>
      <c r="X64" s="761"/>
      <c r="Y64" s="761"/>
      <c r="Z64" s="761"/>
      <c r="AA64" s="761"/>
      <c r="AB64" s="761"/>
      <c r="AC64" s="761"/>
      <c r="AD64" s="647"/>
      <c r="AE64" s="647"/>
      <c r="AF64" s="647"/>
      <c r="AG64" s="647"/>
      <c r="AH64" s="647"/>
      <c r="AI64" s="647"/>
      <c r="AJ64" s="647"/>
      <c r="AK64" s="647"/>
      <c r="AL64" s="647"/>
      <c r="AM64" s="647"/>
    </row>
    <row r="65" spans="2:39" ht="28.5" customHeight="1" x14ac:dyDescent="0.35">
      <c r="B65" s="375"/>
      <c r="C65" s="268"/>
      <c r="U65" s="620"/>
      <c r="V65" s="620"/>
      <c r="W65" s="620"/>
      <c r="X65" s="620"/>
      <c r="Y65" s="620"/>
      <c r="Z65" s="620"/>
      <c r="AA65" s="620"/>
      <c r="AB65" s="620"/>
      <c r="AC65" s="620"/>
      <c r="AD65" s="647"/>
      <c r="AE65" s="647"/>
      <c r="AF65" s="647"/>
      <c r="AG65" s="647"/>
      <c r="AH65" s="647"/>
      <c r="AI65" s="647"/>
      <c r="AJ65" s="647"/>
      <c r="AK65" s="647"/>
      <c r="AL65" s="647"/>
      <c r="AM65" s="647"/>
    </row>
    <row r="66" spans="2:39" x14ac:dyDescent="0.35">
      <c r="B66" s="488"/>
      <c r="C66" s="44"/>
      <c r="U66" s="859"/>
      <c r="V66" s="859"/>
      <c r="W66" s="859"/>
      <c r="X66" s="859"/>
      <c r="Y66" s="859"/>
      <c r="Z66" s="859"/>
      <c r="AA66" s="859"/>
      <c r="AB66" s="859"/>
      <c r="AC66" s="859"/>
      <c r="AD66" s="647"/>
      <c r="AE66" s="647"/>
      <c r="AF66" s="647"/>
      <c r="AG66" s="647"/>
      <c r="AH66" s="647"/>
      <c r="AI66" s="647"/>
      <c r="AJ66" s="647"/>
      <c r="AK66" s="647"/>
      <c r="AL66" s="647"/>
      <c r="AM66" s="647"/>
    </row>
    <row r="67" spans="2:39" x14ac:dyDescent="0.35">
      <c r="B67" s="385"/>
      <c r="C67" s="385"/>
      <c r="U67" s="694"/>
      <c r="V67" s="694"/>
      <c r="W67" s="694"/>
      <c r="X67" s="694"/>
      <c r="Y67" s="694"/>
      <c r="Z67" s="694"/>
      <c r="AA67" s="694"/>
      <c r="AB67" s="694"/>
      <c r="AC67" s="694"/>
      <c r="AD67" s="647"/>
      <c r="AE67" s="647"/>
      <c r="AF67" s="647"/>
      <c r="AG67" s="647"/>
      <c r="AH67" s="647"/>
      <c r="AI67" s="647"/>
      <c r="AJ67" s="647"/>
      <c r="AK67" s="647"/>
      <c r="AL67" s="647"/>
      <c r="AM67" s="647"/>
    </row>
    <row r="68" spans="2:39" x14ac:dyDescent="0.35">
      <c r="B68" s="1450"/>
      <c r="C68" s="1450"/>
      <c r="U68" s="694"/>
      <c r="V68" s="694"/>
      <c r="W68" s="694"/>
      <c r="X68" s="694"/>
      <c r="Y68" s="694"/>
      <c r="Z68" s="694"/>
      <c r="AA68" s="694"/>
      <c r="AB68" s="694"/>
      <c r="AC68" s="694"/>
      <c r="AD68" s="647"/>
      <c r="AE68" s="647"/>
      <c r="AF68" s="647"/>
      <c r="AG68" s="647"/>
      <c r="AH68" s="647"/>
      <c r="AI68" s="647"/>
      <c r="AJ68" s="647"/>
      <c r="AK68" s="647"/>
      <c r="AL68" s="647"/>
      <c r="AM68" s="647"/>
    </row>
    <row r="69" spans="2:39" x14ac:dyDescent="0.35">
      <c r="B69" s="356"/>
      <c r="C69" s="268"/>
      <c r="U69" s="268"/>
      <c r="V69" s="268"/>
      <c r="W69" s="268"/>
      <c r="X69" s="268"/>
      <c r="Y69" s="268"/>
      <c r="Z69" s="268"/>
      <c r="AA69" s="268"/>
      <c r="AB69" s="268"/>
      <c r="AC69" s="268"/>
      <c r="AD69" s="647"/>
      <c r="AE69" s="647"/>
      <c r="AF69" s="647"/>
      <c r="AG69" s="647"/>
      <c r="AH69" s="647"/>
      <c r="AI69" s="647"/>
      <c r="AJ69" s="647"/>
      <c r="AK69" s="647"/>
      <c r="AL69" s="647"/>
      <c r="AM69" s="647"/>
    </row>
    <row r="70" spans="2:39" x14ac:dyDescent="0.35">
      <c r="B70" s="268"/>
      <c r="C70" s="268"/>
      <c r="U70" s="620"/>
      <c r="V70" s="620"/>
      <c r="W70" s="620"/>
      <c r="X70" s="620"/>
      <c r="Y70" s="620"/>
      <c r="Z70" s="620"/>
      <c r="AA70" s="620"/>
      <c r="AB70" s="620"/>
      <c r="AC70" s="620"/>
      <c r="AD70" s="647"/>
      <c r="AE70" s="647"/>
      <c r="AF70" s="647"/>
      <c r="AG70" s="647"/>
      <c r="AH70" s="647"/>
      <c r="AI70" s="647"/>
      <c r="AJ70" s="647"/>
      <c r="AK70" s="647"/>
      <c r="AL70" s="647"/>
      <c r="AM70" s="647"/>
    </row>
    <row r="71" spans="2:39" x14ac:dyDescent="0.35">
      <c r="B71" s="385"/>
      <c r="C71" s="385"/>
      <c r="U71" s="694"/>
      <c r="V71" s="694"/>
      <c r="W71" s="694"/>
      <c r="X71" s="694"/>
      <c r="Y71" s="694"/>
      <c r="Z71" s="694"/>
      <c r="AA71" s="694"/>
      <c r="AB71" s="694"/>
      <c r="AC71" s="694"/>
      <c r="AD71" s="647"/>
      <c r="AE71" s="647"/>
      <c r="AF71" s="647"/>
      <c r="AG71" s="647"/>
      <c r="AH71" s="647"/>
      <c r="AI71" s="647"/>
      <c r="AJ71" s="647"/>
      <c r="AK71" s="647"/>
      <c r="AL71" s="647"/>
      <c r="AM71" s="647"/>
    </row>
    <row r="72" spans="2:39" x14ac:dyDescent="0.35">
      <c r="B72" s="385"/>
      <c r="C72" s="385"/>
      <c r="U72" s="694"/>
      <c r="V72" s="694"/>
      <c r="W72" s="694"/>
      <c r="X72" s="694"/>
      <c r="Y72" s="694"/>
      <c r="Z72" s="694"/>
      <c r="AA72" s="694"/>
      <c r="AB72" s="694"/>
      <c r="AC72" s="694"/>
      <c r="AD72" s="647"/>
      <c r="AE72" s="647"/>
      <c r="AF72" s="647"/>
      <c r="AG72" s="647"/>
      <c r="AH72" s="647"/>
      <c r="AI72" s="647"/>
      <c r="AJ72" s="647"/>
      <c r="AK72" s="647"/>
      <c r="AL72" s="647"/>
      <c r="AM72" s="647"/>
    </row>
    <row r="73" spans="2:39" x14ac:dyDescent="0.35">
      <c r="B73" s="1073"/>
      <c r="C73" s="268"/>
      <c r="U73" s="620"/>
      <c r="V73" s="620"/>
      <c r="W73" s="620"/>
      <c r="X73" s="620"/>
      <c r="Y73" s="620"/>
      <c r="Z73" s="620"/>
      <c r="AA73" s="620"/>
      <c r="AB73" s="620"/>
      <c r="AC73" s="620"/>
      <c r="AD73" s="647"/>
      <c r="AE73" s="647"/>
      <c r="AF73" s="647"/>
      <c r="AG73" s="647"/>
      <c r="AH73" s="647"/>
      <c r="AI73" s="647"/>
      <c r="AJ73" s="647"/>
      <c r="AK73" s="647"/>
      <c r="AL73" s="647"/>
      <c r="AM73" s="647"/>
    </row>
    <row r="75" spans="2:39" x14ac:dyDescent="0.35">
      <c r="U75" s="1525"/>
      <c r="V75" s="1525"/>
      <c r="W75" s="1525"/>
      <c r="X75" s="1525"/>
    </row>
    <row r="76" spans="2:39" x14ac:dyDescent="0.35">
      <c r="U76" s="1525"/>
      <c r="V76" s="1525"/>
      <c r="W76" s="1525"/>
      <c r="X76" s="1525"/>
    </row>
    <row r="77" spans="2:39" x14ac:dyDescent="0.35">
      <c r="U77" s="1525"/>
      <c r="V77" s="1525"/>
      <c r="W77" s="1525"/>
      <c r="X77" s="1525"/>
    </row>
    <row r="79" spans="2:39" x14ac:dyDescent="0.35">
      <c r="P79" s="611"/>
      <c r="Q79" s="611"/>
    </row>
    <row r="80" spans="2:39" x14ac:dyDescent="0.35">
      <c r="B80" s="644" t="s">
        <v>318</v>
      </c>
      <c r="D80" s="620"/>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row>
    <row r="81" spans="2:33" ht="45.75" customHeight="1" x14ac:dyDescent="0.35">
      <c r="B81" s="1414" t="s">
        <v>442</v>
      </c>
      <c r="C81" s="1414"/>
      <c r="D81" s="1414"/>
      <c r="E81" s="1414"/>
      <c r="F81" s="1414"/>
      <c r="G81" s="1414"/>
      <c r="H81" s="1414"/>
      <c r="I81" s="1414"/>
      <c r="J81" s="1414"/>
      <c r="K81" s="1414"/>
      <c r="L81" s="1414"/>
      <c r="M81" s="1414"/>
      <c r="N81" s="1414"/>
      <c r="O81" s="1414"/>
      <c r="P81" s="1414"/>
      <c r="Q81" s="1414"/>
      <c r="R81" s="1414"/>
      <c r="S81" s="1414"/>
      <c r="T81" s="1414"/>
      <c r="U81" s="1414"/>
      <c r="V81" s="1414"/>
      <c r="W81" s="1414"/>
      <c r="X81" s="1414"/>
      <c r="Y81" s="1414"/>
      <c r="Z81" s="1414"/>
      <c r="AA81" s="1414"/>
      <c r="AB81" s="1414"/>
      <c r="AC81" s="1414"/>
    </row>
    <row r="82" spans="2:33" ht="14.9" customHeight="1" x14ac:dyDescent="0.35">
      <c r="B82" s="1419" t="s">
        <v>443</v>
      </c>
      <c r="C82" s="1420"/>
      <c r="D82" s="1400" t="s">
        <v>246</v>
      </c>
      <c r="E82" s="1401"/>
      <c r="F82" s="1401"/>
      <c r="G82" s="1401"/>
      <c r="H82" s="1401"/>
      <c r="I82" s="1401"/>
      <c r="J82" s="1401"/>
      <c r="K82" s="1401"/>
      <c r="L82" s="1401"/>
      <c r="M82" s="1401"/>
      <c r="N82" s="1401"/>
      <c r="O82" s="1401"/>
      <c r="P82" s="1401"/>
      <c r="Q82" s="1401"/>
      <c r="R82" s="1401"/>
      <c r="S82" s="1401"/>
      <c r="T82" s="1401"/>
      <c r="U82" s="1401"/>
      <c r="V82" s="1402"/>
      <c r="W82" s="1495" t="s">
        <v>247</v>
      </c>
      <c r="X82" s="1496"/>
      <c r="Y82" s="1496"/>
      <c r="Z82" s="1496"/>
      <c r="AA82" s="1496"/>
      <c r="AB82" s="1496"/>
      <c r="AC82" s="1496"/>
      <c r="AD82" s="1496"/>
      <c r="AE82" s="1496"/>
      <c r="AF82" s="1496"/>
      <c r="AG82" s="1496"/>
    </row>
    <row r="83" spans="2:33" x14ac:dyDescent="0.35">
      <c r="B83" s="1419"/>
      <c r="C83" s="1420"/>
      <c r="D83" s="249">
        <v>2018</v>
      </c>
      <c r="E83" s="1403">
        <v>2019</v>
      </c>
      <c r="F83" s="1413"/>
      <c r="G83" s="1413"/>
      <c r="H83" s="1405"/>
      <c r="I83" s="1403">
        <v>2020</v>
      </c>
      <c r="J83" s="1413"/>
      <c r="K83" s="1413"/>
      <c r="L83" s="1413"/>
      <c r="M83" s="1403">
        <v>2021</v>
      </c>
      <c r="N83" s="1413"/>
      <c r="O83" s="1413"/>
      <c r="P83" s="1413"/>
      <c r="Q83" s="1403">
        <v>2022</v>
      </c>
      <c r="R83" s="1404"/>
      <c r="S83" s="1404"/>
      <c r="T83" s="1405"/>
      <c r="U83" s="277"/>
      <c r="V83" s="282">
        <v>2023</v>
      </c>
      <c r="W83" s="760"/>
      <c r="X83" s="431"/>
      <c r="Y83" s="1410">
        <v>2024</v>
      </c>
      <c r="Z83" s="1411"/>
      <c r="AA83" s="1411"/>
      <c r="AB83" s="1412"/>
      <c r="AC83" s="1410">
        <v>2025</v>
      </c>
      <c r="AD83" s="1411"/>
      <c r="AE83" s="1411"/>
      <c r="AF83" s="1412"/>
      <c r="AG83" s="1072">
        <v>2026</v>
      </c>
    </row>
    <row r="84" spans="2:33" x14ac:dyDescent="0.35">
      <c r="B84" s="1421"/>
      <c r="C84" s="1422"/>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93" t="s">
        <v>1386</v>
      </c>
      <c r="D85" s="378"/>
      <c r="E85" s="422"/>
      <c r="F85" s="422"/>
      <c r="G85" s="422"/>
      <c r="H85" s="422"/>
      <c r="I85" s="703">
        <f>(I86-AVERAGE($E86:$H86))</f>
        <v>6.9950000000000045</v>
      </c>
      <c r="J85" s="703">
        <f t="shared" ref="J85:U85" si="22">(J86-AVERAGE($E86:$H86))</f>
        <v>51.122999999999998</v>
      </c>
      <c r="K85" s="703">
        <f t="shared" si="22"/>
        <v>51.055</v>
      </c>
      <c r="L85" s="703">
        <f t="shared" si="22"/>
        <v>51.762999999999998</v>
      </c>
      <c r="M85" s="703">
        <f t="shared" si="22"/>
        <v>91.453000000000003</v>
      </c>
      <c r="N85" s="703">
        <f t="shared" si="22"/>
        <v>101.11800000000002</v>
      </c>
      <c r="O85" s="703">
        <f t="shared" si="22"/>
        <v>93.417000000000002</v>
      </c>
      <c r="P85" s="703">
        <f t="shared" si="22"/>
        <v>99.84</v>
      </c>
      <c r="Q85" s="703">
        <f t="shared" si="22"/>
        <v>77.435000000000002</v>
      </c>
      <c r="R85" s="703">
        <f t="shared" si="22"/>
        <v>74.290999999999997</v>
      </c>
      <c r="S85" s="704">
        <f t="shared" si="22"/>
        <v>69.937000000000012</v>
      </c>
      <c r="T85" s="878">
        <f t="shared" si="22"/>
        <v>91.18</v>
      </c>
      <c r="U85" s="704">
        <f t="shared" si="22"/>
        <v>84.404000000000025</v>
      </c>
      <c r="V85" s="704">
        <f>(V86-AVERAGE($E86:$H86))</f>
        <v>52.51</v>
      </c>
      <c r="W85" s="880">
        <f>V85</f>
        <v>52.51</v>
      </c>
      <c r="X85" s="880">
        <f t="shared" ref="X85:AG85" si="23">W85</f>
        <v>52.51</v>
      </c>
      <c r="Y85" s="880">
        <f t="shared" si="23"/>
        <v>52.51</v>
      </c>
      <c r="Z85" s="880">
        <f t="shared" si="23"/>
        <v>52.51</v>
      </c>
      <c r="AA85" s="880">
        <f t="shared" si="23"/>
        <v>52.51</v>
      </c>
      <c r="AB85" s="880">
        <f t="shared" si="23"/>
        <v>52.51</v>
      </c>
      <c r="AC85" s="854">
        <f t="shared" si="23"/>
        <v>52.51</v>
      </c>
      <c r="AD85" s="880">
        <f t="shared" si="23"/>
        <v>52.51</v>
      </c>
      <c r="AE85" s="880">
        <f t="shared" si="23"/>
        <v>52.51</v>
      </c>
      <c r="AF85" s="880">
        <f t="shared" si="23"/>
        <v>52.51</v>
      </c>
      <c r="AG85" s="880">
        <f t="shared" si="23"/>
        <v>52.51</v>
      </c>
    </row>
    <row r="86" spans="2:33" x14ac:dyDescent="0.35">
      <c r="B86" s="693" t="s">
        <v>148</v>
      </c>
      <c r="C86" s="268" t="s">
        <v>444</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92" t="s">
        <v>445</v>
      </c>
      <c r="C87" s="468"/>
      <c r="D87" s="852"/>
      <c r="E87" s="690"/>
      <c r="F87" s="690"/>
      <c r="G87" s="690"/>
      <c r="H87" s="690"/>
      <c r="I87" s="690"/>
      <c r="J87" s="690">
        <f t="shared" ref="J87:V87" si="24">J86-$H86</f>
        <v>51.543999999999997</v>
      </c>
      <c r="K87" s="690">
        <f t="shared" si="24"/>
        <v>51.475999999999999</v>
      </c>
      <c r="L87" s="690">
        <f t="shared" si="24"/>
        <v>52.183999999999997</v>
      </c>
      <c r="M87" s="690">
        <f t="shared" si="24"/>
        <v>91.873999999999995</v>
      </c>
      <c r="N87" s="690">
        <f>N86-$H86</f>
        <v>101.53900000000002</v>
      </c>
      <c r="O87" s="690">
        <f>O86-$H86</f>
        <v>93.837999999999994</v>
      </c>
      <c r="P87" s="690">
        <f t="shared" si="24"/>
        <v>100.261</v>
      </c>
      <c r="Q87" s="690">
        <f t="shared" si="24"/>
        <v>77.855999999999995</v>
      </c>
      <c r="R87" s="690">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44" t="s">
        <v>331</v>
      </c>
    </row>
    <row r="93" spans="2:33" x14ac:dyDescent="0.35">
      <c r="B93" s="1504" t="s">
        <v>769</v>
      </c>
      <c r="C93" s="1505"/>
      <c r="D93" s="1421" t="s">
        <v>246</v>
      </c>
      <c r="E93" s="1466"/>
      <c r="F93" s="1466"/>
      <c r="G93" s="1466"/>
      <c r="H93" s="1466"/>
      <c r="I93" s="1466"/>
      <c r="J93" s="1466"/>
      <c r="K93" s="1466"/>
      <c r="L93" s="1466"/>
      <c r="M93" s="1466"/>
      <c r="N93" s="1466"/>
      <c r="O93" s="1466"/>
      <c r="P93" s="1466"/>
      <c r="Q93" s="1466"/>
      <c r="R93" s="1466"/>
      <c r="S93" s="1466"/>
      <c r="T93" s="1466"/>
      <c r="U93" s="1466"/>
      <c r="V93" s="1422"/>
      <c r="W93" s="1495" t="s">
        <v>247</v>
      </c>
      <c r="X93" s="1496"/>
      <c r="Y93" s="1496"/>
      <c r="Z93" s="1496"/>
      <c r="AA93" s="1496"/>
      <c r="AB93" s="1496"/>
      <c r="AC93" s="1496"/>
      <c r="AD93" s="1496"/>
      <c r="AE93" s="1496"/>
      <c r="AF93" s="1496"/>
      <c r="AG93" s="1496"/>
    </row>
    <row r="94" spans="2:33" x14ac:dyDescent="0.35">
      <c r="B94" s="1506"/>
      <c r="C94" s="1507"/>
      <c r="D94" s="249">
        <v>2018</v>
      </c>
      <c r="E94" s="1403">
        <v>2019</v>
      </c>
      <c r="F94" s="1413"/>
      <c r="G94" s="1413"/>
      <c r="H94" s="1405"/>
      <c r="I94" s="1403">
        <v>2020</v>
      </c>
      <c r="J94" s="1413"/>
      <c r="K94" s="1413"/>
      <c r="L94" s="1413"/>
      <c r="M94" s="1403">
        <v>2021</v>
      </c>
      <c r="N94" s="1413"/>
      <c r="O94" s="1413"/>
      <c r="P94" s="1413"/>
      <c r="Q94" s="1403">
        <v>2022</v>
      </c>
      <c r="R94" s="1404"/>
      <c r="S94" s="1404"/>
      <c r="T94" s="1405"/>
      <c r="U94" s="277"/>
      <c r="V94" s="282">
        <v>2023</v>
      </c>
      <c r="W94" s="760"/>
      <c r="X94" s="431"/>
      <c r="Y94" s="1410">
        <v>2024</v>
      </c>
      <c r="Z94" s="1411"/>
      <c r="AA94" s="1411"/>
      <c r="AB94" s="1412"/>
      <c r="AC94" s="1410">
        <v>2025</v>
      </c>
      <c r="AD94" s="1411"/>
      <c r="AE94" s="1411"/>
      <c r="AF94" s="1412"/>
      <c r="AG94" s="1072">
        <v>2026</v>
      </c>
    </row>
    <row r="95" spans="2:33" x14ac:dyDescent="0.35">
      <c r="B95" s="1506"/>
      <c r="C95" s="1507"/>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36" t="s">
        <v>432</v>
      </c>
      <c r="C96" s="877" t="s">
        <v>433</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79">
        <f>'Haver Pivoted'!HE31</f>
        <v>3033.2</v>
      </c>
      <c r="U96" s="477">
        <f>'Haver Pivoted'!HF31</f>
        <v>3055.3</v>
      </c>
      <c r="V96" s="477">
        <f>'Haver Pivoted'!HG31</f>
        <v>3066.9</v>
      </c>
      <c r="W96" s="1092"/>
      <c r="X96" s="1092"/>
      <c r="Y96" s="1092"/>
      <c r="Z96" s="1092"/>
      <c r="AA96" s="1092"/>
      <c r="AB96" s="1092"/>
      <c r="AC96" s="858"/>
      <c r="AD96" s="858"/>
      <c r="AE96" s="858"/>
      <c r="AF96" s="858"/>
      <c r="AG96" s="353"/>
    </row>
    <row r="97" spans="2:33" ht="25.75" customHeight="1" x14ac:dyDescent="0.35">
      <c r="B97" s="606" t="s">
        <v>1796</v>
      </c>
      <c r="C97" s="268"/>
      <c r="D97" s="851">
        <f>D98+D99</f>
        <v>812.1</v>
      </c>
      <c r="E97" s="580">
        <f>E98+E99</f>
        <v>833.1</v>
      </c>
      <c r="F97" s="580">
        <f>F98+F99</f>
        <v>845.8</v>
      </c>
      <c r="G97" s="580">
        <f t="shared" ref="G97:N97" si="25">G98+G99</f>
        <v>854.4</v>
      </c>
      <c r="H97" s="580">
        <f t="shared" si="25"/>
        <v>858.7</v>
      </c>
      <c r="I97" s="580">
        <f t="shared" si="25"/>
        <v>881.29500000000007</v>
      </c>
      <c r="J97" s="580">
        <f t="shared" si="25"/>
        <v>3148.123</v>
      </c>
      <c r="K97" s="580">
        <f t="shared" si="25"/>
        <v>1872.855</v>
      </c>
      <c r="L97" s="580">
        <f t="shared" si="25"/>
        <v>1315.963</v>
      </c>
      <c r="M97" s="580">
        <f t="shared" si="25"/>
        <v>3544.5529999999999</v>
      </c>
      <c r="N97" s="580">
        <f t="shared" si="25"/>
        <v>1817.7398400000002</v>
      </c>
      <c r="O97" s="580">
        <f>O98+O99</f>
        <v>1533.8204933333329</v>
      </c>
      <c r="P97" s="580">
        <f t="shared" ref="P97:R97" si="26">P98+P99</f>
        <v>1382.949333333333</v>
      </c>
      <c r="Q97" s="580">
        <f t="shared" si="26"/>
        <v>1219.211</v>
      </c>
      <c r="R97" s="580">
        <f t="shared" si="26"/>
        <v>1215.867</v>
      </c>
      <c r="S97" s="838">
        <f>S98+S99</f>
        <v>1213.0129999999999</v>
      </c>
      <c r="T97" s="838">
        <f t="shared" ref="T97:U97" si="27">T98+T99</f>
        <v>1215.596</v>
      </c>
      <c r="U97" s="838">
        <f t="shared" si="27"/>
        <v>1154.9199999999998</v>
      </c>
      <c r="V97" s="838">
        <f>V98+V99</f>
        <v>1146.9831428571429</v>
      </c>
      <c r="W97" s="828"/>
      <c r="X97" s="828"/>
      <c r="Y97" s="828"/>
      <c r="Z97" s="828"/>
      <c r="AA97" s="828"/>
      <c r="AB97" s="828"/>
      <c r="AC97" s="828"/>
      <c r="AD97" s="828"/>
      <c r="AE97" s="828"/>
      <c r="AF97" s="828"/>
      <c r="AG97" s="353"/>
    </row>
    <row r="98" spans="2:33" ht="25.75" customHeight="1" x14ac:dyDescent="0.35">
      <c r="B98" s="529" t="s">
        <v>1794</v>
      </c>
      <c r="C98" s="268"/>
      <c r="D98" s="851">
        <f t="shared" ref="D98:V98" si="28">D14+D17+D35</f>
        <v>812.1</v>
      </c>
      <c r="E98" s="851">
        <f t="shared" si="28"/>
        <v>833.1</v>
      </c>
      <c r="F98" s="580">
        <f t="shared" si="28"/>
        <v>845.8</v>
      </c>
      <c r="G98" s="580">
        <f t="shared" si="28"/>
        <v>854.4</v>
      </c>
      <c r="H98" s="580">
        <f t="shared" si="28"/>
        <v>858.7</v>
      </c>
      <c r="I98" s="580">
        <f t="shared" si="28"/>
        <v>874.30000000000007</v>
      </c>
      <c r="J98" s="580">
        <f t="shared" si="28"/>
        <v>1800.8</v>
      </c>
      <c r="K98" s="580">
        <f t="shared" si="28"/>
        <v>1666.6000000000001</v>
      </c>
      <c r="L98" s="580">
        <f t="shared" si="28"/>
        <v>1200.3</v>
      </c>
      <c r="M98" s="580">
        <f t="shared" si="28"/>
        <v>1486.3000000000002</v>
      </c>
      <c r="N98" s="580">
        <f t="shared" si="28"/>
        <v>1350.8000000000002</v>
      </c>
      <c r="O98" s="580">
        <f t="shared" si="28"/>
        <v>1315.9333333333329</v>
      </c>
      <c r="P98" s="580">
        <f t="shared" si="28"/>
        <v>1162.633333333333</v>
      </c>
      <c r="Q98" s="580">
        <f t="shared" si="28"/>
        <v>1042.4000000000001</v>
      </c>
      <c r="R98" s="580">
        <f t="shared" si="28"/>
        <v>1049.0999999999999</v>
      </c>
      <c r="S98" s="838">
        <f t="shared" si="28"/>
        <v>1062.5</v>
      </c>
      <c r="T98" s="838">
        <f t="shared" si="28"/>
        <v>1088.0999999999999</v>
      </c>
      <c r="U98" s="838">
        <f t="shared" si="28"/>
        <v>1057.0999999999999</v>
      </c>
      <c r="V98" s="838">
        <f t="shared" si="28"/>
        <v>1081.0571428571429</v>
      </c>
      <c r="W98" s="828"/>
      <c r="X98" s="828"/>
      <c r="Y98" s="828"/>
      <c r="Z98" s="828"/>
      <c r="AA98" s="828"/>
      <c r="AB98" s="828"/>
      <c r="AC98" s="828"/>
      <c r="AD98" s="828"/>
      <c r="AE98" s="828"/>
      <c r="AF98" s="828"/>
      <c r="AG98" s="828"/>
    </row>
    <row r="99" spans="2:33" ht="36" customHeight="1" x14ac:dyDescent="0.35">
      <c r="B99" s="529" t="s">
        <v>1795</v>
      </c>
      <c r="C99" s="268"/>
      <c r="D99" s="580">
        <f t="shared" ref="D99:AG99" si="29">D18+D21+D32+D33+D34+D36</f>
        <v>0</v>
      </c>
      <c r="E99" s="580">
        <f t="shared" si="29"/>
        <v>0</v>
      </c>
      <c r="F99" s="580">
        <f t="shared" si="29"/>
        <v>0</v>
      </c>
      <c r="G99" s="580">
        <f t="shared" si="29"/>
        <v>0</v>
      </c>
      <c r="H99" s="580">
        <f t="shared" si="29"/>
        <v>0</v>
      </c>
      <c r="I99" s="580">
        <f t="shared" si="29"/>
        <v>6.9950000000000045</v>
      </c>
      <c r="J99" s="580">
        <f t="shared" si="29"/>
        <v>1347.3230000000001</v>
      </c>
      <c r="K99" s="580">
        <f t="shared" si="29"/>
        <v>206.255</v>
      </c>
      <c r="L99" s="580">
        <f t="shared" si="29"/>
        <v>115.66300000000001</v>
      </c>
      <c r="M99" s="580">
        <f t="shared" si="29"/>
        <v>2058.2529999999997</v>
      </c>
      <c r="N99" s="580">
        <f t="shared" si="29"/>
        <v>466.93984000000012</v>
      </c>
      <c r="O99" s="580">
        <f t="shared" si="29"/>
        <v>217.88716000000008</v>
      </c>
      <c r="P99" s="580">
        <f t="shared" si="29"/>
        <v>220.316</v>
      </c>
      <c r="Q99" s="580">
        <f t="shared" si="29"/>
        <v>176.81100000000001</v>
      </c>
      <c r="R99" s="580">
        <f t="shared" si="29"/>
        <v>166.767</v>
      </c>
      <c r="S99" s="838">
        <f t="shared" si="29"/>
        <v>150.51300000000003</v>
      </c>
      <c r="T99" s="838">
        <f t="shared" si="29"/>
        <v>127.49600000000001</v>
      </c>
      <c r="U99" s="838">
        <f t="shared" si="29"/>
        <v>97.820000000000022</v>
      </c>
      <c r="V99" s="838">
        <f t="shared" si="29"/>
        <v>65.926000000000002</v>
      </c>
      <c r="W99" s="828">
        <f t="shared" si="29"/>
        <v>65.926000000000002</v>
      </c>
      <c r="X99" s="828">
        <f t="shared" si="29"/>
        <v>58.210999999999999</v>
      </c>
      <c r="Y99" s="828">
        <f t="shared" si="29"/>
        <v>58.210999999999999</v>
      </c>
      <c r="Z99" s="828">
        <f t="shared" si="29"/>
        <v>58.210999999999999</v>
      </c>
      <c r="AA99" s="828">
        <f t="shared" si="29"/>
        <v>58.210999999999999</v>
      </c>
      <c r="AB99" s="828">
        <f t="shared" si="29"/>
        <v>56.512</v>
      </c>
      <c r="AC99" s="828">
        <f t="shared" si="29"/>
        <v>56.512</v>
      </c>
      <c r="AD99" s="828">
        <f t="shared" si="29"/>
        <v>0</v>
      </c>
      <c r="AE99" s="828">
        <f t="shared" si="29"/>
        <v>0</v>
      </c>
      <c r="AF99" s="828">
        <f t="shared" si="29"/>
        <v>0</v>
      </c>
      <c r="AG99" s="828">
        <f t="shared" si="29"/>
        <v>0</v>
      </c>
    </row>
    <row r="100" spans="2:33" ht="25.75" customHeight="1" x14ac:dyDescent="0.35">
      <c r="B100" s="606" t="s">
        <v>766</v>
      </c>
      <c r="C100" s="268"/>
      <c r="D100" s="851">
        <f>D96-D97</f>
        <v>1410.9</v>
      </c>
      <c r="E100" s="580">
        <f t="shared" ref="E100:T100" si="30">E96-E97</f>
        <v>1470.7000000000003</v>
      </c>
      <c r="F100" s="580">
        <f t="shared" si="30"/>
        <v>1475.8999999999999</v>
      </c>
      <c r="G100" s="580">
        <f t="shared" si="30"/>
        <v>1482.6999999999998</v>
      </c>
      <c r="H100" s="580">
        <f t="shared" si="30"/>
        <v>1490.8</v>
      </c>
      <c r="I100" s="580">
        <f t="shared" si="30"/>
        <v>1535.7049999999999</v>
      </c>
      <c r="J100" s="580">
        <f t="shared" si="30"/>
        <v>1511.0769999999998</v>
      </c>
      <c r="K100" s="580">
        <f t="shared" si="30"/>
        <v>1641.3449999999998</v>
      </c>
      <c r="L100" s="580">
        <f t="shared" si="30"/>
        <v>1580.7369999999999</v>
      </c>
      <c r="M100" s="580">
        <f t="shared" si="30"/>
        <v>1608.2470000000003</v>
      </c>
      <c r="N100" s="580">
        <f t="shared" si="30"/>
        <v>1585.3601599999997</v>
      </c>
      <c r="O100" s="580">
        <f t="shared" si="30"/>
        <v>1588.0795066666672</v>
      </c>
      <c r="P100" s="580">
        <f t="shared" si="30"/>
        <v>1575.3506666666672</v>
      </c>
      <c r="Q100" s="580">
        <f t="shared" si="30"/>
        <v>1759.1890000000001</v>
      </c>
      <c r="R100" s="580">
        <f t="shared" si="30"/>
        <v>1767.4330000000002</v>
      </c>
      <c r="S100" s="838">
        <f t="shared" si="30"/>
        <v>1763.8870000000002</v>
      </c>
      <c r="T100" s="838">
        <f t="shared" si="30"/>
        <v>1817.6039999999998</v>
      </c>
      <c r="U100" s="838">
        <f>U96-U97</f>
        <v>1900.3800000000003</v>
      </c>
      <c r="V100" s="838">
        <f>V96-V97</f>
        <v>1919.9168571428572</v>
      </c>
      <c r="W100" s="828"/>
      <c r="X100" s="828"/>
      <c r="Y100" s="828"/>
      <c r="Z100" s="828"/>
      <c r="AA100" s="828"/>
      <c r="AB100" s="828"/>
      <c r="AC100" s="828"/>
      <c r="AD100" s="828"/>
      <c r="AE100" s="828"/>
      <c r="AF100" s="828"/>
      <c r="AG100" s="353"/>
    </row>
    <row r="101" spans="2:33" ht="20.5" customHeight="1" x14ac:dyDescent="0.35">
      <c r="B101" s="864" t="s">
        <v>767</v>
      </c>
      <c r="C101" s="865"/>
      <c r="D101" s="869">
        <f t="shared" ref="D101:I101" si="31">D12-D14-D17-D35</f>
        <v>1410.9</v>
      </c>
      <c r="E101" s="860">
        <f t="shared" si="31"/>
        <v>1470.7000000000003</v>
      </c>
      <c r="F101" s="860">
        <f t="shared" si="31"/>
        <v>1475.8999999999996</v>
      </c>
      <c r="G101" s="860">
        <f t="shared" si="31"/>
        <v>1482.6999999999998</v>
      </c>
      <c r="H101" s="860">
        <f t="shared" si="31"/>
        <v>1490.8000000000002</v>
      </c>
      <c r="I101" s="860">
        <f t="shared" si="31"/>
        <v>1542.7000000000003</v>
      </c>
      <c r="J101" s="870">
        <f>I101+($H$101-$E$101)/3</f>
        <v>1549.4000000000003</v>
      </c>
      <c r="K101" s="870">
        <f>J101+($H$101-$E$101)/3</f>
        <v>1556.1000000000004</v>
      </c>
      <c r="L101" s="870">
        <f>K101+($H$101-$E$101)/3</f>
        <v>1562.8000000000004</v>
      </c>
      <c r="M101" s="871">
        <f>L101+($H$101-$E$101)/3 +(M105-L105)</f>
        <v>1587.4940000000006</v>
      </c>
      <c r="N101" s="870">
        <f>M101+($H$101-$E$101)/3</f>
        <v>1594.1940000000006</v>
      </c>
      <c r="O101" s="870">
        <f>N101+($H$101-$E$101)/3</f>
        <v>1600.8940000000007</v>
      </c>
      <c r="P101" s="870">
        <f>O101+($H$101-$E$101)/3</f>
        <v>1607.5940000000007</v>
      </c>
      <c r="Q101" s="871">
        <f>P101+($H$101-$E$101)/3 + 0.06*Q105</f>
        <v>1686.2449200000008</v>
      </c>
      <c r="R101" s="870">
        <f>Q101+($H$101-$E$101)/3</f>
        <v>1692.9449200000008</v>
      </c>
      <c r="S101" s="870">
        <f>R101+($H$101-$E$101)/3</f>
        <v>1699.6449200000009</v>
      </c>
      <c r="T101" s="870">
        <f>S101+($H$101-$E$101)/3</f>
        <v>1706.3449200000009</v>
      </c>
      <c r="U101" s="870">
        <f>T101+U102</f>
        <v>1819.6880410000008</v>
      </c>
      <c r="V101" s="870">
        <f>U101+V102</f>
        <v>1826.3880410000008</v>
      </c>
      <c r="W101" s="866">
        <f t="shared" ref="W101:AF101" si="32">V101+W102</f>
        <v>1833.0880410000009</v>
      </c>
      <c r="X101" s="866">
        <f t="shared" si="32"/>
        <v>1839.7880410000009</v>
      </c>
      <c r="Y101" s="866">
        <f t="shared" si="32"/>
        <v>1889.111191700001</v>
      </c>
      <c r="Z101" s="866">
        <f t="shared" si="32"/>
        <v>1895.811191700001</v>
      </c>
      <c r="AA101" s="866">
        <f t="shared" si="32"/>
        <v>1902.5111917000011</v>
      </c>
      <c r="AB101" s="866">
        <f t="shared" si="32"/>
        <v>1909.2111917000011</v>
      </c>
      <c r="AC101" s="866">
        <f t="shared" si="32"/>
        <v>1945.544534176001</v>
      </c>
      <c r="AD101" s="866">
        <f t="shared" si="32"/>
        <v>1952.244534176001</v>
      </c>
      <c r="AE101" s="866">
        <f t="shared" si="32"/>
        <v>1958.9445341760011</v>
      </c>
      <c r="AF101" s="866">
        <f t="shared" si="32"/>
        <v>1965.6445341760011</v>
      </c>
      <c r="AG101" s="353"/>
    </row>
    <row r="102" spans="2:33" ht="20.5" customHeight="1" x14ac:dyDescent="0.35">
      <c r="B102" s="867" t="s">
        <v>1756</v>
      </c>
      <c r="C102" s="268"/>
      <c r="D102" s="851"/>
      <c r="E102" s="580"/>
      <c r="F102" s="580"/>
      <c r="G102" s="580"/>
      <c r="H102" s="580"/>
      <c r="I102" s="580"/>
      <c r="J102" s="862"/>
      <c r="K102" s="862"/>
      <c r="L102" s="862"/>
      <c r="M102" s="872"/>
      <c r="N102" s="862"/>
      <c r="O102" s="862"/>
      <c r="P102" s="862"/>
      <c r="Q102" s="872"/>
      <c r="R102" s="862"/>
      <c r="S102" s="862"/>
      <c r="T102" s="862"/>
      <c r="U102" s="862">
        <f>U103+U104</f>
        <v>113.34312099999995</v>
      </c>
      <c r="V102" s="862">
        <f>V103+V104</f>
        <v>6.69999999999997</v>
      </c>
      <c r="W102" s="828">
        <f t="shared" ref="W102:AF102" si="33">W103+W108*W105</f>
        <v>6.69999999999997</v>
      </c>
      <c r="X102" s="828">
        <f t="shared" si="33"/>
        <v>6.69999999999997</v>
      </c>
      <c r="Y102" s="828">
        <f t="shared" si="33"/>
        <v>49.323150699999964</v>
      </c>
      <c r="Z102" s="828">
        <f t="shared" si="33"/>
        <v>6.69999999999997</v>
      </c>
      <c r="AA102" s="828">
        <f t="shared" si="33"/>
        <v>6.69999999999997</v>
      </c>
      <c r="AB102" s="828">
        <f t="shared" si="33"/>
        <v>6.69999999999997</v>
      </c>
      <c r="AC102" s="828">
        <f t="shared" si="33"/>
        <v>36.33334247599997</v>
      </c>
      <c r="AD102" s="828">
        <f t="shared" si="33"/>
        <v>6.69999999999997</v>
      </c>
      <c r="AE102" s="828">
        <f t="shared" si="33"/>
        <v>6.69999999999997</v>
      </c>
      <c r="AF102" s="828">
        <f t="shared" si="33"/>
        <v>6.69999999999997</v>
      </c>
      <c r="AG102" s="353"/>
    </row>
    <row r="103" spans="2:33" ht="28.4" customHeight="1" x14ac:dyDescent="0.35">
      <c r="B103" s="868" t="s">
        <v>1753</v>
      </c>
      <c r="C103" s="268"/>
      <c r="D103" s="851"/>
      <c r="E103" s="580"/>
      <c r="F103" s="580"/>
      <c r="G103" s="580"/>
      <c r="H103" s="580"/>
      <c r="I103" s="580"/>
      <c r="J103" s="862"/>
      <c r="K103" s="862"/>
      <c r="L103" s="862"/>
      <c r="M103" s="872"/>
      <c r="N103" s="862"/>
      <c r="O103" s="862"/>
      <c r="P103" s="862"/>
      <c r="Q103" s="872"/>
      <c r="R103" s="862"/>
      <c r="S103" s="862"/>
      <c r="T103" s="862"/>
      <c r="U103" s="862">
        <f>($H$101-$E$101)/3</f>
        <v>6.69999999999997</v>
      </c>
      <c r="V103" s="862">
        <f>($H$101-$E$101)/3</f>
        <v>6.69999999999997</v>
      </c>
      <c r="W103" s="828">
        <f t="shared" ref="W103:AF103" si="34">V103</f>
        <v>6.69999999999997</v>
      </c>
      <c r="X103" s="828">
        <f t="shared" si="34"/>
        <v>6.69999999999997</v>
      </c>
      <c r="Y103" s="828">
        <f t="shared" si="34"/>
        <v>6.69999999999997</v>
      </c>
      <c r="Z103" s="828">
        <f t="shared" si="34"/>
        <v>6.69999999999997</v>
      </c>
      <c r="AA103" s="828">
        <f t="shared" si="34"/>
        <v>6.69999999999997</v>
      </c>
      <c r="AB103" s="828">
        <f t="shared" si="34"/>
        <v>6.69999999999997</v>
      </c>
      <c r="AC103" s="828">
        <f t="shared" si="34"/>
        <v>6.69999999999997</v>
      </c>
      <c r="AD103" s="828">
        <f t="shared" si="34"/>
        <v>6.69999999999997</v>
      </c>
      <c r="AE103" s="828">
        <f t="shared" si="34"/>
        <v>6.69999999999997</v>
      </c>
      <c r="AF103" s="828">
        <f t="shared" si="34"/>
        <v>6.69999999999997</v>
      </c>
      <c r="AG103" s="353"/>
    </row>
    <row r="104" spans="2:33" ht="30.65" customHeight="1" x14ac:dyDescent="0.35">
      <c r="B104" s="857" t="s">
        <v>1754</v>
      </c>
      <c r="C104" s="845"/>
      <c r="D104" s="846"/>
      <c r="E104" s="830"/>
      <c r="F104" s="830"/>
      <c r="G104" s="830"/>
      <c r="H104" s="830"/>
      <c r="I104" s="830"/>
      <c r="J104" s="847"/>
      <c r="K104" s="847"/>
      <c r="L104" s="847"/>
      <c r="M104" s="848"/>
      <c r="N104" s="847"/>
      <c r="O104" s="847"/>
      <c r="P104" s="847"/>
      <c r="Q104" s="848"/>
      <c r="R104" s="847"/>
      <c r="S104" s="847"/>
      <c r="T104" s="847"/>
      <c r="U104" s="847">
        <f>U108*T105</f>
        <v>106.64312099999998</v>
      </c>
      <c r="V104" s="847">
        <f>V108*U105</f>
        <v>0</v>
      </c>
      <c r="W104" s="873">
        <f t="shared" ref="W104:AF104" si="35">W108*V105</f>
        <v>0</v>
      </c>
      <c r="X104" s="873">
        <f t="shared" si="35"/>
        <v>0</v>
      </c>
      <c r="Y104" s="873">
        <f>Y108*X105</f>
        <v>41.148690000000002</v>
      </c>
      <c r="Z104" s="873">
        <f t="shared" si="35"/>
        <v>0</v>
      </c>
      <c r="AA104" s="873">
        <f t="shared" si="35"/>
        <v>0</v>
      </c>
      <c r="AB104" s="873">
        <f t="shared" si="35"/>
        <v>0</v>
      </c>
      <c r="AC104" s="873">
        <f t="shared" si="35"/>
        <v>28.895433800000003</v>
      </c>
      <c r="AD104" s="873">
        <f t="shared" si="35"/>
        <v>0</v>
      </c>
      <c r="AE104" s="873">
        <f t="shared" si="35"/>
        <v>0</v>
      </c>
      <c r="AF104" s="873">
        <f t="shared" si="35"/>
        <v>0</v>
      </c>
      <c r="AG104" s="353"/>
    </row>
    <row r="105" spans="2:33" ht="17.5" customHeight="1" x14ac:dyDescent="0.35">
      <c r="B105" s="693" t="s">
        <v>440</v>
      </c>
      <c r="C105" s="268" t="s">
        <v>441</v>
      </c>
      <c r="D105" s="851">
        <f>'Haver Pivoted'!GO88/1000</f>
        <v>983.86099999999999</v>
      </c>
      <c r="E105" s="580">
        <f>'Haver Pivoted'!GP88/1000</f>
        <v>1019.19</v>
      </c>
      <c r="F105" s="580">
        <f>'Haver Pivoted'!GQ88/1000</f>
        <v>1026.704</v>
      </c>
      <c r="G105" s="580">
        <f>'Haver Pivoted'!GR88/1000</f>
        <v>1034.4169999999999</v>
      </c>
      <c r="H105" s="580">
        <f>'Haver Pivoted'!GS88/1000</f>
        <v>1042.6610000000001</v>
      </c>
      <c r="I105" s="580">
        <f>'Haver Pivoted'!GT88/1000</f>
        <v>1068.44</v>
      </c>
      <c r="J105" s="580">
        <f>'Haver Pivoted'!GU88/1000</f>
        <v>1075.0129999999999</v>
      </c>
      <c r="K105" s="580">
        <f>'Haver Pivoted'!GV88/1000</f>
        <v>1080.2349999999999</v>
      </c>
      <c r="L105" s="580">
        <f>'Haver Pivoted'!GW88/1000</f>
        <v>1088.0239999999999</v>
      </c>
      <c r="M105" s="580">
        <f>'Haver Pivoted'!GX88/1000</f>
        <v>1106.018</v>
      </c>
      <c r="N105" s="580">
        <f>'Haver Pivoted'!GY88/1000</f>
        <v>1109.463</v>
      </c>
      <c r="O105" s="580">
        <f>'Haver Pivoted'!GZ88/1000</f>
        <v>1116.6780000000001</v>
      </c>
      <c r="P105" s="580">
        <f>'Haver Pivoted'!HA88/1000</f>
        <v>1126.241</v>
      </c>
      <c r="Q105" s="580">
        <f>'Haver Pivoted'!HB88/1000</f>
        <v>1199.182</v>
      </c>
      <c r="R105" s="580">
        <f>'Haver Pivoted'!HC88/1000</f>
        <v>1206.8019999999999</v>
      </c>
      <c r="S105" s="838">
        <f>'Haver Pivoted'!HD88/1000</f>
        <v>1214.2470000000001</v>
      </c>
      <c r="T105" s="838">
        <f>'Haver Pivoted'!HE88/1000</f>
        <v>1225.7829999999999</v>
      </c>
      <c r="U105" s="838">
        <f>'Haver Pivoted'!HF88/1000</f>
        <v>1340.874</v>
      </c>
      <c r="V105" s="838">
        <f>'Haver Pivoted'!HG88/1000</f>
        <v>1352.623</v>
      </c>
      <c r="W105" s="828">
        <f t="shared" ref="W105:AF105" si="36">V105+W106</f>
        <v>1363.623</v>
      </c>
      <c r="X105" s="828">
        <f t="shared" si="36"/>
        <v>1371.623</v>
      </c>
      <c r="Y105" s="828">
        <f t="shared" si="36"/>
        <v>1420.77169</v>
      </c>
      <c r="Z105" s="828">
        <f t="shared" si="36"/>
        <v>1428.77169</v>
      </c>
      <c r="AA105" s="828">
        <f t="shared" si="36"/>
        <v>1436.77169</v>
      </c>
      <c r="AB105" s="828">
        <f t="shared" si="36"/>
        <v>1444.77169</v>
      </c>
      <c r="AC105" s="828">
        <f t="shared" si="36"/>
        <v>1481.6671238000001</v>
      </c>
      <c r="AD105" s="828">
        <f t="shared" si="36"/>
        <v>1490.6671238000001</v>
      </c>
      <c r="AE105" s="828">
        <f t="shared" si="36"/>
        <v>1500.6671238000001</v>
      </c>
      <c r="AF105" s="828">
        <f t="shared" si="36"/>
        <v>1511.6671238000001</v>
      </c>
      <c r="AG105" s="353"/>
    </row>
    <row r="106" spans="2:33" ht="17.5" customHeight="1" x14ac:dyDescent="0.35">
      <c r="B106" s="529" t="s">
        <v>1755</v>
      </c>
      <c r="C106" s="268"/>
      <c r="D106" s="851"/>
      <c r="E106" s="580"/>
      <c r="F106" s="580"/>
      <c r="G106" s="580"/>
      <c r="H106" s="580"/>
      <c r="I106" s="580"/>
      <c r="J106" s="580"/>
      <c r="K106" s="580"/>
      <c r="L106" s="580"/>
      <c r="M106" s="580"/>
      <c r="N106" s="580"/>
      <c r="O106" s="580"/>
      <c r="P106" s="580"/>
      <c r="Q106" s="580"/>
      <c r="R106" s="580"/>
      <c r="S106" s="838"/>
      <c r="T106" s="838"/>
      <c r="U106" s="838">
        <f>U104+U107</f>
        <v>114.64312099999998</v>
      </c>
      <c r="V106" s="838">
        <f>V104+V107</f>
        <v>8</v>
      </c>
      <c r="W106" s="828">
        <f t="shared" ref="W106:AF106" si="37">W104+W107</f>
        <v>11</v>
      </c>
      <c r="X106" s="828">
        <f t="shared" si="37"/>
        <v>8</v>
      </c>
      <c r="Y106" s="828">
        <f>Y104+Y107</f>
        <v>49.148690000000002</v>
      </c>
      <c r="Z106" s="828">
        <f t="shared" si="37"/>
        <v>8</v>
      </c>
      <c r="AA106" s="828">
        <f t="shared" si="37"/>
        <v>8</v>
      </c>
      <c r="AB106" s="828">
        <f t="shared" si="37"/>
        <v>8</v>
      </c>
      <c r="AC106" s="828">
        <f t="shared" si="37"/>
        <v>36.895433800000006</v>
      </c>
      <c r="AD106" s="828">
        <f t="shared" si="37"/>
        <v>9</v>
      </c>
      <c r="AE106" s="828">
        <f t="shared" si="37"/>
        <v>10</v>
      </c>
      <c r="AF106" s="828">
        <f t="shared" si="37"/>
        <v>11</v>
      </c>
      <c r="AG106" s="353"/>
    </row>
    <row r="107" spans="2:33" ht="17.5" customHeight="1" x14ac:dyDescent="0.35">
      <c r="B107" s="521" t="s">
        <v>1758</v>
      </c>
      <c r="C107" s="268"/>
      <c r="D107" s="851"/>
      <c r="E107" s="580"/>
      <c r="F107" s="580"/>
      <c r="G107" s="580"/>
      <c r="H107" s="580"/>
      <c r="I107" s="580"/>
      <c r="J107" s="580"/>
      <c r="K107" s="580"/>
      <c r="L107" s="580"/>
      <c r="M107" s="580"/>
      <c r="N107" s="580"/>
      <c r="O107" s="580"/>
      <c r="P107" s="580"/>
      <c r="Q107" s="580"/>
      <c r="R107" s="580"/>
      <c r="S107" s="838"/>
      <c r="T107" s="838"/>
      <c r="U107" s="838">
        <v>8</v>
      </c>
      <c r="V107" s="838">
        <v>8</v>
      </c>
      <c r="W107" s="828">
        <v>11</v>
      </c>
      <c r="X107" s="828">
        <v>8</v>
      </c>
      <c r="Y107" s="828">
        <v>8</v>
      </c>
      <c r="Z107" s="828">
        <v>8</v>
      </c>
      <c r="AA107" s="828">
        <v>8</v>
      </c>
      <c r="AB107" s="828">
        <v>8</v>
      </c>
      <c r="AC107" s="828">
        <v>8</v>
      </c>
      <c r="AD107" s="828">
        <v>9</v>
      </c>
      <c r="AE107" s="828">
        <v>10</v>
      </c>
      <c r="AF107" s="828">
        <v>11</v>
      </c>
      <c r="AG107" s="353"/>
    </row>
    <row r="108" spans="2:33" ht="39" customHeight="1" x14ac:dyDescent="0.35">
      <c r="B108" s="521" t="s">
        <v>1759</v>
      </c>
      <c r="C108" s="268"/>
      <c r="D108" s="851"/>
      <c r="E108" s="580"/>
      <c r="F108" s="580"/>
      <c r="G108" s="580"/>
      <c r="H108" s="580"/>
      <c r="I108" s="830"/>
      <c r="J108" s="830"/>
      <c r="K108" s="830"/>
      <c r="L108" s="830"/>
      <c r="M108" s="830"/>
      <c r="N108" s="830"/>
      <c r="O108" s="830"/>
      <c r="P108" s="830"/>
      <c r="Q108" s="830"/>
      <c r="R108" s="830"/>
      <c r="S108" s="849"/>
      <c r="T108" s="849"/>
      <c r="U108" s="839">
        <v>8.6999999999999994E-2</v>
      </c>
      <c r="V108" s="831">
        <v>0</v>
      </c>
      <c r="W108" s="850">
        <v>0</v>
      </c>
      <c r="X108" s="850">
        <v>0</v>
      </c>
      <c r="Y108" s="850">
        <v>0.03</v>
      </c>
      <c r="Z108" s="850">
        <v>0</v>
      </c>
      <c r="AA108" s="850">
        <v>0</v>
      </c>
      <c r="AB108" s="850">
        <v>0</v>
      </c>
      <c r="AC108" s="850">
        <v>0.02</v>
      </c>
      <c r="AD108" s="850">
        <v>0</v>
      </c>
      <c r="AE108" s="850">
        <v>0</v>
      </c>
      <c r="AF108" s="850">
        <v>0</v>
      </c>
      <c r="AG108" s="353"/>
    </row>
    <row r="109" spans="2:33" ht="49.75" customHeight="1" x14ac:dyDescent="0.35">
      <c r="B109" s="606" t="s">
        <v>1384</v>
      </c>
      <c r="C109" s="268"/>
      <c r="D109" s="851">
        <f t="shared" ref="D109:T109" si="38">D100-D101</f>
        <v>0</v>
      </c>
      <c r="E109" s="580">
        <f t="shared" si="38"/>
        <v>0</v>
      </c>
      <c r="F109" s="580">
        <f t="shared" si="38"/>
        <v>0</v>
      </c>
      <c r="G109" s="580">
        <f t="shared" si="38"/>
        <v>0</v>
      </c>
      <c r="H109" s="580">
        <f t="shared" si="38"/>
        <v>0</v>
      </c>
      <c r="I109" s="580">
        <f t="shared" si="38"/>
        <v>-6.9950000000003456</v>
      </c>
      <c r="J109" s="580">
        <f t="shared" si="38"/>
        <v>-38.323000000000548</v>
      </c>
      <c r="K109" s="580">
        <f t="shared" si="38"/>
        <v>85.244999999999436</v>
      </c>
      <c r="L109" s="580">
        <f t="shared" si="38"/>
        <v>17.936999999999443</v>
      </c>
      <c r="M109" s="580">
        <f t="shared" si="38"/>
        <v>20.752999999999702</v>
      </c>
      <c r="N109" s="580">
        <f t="shared" si="38"/>
        <v>-8.8338400000009187</v>
      </c>
      <c r="O109" s="580">
        <f t="shared" si="38"/>
        <v>-12.81449333333353</v>
      </c>
      <c r="P109" s="580">
        <f t="shared" si="38"/>
        <v>-32.243333333333567</v>
      </c>
      <c r="Q109" s="580">
        <f t="shared" si="38"/>
        <v>72.944079999999303</v>
      </c>
      <c r="R109" s="580">
        <f t="shared" si="38"/>
        <v>74.4880799999994</v>
      </c>
      <c r="S109" s="838">
        <f t="shared" si="38"/>
        <v>64.242079999999305</v>
      </c>
      <c r="T109" s="838">
        <f t="shared" si="38"/>
        <v>111.2590799999989</v>
      </c>
      <c r="U109" s="838">
        <f>U100-U101</f>
        <v>80.691958999999542</v>
      </c>
      <c r="V109" s="838">
        <f>V100-V101</f>
        <v>93.528816142856385</v>
      </c>
      <c r="W109" s="828">
        <f t="shared" ref="W109:AF109" si="39">V109</f>
        <v>93.528816142856385</v>
      </c>
      <c r="X109" s="828">
        <f t="shared" si="39"/>
        <v>93.528816142856385</v>
      </c>
      <c r="Y109" s="828">
        <f t="shared" si="39"/>
        <v>93.528816142856385</v>
      </c>
      <c r="Z109" s="828">
        <f t="shared" si="39"/>
        <v>93.528816142856385</v>
      </c>
      <c r="AA109" s="828">
        <f t="shared" si="39"/>
        <v>93.528816142856385</v>
      </c>
      <c r="AB109" s="828">
        <f t="shared" si="39"/>
        <v>93.528816142856385</v>
      </c>
      <c r="AC109" s="828">
        <f t="shared" si="39"/>
        <v>93.528816142856385</v>
      </c>
      <c r="AD109" s="828">
        <f t="shared" si="39"/>
        <v>93.528816142856385</v>
      </c>
      <c r="AE109" s="828">
        <f t="shared" si="39"/>
        <v>93.528816142856385</v>
      </c>
      <c r="AF109" s="828">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20"/>
      <c r="T111" s="620"/>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80"/>
      <c r="V114" s="580"/>
      <c r="W114" s="580"/>
      <c r="X114" s="580"/>
      <c r="Y114" s="580"/>
      <c r="Z114" s="580"/>
      <c r="AA114" s="580"/>
      <c r="AB114" s="580"/>
      <c r="AC114" s="580"/>
      <c r="AD114" s="647"/>
    </row>
    <row r="115" spans="2:30" ht="16.75" customHeight="1" x14ac:dyDescent="0.35">
      <c r="B115" s="356"/>
      <c r="C115" s="268"/>
      <c r="S115" s="360"/>
      <c r="T115" s="360"/>
      <c r="U115" s="360"/>
      <c r="V115" s="360"/>
      <c r="W115" s="360"/>
      <c r="X115" s="360"/>
      <c r="Y115" s="360"/>
      <c r="Z115" s="360"/>
      <c r="AA115" s="360"/>
      <c r="AB115" s="360"/>
      <c r="AC115" s="360"/>
      <c r="AD115" s="647"/>
    </row>
    <row r="116" spans="2:30" ht="16.75" customHeight="1" x14ac:dyDescent="0.35">
      <c r="B116" s="356"/>
      <c r="C116" s="268"/>
      <c r="S116" s="360"/>
      <c r="T116" s="360"/>
      <c r="U116" s="360"/>
      <c r="V116" s="360"/>
      <c r="W116" s="360"/>
      <c r="X116" s="360"/>
      <c r="Y116" s="360"/>
      <c r="Z116" s="360"/>
      <c r="AA116" s="360"/>
      <c r="AB116" s="360"/>
      <c r="AC116" s="360"/>
      <c r="AD116" s="647"/>
    </row>
    <row r="117" spans="2:30" ht="16.75" customHeight="1" x14ac:dyDescent="0.35">
      <c r="B117" s="356"/>
      <c r="C117" s="268"/>
      <c r="S117" s="360"/>
      <c r="T117" s="360"/>
      <c r="U117" s="360"/>
      <c r="V117" s="360"/>
      <c r="W117" s="360"/>
      <c r="X117" s="360"/>
      <c r="Y117" s="360"/>
      <c r="Z117" s="360"/>
      <c r="AA117" s="360"/>
      <c r="AB117" s="360"/>
      <c r="AC117" s="360"/>
      <c r="AD117" s="647"/>
    </row>
    <row r="118" spans="2:30" ht="16.75" customHeight="1" x14ac:dyDescent="0.35">
      <c r="B118" s="268"/>
      <c r="C118" s="268"/>
      <c r="S118" s="268"/>
      <c r="T118" s="268"/>
      <c r="U118" s="580"/>
      <c r="V118" s="580"/>
      <c r="W118" s="580"/>
      <c r="X118" s="580"/>
      <c r="Y118" s="580"/>
      <c r="Z118" s="580"/>
      <c r="AA118" s="580"/>
      <c r="AB118" s="580"/>
      <c r="AC118" s="580"/>
      <c r="AD118" s="647"/>
    </row>
    <row r="119" spans="2:30" ht="16.75" customHeight="1" x14ac:dyDescent="0.35">
      <c r="B119" s="356"/>
      <c r="C119" s="268"/>
      <c r="S119" s="268"/>
      <c r="T119" s="268"/>
      <c r="U119" s="580"/>
      <c r="V119" s="580"/>
      <c r="W119" s="580"/>
      <c r="X119" s="580"/>
      <c r="Y119" s="580"/>
      <c r="Z119" s="580"/>
      <c r="AA119" s="580"/>
      <c r="AB119" s="580"/>
      <c r="AC119" s="580"/>
      <c r="AD119" s="647"/>
    </row>
    <row r="120" spans="2:30" ht="16.75" customHeight="1" x14ac:dyDescent="0.35">
      <c r="B120" s="356"/>
      <c r="C120" s="268"/>
      <c r="S120" s="268"/>
      <c r="T120" s="268"/>
      <c r="U120" s="360"/>
      <c r="V120" s="360"/>
      <c r="W120" s="360"/>
      <c r="X120" s="360"/>
      <c r="Y120" s="360"/>
      <c r="Z120" s="360"/>
      <c r="AA120" s="360"/>
      <c r="AB120" s="360"/>
      <c r="AC120" s="360"/>
      <c r="AD120" s="647"/>
    </row>
    <row r="121" spans="2:30" ht="16.75" customHeight="1" x14ac:dyDescent="0.35">
      <c r="B121" s="356"/>
      <c r="C121" s="268"/>
      <c r="S121" s="268"/>
      <c r="T121" s="268"/>
      <c r="U121" s="840"/>
      <c r="V121" s="840"/>
      <c r="W121" s="840"/>
      <c r="X121" s="840"/>
      <c r="Y121" s="840"/>
      <c r="Z121" s="840"/>
      <c r="AA121" s="840"/>
      <c r="AB121" s="840"/>
      <c r="AC121" s="840"/>
      <c r="AD121" s="647"/>
    </row>
    <row r="122" spans="2:30" ht="16.75" customHeight="1" x14ac:dyDescent="0.35">
      <c r="B122" s="268"/>
      <c r="C122" s="268"/>
      <c r="S122" s="360"/>
      <c r="T122" s="360"/>
      <c r="U122" s="360"/>
      <c r="V122" s="360"/>
      <c r="W122" s="360"/>
      <c r="X122" s="360"/>
      <c r="Y122" s="360"/>
      <c r="Z122" s="360"/>
      <c r="AA122" s="360"/>
      <c r="AB122" s="360"/>
      <c r="AC122" s="360"/>
      <c r="AD122" s="647"/>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14"/>
      <c r="C125" s="724">
        <v>2022</v>
      </c>
      <c r="D125" s="1093">
        <v>2023</v>
      </c>
      <c r="E125" s="1093">
        <v>2024</v>
      </c>
      <c r="F125" s="1094">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53" t="s">
        <v>1752</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1383</v>
      </c>
      <c r="D128" s="268"/>
      <c r="E128" s="268"/>
      <c r="F128" s="268"/>
      <c r="G128" s="268"/>
      <c r="H128" s="268"/>
      <c r="I128" s="268"/>
      <c r="J128" s="268"/>
      <c r="K128" s="268"/>
      <c r="L128" s="268"/>
      <c r="M128" s="360"/>
      <c r="N128" s="360"/>
      <c r="O128" s="360"/>
      <c r="P128" s="268"/>
    </row>
    <row r="129" spans="2:18" x14ac:dyDescent="0.35">
      <c r="B129" s="699" t="s">
        <v>773</v>
      </c>
      <c r="C129" s="538"/>
      <c r="D129" s="1085">
        <v>2021</v>
      </c>
      <c r="E129" s="1085">
        <v>2022</v>
      </c>
      <c r="F129" s="1085">
        <v>2023</v>
      </c>
      <c r="G129" s="1086">
        <v>2024</v>
      </c>
      <c r="R129" s="647"/>
    </row>
    <row r="130" spans="2:18" x14ac:dyDescent="0.35">
      <c r="B130" s="755" t="s">
        <v>774</v>
      </c>
      <c r="C130" s="1091"/>
      <c r="D130" s="1081">
        <v>3605.8330000000001</v>
      </c>
      <c r="E130" s="1081">
        <v>2900</v>
      </c>
      <c r="F130" s="1081">
        <f>E130*1.02</f>
        <v>2958</v>
      </c>
      <c r="G130" s="1082">
        <f>F130*1.06</f>
        <v>3135.48</v>
      </c>
    </row>
    <row r="131" spans="2:18" x14ac:dyDescent="0.35">
      <c r="B131" s="755" t="s">
        <v>777</v>
      </c>
      <c r="C131" s="1083"/>
      <c r="D131" s="1007">
        <f>AVERAGE(Medicare!L10:O10)</f>
        <v>871.1</v>
      </c>
      <c r="E131" s="1007">
        <f>AVERAGE(Medicare!P10:S10)</f>
        <v>927.625</v>
      </c>
      <c r="F131" s="1007">
        <f>AVERAGE(Medicare!T10:W10)</f>
        <v>1003.4250000000001</v>
      </c>
      <c r="G131" s="1089">
        <f>AVERAGE(Medicare!X10:AA10)</f>
        <v>1080.6999999999998</v>
      </c>
    </row>
    <row r="132" spans="2:18" ht="13.4" customHeight="1" x14ac:dyDescent="0.35">
      <c r="B132" s="755" t="s">
        <v>775</v>
      </c>
      <c r="C132" s="1083"/>
      <c r="D132" s="1007">
        <f>D130-D131</f>
        <v>2734.7330000000002</v>
      </c>
      <c r="E132" s="1007">
        <f t="shared" ref="E132:G132" si="40">E130-E131</f>
        <v>1972.375</v>
      </c>
      <c r="F132" s="1007">
        <f t="shared" si="40"/>
        <v>1954.5749999999998</v>
      </c>
      <c r="G132" s="1089">
        <f t="shared" si="40"/>
        <v>2054.7800000000002</v>
      </c>
    </row>
    <row r="133" spans="2:18" x14ac:dyDescent="0.35">
      <c r="B133" s="755" t="s">
        <v>778</v>
      </c>
      <c r="C133" s="1083"/>
      <c r="D133" s="1007">
        <f>AVERAGE(L12:O12)</f>
        <v>3643.625</v>
      </c>
      <c r="E133" s="1007">
        <f>AVERAGE(P12:S12)</f>
        <v>2974.2249999999999</v>
      </c>
      <c r="F133" s="1007">
        <f>AVERAGE(T12:W12)</f>
        <v>3102.7444999999998</v>
      </c>
      <c r="G133" s="1089">
        <f>AVERAGE(X12:AA12)</f>
        <v>3346.2372201678581</v>
      </c>
    </row>
    <row r="134" spans="2:18" x14ac:dyDescent="0.35">
      <c r="B134" s="755" t="s">
        <v>777</v>
      </c>
      <c r="C134" s="1083"/>
      <c r="D134" s="1007">
        <f>AVERAGE(Medicare!L10:O10)</f>
        <v>871.1</v>
      </c>
      <c r="E134" s="1007">
        <f>AVERAGE(Medicare!P10:S10)</f>
        <v>927.625</v>
      </c>
      <c r="F134" s="1007">
        <f>AVERAGE(Medicare!T10:W10)</f>
        <v>1003.4250000000001</v>
      </c>
      <c r="G134" s="1089">
        <f>AVERAGE(Medicare!X10:AA10)</f>
        <v>1080.6999999999998</v>
      </c>
    </row>
    <row r="135" spans="2:18" x14ac:dyDescent="0.35">
      <c r="B135" s="755" t="s">
        <v>497</v>
      </c>
      <c r="C135" s="1083"/>
      <c r="D135" s="1007">
        <f>AVERAGE(L39:O39)</f>
        <v>1586.3455000000004</v>
      </c>
      <c r="E135" s="1007">
        <f>AVERAGE(P39:S39)</f>
        <v>1671.6071900000006</v>
      </c>
      <c r="F135" s="1007">
        <f>AVERAGE(T39:W39)</f>
        <v>1796.3772607500009</v>
      </c>
      <c r="G135" s="1089">
        <f>AVERAGE(X39:AA39)</f>
        <v>1881.8054040250011</v>
      </c>
    </row>
    <row r="136" spans="2:18" ht="27.65" customHeight="1" x14ac:dyDescent="0.35">
      <c r="B136" s="1084" t="s">
        <v>776</v>
      </c>
      <c r="C136" s="692"/>
      <c r="D136" s="747"/>
      <c r="E136" s="1087">
        <v>1.157</v>
      </c>
      <c r="F136" s="1087">
        <v>1.0109999999999999</v>
      </c>
      <c r="G136" s="1090">
        <v>1.0529999999999999</v>
      </c>
    </row>
    <row r="137" spans="2:18" x14ac:dyDescent="0.35">
      <c r="B137" s="268" t="s">
        <v>779</v>
      </c>
      <c r="D137" s="1088">
        <f>D133-D130</f>
        <v>37.791999999999916</v>
      </c>
      <c r="E137" s="1088">
        <f>E133-E130</f>
        <v>74.224999999999909</v>
      </c>
      <c r="F137" s="1088">
        <f>F133-F130</f>
        <v>144.74449999999979</v>
      </c>
      <c r="G137" s="1088">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1807</v>
      </c>
      <c r="S1" s="83" t="s">
        <v>1808</v>
      </c>
      <c r="Z1" t="s">
        <v>1838</v>
      </c>
      <c r="AA1" t="s">
        <v>1839</v>
      </c>
    </row>
    <row r="2" spans="13:27" x14ac:dyDescent="0.35">
      <c r="M2" t="s">
        <v>1809</v>
      </c>
      <c r="Q2">
        <v>2952.3</v>
      </c>
      <c r="S2" t="s">
        <v>1809</v>
      </c>
      <c r="X2">
        <v>2952.3</v>
      </c>
      <c r="Z2">
        <v>2917.6753774795288</v>
      </c>
      <c r="AA2" s="725">
        <v>2928.3</v>
      </c>
    </row>
    <row r="3" spans="13:27" x14ac:dyDescent="0.35">
      <c r="M3" t="s">
        <v>1810</v>
      </c>
      <c r="P3" t="s">
        <v>1811</v>
      </c>
      <c r="Q3">
        <v>23.1</v>
      </c>
      <c r="S3" t="s">
        <v>1810</v>
      </c>
      <c r="W3" t="s">
        <v>1811</v>
      </c>
      <c r="X3">
        <v>23.1</v>
      </c>
      <c r="Z3">
        <v>22.62857142857143</v>
      </c>
      <c r="AA3">
        <v>22.62857142857143</v>
      </c>
    </row>
    <row r="4" spans="13:27" x14ac:dyDescent="0.35">
      <c r="M4" t="s">
        <v>46</v>
      </c>
      <c r="P4" t="s">
        <v>1811</v>
      </c>
      <c r="Q4">
        <v>967.3</v>
      </c>
      <c r="S4" t="s">
        <v>46</v>
      </c>
      <c r="W4" t="s">
        <v>1811</v>
      </c>
      <c r="X4">
        <v>967.3</v>
      </c>
      <c r="Z4">
        <v>944.50347271762462</v>
      </c>
      <c r="AA4">
        <v>946.3</v>
      </c>
    </row>
    <row r="5" spans="13:27" x14ac:dyDescent="0.35">
      <c r="M5" t="s">
        <v>47</v>
      </c>
      <c r="P5" t="s">
        <v>1811</v>
      </c>
      <c r="Q5">
        <v>0</v>
      </c>
      <c r="S5" t="s">
        <v>47</v>
      </c>
      <c r="W5" t="s">
        <v>1811</v>
      </c>
      <c r="X5">
        <v>0</v>
      </c>
      <c r="Z5">
        <v>0</v>
      </c>
      <c r="AA5">
        <v>0</v>
      </c>
    </row>
    <row r="6" spans="13:27" x14ac:dyDescent="0.35">
      <c r="M6" t="s">
        <v>1812</v>
      </c>
      <c r="P6" t="s">
        <v>1811</v>
      </c>
      <c r="Q6">
        <v>0</v>
      </c>
      <c r="S6" t="s">
        <v>1812</v>
      </c>
      <c r="W6" t="s">
        <v>1811</v>
      </c>
      <c r="X6">
        <v>0</v>
      </c>
      <c r="Z6">
        <v>0</v>
      </c>
      <c r="AA6">
        <v>0</v>
      </c>
    </row>
    <row r="7" spans="13:27" x14ac:dyDescent="0.35">
      <c r="Q7">
        <f>Q2-SUM(Q3:Q6)</f>
        <v>1961.9</v>
      </c>
      <c r="X7">
        <f>X2-SUM(X3:X6)</f>
        <v>1961.9</v>
      </c>
      <c r="Z7">
        <f>Z2-SUM(Z3:Z6)</f>
        <v>1950.5433333333328</v>
      </c>
      <c r="AA7">
        <f>AA2-SUM(AA3:AA6)</f>
        <v>1959.3714285714289</v>
      </c>
    </row>
    <row r="8" spans="13:27" x14ac:dyDescent="0.35">
      <c r="S8" t="s">
        <v>1813</v>
      </c>
      <c r="W8" t="s">
        <v>1811</v>
      </c>
      <c r="X8">
        <v>34</v>
      </c>
    </row>
    <row r="9" spans="13:27" x14ac:dyDescent="0.35">
      <c r="S9" t="s">
        <v>1813</v>
      </c>
      <c r="W9" t="s">
        <v>1814</v>
      </c>
      <c r="X9">
        <v>34</v>
      </c>
    </row>
    <row r="10" spans="13:27" x14ac:dyDescent="0.35">
      <c r="S10" t="s">
        <v>1815</v>
      </c>
      <c r="W10" t="s">
        <v>1811</v>
      </c>
      <c r="X10">
        <v>37.700000000000003</v>
      </c>
    </row>
    <row r="11" spans="13:27" x14ac:dyDescent="0.35">
      <c r="S11" t="s">
        <v>1815</v>
      </c>
      <c r="W11" t="s">
        <v>1814</v>
      </c>
      <c r="X11">
        <v>37.700000000000003</v>
      </c>
    </row>
    <row r="12" spans="13:27" x14ac:dyDescent="0.35">
      <c r="S12" t="s">
        <v>435</v>
      </c>
      <c r="W12" t="s">
        <v>1811</v>
      </c>
      <c r="X12">
        <v>0</v>
      </c>
    </row>
    <row r="13" spans="13:27" x14ac:dyDescent="0.35">
      <c r="S13" t="s">
        <v>435</v>
      </c>
      <c r="W13" t="s">
        <v>1814</v>
      </c>
      <c r="X13">
        <v>0</v>
      </c>
    </row>
    <row r="14" spans="13:27" x14ac:dyDescent="0.35">
      <c r="S14" t="s">
        <v>1817</v>
      </c>
      <c r="W14" t="s">
        <v>1811</v>
      </c>
      <c r="X14">
        <v>21.9</v>
      </c>
    </row>
    <row r="15" spans="13:27" x14ac:dyDescent="0.35">
      <c r="S15" t="s">
        <v>1817</v>
      </c>
      <c r="W15" t="s">
        <v>1814</v>
      </c>
      <c r="X15">
        <f>X8-X9+X10-X11+X12-X13+X14</f>
        <v>21.9</v>
      </c>
      <c r="Z15">
        <v>21.9</v>
      </c>
      <c r="AA15">
        <v>21.89</v>
      </c>
    </row>
    <row r="16" spans="13:27" x14ac:dyDescent="0.35">
      <c r="X16">
        <f>X7-X8+X9-X10+X11-X12+X13-X14+X15</f>
        <v>1961.9</v>
      </c>
    </row>
    <row r="17" spans="13:27" x14ac:dyDescent="0.35">
      <c r="S17" t="s">
        <v>1816</v>
      </c>
      <c r="W17" t="s">
        <v>1811</v>
      </c>
      <c r="X17">
        <v>12</v>
      </c>
      <c r="Z17">
        <v>12</v>
      </c>
      <c r="AA17">
        <v>12</v>
      </c>
    </row>
    <row r="18" spans="13:27" x14ac:dyDescent="0.35">
      <c r="S18" t="s">
        <v>206</v>
      </c>
      <c r="W18" t="s">
        <v>1811</v>
      </c>
      <c r="X18">
        <v>1.4</v>
      </c>
      <c r="Z18">
        <v>1.4</v>
      </c>
      <c r="AA18">
        <v>1.4</v>
      </c>
    </row>
    <row r="19" spans="13:27" x14ac:dyDescent="0.35">
      <c r="X19">
        <f>X16-X17-X18</f>
        <v>1948.5</v>
      </c>
      <c r="Z19">
        <f>Z7-Z17-Z18+Z15</f>
        <v>1959.0433333333328</v>
      </c>
      <c r="AA19">
        <f>AA7-AA17-AA18+AA15</f>
        <v>1967.8614285714289</v>
      </c>
    </row>
    <row r="21" spans="13:27" x14ac:dyDescent="0.35">
      <c r="M21" s="83" t="s">
        <v>1818</v>
      </c>
    </row>
    <row r="22" spans="13:27" x14ac:dyDescent="0.35">
      <c r="M22" s="286" t="s">
        <v>111</v>
      </c>
      <c r="N22" s="632"/>
      <c r="O22" s="632"/>
      <c r="P22" s="632"/>
      <c r="Q22" s="632"/>
      <c r="R22" s="632"/>
      <c r="S22" s="632"/>
      <c r="T22" s="632"/>
      <c r="U22" s="632"/>
      <c r="V22" s="632"/>
      <c r="W22" s="285"/>
    </row>
    <row r="23" spans="13:27" x14ac:dyDescent="0.35">
      <c r="M23" s="1100" t="s">
        <v>1827</v>
      </c>
      <c r="W23" s="266"/>
    </row>
    <row r="24" spans="13:27" x14ac:dyDescent="0.35">
      <c r="M24" s="1100" t="s">
        <v>1826</v>
      </c>
      <c r="N24" s="139"/>
      <c r="O24" s="139"/>
      <c r="P24" s="139"/>
      <c r="Q24" s="139"/>
      <c r="R24" s="139"/>
      <c r="S24" s="139"/>
      <c r="T24" s="139"/>
      <c r="U24" s="139"/>
      <c r="V24" s="139"/>
      <c r="W24" s="1101"/>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1819</v>
      </c>
      <c r="W29" s="266"/>
    </row>
    <row r="30" spans="13:27" x14ac:dyDescent="0.35">
      <c r="M30" s="547" t="s">
        <v>1820</v>
      </c>
      <c r="N30" s="43"/>
      <c r="O30" s="43"/>
      <c r="P30" s="43"/>
      <c r="Q30" s="43"/>
      <c r="R30" s="43"/>
      <c r="S30" s="43"/>
      <c r="T30" s="43"/>
      <c r="U30" s="43"/>
      <c r="V30" s="43"/>
      <c r="W30" s="267"/>
      <c r="X30" t="s">
        <v>1821</v>
      </c>
    </row>
    <row r="31" spans="13:27" x14ac:dyDescent="0.35">
      <c r="M31" s="548" t="s">
        <v>1816</v>
      </c>
      <c r="N31" s="632"/>
      <c r="O31" s="632"/>
      <c r="P31" s="632"/>
      <c r="Q31" s="632"/>
      <c r="R31" s="632"/>
      <c r="S31" s="632"/>
      <c r="T31" s="632"/>
      <c r="U31" s="632"/>
      <c r="V31" s="632"/>
      <c r="W31" s="285"/>
    </row>
    <row r="32" spans="13:27" x14ac:dyDescent="0.35">
      <c r="M32" s="547" t="s">
        <v>206</v>
      </c>
      <c r="N32" s="43"/>
      <c r="O32" s="43"/>
      <c r="P32" s="43"/>
      <c r="Q32" s="43"/>
      <c r="R32" s="43"/>
      <c r="S32" s="43"/>
      <c r="T32" s="43"/>
      <c r="U32" s="43"/>
      <c r="V32" s="43"/>
      <c r="W32" s="267"/>
      <c r="X32" t="s">
        <v>1822</v>
      </c>
    </row>
    <row r="33" spans="13:24" x14ac:dyDescent="0.35">
      <c r="M33" s="548" t="s">
        <v>123</v>
      </c>
      <c r="N33" s="632"/>
      <c r="O33" s="632"/>
      <c r="P33" s="632"/>
      <c r="Q33" s="632"/>
      <c r="R33" s="632"/>
      <c r="S33" s="632"/>
      <c r="T33" s="632"/>
      <c r="U33" s="632"/>
      <c r="V33" s="632"/>
      <c r="W33" s="285"/>
    </row>
    <row r="34" spans="13:24" x14ac:dyDescent="0.35">
      <c r="M34" s="61" t="s">
        <v>124</v>
      </c>
      <c r="W34" s="266"/>
    </row>
    <row r="35" spans="13:24" x14ac:dyDescent="0.35">
      <c r="M35" s="61" t="s">
        <v>1823</v>
      </c>
      <c r="W35" s="266"/>
    </row>
    <row r="36" spans="13:24" x14ac:dyDescent="0.35">
      <c r="M36" s="61" t="s">
        <v>117</v>
      </c>
      <c r="W36" s="266"/>
    </row>
    <row r="37" spans="13:24" x14ac:dyDescent="0.35">
      <c r="M37" s="547" t="s">
        <v>1824</v>
      </c>
      <c r="N37" s="43"/>
      <c r="O37" s="43"/>
      <c r="P37" s="43"/>
      <c r="Q37" s="43"/>
      <c r="R37" s="43"/>
      <c r="S37" s="43"/>
      <c r="T37" s="43"/>
      <c r="U37" s="43"/>
      <c r="V37" s="43"/>
      <c r="W37" s="267"/>
      <c r="X37" t="s">
        <v>1825</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15" t="s">
        <v>282</v>
      </c>
      <c r="I1" s="1415"/>
      <c r="J1" s="1415"/>
      <c r="K1" s="1415"/>
      <c r="L1" s="1415"/>
      <c r="M1" s="1415"/>
      <c r="N1" s="1415"/>
      <c r="O1" s="1415"/>
      <c r="P1" s="1415"/>
      <c r="Q1" s="1415"/>
      <c r="R1" s="1415"/>
      <c r="S1" s="1415"/>
    </row>
    <row r="2" spans="8:22" x14ac:dyDescent="0.35">
      <c r="H2" s="1416" t="s">
        <v>283</v>
      </c>
      <c r="I2" s="1416"/>
      <c r="J2" s="1416"/>
      <c r="K2" s="1416"/>
      <c r="L2" s="1416"/>
      <c r="M2" s="1416"/>
      <c r="N2" s="1416"/>
      <c r="O2" s="1416"/>
      <c r="P2" s="1416"/>
      <c r="Q2" s="1416"/>
      <c r="R2" s="1416"/>
      <c r="S2" s="1416"/>
    </row>
    <row r="3" spans="8:22" x14ac:dyDescent="0.35">
      <c r="H3" s="1416"/>
      <c r="I3" s="1416"/>
      <c r="J3" s="1416"/>
      <c r="K3" s="1416"/>
      <c r="L3" s="1416"/>
      <c r="M3" s="1416"/>
      <c r="N3" s="1416"/>
      <c r="O3" s="1416"/>
      <c r="P3" s="1416"/>
      <c r="Q3" s="1416"/>
      <c r="R3" s="1416"/>
      <c r="S3" s="1416"/>
    </row>
    <row r="4" spans="8:22" x14ac:dyDescent="0.35">
      <c r="H4" s="1416"/>
      <c r="I4" s="1416"/>
      <c r="J4" s="1416"/>
      <c r="K4" s="1416"/>
      <c r="L4" s="1416"/>
      <c r="M4" s="1416"/>
      <c r="N4" s="1416"/>
      <c r="O4" s="1416"/>
      <c r="P4" s="1416"/>
      <c r="Q4" s="1416"/>
      <c r="R4" s="1416"/>
      <c r="S4" s="1416"/>
    </row>
    <row r="5" spans="8:22" ht="54.75" customHeight="1" x14ac:dyDescent="0.35">
      <c r="H5" s="1416"/>
      <c r="I5" s="1416"/>
      <c r="J5" s="1416"/>
      <c r="K5" s="1416"/>
      <c r="L5" s="1416"/>
      <c r="M5" s="1416"/>
      <c r="N5" s="1416"/>
      <c r="O5" s="1416"/>
      <c r="P5" s="1416"/>
      <c r="Q5" s="1416"/>
      <c r="R5" s="1416"/>
      <c r="S5" s="1416"/>
    </row>
    <row r="6" spans="8:22" x14ac:dyDescent="0.35">
      <c r="H6" s="356"/>
      <c r="I6" s="356"/>
      <c r="J6" s="356"/>
      <c r="K6" s="356"/>
      <c r="L6" s="356"/>
      <c r="M6" s="356"/>
      <c r="N6" s="356"/>
      <c r="O6" s="356"/>
      <c r="P6" s="356"/>
      <c r="Q6" s="356"/>
      <c r="R6" s="356"/>
      <c r="S6" s="356"/>
    </row>
    <row r="7" spans="8:22" x14ac:dyDescent="0.35">
      <c r="H7" s="1114" t="s">
        <v>284</v>
      </c>
    </row>
    <row r="8" spans="8:22" ht="16.399999999999999" customHeight="1" x14ac:dyDescent="0.35"/>
    <row r="9" spans="8:22" ht="15.75" customHeight="1" x14ac:dyDescent="0.35">
      <c r="L9" s="1403">
        <v>2020</v>
      </c>
      <c r="M9" s="1413"/>
      <c r="N9" s="1413"/>
      <c r="O9" s="282">
        <v>2021</v>
      </c>
      <c r="P9" s="282"/>
      <c r="Q9" s="282"/>
      <c r="R9" s="1105"/>
    </row>
    <row r="10" spans="8:22" ht="41.9" customHeight="1" x14ac:dyDescent="0.35">
      <c r="H10" s="1109" t="s">
        <v>285</v>
      </c>
      <c r="I10" s="1109" t="s">
        <v>286</v>
      </c>
      <c r="J10" s="1110" t="s">
        <v>287</v>
      </c>
      <c r="K10" s="365"/>
      <c r="L10" s="1119" t="s">
        <v>250</v>
      </c>
      <c r="M10" s="1120" t="s">
        <v>226</v>
      </c>
      <c r="N10" s="1120" t="s">
        <v>248</v>
      </c>
      <c r="O10" s="1120" t="s">
        <v>249</v>
      </c>
      <c r="P10" s="1120" t="s">
        <v>250</v>
      </c>
      <c r="Q10" s="1120" t="s">
        <v>226</v>
      </c>
      <c r="R10" s="1108" t="s">
        <v>248</v>
      </c>
      <c r="S10" s="356" t="s">
        <v>288</v>
      </c>
      <c r="T10" s="365"/>
      <c r="U10" s="365"/>
      <c r="V10" s="365"/>
    </row>
    <row r="11" spans="8:22" x14ac:dyDescent="0.35">
      <c r="H11" s="1111">
        <v>43934</v>
      </c>
      <c r="I11" s="265">
        <v>248</v>
      </c>
      <c r="J11" s="691">
        <f>I11</f>
        <v>248</v>
      </c>
      <c r="K11" s="265"/>
      <c r="L11" s="1103">
        <f>S11/26*J11</f>
        <v>95.384615384615387</v>
      </c>
      <c r="M11" s="756">
        <f>13/26*J11</f>
        <v>124</v>
      </c>
      <c r="N11" s="756">
        <f>J11-SUM(L11:M11)</f>
        <v>28.615384615384613</v>
      </c>
      <c r="O11" s="756"/>
      <c r="P11" s="756"/>
      <c r="Q11" s="756"/>
      <c r="R11" s="731"/>
      <c r="S11" s="265">
        <v>10</v>
      </c>
      <c r="T11" s="265"/>
      <c r="U11" s="1116"/>
      <c r="V11" s="265"/>
    </row>
    <row r="12" spans="8:22" x14ac:dyDescent="0.35">
      <c r="H12" s="1117">
        <v>43937</v>
      </c>
      <c r="I12" s="265">
        <v>342</v>
      </c>
      <c r="J12" s="691">
        <f>I12-I11</f>
        <v>94</v>
      </c>
      <c r="K12" s="265"/>
      <c r="L12" s="1103">
        <f t="shared" ref="L12:L20" si="0">S12/26*J12</f>
        <v>36.153846153846153</v>
      </c>
      <c r="M12" s="756">
        <f t="shared" ref="M12:M20" si="1">13/26*J12</f>
        <v>47</v>
      </c>
      <c r="N12" s="756">
        <f t="shared" ref="N12:N21" si="2">J12-SUM(L12:M12)</f>
        <v>10.84615384615384</v>
      </c>
      <c r="O12" s="756"/>
      <c r="P12" s="756"/>
      <c r="Q12" s="756"/>
      <c r="R12" s="731"/>
      <c r="S12" s="265">
        <v>10</v>
      </c>
      <c r="T12" s="265"/>
      <c r="U12" s="265"/>
      <c r="V12" s="265"/>
    </row>
    <row r="13" spans="8:22" x14ac:dyDescent="0.35">
      <c r="H13" s="1117">
        <v>43952</v>
      </c>
      <c r="I13" s="265">
        <v>518</v>
      </c>
      <c r="J13" s="691">
        <f>I13-I12</f>
        <v>176</v>
      </c>
      <c r="K13" s="265"/>
      <c r="L13" s="1103">
        <f t="shared" si="0"/>
        <v>54.15384615384616</v>
      </c>
      <c r="M13" s="756">
        <f t="shared" si="1"/>
        <v>88</v>
      </c>
      <c r="N13" s="756">
        <f t="shared" si="2"/>
        <v>33.84615384615384</v>
      </c>
      <c r="O13" s="756"/>
      <c r="P13" s="756"/>
      <c r="Q13" s="756"/>
      <c r="R13" s="731"/>
      <c r="S13" s="265">
        <v>8</v>
      </c>
      <c r="T13" s="265"/>
      <c r="U13" s="265"/>
      <c r="V13" s="265"/>
    </row>
    <row r="14" spans="8:22" x14ac:dyDescent="0.35">
      <c r="H14" s="1117">
        <v>43959</v>
      </c>
      <c r="I14" s="265">
        <v>531</v>
      </c>
      <c r="J14" s="691">
        <f t="shared" ref="J14:J45" si="3">I14-I13</f>
        <v>13</v>
      </c>
      <c r="K14" s="265"/>
      <c r="L14" s="1103">
        <f t="shared" si="0"/>
        <v>3.5</v>
      </c>
      <c r="M14" s="756">
        <f t="shared" si="1"/>
        <v>6.5</v>
      </c>
      <c r="N14" s="756">
        <f t="shared" si="2"/>
        <v>3</v>
      </c>
      <c r="O14" s="756"/>
      <c r="P14" s="756"/>
      <c r="Q14" s="756"/>
      <c r="R14" s="731"/>
      <c r="S14" s="265">
        <f t="shared" ref="S14:S20" si="4">S13-1</f>
        <v>7</v>
      </c>
      <c r="T14" s="265"/>
      <c r="U14" s="265"/>
      <c r="V14" s="265"/>
    </row>
    <row r="15" spans="8:22" x14ac:dyDescent="0.35">
      <c r="H15" s="1117">
        <v>43967</v>
      </c>
      <c r="I15" s="265">
        <v>513</v>
      </c>
      <c r="J15" s="691">
        <f t="shared" si="3"/>
        <v>-18</v>
      </c>
      <c r="K15" s="265"/>
      <c r="L15" s="1103">
        <f t="shared" ref="L15:L17" si="5">S15/26*J15</f>
        <v>-4.1538461538461542</v>
      </c>
      <c r="M15" s="756">
        <f t="shared" ref="M15:M17" si="6">13/26*J15</f>
        <v>-9</v>
      </c>
      <c r="N15" s="756">
        <f t="shared" ref="N15:N17" si="7">J15-SUM(L15:M15)</f>
        <v>-4.8461538461538467</v>
      </c>
      <c r="O15" s="756"/>
      <c r="P15" s="756"/>
      <c r="Q15" s="756"/>
      <c r="R15" s="731"/>
      <c r="S15" s="265">
        <f t="shared" si="4"/>
        <v>6</v>
      </c>
      <c r="T15" s="265"/>
      <c r="U15" s="265"/>
      <c r="V15" s="265"/>
    </row>
    <row r="16" spans="8:22" x14ac:dyDescent="0.35">
      <c r="H16" s="1117">
        <v>43974</v>
      </c>
      <c r="I16" s="265">
        <v>511</v>
      </c>
      <c r="J16" s="691">
        <f t="shared" si="3"/>
        <v>-2</v>
      </c>
      <c r="K16" s="265"/>
      <c r="L16" s="1103">
        <f t="shared" si="5"/>
        <v>-0.38461538461538464</v>
      </c>
      <c r="M16" s="756">
        <f t="shared" si="6"/>
        <v>-1</v>
      </c>
      <c r="N16" s="756">
        <f t="shared" si="7"/>
        <v>-0.61538461538461542</v>
      </c>
      <c r="O16" s="756"/>
      <c r="P16" s="756"/>
      <c r="Q16" s="756"/>
      <c r="R16" s="731"/>
      <c r="S16" s="265">
        <f t="shared" si="4"/>
        <v>5</v>
      </c>
      <c r="T16" s="265"/>
      <c r="U16" s="265"/>
      <c r="V16" s="265"/>
    </row>
    <row r="17" spans="8:22" x14ac:dyDescent="0.35">
      <c r="H17" s="1117">
        <v>43981</v>
      </c>
      <c r="I17" s="265">
        <v>510</v>
      </c>
      <c r="J17" s="691">
        <f t="shared" si="3"/>
        <v>-1</v>
      </c>
      <c r="K17" s="265"/>
      <c r="L17" s="1103">
        <f t="shared" si="5"/>
        <v>-0.15384615384615385</v>
      </c>
      <c r="M17" s="756">
        <f t="shared" si="6"/>
        <v>-0.5</v>
      </c>
      <c r="N17" s="756">
        <f t="shared" si="7"/>
        <v>-0.34615384615384615</v>
      </c>
      <c r="O17" s="756"/>
      <c r="P17" s="756"/>
      <c r="Q17" s="756"/>
      <c r="R17" s="731"/>
      <c r="S17" s="265">
        <f t="shared" si="4"/>
        <v>4</v>
      </c>
      <c r="T17" s="265"/>
      <c r="U17" s="265"/>
      <c r="V17" s="265"/>
    </row>
    <row r="18" spans="8:22" x14ac:dyDescent="0.35">
      <c r="H18" s="1117">
        <v>43988</v>
      </c>
      <c r="I18" s="265">
        <v>511</v>
      </c>
      <c r="J18" s="691">
        <f t="shared" si="3"/>
        <v>1</v>
      </c>
      <c r="K18" s="265"/>
      <c r="L18" s="1103">
        <f t="shared" si="0"/>
        <v>0.11538461538461539</v>
      </c>
      <c r="M18" s="756">
        <f t="shared" si="1"/>
        <v>0.5</v>
      </c>
      <c r="N18" s="756">
        <f t="shared" si="2"/>
        <v>0.38461538461538458</v>
      </c>
      <c r="O18" s="756"/>
      <c r="P18" s="756"/>
      <c r="Q18" s="756"/>
      <c r="R18" s="731"/>
      <c r="S18" s="265">
        <f t="shared" si="4"/>
        <v>3</v>
      </c>
      <c r="T18" s="265"/>
      <c r="U18" s="265"/>
      <c r="V18" s="265"/>
    </row>
    <row r="19" spans="8:22" x14ac:dyDescent="0.35">
      <c r="H19" s="1117">
        <v>43994</v>
      </c>
      <c r="I19" s="265">
        <v>512</v>
      </c>
      <c r="J19" s="691">
        <f t="shared" si="3"/>
        <v>1</v>
      </c>
      <c r="K19" s="265"/>
      <c r="L19" s="1103">
        <f t="shared" si="0"/>
        <v>7.6923076923076927E-2</v>
      </c>
      <c r="M19" s="756">
        <f t="shared" si="1"/>
        <v>0.5</v>
      </c>
      <c r="N19" s="756">
        <f t="shared" si="2"/>
        <v>0.42307692307692313</v>
      </c>
      <c r="O19" s="756"/>
      <c r="P19" s="756"/>
      <c r="Q19" s="756"/>
      <c r="R19" s="731"/>
      <c r="S19" s="265">
        <f t="shared" si="4"/>
        <v>2</v>
      </c>
      <c r="T19" s="265"/>
      <c r="U19" s="265"/>
      <c r="V19" s="265"/>
    </row>
    <row r="20" spans="8:22" x14ac:dyDescent="0.35">
      <c r="H20" s="1117">
        <v>44002</v>
      </c>
      <c r="I20" s="265">
        <v>515</v>
      </c>
      <c r="J20" s="691">
        <f t="shared" si="3"/>
        <v>3</v>
      </c>
      <c r="K20" s="265"/>
      <c r="L20" s="1103">
        <f t="shared" si="0"/>
        <v>0.11538461538461539</v>
      </c>
      <c r="M20" s="756">
        <f t="shared" si="1"/>
        <v>1.5</v>
      </c>
      <c r="N20" s="756">
        <f t="shared" si="2"/>
        <v>1.3846153846153846</v>
      </c>
      <c r="O20" s="756"/>
      <c r="P20" s="756"/>
      <c r="Q20" s="756"/>
      <c r="R20" s="731"/>
      <c r="S20" s="265">
        <f t="shared" si="4"/>
        <v>1</v>
      </c>
      <c r="T20" s="265"/>
      <c r="U20" s="265"/>
      <c r="V20" s="265"/>
    </row>
    <row r="21" spans="8:22" x14ac:dyDescent="0.35">
      <c r="H21" s="1117">
        <v>44009</v>
      </c>
      <c r="I21" s="265">
        <v>519</v>
      </c>
      <c r="J21" s="691">
        <f t="shared" si="3"/>
        <v>4</v>
      </c>
      <c r="K21" s="265"/>
      <c r="L21" s="1103"/>
      <c r="M21" s="756">
        <f>S21/26*J21</f>
        <v>2</v>
      </c>
      <c r="N21" s="756">
        <f t="shared" si="2"/>
        <v>2</v>
      </c>
      <c r="O21" s="756"/>
      <c r="P21" s="756"/>
      <c r="Q21" s="756"/>
      <c r="R21" s="731"/>
      <c r="S21" s="265">
        <v>13</v>
      </c>
      <c r="T21" s="265"/>
      <c r="U21" s="265"/>
      <c r="V21" s="265"/>
    </row>
    <row r="22" spans="8:22" x14ac:dyDescent="0.35">
      <c r="H22" s="1117">
        <v>44012</v>
      </c>
      <c r="I22" s="265">
        <v>521</v>
      </c>
      <c r="J22" s="691">
        <f t="shared" si="3"/>
        <v>2</v>
      </c>
      <c r="K22" s="265"/>
      <c r="L22" s="1103"/>
      <c r="M22" s="756">
        <f t="shared" ref="M22:M26" si="8">S22/26*J22</f>
        <v>1</v>
      </c>
      <c r="N22" s="756">
        <f>J22-SUM(L22:M22)</f>
        <v>1</v>
      </c>
      <c r="O22" s="756"/>
      <c r="P22" s="756"/>
      <c r="Q22" s="756"/>
      <c r="R22" s="731"/>
      <c r="S22" s="265">
        <v>13</v>
      </c>
      <c r="T22" s="265"/>
      <c r="U22" s="265"/>
      <c r="V22" s="265"/>
    </row>
    <row r="23" spans="8:22" x14ac:dyDescent="0.35">
      <c r="H23" s="1117">
        <v>44029</v>
      </c>
      <c r="I23" s="265">
        <v>518</v>
      </c>
      <c r="J23" s="691">
        <f t="shared" si="3"/>
        <v>-3</v>
      </c>
      <c r="K23" s="265"/>
      <c r="L23" s="1103"/>
      <c r="M23" s="756">
        <f t="shared" ref="M23" si="9">S23/26*J23</f>
        <v>-1.153846153846154</v>
      </c>
      <c r="N23" s="756">
        <f t="shared" ref="N23" si="10">13/26*J23</f>
        <v>-1.5</v>
      </c>
      <c r="O23" s="756">
        <f t="shared" ref="O23" si="11">J23-N23-M23</f>
        <v>-0.34615384615384603</v>
      </c>
      <c r="P23" s="756"/>
      <c r="Q23" s="756"/>
      <c r="R23" s="731"/>
      <c r="S23" s="265">
        <f>S22-3</f>
        <v>10</v>
      </c>
      <c r="T23" s="265"/>
      <c r="U23" s="265"/>
      <c r="V23" s="265"/>
    </row>
    <row r="24" spans="8:22" x14ac:dyDescent="0.35">
      <c r="H24" s="1117">
        <v>44036</v>
      </c>
      <c r="I24" s="265">
        <v>520</v>
      </c>
      <c r="J24" s="691">
        <f t="shared" si="3"/>
        <v>2</v>
      </c>
      <c r="K24" s="265"/>
      <c r="L24" s="1103"/>
      <c r="M24" s="756">
        <f t="shared" si="8"/>
        <v>0.69230769230769229</v>
      </c>
      <c r="N24" s="756">
        <f t="shared" ref="N24:N26" si="12">13/26*J24</f>
        <v>1</v>
      </c>
      <c r="O24" s="756">
        <f t="shared" ref="O24:O26" si="13">J24-N24-M24</f>
        <v>0.30769230769230771</v>
      </c>
      <c r="P24" s="756"/>
      <c r="Q24" s="756"/>
      <c r="R24" s="731"/>
      <c r="S24" s="265">
        <f>S23-1</f>
        <v>9</v>
      </c>
      <c r="T24" s="265"/>
      <c r="U24" s="265"/>
      <c r="V24" s="265"/>
    </row>
    <row r="25" spans="8:22" x14ac:dyDescent="0.35">
      <c r="H25" s="1117">
        <v>44043</v>
      </c>
      <c r="I25" s="265">
        <v>521</v>
      </c>
      <c r="J25" s="691">
        <f t="shared" si="3"/>
        <v>1</v>
      </c>
      <c r="K25" s="265"/>
      <c r="L25" s="1103"/>
      <c r="M25" s="756">
        <f t="shared" si="8"/>
        <v>0.30769230769230771</v>
      </c>
      <c r="N25" s="756">
        <f t="shared" si="12"/>
        <v>0.5</v>
      </c>
      <c r="O25" s="756">
        <f t="shared" si="13"/>
        <v>0.19230769230769229</v>
      </c>
      <c r="P25" s="756"/>
      <c r="Q25" s="756"/>
      <c r="R25" s="731"/>
      <c r="S25" s="265">
        <f>S24-1</f>
        <v>8</v>
      </c>
      <c r="T25" s="265"/>
      <c r="U25" s="265"/>
      <c r="V25" s="265"/>
    </row>
    <row r="26" spans="8:22" x14ac:dyDescent="0.35">
      <c r="H26" s="1117">
        <v>44051</v>
      </c>
      <c r="I26" s="265">
        <v>525</v>
      </c>
      <c r="J26" s="691">
        <f t="shared" si="3"/>
        <v>4</v>
      </c>
      <c r="K26" s="265"/>
      <c r="L26" s="1103"/>
      <c r="M26" s="756">
        <f t="shared" si="8"/>
        <v>1.0769230769230769</v>
      </c>
      <c r="N26" s="756">
        <f t="shared" si="12"/>
        <v>2</v>
      </c>
      <c r="O26" s="756">
        <f t="shared" si="13"/>
        <v>0.92307692307692313</v>
      </c>
      <c r="P26" s="756"/>
      <c r="Q26" s="756"/>
      <c r="R26" s="731"/>
      <c r="S26" s="265">
        <f>S25-1</f>
        <v>7</v>
      </c>
      <c r="T26" s="265"/>
      <c r="U26" s="265"/>
      <c r="V26" s="265"/>
    </row>
    <row r="27" spans="8:22" x14ac:dyDescent="0.35">
      <c r="H27" s="1117">
        <v>44220</v>
      </c>
      <c r="I27" s="265">
        <v>558</v>
      </c>
      <c r="J27" s="691">
        <f t="shared" si="3"/>
        <v>33</v>
      </c>
      <c r="K27" s="265"/>
      <c r="L27" s="1103"/>
      <c r="M27" s="756"/>
      <c r="N27" s="756"/>
      <c r="O27" s="756">
        <f>S27/26*J27</f>
        <v>12.692307692307693</v>
      </c>
      <c r="P27" s="756">
        <f>J27/2</f>
        <v>16.5</v>
      </c>
      <c r="Q27" s="756">
        <f>J27-P27-O27</f>
        <v>3.8076923076923066</v>
      </c>
      <c r="R27" s="731"/>
      <c r="S27" s="265">
        <v>10</v>
      </c>
      <c r="T27" s="265">
        <v>10</v>
      </c>
      <c r="U27" s="265"/>
      <c r="V27" s="265"/>
    </row>
    <row r="28" spans="8:22" x14ac:dyDescent="0.35">
      <c r="H28" s="1117">
        <v>44227</v>
      </c>
      <c r="I28" s="265">
        <v>596</v>
      </c>
      <c r="J28" s="691">
        <f t="shared" si="3"/>
        <v>38</v>
      </c>
      <c r="K28" s="265"/>
      <c r="L28" s="1103"/>
      <c r="M28" s="756"/>
      <c r="N28" s="756"/>
      <c r="O28" s="756">
        <f t="shared" ref="O28:O36" si="14">S28/26*J28</f>
        <v>13.153846153846153</v>
      </c>
      <c r="P28" s="756">
        <f t="shared" ref="P28:P36" si="15">J28/2</f>
        <v>19</v>
      </c>
      <c r="Q28" s="756">
        <f t="shared" ref="Q28:Q36" si="16">J28-P28-O28</f>
        <v>5.8461538461538467</v>
      </c>
      <c r="R28" s="731"/>
      <c r="S28" s="265">
        <f>S27-1</f>
        <v>9</v>
      </c>
      <c r="T28" s="265">
        <f>T27-1</f>
        <v>9</v>
      </c>
      <c r="U28" s="265"/>
      <c r="V28" s="265"/>
    </row>
    <row r="29" spans="8:22" x14ac:dyDescent="0.35">
      <c r="H29" s="1117">
        <v>44234</v>
      </c>
      <c r="I29" s="265">
        <v>623</v>
      </c>
      <c r="J29" s="691">
        <f t="shared" si="3"/>
        <v>27</v>
      </c>
      <c r="K29" s="265"/>
      <c r="L29" s="1103"/>
      <c r="M29" s="756"/>
      <c r="N29" s="756"/>
      <c r="O29" s="756">
        <f t="shared" si="14"/>
        <v>8.3076923076923084</v>
      </c>
      <c r="P29" s="756">
        <f t="shared" si="15"/>
        <v>13.5</v>
      </c>
      <c r="Q29" s="756">
        <f t="shared" si="16"/>
        <v>5.1923076923076916</v>
      </c>
      <c r="R29" s="731"/>
      <c r="S29" s="265">
        <f t="shared" ref="S29:S36" si="17">S28-1</f>
        <v>8</v>
      </c>
      <c r="T29" s="265">
        <f t="shared" ref="T29:T36" si="18">T28-1</f>
        <v>8</v>
      </c>
      <c r="U29" s="265"/>
      <c r="V29" s="265"/>
    </row>
    <row r="30" spans="8:22" x14ac:dyDescent="0.35">
      <c r="H30" s="1117">
        <v>44242</v>
      </c>
      <c r="I30" s="265">
        <v>648</v>
      </c>
      <c r="J30" s="691">
        <f t="shared" si="3"/>
        <v>25</v>
      </c>
      <c r="K30" s="265"/>
      <c r="L30" s="1103"/>
      <c r="M30" s="756"/>
      <c r="N30" s="756"/>
      <c r="O30" s="756">
        <f t="shared" si="14"/>
        <v>6.7307692307692308</v>
      </c>
      <c r="P30" s="756">
        <f t="shared" si="15"/>
        <v>12.5</v>
      </c>
      <c r="Q30" s="756">
        <f t="shared" si="16"/>
        <v>5.7692307692307692</v>
      </c>
      <c r="R30" s="731"/>
      <c r="S30" s="265">
        <f t="shared" si="17"/>
        <v>7</v>
      </c>
      <c r="T30" s="265">
        <f t="shared" si="18"/>
        <v>7</v>
      </c>
      <c r="U30" s="265"/>
      <c r="V30" s="265"/>
    </row>
    <row r="31" spans="8:22" x14ac:dyDescent="0.35">
      <c r="H31" s="1117">
        <v>44248</v>
      </c>
      <c r="I31" s="265">
        <v>663</v>
      </c>
      <c r="J31" s="691">
        <f t="shared" si="3"/>
        <v>15</v>
      </c>
      <c r="K31" s="265"/>
      <c r="L31" s="1103"/>
      <c r="M31" s="756"/>
      <c r="N31" s="756"/>
      <c r="O31" s="756">
        <f t="shared" si="14"/>
        <v>3.4615384615384617</v>
      </c>
      <c r="P31" s="756">
        <f t="shared" si="15"/>
        <v>7.5</v>
      </c>
      <c r="Q31" s="756">
        <f t="shared" si="16"/>
        <v>4.0384615384615383</v>
      </c>
      <c r="R31" s="731"/>
      <c r="S31" s="265">
        <f t="shared" si="17"/>
        <v>6</v>
      </c>
      <c r="T31" s="265">
        <f t="shared" si="18"/>
        <v>6</v>
      </c>
      <c r="U31" s="265"/>
      <c r="V31" s="265"/>
    </row>
    <row r="32" spans="8:22" x14ac:dyDescent="0.35">
      <c r="H32" s="1117">
        <v>44255</v>
      </c>
      <c r="I32" s="265">
        <v>679</v>
      </c>
      <c r="J32" s="691">
        <f t="shared" si="3"/>
        <v>16</v>
      </c>
      <c r="K32" s="265"/>
      <c r="L32" s="1103"/>
      <c r="M32" s="756"/>
      <c r="N32" s="756"/>
      <c r="O32" s="756">
        <f t="shared" si="14"/>
        <v>3.0769230769230771</v>
      </c>
      <c r="P32" s="756">
        <f t="shared" si="15"/>
        <v>8</v>
      </c>
      <c r="Q32" s="756">
        <f t="shared" si="16"/>
        <v>4.9230769230769234</v>
      </c>
      <c r="R32" s="731"/>
      <c r="S32" s="265">
        <f t="shared" si="17"/>
        <v>5</v>
      </c>
      <c r="T32" s="265">
        <f t="shared" si="18"/>
        <v>5</v>
      </c>
      <c r="U32" s="265"/>
      <c r="V32" s="265"/>
    </row>
    <row r="33" spans="8:22" x14ac:dyDescent="0.35">
      <c r="H33" s="1117">
        <v>44262</v>
      </c>
      <c r="I33" s="265">
        <v>687</v>
      </c>
      <c r="J33" s="691">
        <f t="shared" si="3"/>
        <v>8</v>
      </c>
      <c r="K33" s="265"/>
      <c r="L33" s="1103"/>
      <c r="M33" s="756"/>
      <c r="N33" s="756"/>
      <c r="O33" s="756">
        <f t="shared" si="14"/>
        <v>1.2307692307692308</v>
      </c>
      <c r="P33" s="756">
        <f t="shared" si="15"/>
        <v>4</v>
      </c>
      <c r="Q33" s="756">
        <f t="shared" si="16"/>
        <v>2.7692307692307692</v>
      </c>
      <c r="R33" s="731"/>
      <c r="S33" s="265">
        <f t="shared" si="17"/>
        <v>4</v>
      </c>
      <c r="T33" s="265">
        <f t="shared" si="18"/>
        <v>4</v>
      </c>
      <c r="U33" s="265"/>
      <c r="V33" s="265"/>
    </row>
    <row r="34" spans="8:22" x14ac:dyDescent="0.35">
      <c r="H34" s="1117">
        <v>44269</v>
      </c>
      <c r="I34" s="265">
        <v>704</v>
      </c>
      <c r="J34" s="691">
        <f t="shared" si="3"/>
        <v>17</v>
      </c>
      <c r="K34" s="265"/>
      <c r="L34" s="1103"/>
      <c r="M34" s="756"/>
      <c r="N34" s="756"/>
      <c r="O34" s="756">
        <f t="shared" si="14"/>
        <v>1.9615384615384617</v>
      </c>
      <c r="P34" s="756">
        <f t="shared" si="15"/>
        <v>8.5</v>
      </c>
      <c r="Q34" s="756">
        <f t="shared" si="16"/>
        <v>6.5384615384615383</v>
      </c>
      <c r="R34" s="731"/>
      <c r="S34" s="265">
        <f t="shared" si="17"/>
        <v>3</v>
      </c>
      <c r="T34" s="265">
        <f t="shared" si="18"/>
        <v>3</v>
      </c>
      <c r="U34" s="265"/>
      <c r="V34" s="265"/>
    </row>
    <row r="35" spans="8:22" x14ac:dyDescent="0.35">
      <c r="H35" s="1117">
        <v>44276</v>
      </c>
      <c r="I35" s="265">
        <v>718</v>
      </c>
      <c r="J35" s="691">
        <f t="shared" si="3"/>
        <v>14</v>
      </c>
      <c r="K35" s="265"/>
      <c r="L35" s="1103"/>
      <c r="M35" s="756"/>
      <c r="N35" s="756"/>
      <c r="O35" s="756">
        <f t="shared" si="14"/>
        <v>1.0769230769230771</v>
      </c>
      <c r="P35" s="756">
        <f t="shared" si="15"/>
        <v>7</v>
      </c>
      <c r="Q35" s="756">
        <f t="shared" si="16"/>
        <v>5.9230769230769234</v>
      </c>
      <c r="R35" s="731"/>
      <c r="S35" s="265">
        <f t="shared" si="17"/>
        <v>2</v>
      </c>
      <c r="T35" s="265">
        <f t="shared" si="18"/>
        <v>2</v>
      </c>
      <c r="U35" s="265"/>
      <c r="V35" s="265"/>
    </row>
    <row r="36" spans="8:22" x14ac:dyDescent="0.35">
      <c r="H36" s="1117">
        <v>44283</v>
      </c>
      <c r="I36" s="265">
        <v>734</v>
      </c>
      <c r="J36" s="691">
        <f t="shared" si="3"/>
        <v>16</v>
      </c>
      <c r="K36" s="265"/>
      <c r="L36" s="1103"/>
      <c r="M36" s="756"/>
      <c r="N36" s="756"/>
      <c r="O36" s="756">
        <f t="shared" si="14"/>
        <v>0.61538461538461542</v>
      </c>
      <c r="P36" s="756">
        <f t="shared" si="15"/>
        <v>8</v>
      </c>
      <c r="Q36" s="756">
        <f t="shared" si="16"/>
        <v>7.384615384615385</v>
      </c>
      <c r="R36" s="731"/>
      <c r="S36" s="265">
        <f t="shared" si="17"/>
        <v>1</v>
      </c>
      <c r="T36" s="265">
        <f t="shared" si="18"/>
        <v>1</v>
      </c>
      <c r="U36" s="265"/>
      <c r="V36" s="265"/>
    </row>
    <row r="37" spans="8:22" x14ac:dyDescent="0.35">
      <c r="H37" s="1117">
        <v>44290</v>
      </c>
      <c r="I37" s="265">
        <v>746</v>
      </c>
      <c r="J37" s="691">
        <f t="shared" si="3"/>
        <v>12</v>
      </c>
      <c r="K37" s="265"/>
      <c r="L37" s="1103"/>
      <c r="M37" s="756"/>
      <c r="N37" s="756"/>
      <c r="O37" s="756"/>
      <c r="P37" s="756">
        <f>T37/26*J37</f>
        <v>6</v>
      </c>
      <c r="Q37" s="756">
        <f>J37/2</f>
        <v>6</v>
      </c>
      <c r="R37" s="731">
        <f>J37-Q37-P37</f>
        <v>0</v>
      </c>
      <c r="S37" s="265">
        <v>13</v>
      </c>
      <c r="T37" s="265">
        <v>13</v>
      </c>
      <c r="U37" s="265"/>
      <c r="V37" s="265"/>
    </row>
    <row r="38" spans="8:22" x14ac:dyDescent="0.35">
      <c r="H38" s="1117">
        <v>44297</v>
      </c>
      <c r="I38" s="265">
        <v>755</v>
      </c>
      <c r="J38" s="691">
        <f t="shared" si="3"/>
        <v>9</v>
      </c>
      <c r="K38" s="265"/>
      <c r="L38" s="1103"/>
      <c r="M38" s="756"/>
      <c r="N38" s="756"/>
      <c r="O38" s="756"/>
      <c r="P38" s="756">
        <f t="shared" ref="P38:P45" si="19">T38/26*J38</f>
        <v>4.1538461538461542</v>
      </c>
      <c r="Q38" s="756">
        <f t="shared" ref="Q38:Q45" si="20">J38/2</f>
        <v>4.5</v>
      </c>
      <c r="R38" s="731">
        <f t="shared" ref="R38:R45" si="21">J38-Q38-P38</f>
        <v>0.34615384615384581</v>
      </c>
      <c r="S38" s="265">
        <f>S37-1</f>
        <v>12</v>
      </c>
      <c r="T38" s="265">
        <f>T37-1</f>
        <v>12</v>
      </c>
      <c r="U38" s="265"/>
      <c r="V38" s="265"/>
    </row>
    <row r="39" spans="8:22" x14ac:dyDescent="0.35">
      <c r="H39" s="1117">
        <v>44304</v>
      </c>
      <c r="I39" s="265">
        <v>762</v>
      </c>
      <c r="J39" s="691">
        <f t="shared" si="3"/>
        <v>7</v>
      </c>
      <c r="K39" s="265"/>
      <c r="L39" s="1103"/>
      <c r="M39" s="756"/>
      <c r="N39" s="756"/>
      <c r="O39" s="756"/>
      <c r="P39" s="756">
        <f t="shared" si="19"/>
        <v>2.9615384615384617</v>
      </c>
      <c r="Q39" s="756">
        <f t="shared" si="20"/>
        <v>3.5</v>
      </c>
      <c r="R39" s="731">
        <f t="shared" si="21"/>
        <v>0.53846153846153832</v>
      </c>
      <c r="S39" s="265">
        <f t="shared" ref="S39:S45" si="22">S38-1</f>
        <v>11</v>
      </c>
      <c r="T39" s="265">
        <f t="shared" ref="T39:T45" si="23">T38-1</f>
        <v>11</v>
      </c>
      <c r="U39" s="265"/>
      <c r="V39" s="265"/>
    </row>
    <row r="40" spans="8:22" x14ac:dyDescent="0.35">
      <c r="H40" s="1117">
        <v>44311</v>
      </c>
      <c r="I40" s="265">
        <v>771</v>
      </c>
      <c r="J40" s="691">
        <f t="shared" si="3"/>
        <v>9</v>
      </c>
      <c r="K40" s="265"/>
      <c r="L40" s="1103"/>
      <c r="M40" s="756"/>
      <c r="N40" s="756"/>
      <c r="O40" s="756"/>
      <c r="P40" s="756">
        <f t="shared" si="19"/>
        <v>3.4615384615384617</v>
      </c>
      <c r="Q40" s="756">
        <f t="shared" si="20"/>
        <v>4.5</v>
      </c>
      <c r="R40" s="731">
        <f t="shared" si="21"/>
        <v>1.0384615384615383</v>
      </c>
      <c r="S40" s="265">
        <f t="shared" si="22"/>
        <v>10</v>
      </c>
      <c r="T40" s="265">
        <f t="shared" si="23"/>
        <v>10</v>
      </c>
      <c r="U40" s="265"/>
      <c r="V40" s="265"/>
    </row>
    <row r="41" spans="8:22" x14ac:dyDescent="0.35">
      <c r="H41" s="1117">
        <v>44318</v>
      </c>
      <c r="I41" s="265">
        <v>780</v>
      </c>
      <c r="J41" s="691">
        <f t="shared" si="3"/>
        <v>9</v>
      </c>
      <c r="K41" s="265"/>
      <c r="L41" s="1103"/>
      <c r="M41" s="756"/>
      <c r="N41" s="756"/>
      <c r="O41" s="756"/>
      <c r="P41" s="756">
        <f t="shared" si="19"/>
        <v>3.1153846153846154</v>
      </c>
      <c r="Q41" s="756">
        <f t="shared" si="20"/>
        <v>4.5</v>
      </c>
      <c r="R41" s="731">
        <f t="shared" si="21"/>
        <v>1.3846153846153846</v>
      </c>
      <c r="S41" s="265">
        <f t="shared" si="22"/>
        <v>9</v>
      </c>
      <c r="T41" s="265">
        <f t="shared" si="23"/>
        <v>9</v>
      </c>
      <c r="U41" s="265"/>
      <c r="V41" s="265"/>
    </row>
    <row r="42" spans="8:22" x14ac:dyDescent="0.35">
      <c r="H42" s="1117">
        <v>44325</v>
      </c>
      <c r="I42" s="265">
        <v>782</v>
      </c>
      <c r="J42" s="691">
        <f t="shared" si="3"/>
        <v>2</v>
      </c>
      <c r="K42" s="265"/>
      <c r="L42" s="1103"/>
      <c r="M42" s="756"/>
      <c r="N42" s="756"/>
      <c r="O42" s="756"/>
      <c r="P42" s="756">
        <f t="shared" si="19"/>
        <v>0.61538461538461542</v>
      </c>
      <c r="Q42" s="756">
        <f t="shared" si="20"/>
        <v>1</v>
      </c>
      <c r="R42" s="731">
        <f t="shared" si="21"/>
        <v>0.38461538461538458</v>
      </c>
      <c r="S42" s="265">
        <f t="shared" si="22"/>
        <v>8</v>
      </c>
      <c r="T42" s="265">
        <f t="shared" si="23"/>
        <v>8</v>
      </c>
      <c r="U42" s="265"/>
      <c r="V42" s="265"/>
    </row>
    <row r="43" spans="8:22" x14ac:dyDescent="0.35">
      <c r="H43" s="1117">
        <v>44332</v>
      </c>
      <c r="I43" s="265">
        <v>788</v>
      </c>
      <c r="J43" s="691">
        <f t="shared" si="3"/>
        <v>6</v>
      </c>
      <c r="K43" s="265"/>
      <c r="L43" s="1103"/>
      <c r="M43" s="756"/>
      <c r="N43" s="756"/>
      <c r="O43" s="756"/>
      <c r="P43" s="756">
        <f t="shared" si="19"/>
        <v>1.6153846153846154</v>
      </c>
      <c r="Q43" s="756">
        <f t="shared" si="20"/>
        <v>3</v>
      </c>
      <c r="R43" s="731">
        <f t="shared" si="21"/>
        <v>1.3846153846153846</v>
      </c>
      <c r="S43" s="265">
        <f t="shared" si="22"/>
        <v>7</v>
      </c>
      <c r="T43" s="265">
        <f t="shared" si="23"/>
        <v>7</v>
      </c>
      <c r="U43" s="265"/>
      <c r="V43" s="265"/>
    </row>
    <row r="44" spans="8:22" x14ac:dyDescent="0.35">
      <c r="H44" s="1117">
        <v>44339</v>
      </c>
      <c r="I44" s="265">
        <v>796</v>
      </c>
      <c r="J44" s="691">
        <f t="shared" si="3"/>
        <v>8</v>
      </c>
      <c r="K44" s="265"/>
      <c r="L44" s="1103"/>
      <c r="M44" s="756"/>
      <c r="N44" s="756"/>
      <c r="O44" s="756"/>
      <c r="P44" s="756">
        <f t="shared" si="19"/>
        <v>1.8461538461538463</v>
      </c>
      <c r="Q44" s="756">
        <f t="shared" si="20"/>
        <v>4</v>
      </c>
      <c r="R44" s="731">
        <f t="shared" si="21"/>
        <v>2.1538461538461537</v>
      </c>
      <c r="S44" s="265">
        <f t="shared" si="22"/>
        <v>6</v>
      </c>
      <c r="T44" s="265">
        <f t="shared" si="23"/>
        <v>6</v>
      </c>
      <c r="U44" s="265"/>
      <c r="V44" s="265"/>
    </row>
    <row r="45" spans="8:22" x14ac:dyDescent="0.35">
      <c r="H45" s="1118">
        <v>44347</v>
      </c>
      <c r="I45" s="690">
        <v>800</v>
      </c>
      <c r="J45" s="702">
        <f t="shared" si="3"/>
        <v>4</v>
      </c>
      <c r="K45" s="265"/>
      <c r="L45" s="1103"/>
      <c r="M45" s="756"/>
      <c r="N45" s="756"/>
      <c r="O45" s="756"/>
      <c r="P45" s="756">
        <f t="shared" si="19"/>
        <v>0.76923076923076927</v>
      </c>
      <c r="Q45" s="756">
        <f t="shared" si="20"/>
        <v>2</v>
      </c>
      <c r="R45" s="731">
        <f t="shared" si="21"/>
        <v>1.2307692307692308</v>
      </c>
      <c r="S45" s="265">
        <f t="shared" si="22"/>
        <v>5</v>
      </c>
      <c r="T45" s="265">
        <f t="shared" si="23"/>
        <v>5</v>
      </c>
      <c r="U45" s="265"/>
      <c r="V45" s="265"/>
    </row>
    <row r="46" spans="8:22" x14ac:dyDescent="0.35">
      <c r="H46" s="265"/>
      <c r="I46" s="265"/>
      <c r="J46" s="265"/>
      <c r="K46" s="265"/>
      <c r="L46" s="1103">
        <f>SUM(L11:L45)</f>
        <v>184.80769230769229</v>
      </c>
      <c r="M46" s="756">
        <f t="shared" ref="M46:R46" si="24">SUM(M11:M45)</f>
        <v>261.42307692307696</v>
      </c>
      <c r="N46" s="756">
        <f t="shared" si="24"/>
        <v>77.692307692307693</v>
      </c>
      <c r="O46" s="756">
        <f t="shared" si="24"/>
        <v>53.384615384615394</v>
      </c>
      <c r="P46" s="756">
        <f t="shared" si="24"/>
        <v>129.03846153846155</v>
      </c>
      <c r="Q46" s="756">
        <f t="shared" si="24"/>
        <v>85.192307692307693</v>
      </c>
      <c r="R46" s="731">
        <f t="shared" si="24"/>
        <v>8.4615384615384599</v>
      </c>
      <c r="S46" s="265"/>
      <c r="T46" s="265"/>
      <c r="U46" s="265"/>
      <c r="V46" s="265"/>
    </row>
    <row r="47" spans="8:22" x14ac:dyDescent="0.35">
      <c r="H47" s="265"/>
      <c r="I47" s="265"/>
      <c r="J47" s="265"/>
      <c r="K47" s="265"/>
      <c r="L47" s="1104">
        <f>L46*4</f>
        <v>739.23076923076917</v>
      </c>
      <c r="M47" s="1031">
        <f t="shared" ref="M47:R47" si="25">M46*4</f>
        <v>1045.6923076923078</v>
      </c>
      <c r="N47" s="1031">
        <f t="shared" si="25"/>
        <v>310.76923076923077</v>
      </c>
      <c r="O47" s="1031">
        <f t="shared" si="25"/>
        <v>213.53846153846158</v>
      </c>
      <c r="P47" s="1031">
        <f t="shared" si="25"/>
        <v>516.15384615384619</v>
      </c>
      <c r="Q47" s="1031">
        <f t="shared" si="25"/>
        <v>340.76923076923077</v>
      </c>
      <c r="R47" s="904">
        <f t="shared" si="25"/>
        <v>33.84615384615384</v>
      </c>
      <c r="S47" s="265" t="s">
        <v>289</v>
      </c>
      <c r="T47" s="265"/>
      <c r="U47" s="265"/>
      <c r="V47" s="265"/>
    </row>
    <row r="48" spans="8:22" x14ac:dyDescent="0.35">
      <c r="J48" s="268" t="s">
        <v>290</v>
      </c>
      <c r="L48" s="268">
        <v>634</v>
      </c>
      <c r="M48" s="1007">
        <f>K55</f>
        <v>900.7</v>
      </c>
      <c r="N48" s="1007">
        <f t="shared" ref="N48:P48" si="26">L55</f>
        <v>270.7</v>
      </c>
      <c r="O48" s="1007">
        <f t="shared" si="26"/>
        <v>208.7</v>
      </c>
      <c r="P48" s="1007">
        <f t="shared" si="26"/>
        <v>469.7</v>
      </c>
      <c r="Q48" s="1007">
        <v>279</v>
      </c>
      <c r="R48" s="1007"/>
    </row>
    <row r="50" spans="8:29" x14ac:dyDescent="0.35">
      <c r="H50" s="1504" t="s">
        <v>291</v>
      </c>
      <c r="I50" s="1505"/>
      <c r="J50" s="1400" t="s">
        <v>246</v>
      </c>
      <c r="K50" s="1401"/>
      <c r="L50" s="1401"/>
      <c r="M50" s="1464"/>
      <c r="N50" s="1464"/>
      <c r="O50" s="1464"/>
      <c r="P50" s="1418"/>
      <c r="Q50" s="644"/>
      <c r="R50" s="644"/>
      <c r="S50" s="644"/>
      <c r="T50" s="644"/>
      <c r="U50" s="644"/>
      <c r="V50" s="644"/>
      <c r="W50" s="644"/>
      <c r="X50" s="644"/>
      <c r="Y50" s="644"/>
    </row>
    <row r="51" spans="8:29" x14ac:dyDescent="0.35">
      <c r="H51" s="1506"/>
      <c r="I51" s="1507"/>
      <c r="J51" s="1403">
        <v>2020</v>
      </c>
      <c r="K51" s="1413"/>
      <c r="L51" s="1413"/>
      <c r="M51" s="1403">
        <v>2021</v>
      </c>
      <c r="N51" s="1413"/>
      <c r="O51" s="1413"/>
      <c r="P51" s="1405"/>
      <c r="Q51" s="1451"/>
      <c r="R51" s="1451"/>
      <c r="S51" s="1451"/>
      <c r="T51" s="1451"/>
      <c r="U51" s="1451"/>
      <c r="V51" s="1451"/>
      <c r="W51" s="1451"/>
      <c r="X51" s="1451"/>
    </row>
    <row r="52" spans="8:29" x14ac:dyDescent="0.35">
      <c r="H52" s="1526"/>
      <c r="I52" s="1527"/>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606" t="s">
        <v>292</v>
      </c>
      <c r="I53" s="265" t="s">
        <v>293</v>
      </c>
      <c r="J53" s="1112">
        <f>'Haver Pivoted'!GU47</f>
        <v>57.2</v>
      </c>
      <c r="K53" s="1102">
        <f>'Haver Pivoted'!GV47</f>
        <v>81.2</v>
      </c>
      <c r="L53" s="1102">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606" t="s">
        <v>294</v>
      </c>
      <c r="I54" s="361" t="s">
        <v>295</v>
      </c>
      <c r="J54" s="1106">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93" t="s">
        <v>278</v>
      </c>
      <c r="I55" s="265"/>
      <c r="J55" s="1106">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92" t="s">
        <v>296</v>
      </c>
      <c r="I56" s="690"/>
      <c r="J56" s="1032">
        <f t="shared" ref="J56:P56" si="29">J53/J55</f>
        <v>9.0206592020186091E-2</v>
      </c>
      <c r="K56" s="1033">
        <f t="shared" si="29"/>
        <v>9.015210391917397E-2</v>
      </c>
      <c r="L56" s="1033">
        <f t="shared" si="29"/>
        <v>9.0136682674547469E-2</v>
      </c>
      <c r="M56" s="1033">
        <f t="shared" si="29"/>
        <v>5.6061332055582176E-2</v>
      </c>
      <c r="N56" s="1033">
        <f t="shared" si="29"/>
        <v>6.0677027890142649E-2</v>
      </c>
      <c r="O56" s="1107">
        <f t="shared" si="29"/>
        <v>6.3620981387478848E-2</v>
      </c>
      <c r="P56" s="1107">
        <f t="shared" si="29"/>
        <v>5.3691275167785234E-2</v>
      </c>
      <c r="Q56" s="1115"/>
      <c r="R56" s="1061"/>
    </row>
    <row r="58" spans="8:29" x14ac:dyDescent="0.35">
      <c r="H58" s="268" t="s">
        <v>782</v>
      </c>
    </row>
    <row r="59" spans="8:29" x14ac:dyDescent="0.35">
      <c r="H59" s="399"/>
      <c r="I59" s="265"/>
      <c r="J59" s="366"/>
      <c r="K59" s="366"/>
      <c r="L59" s="366"/>
      <c r="M59" s="366"/>
      <c r="N59" s="366"/>
      <c r="O59" s="366"/>
      <c r="P59" s="633"/>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113"/>
      <c r="R61" s="1113"/>
      <c r="S61" s="1113"/>
      <c r="T61" s="1113"/>
      <c r="U61" s="1113"/>
      <c r="V61" s="1113"/>
      <c r="W61" s="1113"/>
      <c r="X61" s="1113"/>
      <c r="Y61" s="1113"/>
      <c r="Z61" s="1113"/>
      <c r="AA61" s="1113"/>
      <c r="AB61" s="1113"/>
      <c r="AC61" s="268"/>
    </row>
    <row r="62" spans="8:29" x14ac:dyDescent="0.35">
      <c r="P62" s="366"/>
      <c r="Q62" s="1113"/>
      <c r="R62" s="1113"/>
      <c r="S62" s="1113"/>
      <c r="T62" s="1113"/>
      <c r="U62" s="1113"/>
      <c r="V62" s="1113"/>
      <c r="W62" s="1113"/>
      <c r="X62" s="1113"/>
      <c r="Y62" s="1113"/>
      <c r="Z62" s="1113"/>
      <c r="AA62" s="1113"/>
      <c r="AB62" s="1113"/>
      <c r="AC62" s="268"/>
    </row>
    <row r="63" spans="8:29" x14ac:dyDescent="0.35">
      <c r="I63" s="268" t="s">
        <v>249</v>
      </c>
      <c r="J63" s="268" t="s">
        <v>250</v>
      </c>
      <c r="K63" s="268" t="s">
        <v>226</v>
      </c>
      <c r="L63" s="268" t="s">
        <v>248</v>
      </c>
      <c r="P63" s="1061"/>
      <c r="Q63" s="1113"/>
      <c r="R63" s="1113"/>
      <c r="S63" s="1113"/>
      <c r="T63" s="1113"/>
      <c r="U63" s="1113"/>
      <c r="V63" s="1113"/>
      <c r="W63" s="1113"/>
      <c r="X63" s="1113"/>
      <c r="Y63" s="1113"/>
      <c r="Z63" s="1113"/>
      <c r="AA63" s="1113"/>
      <c r="AB63" s="1113"/>
      <c r="AC63" s="268"/>
    </row>
    <row r="64" spans="8:29" x14ac:dyDescent="0.35">
      <c r="H64" s="268" t="s">
        <v>783</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435</v>
      </c>
      <c r="I65" s="1007">
        <f>M53</f>
        <v>11.7</v>
      </c>
      <c r="J65" s="1007">
        <f t="shared" ref="J65:K65" si="30">N53</f>
        <v>28.5</v>
      </c>
      <c r="K65" s="1007">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784</v>
      </c>
      <c r="I66" s="1007">
        <f>I67-SUM(I64:I65)</f>
        <v>115.39999999999999</v>
      </c>
      <c r="J66" s="1007">
        <f t="shared" ref="J66:K66" si="31">J67-SUM(J64:J65)</f>
        <v>252.29999999999998</v>
      </c>
      <c r="K66" s="1007">
        <f t="shared" si="31"/>
        <v>159.5</v>
      </c>
      <c r="L66" s="1007" t="e">
        <f>1.26*L64</f>
        <v>#REF!</v>
      </c>
      <c r="P66" s="268"/>
      <c r="Q66" s="268"/>
      <c r="R66" s="268"/>
      <c r="S66" s="268"/>
      <c r="T66" s="268"/>
      <c r="U66" s="268"/>
      <c r="V66" s="268"/>
      <c r="W66" s="268"/>
      <c r="X66" s="268"/>
      <c r="Y66" s="268"/>
      <c r="Z66" s="268"/>
      <c r="AA66" s="268"/>
      <c r="AB66" s="268"/>
      <c r="AC66" s="268"/>
    </row>
    <row r="67" spans="7:29" x14ac:dyDescent="0.35">
      <c r="H67" s="268" t="s">
        <v>278</v>
      </c>
      <c r="I67" s="1007">
        <f>M55</f>
        <v>208.7</v>
      </c>
      <c r="J67" s="1007">
        <f>N55</f>
        <v>469.7</v>
      </c>
      <c r="K67" s="1007">
        <f>O55</f>
        <v>295.5</v>
      </c>
      <c r="L67" s="1007" t="e">
        <f>SUM(L64:L66)</f>
        <v>#REF!</v>
      </c>
    </row>
    <row r="68" spans="7:29" x14ac:dyDescent="0.35">
      <c r="G68" s="268" t="s">
        <v>785</v>
      </c>
    </row>
    <row r="69" spans="7:29" x14ac:dyDescent="0.35">
      <c r="H69" s="268" t="s">
        <v>783</v>
      </c>
      <c r="I69" s="549">
        <f>I64/I$67</f>
        <v>0.39099185433636796</v>
      </c>
      <c r="J69" s="549">
        <f t="shared" ref="J69:L69" si="32">J64/J$67</f>
        <v>0.40217159889291038</v>
      </c>
      <c r="K69" s="549">
        <f t="shared" si="32"/>
        <v>0.3966159052453469</v>
      </c>
      <c r="L69" s="549" t="e">
        <f t="shared" si="32"/>
        <v>#REF!</v>
      </c>
    </row>
    <row r="70" spans="7:29" x14ac:dyDescent="0.35">
      <c r="H70" s="268" t="s">
        <v>435</v>
      </c>
      <c r="I70" s="549">
        <f t="shared" ref="I70:L71" si="33">I65/I$67</f>
        <v>5.6061332055582176E-2</v>
      </c>
      <c r="J70" s="549">
        <f t="shared" si="33"/>
        <v>6.0677027890142649E-2</v>
      </c>
      <c r="K70" s="549">
        <f t="shared" si="33"/>
        <v>6.3620981387478848E-2</v>
      </c>
      <c r="L70" s="549" t="e">
        <f t="shared" si="33"/>
        <v>#REF!</v>
      </c>
    </row>
    <row r="71" spans="7:29" x14ac:dyDescent="0.35">
      <c r="H71" s="268" t="s">
        <v>784</v>
      </c>
      <c r="I71" s="549">
        <f t="shared" si="33"/>
        <v>0.55294681360804987</v>
      </c>
      <c r="J71" s="549">
        <f t="shared" si="33"/>
        <v>0.53715137321694695</v>
      </c>
      <c r="K71" s="549">
        <f t="shared" si="33"/>
        <v>0.53976311336717431</v>
      </c>
      <c r="L71" s="549" t="e">
        <f t="shared" si="33"/>
        <v>#REF!</v>
      </c>
    </row>
    <row r="73" spans="7:29" x14ac:dyDescent="0.35">
      <c r="H73" s="268" t="s">
        <v>786</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74" t="s">
        <v>140</v>
      </c>
      <c r="C1" s="1374"/>
      <c r="D1" s="1374"/>
      <c r="E1" s="1374"/>
      <c r="F1" s="1374"/>
      <c r="G1" s="1374"/>
      <c r="H1" s="1374"/>
      <c r="I1" s="1374"/>
      <c r="J1" s="1374"/>
      <c r="K1" s="1374"/>
      <c r="L1" s="1374"/>
      <c r="M1" s="1374"/>
      <c r="N1" s="1374"/>
      <c r="O1" s="1374"/>
      <c r="P1" s="1374"/>
      <c r="Q1" s="1374"/>
      <c r="R1" s="1374"/>
      <c r="S1" s="1374"/>
      <c r="T1" s="1374"/>
    </row>
    <row r="2" spans="1:22" x14ac:dyDescent="0.35">
      <c r="B2" s="1528" t="s">
        <v>815</v>
      </c>
      <c r="C2" s="1528"/>
      <c r="D2" s="1528"/>
      <c r="E2" s="1528"/>
      <c r="F2" s="1528"/>
      <c r="G2" s="1528"/>
      <c r="H2" s="1528"/>
      <c r="I2" s="1528"/>
      <c r="J2" s="1528"/>
      <c r="K2" s="1528"/>
      <c r="L2" s="1528"/>
      <c r="M2" s="1528"/>
      <c r="N2" s="1528"/>
      <c r="O2" s="1528"/>
      <c r="P2" s="1528"/>
      <c r="Q2" s="1528"/>
      <c r="R2" s="1528"/>
      <c r="S2" s="1528"/>
      <c r="T2" s="1528"/>
    </row>
    <row r="3" spans="1:22" x14ac:dyDescent="0.35">
      <c r="B3" s="1528"/>
      <c r="C3" s="1528"/>
      <c r="D3" s="1528"/>
      <c r="E3" s="1528"/>
      <c r="F3" s="1528"/>
      <c r="G3" s="1528"/>
      <c r="H3" s="1528"/>
      <c r="I3" s="1528"/>
      <c r="J3" s="1528"/>
      <c r="K3" s="1528"/>
      <c r="L3" s="1528"/>
      <c r="M3" s="1528"/>
      <c r="N3" s="1528"/>
      <c r="O3" s="1528"/>
      <c r="P3" s="1528"/>
      <c r="Q3" s="1528"/>
      <c r="R3" s="1528"/>
      <c r="S3" s="1528"/>
      <c r="T3" s="1528"/>
    </row>
    <row r="4" spans="1:22" x14ac:dyDescent="0.35">
      <c r="B4" s="1528"/>
      <c r="C4" s="1528"/>
      <c r="D4" s="1528"/>
      <c r="E4" s="1528"/>
      <c r="F4" s="1528"/>
      <c r="G4" s="1528"/>
      <c r="H4" s="1528"/>
      <c r="I4" s="1528"/>
      <c r="J4" s="1528"/>
      <c r="K4" s="1528"/>
      <c r="L4" s="1528"/>
      <c r="M4" s="1528"/>
      <c r="N4" s="1528"/>
      <c r="O4" s="1528"/>
      <c r="P4" s="1528"/>
      <c r="Q4" s="1528"/>
      <c r="R4" s="1528"/>
      <c r="S4" s="1528"/>
      <c r="T4" s="1528"/>
    </row>
    <row r="5" spans="1:22" x14ac:dyDescent="0.35">
      <c r="B5" s="1528"/>
      <c r="C5" s="1528"/>
      <c r="D5" s="1528"/>
      <c r="E5" s="1528"/>
      <c r="F5" s="1528"/>
      <c r="G5" s="1528"/>
      <c r="H5" s="1528"/>
      <c r="I5" s="1528"/>
      <c r="J5" s="1528"/>
      <c r="K5" s="1528"/>
      <c r="L5" s="1528"/>
      <c r="M5" s="1528"/>
      <c r="N5" s="1528"/>
      <c r="O5" s="1528"/>
      <c r="P5" s="1528"/>
      <c r="Q5" s="1528"/>
      <c r="R5" s="1528"/>
      <c r="S5" s="1528"/>
      <c r="T5" s="1528"/>
    </row>
    <row r="6" spans="1:22" x14ac:dyDescent="0.35">
      <c r="B6" s="1528"/>
      <c r="C6" s="1528"/>
      <c r="D6" s="1528"/>
      <c r="E6" s="1528"/>
      <c r="F6" s="1528"/>
      <c r="G6" s="1528"/>
      <c r="H6" s="1528"/>
      <c r="I6" s="1528"/>
      <c r="J6" s="1528"/>
      <c r="K6" s="1528"/>
      <c r="L6" s="1528"/>
      <c r="M6" s="1528"/>
      <c r="N6" s="1528"/>
      <c r="O6" s="1528"/>
      <c r="P6" s="1528"/>
      <c r="Q6" s="1528"/>
      <c r="R6" s="1528"/>
      <c r="S6" s="1528"/>
      <c r="T6" s="1528"/>
    </row>
    <row r="7" spans="1:22" x14ac:dyDescent="0.35">
      <c r="J7" s="81"/>
      <c r="K7" s="81"/>
      <c r="M7" s="81"/>
    </row>
    <row r="9" spans="1:22" ht="14.9" customHeight="1" x14ac:dyDescent="0.35">
      <c r="A9" s="759"/>
      <c r="B9" s="1529" t="s">
        <v>270</v>
      </c>
      <c r="C9" s="1530"/>
      <c r="D9" s="1124">
        <v>2018</v>
      </c>
      <c r="E9" s="1535">
        <v>2019</v>
      </c>
      <c r="F9" s="1536"/>
      <c r="G9" s="1536"/>
      <c r="H9" s="1537"/>
      <c r="I9" s="1533">
        <v>2020</v>
      </c>
      <c r="J9" s="1534"/>
      <c r="K9" s="1534"/>
      <c r="L9" s="1534"/>
      <c r="M9" s="1538">
        <v>2021</v>
      </c>
      <c r="N9" s="1539"/>
      <c r="O9" s="1539"/>
      <c r="P9" s="1540"/>
      <c r="Q9" s="1533">
        <v>2022</v>
      </c>
      <c r="R9" s="1541"/>
      <c r="S9" s="1541"/>
      <c r="T9" s="1542"/>
    </row>
    <row r="10" spans="1:22" x14ac:dyDescent="0.35">
      <c r="B10" s="1531"/>
      <c r="C10" s="1532"/>
      <c r="D10" s="1128" t="s">
        <v>248</v>
      </c>
      <c r="E10" s="1129" t="s">
        <v>249</v>
      </c>
      <c r="F10" s="621" t="s">
        <v>250</v>
      </c>
      <c r="G10" s="621" t="s">
        <v>226</v>
      </c>
      <c r="H10" s="1130" t="s">
        <v>248</v>
      </c>
      <c r="I10" s="1129" t="s">
        <v>249</v>
      </c>
      <c r="J10" s="621" t="s">
        <v>250</v>
      </c>
      <c r="K10" s="621" t="s">
        <v>226</v>
      </c>
      <c r="L10" s="621" t="s">
        <v>248</v>
      </c>
      <c r="M10" s="244" t="s">
        <v>249</v>
      </c>
      <c r="N10" s="245" t="s">
        <v>250</v>
      </c>
      <c r="O10" s="245" t="s">
        <v>226</v>
      </c>
      <c r="P10" s="246" t="s">
        <v>248</v>
      </c>
      <c r="Q10" s="621" t="s">
        <v>249</v>
      </c>
      <c r="R10" s="621" t="s">
        <v>250</v>
      </c>
      <c r="S10" s="621" t="s">
        <v>226</v>
      </c>
      <c r="T10" s="1130" t="s">
        <v>248</v>
      </c>
    </row>
    <row r="11" spans="1:22" ht="29.15" customHeight="1" x14ac:dyDescent="0.35">
      <c r="A11" s="1122"/>
      <c r="B11" s="1132" t="s">
        <v>127</v>
      </c>
      <c r="C11" s="1127" t="s">
        <v>271</v>
      </c>
      <c r="D11" s="1141"/>
      <c r="E11" s="1142"/>
      <c r="F11" s="1142"/>
      <c r="G11" s="1142"/>
      <c r="H11" s="1142"/>
      <c r="I11" s="1142"/>
      <c r="J11" s="1134">
        <f>'Haver Pivoted'!GU48</f>
        <v>160.9</v>
      </c>
      <c r="K11" s="1134">
        <f>'Haver Pivoted'!GV48</f>
        <v>58.4</v>
      </c>
      <c r="L11" s="1134">
        <f>'Haver Pivoted'!GW48</f>
        <v>34.5</v>
      </c>
      <c r="M11" s="1134">
        <f>'Haver Pivoted'!GX48</f>
        <v>21.4</v>
      </c>
      <c r="N11" s="1134">
        <f>'Haver Pivoted'!GY48</f>
        <v>13.3</v>
      </c>
      <c r="O11" s="1134">
        <f>'Haver Pivoted'!GZ48</f>
        <v>18.7</v>
      </c>
      <c r="P11" s="1134">
        <f>'Haver Pivoted'!HA48</f>
        <v>32.200000000000003</v>
      </c>
      <c r="Q11" s="1134">
        <f>'Haver Pivoted'!HB48</f>
        <v>26.9</v>
      </c>
      <c r="R11" s="1134">
        <f>'Haver Pivoted'!HC48</f>
        <v>20</v>
      </c>
      <c r="S11" s="1140">
        <f>'Haver Pivoted'!HD48</f>
        <v>8.1</v>
      </c>
      <c r="T11" s="1135">
        <f>'Haver Pivoted'!HE48</f>
        <v>4.9000000000000004</v>
      </c>
    </row>
    <row r="12" spans="1:22" ht="29.15" customHeight="1" x14ac:dyDescent="0.35">
      <c r="A12" s="1122"/>
      <c r="B12" s="1145" t="s">
        <v>272</v>
      </c>
      <c r="C12" s="155" t="s">
        <v>273</v>
      </c>
      <c r="D12" s="1145"/>
      <c r="E12" s="155"/>
      <c r="F12" s="155"/>
      <c r="G12" s="155"/>
      <c r="H12" s="155"/>
      <c r="I12" s="155"/>
      <c r="J12" s="1136">
        <f>'Haver Pivoted'!GU58</f>
        <v>64.400000000000006</v>
      </c>
      <c r="K12" s="1136">
        <f>'Haver Pivoted'!GV58</f>
        <v>23.4</v>
      </c>
      <c r="L12" s="1136">
        <f>'Haver Pivoted'!GW58</f>
        <v>13.8</v>
      </c>
      <c r="M12" s="1136">
        <f>'Haver Pivoted'!GX58</f>
        <v>12</v>
      </c>
      <c r="N12" s="1136">
        <f>'Haver Pivoted'!GY58</f>
        <v>7.5</v>
      </c>
      <c r="O12" s="1136">
        <f>'Haver Pivoted'!GZ58</f>
        <v>10.5</v>
      </c>
      <c r="P12" s="1136">
        <f>'Haver Pivoted'!HA58</f>
        <v>18</v>
      </c>
      <c r="Q12" s="1136">
        <f>'Haver Pivoted'!HB58</f>
        <v>15</v>
      </c>
      <c r="R12" s="1136">
        <f>'Haver Pivoted'!HC58</f>
        <v>11.2</v>
      </c>
      <c r="S12" s="1139">
        <f>'Haver Pivoted'!HD58</f>
        <v>7.5</v>
      </c>
      <c r="T12" s="1143">
        <f>'Haver Pivoted'!HE58</f>
        <v>6.2</v>
      </c>
    </row>
    <row r="13" spans="1:22" ht="47.15" customHeight="1" x14ac:dyDescent="0.35">
      <c r="A13" s="1122"/>
      <c r="B13" s="1145" t="s">
        <v>274</v>
      </c>
      <c r="C13" s="155" t="s">
        <v>275</v>
      </c>
      <c r="D13" s="1145"/>
      <c r="E13" s="155"/>
      <c r="F13" s="155"/>
      <c r="G13" s="155"/>
      <c r="H13" s="155"/>
      <c r="I13" s="155"/>
      <c r="J13" s="1136">
        <f>'Haver Pivoted'!GU54</f>
        <v>96.6</v>
      </c>
      <c r="K13" s="1136">
        <f>'Haver Pivoted'!GV54</f>
        <v>35.1</v>
      </c>
      <c r="L13" s="1136">
        <f>'Haver Pivoted'!GW54</f>
        <v>20.7</v>
      </c>
      <c r="M13" s="1136">
        <f>'Haver Pivoted'!GX54</f>
        <v>15.4</v>
      </c>
      <c r="N13" s="1136">
        <f>'Haver Pivoted'!GY54</f>
        <v>9.6</v>
      </c>
      <c r="O13" s="1136">
        <f>'Haver Pivoted'!GZ54</f>
        <v>13.5</v>
      </c>
      <c r="P13" s="1136">
        <f>'Haver Pivoted'!HA54</f>
        <v>23.2</v>
      </c>
      <c r="Q13" s="1136">
        <f>'Haver Pivoted'!HB54</f>
        <v>19.3</v>
      </c>
      <c r="R13" s="1136">
        <f>'Haver Pivoted'!HC54</f>
        <v>14.4</v>
      </c>
      <c r="S13" s="1139">
        <f>'Haver Pivoted'!HD54</f>
        <v>5.9</v>
      </c>
      <c r="T13" s="1143">
        <f>'Haver Pivoted'!HE54</f>
        <v>3.6</v>
      </c>
      <c r="U13" s="1137" t="s">
        <v>276</v>
      </c>
      <c r="V13" s="1125" t="s">
        <v>277</v>
      </c>
    </row>
    <row r="14" spans="1:22" x14ac:dyDescent="0.35">
      <c r="B14" s="61" t="s">
        <v>278</v>
      </c>
      <c r="C14" s="63"/>
      <c r="D14" s="61"/>
      <c r="E14" s="63"/>
      <c r="F14" s="63"/>
      <c r="G14" s="63"/>
      <c r="H14" s="63"/>
      <c r="I14" s="63"/>
      <c r="J14" s="1136">
        <f t="shared" ref="J14:T14" si="0">J13+J12+J11</f>
        <v>321.89999999999998</v>
      </c>
      <c r="K14" s="1136">
        <f t="shared" si="0"/>
        <v>116.9</v>
      </c>
      <c r="L14" s="1136">
        <f t="shared" si="0"/>
        <v>69</v>
      </c>
      <c r="M14" s="1136">
        <f t="shared" si="0"/>
        <v>48.8</v>
      </c>
      <c r="N14" s="1136">
        <f t="shared" si="0"/>
        <v>30.400000000000002</v>
      </c>
      <c r="O14" s="1136">
        <f t="shared" si="0"/>
        <v>42.7</v>
      </c>
      <c r="P14" s="1136">
        <f t="shared" si="0"/>
        <v>73.400000000000006</v>
      </c>
      <c r="Q14" s="1136">
        <f t="shared" si="0"/>
        <v>61.199999999999996</v>
      </c>
      <c r="R14" s="1136">
        <f t="shared" si="0"/>
        <v>45.6</v>
      </c>
      <c r="S14" s="1139">
        <f t="shared" si="0"/>
        <v>21.5</v>
      </c>
      <c r="T14" s="1143">
        <f t="shared" si="0"/>
        <v>14.700000000000001</v>
      </c>
      <c r="U14" s="1138">
        <v>236</v>
      </c>
      <c r="V14" s="1131">
        <f>SUM(J14:S14)/4</f>
        <v>207.85</v>
      </c>
    </row>
    <row r="15" spans="1:22" x14ac:dyDescent="0.35">
      <c r="B15" s="1121" t="s">
        <v>279</v>
      </c>
      <c r="C15" s="65"/>
      <c r="D15" s="1121"/>
      <c r="E15" s="65"/>
      <c r="F15" s="65"/>
      <c r="G15" s="65"/>
      <c r="H15" s="65"/>
      <c r="I15" s="65"/>
      <c r="J15" s="759">
        <f t="shared" ref="J15:N17" si="1">J11/J$14</f>
        <v>0.49984467225846541</v>
      </c>
      <c r="K15" s="759">
        <f t="shared" si="1"/>
        <v>0.49957228400342168</v>
      </c>
      <c r="L15" s="759">
        <f t="shared" si="1"/>
        <v>0.5</v>
      </c>
      <c r="M15" s="759">
        <f t="shared" si="1"/>
        <v>0.43852459016393441</v>
      </c>
      <c r="N15" s="759">
        <f t="shared" si="1"/>
        <v>0.4375</v>
      </c>
      <c r="O15" s="759">
        <f>O11/O$14</f>
        <v>0.43793911007025754</v>
      </c>
      <c r="P15" s="759">
        <f t="shared" ref="P15:T15" si="2">P11/P$14</f>
        <v>0.43869209809264303</v>
      </c>
      <c r="Q15" s="759">
        <f t="shared" si="2"/>
        <v>0.43954248366013071</v>
      </c>
      <c r="R15" s="759">
        <f t="shared" si="2"/>
        <v>0.43859649122807015</v>
      </c>
      <c r="S15" s="621">
        <f t="shared" si="2"/>
        <v>0.37674418604651161</v>
      </c>
      <c r="T15" s="1130">
        <f t="shared" si="2"/>
        <v>0.33333333333333331</v>
      </c>
    </row>
    <row r="16" spans="1:22" x14ac:dyDescent="0.35">
      <c r="B16" s="1121" t="s">
        <v>280</v>
      </c>
      <c r="C16" s="65"/>
      <c r="D16" s="1121"/>
      <c r="E16" s="65"/>
      <c r="F16" s="65"/>
      <c r="G16" s="65"/>
      <c r="H16" s="65"/>
      <c r="I16" s="65"/>
      <c r="J16" s="759">
        <f t="shared" si="1"/>
        <v>0.20006213109661389</v>
      </c>
      <c r="K16" s="759">
        <f t="shared" si="1"/>
        <v>0.20017108639863129</v>
      </c>
      <c r="L16" s="759">
        <f t="shared" si="1"/>
        <v>0.2</v>
      </c>
      <c r="M16" s="759">
        <f t="shared" si="1"/>
        <v>0.24590163934426232</v>
      </c>
      <c r="N16" s="759">
        <f t="shared" si="1"/>
        <v>0.24671052631578946</v>
      </c>
      <c r="O16" s="759">
        <f t="shared" ref="O16:T16" si="3">O12/O$14</f>
        <v>0.24590163934426229</v>
      </c>
      <c r="P16" s="759">
        <f t="shared" si="3"/>
        <v>0.24523160762942778</v>
      </c>
      <c r="Q16" s="759">
        <f t="shared" si="3"/>
        <v>0.24509803921568629</v>
      </c>
      <c r="R16" s="759">
        <f t="shared" si="3"/>
        <v>0.24561403508771928</v>
      </c>
      <c r="S16" s="621">
        <f t="shared" si="3"/>
        <v>0.34883720930232559</v>
      </c>
      <c r="T16" s="1130">
        <f t="shared" si="3"/>
        <v>0.42176870748299317</v>
      </c>
      <c r="U16" s="438"/>
    </row>
    <row r="17" spans="2:21" x14ac:dyDescent="0.35">
      <c r="B17" s="1123" t="s">
        <v>281</v>
      </c>
      <c r="C17" s="1126"/>
      <c r="D17" s="1123"/>
      <c r="E17" s="1126"/>
      <c r="F17" s="1126"/>
      <c r="G17" s="1126"/>
      <c r="H17" s="1126"/>
      <c r="I17" s="1126"/>
      <c r="J17" s="780">
        <f t="shared" si="1"/>
        <v>0.30009319664492079</v>
      </c>
      <c r="K17" s="780">
        <f t="shared" si="1"/>
        <v>0.30025662959794697</v>
      </c>
      <c r="L17" s="780">
        <f t="shared" si="1"/>
        <v>0.3</v>
      </c>
      <c r="M17" s="780">
        <f t="shared" si="1"/>
        <v>0.3155737704918033</v>
      </c>
      <c r="N17" s="780">
        <f t="shared" si="1"/>
        <v>0.31578947368421051</v>
      </c>
      <c r="O17" s="780">
        <f t="shared" ref="O17:T17" si="4">O13/O$14</f>
        <v>0.31615925058548006</v>
      </c>
      <c r="P17" s="780">
        <f t="shared" si="4"/>
        <v>0.3160762942779291</v>
      </c>
      <c r="Q17" s="780">
        <f t="shared" si="4"/>
        <v>0.31535947712418305</v>
      </c>
      <c r="R17" s="780">
        <f t="shared" si="4"/>
        <v>0.31578947368421051</v>
      </c>
      <c r="S17" s="1133">
        <f t="shared" si="4"/>
        <v>0.2744186046511628</v>
      </c>
      <c r="T17" s="1144">
        <f t="shared" si="4"/>
        <v>0.24489795918367346</v>
      </c>
    </row>
    <row r="18" spans="2:21" x14ac:dyDescent="0.35">
      <c r="B18" s="65"/>
      <c r="C18" s="65"/>
      <c r="D18" s="65"/>
      <c r="E18" s="65"/>
      <c r="F18" s="65"/>
      <c r="G18" s="65"/>
      <c r="H18" s="65"/>
      <c r="I18" s="65"/>
      <c r="J18" s="759"/>
      <c r="K18" s="759"/>
      <c r="L18" s="759"/>
      <c r="M18" s="759"/>
      <c r="N18" s="759"/>
      <c r="O18" s="759"/>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15" t="s">
        <v>47</v>
      </c>
      <c r="C1" s="1415"/>
      <c r="D1" s="1415"/>
      <c r="E1" s="1415"/>
      <c r="F1" s="1415"/>
      <c r="G1" s="1415"/>
      <c r="H1" s="1415"/>
      <c r="I1" s="1415"/>
      <c r="J1" s="1415"/>
      <c r="K1" s="1415"/>
      <c r="L1" s="1415"/>
      <c r="M1" s="1415"/>
      <c r="N1" s="1415"/>
      <c r="O1" s="1415"/>
      <c r="P1" s="1415"/>
      <c r="Q1" s="1415"/>
      <c r="R1" s="1415"/>
      <c r="S1" s="1415"/>
      <c r="T1" s="1415"/>
      <c r="U1" s="1415"/>
      <c r="V1" s="1415"/>
      <c r="W1" s="1415"/>
      <c r="X1" s="1415"/>
      <c r="Y1" s="1415"/>
      <c r="Z1" s="1415"/>
      <c r="AA1" s="1415"/>
      <c r="AB1" s="1415"/>
      <c r="AC1" s="1415"/>
    </row>
    <row r="2" spans="1:29" ht="14.9" customHeight="1" x14ac:dyDescent="0.35">
      <c r="B2" s="1435" t="s">
        <v>424</v>
      </c>
      <c r="C2" s="1435"/>
      <c r="D2" s="1435"/>
      <c r="E2" s="1435"/>
      <c r="F2" s="1435"/>
      <c r="G2" s="1435"/>
      <c r="H2" s="1435"/>
      <c r="I2" s="1435"/>
      <c r="J2" s="1435"/>
      <c r="K2" s="1435"/>
      <c r="L2" s="1435"/>
      <c r="M2" s="1435"/>
      <c r="N2" s="1435"/>
      <c r="O2" s="1435"/>
      <c r="P2" s="1435"/>
      <c r="Q2" s="1435"/>
      <c r="R2" s="1435"/>
      <c r="S2" s="1435"/>
      <c r="T2" s="1435"/>
      <c r="U2" s="1435"/>
      <c r="V2" s="1435"/>
      <c r="W2" s="1435"/>
      <c r="X2" s="1435"/>
      <c r="Y2" s="1435"/>
      <c r="Z2" s="1435"/>
      <c r="AA2" s="1435"/>
      <c r="AB2" s="1435"/>
      <c r="AC2" s="1435"/>
    </row>
    <row r="3" spans="1:29" x14ac:dyDescent="0.35">
      <c r="B3" s="1435"/>
      <c r="C3" s="1435"/>
      <c r="D3" s="1435"/>
      <c r="E3" s="1435"/>
      <c r="F3" s="1435"/>
      <c r="G3" s="1435"/>
      <c r="H3" s="1435"/>
      <c r="I3" s="1435"/>
      <c r="J3" s="1435"/>
      <c r="K3" s="1435"/>
      <c r="L3" s="1435"/>
      <c r="M3" s="1435"/>
      <c r="N3" s="1435"/>
      <c r="O3" s="1435"/>
      <c r="P3" s="1435"/>
      <c r="Q3" s="1435"/>
      <c r="R3" s="1435"/>
      <c r="S3" s="1435"/>
      <c r="T3" s="1435"/>
      <c r="U3" s="1435"/>
      <c r="V3" s="1435"/>
      <c r="W3" s="1435"/>
      <c r="X3" s="1435"/>
      <c r="Y3" s="1435"/>
      <c r="Z3" s="1435"/>
      <c r="AA3" s="1435"/>
      <c r="AB3" s="1435"/>
      <c r="AC3" s="1435"/>
    </row>
    <row r="4" spans="1:29" x14ac:dyDescent="0.35">
      <c r="B4" s="1435"/>
      <c r="C4" s="1435"/>
      <c r="D4" s="1435"/>
      <c r="E4" s="1435"/>
      <c r="F4" s="1435"/>
      <c r="G4" s="1435"/>
      <c r="H4" s="1435"/>
      <c r="I4" s="1435"/>
      <c r="J4" s="1435"/>
      <c r="K4" s="1435"/>
      <c r="L4" s="1435"/>
      <c r="M4" s="1435"/>
      <c r="N4" s="1435"/>
      <c r="O4" s="1435"/>
      <c r="P4" s="1435"/>
      <c r="Q4" s="1435"/>
      <c r="R4" s="1435"/>
      <c r="S4" s="1435"/>
      <c r="T4" s="1435"/>
      <c r="U4" s="1435"/>
      <c r="V4" s="1435"/>
      <c r="W4" s="1435"/>
      <c r="X4" s="1435"/>
      <c r="Y4" s="1435"/>
      <c r="Z4" s="1435"/>
      <c r="AA4" s="1435"/>
      <c r="AB4" s="1435"/>
      <c r="AC4" s="1435"/>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17" t="s">
        <v>369</v>
      </c>
      <c r="C6" s="1418"/>
      <c r="D6" s="1438" t="s">
        <v>246</v>
      </c>
      <c r="E6" s="1439"/>
      <c r="F6" s="1439"/>
      <c r="G6" s="1439"/>
      <c r="H6" s="1439"/>
      <c r="I6" s="1439"/>
      <c r="J6" s="1439"/>
      <c r="K6" s="1439"/>
      <c r="L6" s="1439"/>
      <c r="M6" s="1439"/>
      <c r="N6" s="1439"/>
      <c r="O6" s="1439"/>
      <c r="P6" s="1439"/>
      <c r="Q6" s="1461"/>
      <c r="R6" s="1461"/>
      <c r="S6" s="1461"/>
      <c r="T6" s="1418"/>
      <c r="U6" s="1398" t="s">
        <v>247</v>
      </c>
      <c r="V6" s="1398"/>
      <c r="W6" s="1398"/>
      <c r="X6" s="1398"/>
      <c r="Y6" s="1398"/>
      <c r="Z6" s="1398"/>
      <c r="AA6" s="1398"/>
      <c r="AB6" s="1398"/>
      <c r="AC6" s="1399"/>
    </row>
    <row r="7" spans="1:29" x14ac:dyDescent="0.35">
      <c r="B7" s="1419"/>
      <c r="C7" s="1420"/>
      <c r="D7" s="249">
        <v>2018</v>
      </c>
      <c r="E7" s="1403">
        <v>2019</v>
      </c>
      <c r="F7" s="1413"/>
      <c r="G7" s="1413"/>
      <c r="H7" s="1405"/>
      <c r="I7" s="1403">
        <v>2020</v>
      </c>
      <c r="J7" s="1413"/>
      <c r="K7" s="1413"/>
      <c r="L7" s="1413"/>
      <c r="M7" s="1403">
        <v>2021</v>
      </c>
      <c r="N7" s="1413"/>
      <c r="O7" s="1413"/>
      <c r="P7" s="1413"/>
      <c r="Q7" s="1403">
        <v>2022</v>
      </c>
      <c r="R7" s="1404"/>
      <c r="S7" s="1404"/>
      <c r="T7" s="1405"/>
      <c r="U7" s="1428">
        <v>2023</v>
      </c>
      <c r="V7" s="1411"/>
      <c r="W7" s="1411"/>
      <c r="X7" s="1411"/>
      <c r="Y7" s="1410">
        <v>2024</v>
      </c>
      <c r="Z7" s="1411"/>
      <c r="AA7" s="1411"/>
      <c r="AB7" s="1412"/>
      <c r="AC7" s="408">
        <v>2025</v>
      </c>
    </row>
    <row r="8" spans="1:29" x14ac:dyDescent="0.35">
      <c r="B8" s="1421"/>
      <c r="C8" s="142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55" t="s">
        <v>249</v>
      </c>
    </row>
    <row r="9" spans="1:29" x14ac:dyDescent="0.35">
      <c r="B9" s="699" t="s">
        <v>47</v>
      </c>
      <c r="C9" s="877" t="s">
        <v>425</v>
      </c>
      <c r="D9" s="699"/>
      <c r="E9" s="724"/>
      <c r="F9" s="724"/>
      <c r="G9" s="724"/>
      <c r="H9" s="724"/>
      <c r="I9" s="724"/>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709" t="s">
        <v>202</v>
      </c>
      <c r="C10" s="385"/>
      <c r="D10" s="709"/>
      <c r="E10" s="385"/>
      <c r="F10" s="385"/>
      <c r="G10" s="385"/>
      <c r="H10" s="385"/>
      <c r="I10" s="385"/>
      <c r="J10" s="761"/>
      <c r="K10" s="761"/>
      <c r="L10" s="761"/>
      <c r="M10" s="761">
        <f t="shared" ref="M10:T10" si="0">M9-M11</f>
        <v>1348.1</v>
      </c>
      <c r="N10" s="761">
        <f t="shared" si="0"/>
        <v>290.10000000000002</v>
      </c>
      <c r="O10" s="761">
        <f t="shared" si="0"/>
        <v>38.9</v>
      </c>
      <c r="P10" s="761">
        <f t="shared" si="0"/>
        <v>14.2</v>
      </c>
      <c r="Q10" s="761">
        <f t="shared" si="0"/>
        <v>0</v>
      </c>
      <c r="R10" s="761">
        <f t="shared" si="0"/>
        <v>0</v>
      </c>
      <c r="S10" s="1153">
        <f t="shared" si="0"/>
        <v>0</v>
      </c>
      <c r="T10" s="1156">
        <f t="shared" si="0"/>
        <v>0</v>
      </c>
      <c r="U10" s="814"/>
      <c r="V10" s="814"/>
      <c r="W10" s="814"/>
      <c r="X10" s="814"/>
      <c r="Y10" s="814"/>
      <c r="Z10" s="814"/>
      <c r="AA10" s="814"/>
      <c r="AB10" s="814"/>
      <c r="AC10" s="1152"/>
    </row>
    <row r="11" spans="1:29" x14ac:dyDescent="0.35">
      <c r="B11" s="664" t="s">
        <v>426</v>
      </c>
      <c r="C11" s="665"/>
      <c r="D11" s="664"/>
      <c r="E11" s="665"/>
      <c r="F11" s="665"/>
      <c r="G11" s="665"/>
      <c r="H11" s="665"/>
      <c r="I11" s="665"/>
      <c r="J11" s="781">
        <f t="shared" ref="J11:L11" si="1">J9-J10</f>
        <v>1078.0999999999999</v>
      </c>
      <c r="K11" s="781">
        <f t="shared" si="1"/>
        <v>15.6</v>
      </c>
      <c r="L11" s="781">
        <f t="shared" si="1"/>
        <v>5</v>
      </c>
      <c r="M11" s="781">
        <f>SUM(C17:D17)/12*4</f>
        <v>585.6</v>
      </c>
      <c r="N11" s="781">
        <v>0</v>
      </c>
      <c r="O11" s="781">
        <v>0</v>
      </c>
      <c r="P11" s="781">
        <v>0</v>
      </c>
      <c r="Q11" s="781">
        <v>0</v>
      </c>
      <c r="R11" s="781">
        <v>0</v>
      </c>
      <c r="S11" s="781">
        <v>0</v>
      </c>
      <c r="T11" s="1154"/>
      <c r="U11" s="1158"/>
      <c r="V11" s="1158"/>
      <c r="W11" s="1158"/>
      <c r="X11" s="1158"/>
      <c r="Y11" s="1158"/>
      <c r="Z11" s="1158"/>
      <c r="AA11" s="1158"/>
      <c r="AB11" s="1158"/>
      <c r="AC11" s="1147"/>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59"/>
      <c r="B15" s="1543" t="s">
        <v>427</v>
      </c>
      <c r="C15" s="1533">
        <v>2021</v>
      </c>
      <c r="D15" s="1534"/>
      <c r="E15" s="1534"/>
      <c r="F15" s="1534"/>
      <c r="G15" s="53"/>
      <c r="K15" s="1509"/>
      <c r="L15" s="1509"/>
      <c r="M15" s="44"/>
      <c r="N15" s="44"/>
    </row>
    <row r="16" spans="1:29" x14ac:dyDescent="0.35">
      <c r="B16" s="1544"/>
      <c r="C16" s="1149" t="s">
        <v>222</v>
      </c>
      <c r="D16" s="1133" t="s">
        <v>223</v>
      </c>
      <c r="E16" s="1133" t="s">
        <v>224</v>
      </c>
      <c r="F16" s="1133" t="s">
        <v>225</v>
      </c>
      <c r="G16" s="1157"/>
      <c r="H16" s="759"/>
      <c r="I16" s="759"/>
      <c r="J16" s="759"/>
      <c r="K16" s="759"/>
      <c r="L16" s="759"/>
      <c r="M16" s="759"/>
      <c r="N16" s="759"/>
    </row>
    <row r="17" spans="2:29" ht="16.399999999999999" customHeight="1" x14ac:dyDescent="0.35">
      <c r="B17" s="1148" t="s">
        <v>428</v>
      </c>
      <c r="C17" s="1150">
        <v>1660.9</v>
      </c>
      <c r="D17" s="1150">
        <v>95.9</v>
      </c>
      <c r="E17" s="1150">
        <v>4044.2</v>
      </c>
      <c r="F17" s="1151">
        <v>688</v>
      </c>
      <c r="G17" s="103"/>
      <c r="H17" s="103"/>
      <c r="I17" s="103"/>
      <c r="J17" s="103"/>
      <c r="K17" s="103"/>
      <c r="L17" s="103"/>
      <c r="M17" s="268"/>
      <c r="N17" s="268"/>
    </row>
    <row r="18" spans="2:29" x14ac:dyDescent="0.35">
      <c r="B18" s="1114" t="s">
        <v>429</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114"/>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21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1004" t="s">
        <v>486</v>
      </c>
      <c r="B3" s="268"/>
    </row>
    <row r="4" spans="1:17" x14ac:dyDescent="0.35">
      <c r="A4" s="1160" t="s">
        <v>487</v>
      </c>
      <c r="B4" s="1161"/>
      <c r="C4" s="1161"/>
    </row>
    <row r="7" spans="1:17" x14ac:dyDescent="0.35">
      <c r="A7" s="1546" t="s">
        <v>488</v>
      </c>
      <c r="B7" s="1547"/>
      <c r="C7" s="1547"/>
      <c r="D7" s="1547"/>
      <c r="E7" s="1547"/>
      <c r="F7" s="1547"/>
      <c r="G7" s="1547"/>
      <c r="H7" s="1547"/>
      <c r="I7" s="1547"/>
      <c r="J7" s="1547"/>
      <c r="K7" s="1547"/>
      <c r="L7" s="1547"/>
      <c r="M7" s="1547"/>
      <c r="N7" s="1547"/>
      <c r="O7" s="1547"/>
      <c r="P7" s="1547"/>
    </row>
    <row r="8" spans="1:17" x14ac:dyDescent="0.35">
      <c r="A8" s="468" t="s">
        <v>489</v>
      </c>
      <c r="B8" s="468"/>
      <c r="C8" s="468"/>
      <c r="D8" s="1165"/>
      <c r="E8" s="468"/>
      <c r="F8" s="468"/>
      <c r="G8" s="468"/>
      <c r="H8" s="468"/>
      <c r="I8" s="468"/>
      <c r="J8" s="468"/>
      <c r="K8" s="468"/>
      <c r="L8" s="468"/>
      <c r="M8" s="468"/>
      <c r="N8" s="468"/>
      <c r="O8" s="468"/>
      <c r="P8" s="468"/>
    </row>
    <row r="9" spans="1:17" x14ac:dyDescent="0.35">
      <c r="A9" s="268"/>
      <c r="B9" s="268"/>
      <c r="C9" s="268"/>
      <c r="D9" s="1073"/>
      <c r="E9" s="268"/>
      <c r="F9" s="268"/>
      <c r="G9" s="268"/>
      <c r="H9" s="268"/>
      <c r="I9" s="268"/>
      <c r="J9" s="268"/>
      <c r="K9" s="268"/>
      <c r="L9" s="268"/>
      <c r="M9" s="268"/>
      <c r="N9" s="268"/>
      <c r="O9" s="268"/>
      <c r="P9" s="268"/>
    </row>
    <row r="10" spans="1:17" x14ac:dyDescent="0.35">
      <c r="A10" s="268"/>
      <c r="B10" s="268"/>
      <c r="C10" s="268"/>
      <c r="D10" s="1073"/>
      <c r="E10" s="268"/>
      <c r="F10" s="268"/>
      <c r="G10" s="268"/>
      <c r="H10" s="268"/>
      <c r="I10" s="268"/>
      <c r="J10" s="268"/>
      <c r="K10" s="268"/>
      <c r="L10" s="268"/>
      <c r="M10" s="268"/>
      <c r="N10" s="268"/>
      <c r="O10" s="1548" t="s">
        <v>278</v>
      </c>
      <c r="P10" s="1548"/>
    </row>
    <row r="11" spans="1:17" x14ac:dyDescent="0.35">
      <c r="A11" s="268"/>
      <c r="B11" s="268"/>
      <c r="C11" s="1007"/>
      <c r="D11" s="388"/>
      <c r="E11" s="1007"/>
      <c r="F11" s="1007"/>
      <c r="G11" s="1007"/>
      <c r="H11" s="1007"/>
      <c r="I11" s="1007"/>
      <c r="J11" s="1007"/>
      <c r="K11" s="1007"/>
      <c r="L11" s="1007"/>
      <c r="M11" s="1007"/>
      <c r="N11" s="1007"/>
      <c r="O11" s="1164" t="s">
        <v>490</v>
      </c>
      <c r="P11" s="1164" t="s">
        <v>490</v>
      </c>
    </row>
    <row r="12" spans="1:17" x14ac:dyDescent="0.35">
      <c r="A12" s="468"/>
      <c r="B12" s="468"/>
      <c r="C12" s="468"/>
      <c r="D12" s="1165">
        <v>2020</v>
      </c>
      <c r="E12" s="1165">
        <v>2021</v>
      </c>
      <c r="F12" s="1165">
        <v>2022</v>
      </c>
      <c r="G12" s="1165">
        <v>2023</v>
      </c>
      <c r="H12" s="1165">
        <v>2024</v>
      </c>
      <c r="I12" s="1165">
        <v>2025</v>
      </c>
      <c r="J12" s="1165">
        <v>2026</v>
      </c>
      <c r="K12" s="1165">
        <v>2027</v>
      </c>
      <c r="L12" s="1165">
        <v>2028</v>
      </c>
      <c r="M12" s="1165">
        <v>2029</v>
      </c>
      <c r="N12" s="1165">
        <v>2030</v>
      </c>
      <c r="O12" s="1024">
        <v>2025</v>
      </c>
      <c r="P12" s="1024">
        <v>2030</v>
      </c>
    </row>
    <row r="13" spans="1:17" x14ac:dyDescent="0.35">
      <c r="A13" s="1007" t="s">
        <v>491</v>
      </c>
      <c r="B13" s="1007"/>
      <c r="C13" s="1007"/>
      <c r="D13" s="1169">
        <v>540.56299999999999</v>
      </c>
      <c r="E13" s="1169">
        <v>0</v>
      </c>
      <c r="F13" s="1169">
        <v>0</v>
      </c>
      <c r="G13" s="1169">
        <v>0</v>
      </c>
      <c r="H13" s="1169">
        <v>0</v>
      </c>
      <c r="I13" s="1169">
        <v>0</v>
      </c>
      <c r="J13" s="1169">
        <v>0</v>
      </c>
      <c r="K13" s="1169">
        <v>0</v>
      </c>
      <c r="L13" s="1169">
        <v>0</v>
      </c>
      <c r="M13" s="1169">
        <v>0</v>
      </c>
      <c r="N13" s="1169">
        <v>0</v>
      </c>
      <c r="O13" s="1169">
        <v>0</v>
      </c>
      <c r="P13" s="1169">
        <v>0</v>
      </c>
      <c r="Q13" t="s">
        <v>41</v>
      </c>
    </row>
    <row r="14" spans="1:17" x14ac:dyDescent="0.35">
      <c r="A14" s="268" t="s">
        <v>492</v>
      </c>
      <c r="B14" s="268"/>
      <c r="C14" s="268"/>
      <c r="D14" s="388"/>
      <c r="E14" s="1007"/>
      <c r="F14" s="1007"/>
      <c r="G14" s="1007"/>
      <c r="H14" s="1007"/>
      <c r="I14" s="1007"/>
      <c r="J14" s="1007"/>
      <c r="K14" s="1007"/>
      <c r="L14" s="1007"/>
      <c r="M14" s="1007"/>
      <c r="N14" s="1007"/>
      <c r="O14" s="1007"/>
      <c r="P14" s="1007"/>
      <c r="Q14" t="s">
        <v>493</v>
      </c>
    </row>
    <row r="15" spans="1:17" x14ac:dyDescent="0.35">
      <c r="A15" s="268"/>
      <c r="B15" s="268" t="s">
        <v>494</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1007"/>
      <c r="B16" s="268" t="s">
        <v>495</v>
      </c>
      <c r="C16" s="1007"/>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1007"/>
      <c r="B17" s="268" t="s">
        <v>496</v>
      </c>
      <c r="C17" s="1007"/>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1007"/>
      <c r="B18" s="268" t="s">
        <v>497</v>
      </c>
      <c r="C18" s="1007"/>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1007"/>
      <c r="B19" s="268"/>
      <c r="C19" s="1007"/>
      <c r="D19" s="388" t="s">
        <v>498</v>
      </c>
      <c r="E19" s="388" t="s">
        <v>498</v>
      </c>
      <c r="F19" s="388" t="s">
        <v>498</v>
      </c>
      <c r="G19" s="388" t="s">
        <v>498</v>
      </c>
      <c r="H19" s="388" t="s">
        <v>498</v>
      </c>
      <c r="I19" s="388" t="s">
        <v>498</v>
      </c>
      <c r="J19" s="388" t="s">
        <v>498</v>
      </c>
      <c r="K19" s="388" t="s">
        <v>498</v>
      </c>
      <c r="L19" s="388" t="s">
        <v>498</v>
      </c>
      <c r="M19" s="388" t="s">
        <v>498</v>
      </c>
      <c r="N19" s="388" t="s">
        <v>498</v>
      </c>
      <c r="O19" s="388" t="s">
        <v>498</v>
      </c>
      <c r="P19" s="388" t="s">
        <v>498</v>
      </c>
    </row>
    <row r="20" spans="1:17" x14ac:dyDescent="0.35">
      <c r="A20" s="1007"/>
      <c r="B20" s="268"/>
      <c r="C20" s="1007" t="s">
        <v>499</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1007"/>
      <c r="B21" s="268"/>
      <c r="C21" s="1007"/>
      <c r="D21" s="388"/>
      <c r="E21" s="388"/>
      <c r="F21" s="388"/>
      <c r="G21" s="388"/>
      <c r="H21" s="388"/>
      <c r="I21" s="388"/>
      <c r="J21" s="388"/>
      <c r="K21" s="388"/>
      <c r="L21" s="388"/>
      <c r="M21" s="388"/>
      <c r="N21" s="388"/>
      <c r="O21" s="388"/>
      <c r="P21" s="388"/>
    </row>
    <row r="22" spans="1:17" ht="17.149999999999999" customHeight="1" x14ac:dyDescent="0.35">
      <c r="A22" s="1007" t="s">
        <v>500</v>
      </c>
      <c r="B22" s="268"/>
      <c r="C22" s="1007"/>
      <c r="D22" s="388">
        <v>271.98399999999998</v>
      </c>
      <c r="E22" s="388">
        <v>9.327</v>
      </c>
      <c r="F22" s="388">
        <v>0</v>
      </c>
      <c r="G22" s="388">
        <v>0</v>
      </c>
      <c r="H22" s="388">
        <v>0</v>
      </c>
      <c r="I22" s="388">
        <v>0</v>
      </c>
      <c r="J22" s="388">
        <v>0</v>
      </c>
      <c r="K22" s="388">
        <v>0</v>
      </c>
      <c r="L22" s="388">
        <v>0</v>
      </c>
      <c r="M22" s="388">
        <v>0</v>
      </c>
      <c r="N22" s="388">
        <v>0</v>
      </c>
      <c r="O22" s="388">
        <v>9.327</v>
      </c>
      <c r="P22" s="388">
        <v>9.327</v>
      </c>
      <c r="Q22" t="s">
        <v>501</v>
      </c>
    </row>
    <row r="23" spans="1:17" x14ac:dyDescent="0.35">
      <c r="A23" s="1007"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1007" t="s">
        <v>502</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503</v>
      </c>
    </row>
    <row r="25" spans="1:17" x14ac:dyDescent="0.35">
      <c r="A25" s="1007" t="s">
        <v>504</v>
      </c>
      <c r="B25" s="268"/>
      <c r="C25" s="268"/>
      <c r="D25" s="388"/>
      <c r="E25" s="388"/>
      <c r="F25" s="388"/>
      <c r="G25" s="388"/>
      <c r="H25" s="388"/>
      <c r="I25" s="388"/>
      <c r="J25" s="388"/>
      <c r="K25" s="388"/>
      <c r="L25" s="388"/>
      <c r="M25" s="388"/>
      <c r="N25" s="388"/>
      <c r="O25" s="388"/>
      <c r="P25" s="388"/>
    </row>
    <row r="26" spans="1:17" x14ac:dyDescent="0.35">
      <c r="A26" s="1007" t="s">
        <v>505</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1007" t="s">
        <v>506</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1007" t="s">
        <v>507</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1007" t="s">
        <v>508</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509</v>
      </c>
    </row>
    <row r="30" spans="1:17" x14ac:dyDescent="0.35">
      <c r="A30" s="1007" t="s">
        <v>510</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1007"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511</v>
      </c>
    </row>
    <row r="32" spans="1:17" x14ac:dyDescent="0.35">
      <c r="A32" s="1007" t="s">
        <v>512</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513</v>
      </c>
    </row>
    <row r="33" spans="1:16" x14ac:dyDescent="0.35">
      <c r="A33" s="1007"/>
      <c r="B33" s="268"/>
      <c r="C33" s="268"/>
      <c r="D33" s="388"/>
      <c r="E33" s="388"/>
      <c r="F33" s="388"/>
      <c r="G33" s="388"/>
      <c r="H33" s="388"/>
      <c r="I33" s="388"/>
      <c r="J33" s="388"/>
      <c r="K33" s="388"/>
      <c r="L33" s="388"/>
      <c r="M33" s="388"/>
      <c r="N33" s="388"/>
      <c r="O33" s="388"/>
      <c r="P33" s="388"/>
    </row>
    <row r="34" spans="1:16" x14ac:dyDescent="0.35">
      <c r="A34" s="1163"/>
      <c r="B34" s="1163"/>
      <c r="C34" s="1163" t="s">
        <v>278</v>
      </c>
      <c r="D34" s="1170">
        <v>1777.13</v>
      </c>
      <c r="E34" s="1170">
        <v>307.48399999999998</v>
      </c>
      <c r="F34" s="1170">
        <v>99.084999999999994</v>
      </c>
      <c r="G34" s="1170">
        <v>20.696999999999999</v>
      </c>
      <c r="H34" s="1170">
        <v>10.087999999999999</v>
      </c>
      <c r="I34" s="1170">
        <v>6.1630000000000003</v>
      </c>
      <c r="J34" s="1170">
        <v>4.7300000000000004</v>
      </c>
      <c r="K34" s="1170">
        <v>4.415</v>
      </c>
      <c r="L34" s="1170">
        <v>4.468</v>
      </c>
      <c r="M34" s="1170">
        <v>14.403</v>
      </c>
      <c r="N34" s="1170">
        <v>-31.518000000000001</v>
      </c>
      <c r="O34" s="1170">
        <v>443.517</v>
      </c>
      <c r="P34" s="1170">
        <v>440.01499999999999</v>
      </c>
    </row>
    <row r="35" spans="1:16" x14ac:dyDescent="0.35">
      <c r="A35" s="268"/>
      <c r="B35" s="268"/>
      <c r="C35" s="268"/>
      <c r="D35" s="1162"/>
      <c r="E35" s="613"/>
      <c r="F35" s="1007"/>
      <c r="G35" s="1007"/>
      <c r="H35" s="1007"/>
      <c r="I35" s="1007"/>
      <c r="J35" s="1007"/>
      <c r="K35" s="1007"/>
      <c r="L35" s="1007"/>
      <c r="M35" s="1007"/>
      <c r="N35" s="1007"/>
      <c r="O35" s="1007"/>
      <c r="P35" s="1007"/>
    </row>
    <row r="36" spans="1:16" x14ac:dyDescent="0.35">
      <c r="A36" s="1166" t="s">
        <v>514</v>
      </c>
      <c r="B36" s="1166"/>
      <c r="C36" s="1166"/>
      <c r="D36" s="1167"/>
      <c r="E36" s="1166"/>
      <c r="F36" s="1166"/>
      <c r="G36" s="1166"/>
      <c r="H36" s="1166"/>
      <c r="I36" s="1166"/>
      <c r="J36" s="1166"/>
      <c r="K36" s="1166"/>
      <c r="L36" s="1166"/>
      <c r="M36" s="1166"/>
      <c r="N36" s="1166"/>
      <c r="O36" s="1166"/>
      <c r="P36" s="1166"/>
    </row>
    <row r="37" spans="1:16" x14ac:dyDescent="0.35">
      <c r="A37" s="1166"/>
      <c r="B37" s="1166"/>
      <c r="C37" s="1166"/>
      <c r="D37" s="1167"/>
      <c r="E37" s="1166"/>
      <c r="F37" s="1166"/>
      <c r="G37" s="1166"/>
      <c r="H37" s="1166"/>
      <c r="I37" s="1166"/>
      <c r="J37" s="1166"/>
      <c r="K37" s="1166"/>
      <c r="L37" s="1166"/>
      <c r="M37" s="1166"/>
      <c r="N37" s="1166"/>
      <c r="O37" s="1166"/>
      <c r="P37" s="1166"/>
    </row>
    <row r="38" spans="1:16" x14ac:dyDescent="0.35">
      <c r="A38" s="1551" t="s">
        <v>515</v>
      </c>
      <c r="B38" s="1551"/>
      <c r="C38" s="1551"/>
      <c r="D38" s="1551"/>
      <c r="E38" s="1551"/>
      <c r="F38" s="1551"/>
      <c r="G38" s="1551"/>
      <c r="H38" s="1551"/>
      <c r="I38" s="1551"/>
      <c r="J38" s="1551"/>
      <c r="K38" s="1551"/>
      <c r="L38" s="1551"/>
      <c r="M38" s="1551"/>
      <c r="N38" s="1551"/>
      <c r="O38" s="1551"/>
      <c r="P38" s="1551"/>
    </row>
    <row r="39" spans="1:16" x14ac:dyDescent="0.35">
      <c r="A39" s="1551"/>
      <c r="B39" s="1551"/>
      <c r="C39" s="1551"/>
      <c r="D39" s="1551"/>
      <c r="E39" s="1551"/>
      <c r="F39" s="1551"/>
      <c r="G39" s="1551"/>
      <c r="H39" s="1551"/>
      <c r="I39" s="1551"/>
      <c r="J39" s="1551"/>
      <c r="K39" s="1551"/>
      <c r="L39" s="1551"/>
      <c r="M39" s="1551"/>
      <c r="N39" s="1551"/>
      <c r="O39" s="1551"/>
      <c r="P39" s="1551"/>
    </row>
    <row r="40" spans="1:16" x14ac:dyDescent="0.35">
      <c r="A40" s="1551"/>
      <c r="B40" s="1551"/>
      <c r="C40" s="1551"/>
      <c r="D40" s="1551"/>
      <c r="E40" s="1551"/>
      <c r="F40" s="1551"/>
      <c r="G40" s="1551"/>
      <c r="H40" s="1551"/>
      <c r="I40" s="1551"/>
      <c r="J40" s="1551"/>
      <c r="K40" s="1551"/>
      <c r="L40" s="1551"/>
      <c r="M40" s="1551"/>
      <c r="N40" s="1551"/>
      <c r="O40" s="1551"/>
      <c r="P40" s="1551"/>
    </row>
    <row r="41" spans="1:16" x14ac:dyDescent="0.35">
      <c r="A41" s="1551"/>
      <c r="B41" s="1551"/>
      <c r="C41" s="1551"/>
      <c r="D41" s="1551"/>
      <c r="E41" s="1551"/>
      <c r="F41" s="1551"/>
      <c r="G41" s="1551"/>
      <c r="H41" s="1551"/>
      <c r="I41" s="1551"/>
      <c r="J41" s="1551"/>
      <c r="K41" s="1551"/>
      <c r="L41" s="1551"/>
      <c r="M41" s="1551"/>
      <c r="N41" s="1551"/>
      <c r="O41" s="1551"/>
      <c r="P41" s="1551"/>
    </row>
    <row r="42" spans="1:16" x14ac:dyDescent="0.35">
      <c r="A42" s="1551"/>
      <c r="B42" s="1551"/>
      <c r="C42" s="1551"/>
      <c r="D42" s="1551"/>
      <c r="E42" s="1551"/>
      <c r="F42" s="1551"/>
      <c r="G42" s="1551"/>
      <c r="H42" s="1551"/>
      <c r="I42" s="1551"/>
      <c r="J42" s="1551"/>
      <c r="K42" s="1551"/>
      <c r="L42" s="1551"/>
      <c r="M42" s="1551"/>
      <c r="N42" s="1551"/>
      <c r="O42" s="1551"/>
      <c r="P42" s="1551"/>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16" t="s">
        <v>516</v>
      </c>
      <c r="B44" s="1416"/>
      <c r="C44" s="1416"/>
      <c r="D44" s="1416"/>
      <c r="E44" s="1416"/>
      <c r="F44" s="1416"/>
      <c r="G44" s="1416"/>
      <c r="H44" s="1416"/>
      <c r="I44" s="1416"/>
      <c r="J44" s="1416"/>
      <c r="K44" s="1416"/>
      <c r="L44" s="1416"/>
      <c r="M44" s="1416"/>
      <c r="N44" s="1416"/>
      <c r="O44" s="1416"/>
      <c r="P44" s="1416"/>
    </row>
    <row r="45" spans="1:16" x14ac:dyDescent="0.35">
      <c r="A45" s="1416"/>
      <c r="B45" s="1416"/>
      <c r="C45" s="1416"/>
      <c r="D45" s="1416"/>
      <c r="E45" s="1416"/>
      <c r="F45" s="1416"/>
      <c r="G45" s="1416"/>
      <c r="H45" s="1416"/>
      <c r="I45" s="1416"/>
      <c r="J45" s="1416"/>
      <c r="K45" s="1416"/>
      <c r="L45" s="1416"/>
      <c r="M45" s="1416"/>
      <c r="N45" s="1416"/>
      <c r="O45" s="1416"/>
      <c r="P45" s="1416"/>
    </row>
    <row r="46" spans="1:16" x14ac:dyDescent="0.35">
      <c r="A46" s="1416"/>
      <c r="B46" s="1416"/>
      <c r="C46" s="1416"/>
      <c r="D46" s="1416"/>
      <c r="E46" s="1416"/>
      <c r="F46" s="1416"/>
      <c r="G46" s="1416"/>
      <c r="H46" s="1416"/>
      <c r="I46" s="1416"/>
      <c r="J46" s="1416"/>
      <c r="K46" s="1416"/>
      <c r="L46" s="1416"/>
      <c r="M46" s="1416"/>
      <c r="N46" s="1416"/>
      <c r="O46" s="1416"/>
      <c r="P46" s="1416"/>
    </row>
    <row r="47" spans="1:16" x14ac:dyDescent="0.35">
      <c r="A47" s="1166"/>
      <c r="B47" s="1166"/>
      <c r="C47" s="1166"/>
      <c r="D47" s="1167"/>
      <c r="E47" s="1166"/>
      <c r="F47" s="1166"/>
      <c r="G47" s="1166"/>
      <c r="H47" s="1166"/>
      <c r="I47" s="1166"/>
      <c r="J47" s="1166"/>
      <c r="K47" s="1166"/>
      <c r="L47" s="1166"/>
      <c r="M47" s="1166"/>
      <c r="N47" s="1166"/>
      <c r="O47" s="1166"/>
      <c r="P47" s="1166"/>
    </row>
    <row r="48" spans="1:16" x14ac:dyDescent="0.35">
      <c r="A48" s="1549" t="s">
        <v>517</v>
      </c>
      <c r="B48" s="1550"/>
      <c r="C48" s="1550"/>
      <c r="D48" s="1550"/>
      <c r="E48" s="1550"/>
      <c r="F48" s="1550"/>
      <c r="G48" s="1550"/>
      <c r="H48" s="1550"/>
      <c r="I48" s="1550"/>
      <c r="J48" s="1550"/>
      <c r="K48" s="1550"/>
      <c r="L48" s="1550"/>
      <c r="M48" s="1550"/>
      <c r="N48" s="1550"/>
      <c r="O48" s="1550"/>
      <c r="P48" s="1550"/>
    </row>
    <row r="49" spans="1:16" x14ac:dyDescent="0.35">
      <c r="A49" s="1550"/>
      <c r="B49" s="1550"/>
      <c r="C49" s="1550"/>
      <c r="D49" s="1550"/>
      <c r="E49" s="1550"/>
      <c r="F49" s="1550"/>
      <c r="G49" s="1550"/>
      <c r="H49" s="1550"/>
      <c r="I49" s="1550"/>
      <c r="J49" s="1550"/>
      <c r="K49" s="1550"/>
      <c r="L49" s="1550"/>
      <c r="M49" s="1550"/>
      <c r="N49" s="1550"/>
      <c r="O49" s="1550"/>
      <c r="P49" s="1550"/>
    </row>
    <row r="50" spans="1:16" x14ac:dyDescent="0.35">
      <c r="A50" s="1166"/>
      <c r="B50" s="1166"/>
      <c r="C50" s="1166"/>
      <c r="D50" s="1167"/>
      <c r="E50" s="1166"/>
      <c r="F50" s="1166"/>
      <c r="G50" s="1166"/>
      <c r="H50" s="1166"/>
      <c r="I50" s="1166"/>
      <c r="J50" s="1166"/>
      <c r="K50" s="1166"/>
      <c r="L50" s="1166"/>
      <c r="M50" s="1166"/>
      <c r="N50" s="1166"/>
      <c r="O50" s="1166"/>
      <c r="P50" s="1166"/>
    </row>
    <row r="51" spans="1:16" x14ac:dyDescent="0.35">
      <c r="A51" s="1545" t="s">
        <v>518</v>
      </c>
      <c r="B51" s="1545"/>
      <c r="C51" s="1545"/>
      <c r="D51" s="1545"/>
      <c r="E51" s="1545"/>
      <c r="F51" s="1545"/>
      <c r="G51" s="1545"/>
      <c r="H51" s="1545"/>
      <c r="I51" s="1545"/>
      <c r="J51" s="1545"/>
      <c r="K51" s="1545"/>
      <c r="L51" s="1545"/>
      <c r="M51" s="1545"/>
      <c r="N51" s="1545"/>
      <c r="O51" s="1545"/>
      <c r="P51" s="1545"/>
    </row>
    <row r="52" spans="1:16" x14ac:dyDescent="0.35">
      <c r="A52" s="1545"/>
      <c r="B52" s="1545"/>
      <c r="C52" s="1545"/>
      <c r="D52" s="1545"/>
      <c r="E52" s="1545"/>
      <c r="F52" s="1545"/>
      <c r="G52" s="1545"/>
      <c r="H52" s="1545"/>
      <c r="I52" s="1545"/>
      <c r="J52" s="1545"/>
      <c r="K52" s="1545"/>
      <c r="L52" s="1545"/>
      <c r="M52" s="1545"/>
      <c r="N52" s="1545"/>
      <c r="O52" s="1545"/>
      <c r="P52" s="1545"/>
    </row>
    <row r="53" spans="1:16" x14ac:dyDescent="0.35">
      <c r="A53" s="1545"/>
      <c r="B53" s="1545"/>
      <c r="C53" s="1545"/>
      <c r="D53" s="1545"/>
      <c r="E53" s="1545"/>
      <c r="F53" s="1545"/>
      <c r="G53" s="1545"/>
      <c r="H53" s="1545"/>
      <c r="I53" s="1545"/>
      <c r="J53" s="1545"/>
      <c r="K53" s="1545"/>
      <c r="L53" s="1545"/>
      <c r="M53" s="1545"/>
      <c r="N53" s="1545"/>
      <c r="O53" s="1545"/>
      <c r="P53" s="1545"/>
    </row>
    <row r="54" spans="1:16" x14ac:dyDescent="0.35">
      <c r="A54" s="1168"/>
      <c r="B54" s="1168"/>
      <c r="C54" s="1168"/>
      <c r="D54" s="1159"/>
      <c r="E54" s="1168"/>
      <c r="F54" s="1168"/>
      <c r="G54" s="1168"/>
      <c r="H54" s="1168"/>
      <c r="I54" s="1168"/>
      <c r="J54" s="1168"/>
      <c r="K54" s="1168"/>
      <c r="L54" s="1168"/>
      <c r="M54" s="1168"/>
      <c r="N54" s="1168"/>
      <c r="O54" s="1168"/>
      <c r="P54" s="1168"/>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1339</v>
      </c>
      <c r="D1" s="1249">
        <v>2022</v>
      </c>
      <c r="E1" s="1249">
        <v>2023</v>
      </c>
      <c r="F1" s="1249">
        <v>2024</v>
      </c>
      <c r="G1" s="1249">
        <v>2025</v>
      </c>
      <c r="H1" s="1249">
        <v>2026</v>
      </c>
      <c r="I1" s="1249">
        <v>2027</v>
      </c>
      <c r="J1" s="1249">
        <v>2028</v>
      </c>
      <c r="K1" s="1249">
        <v>2029</v>
      </c>
      <c r="L1" s="1249">
        <v>2030</v>
      </c>
      <c r="M1" s="1250">
        <v>2031</v>
      </c>
      <c r="N1" s="1251" t="s">
        <v>1141</v>
      </c>
      <c r="O1" s="1251" t="s">
        <v>1142</v>
      </c>
      <c r="P1" s="1236"/>
      <c r="Q1" s="1236"/>
      <c r="R1" s="1236"/>
      <c r="S1" s="1236"/>
    </row>
    <row r="2" spans="1:19" x14ac:dyDescent="0.35">
      <c r="C2" s="1552" t="s">
        <v>1340</v>
      </c>
      <c r="D2" s="1552"/>
      <c r="E2" s="1552"/>
      <c r="F2" s="1552"/>
      <c r="G2" s="1552"/>
      <c r="H2" s="1552"/>
      <c r="I2" s="1552"/>
      <c r="J2" s="1552"/>
      <c r="K2" s="1552"/>
      <c r="L2" s="1552"/>
      <c r="M2" s="1552"/>
      <c r="N2" s="1552"/>
      <c r="O2" s="1552"/>
      <c r="P2" s="1235"/>
      <c r="Q2" s="1235"/>
      <c r="R2" s="1235"/>
      <c r="S2" s="1235"/>
    </row>
    <row r="3" spans="1:19" x14ac:dyDescent="0.35">
      <c r="A3" s="44" t="s">
        <v>1150</v>
      </c>
      <c r="B3" s="44">
        <v>13601</v>
      </c>
      <c r="C3" s="44" t="s">
        <v>1341</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1163</v>
      </c>
      <c r="B4" s="44">
        <v>10301</v>
      </c>
      <c r="C4" s="44" t="s">
        <v>1341</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1165</v>
      </c>
      <c r="B5" s="44">
        <v>13802</v>
      </c>
      <c r="C5" s="44" t="s">
        <v>1341</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1167</v>
      </c>
      <c r="B6" s="44">
        <v>22005</v>
      </c>
      <c r="C6" s="44" t="s">
        <v>1341</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1153</v>
      </c>
      <c r="B7" s="44">
        <v>23001</v>
      </c>
      <c r="C7" s="44" t="s">
        <v>1341</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1169</v>
      </c>
      <c r="B8" s="44">
        <v>23005</v>
      </c>
      <c r="C8" s="44" t="s">
        <v>1341</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1222</v>
      </c>
      <c r="B9" s="44">
        <v>23003</v>
      </c>
      <c r="C9" s="44" t="s">
        <v>1209</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1250</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1252</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1254</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1250</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1257</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1342</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1259</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1261</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1263</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1275</v>
      </c>
      <c r="B26" s="44">
        <v>12001</v>
      </c>
      <c r="C26" s="44" t="s">
        <v>1343</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1277</v>
      </c>
      <c r="B27" s="44">
        <v>22003</v>
      </c>
      <c r="C27" s="44" t="s">
        <v>1343</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1279</v>
      </c>
      <c r="B28" s="44">
        <v>22004</v>
      </c>
      <c r="C28" s="44" t="s">
        <v>1343</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1344</v>
      </c>
      <c r="B29" s="44">
        <v>22007</v>
      </c>
      <c r="C29" s="44" t="s">
        <v>1343</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1281</v>
      </c>
      <c r="B30" s="44">
        <v>23002</v>
      </c>
      <c r="C30" s="44" t="s">
        <v>1343</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1272</v>
      </c>
      <c r="B31" s="44">
        <v>30002</v>
      </c>
      <c r="C31" s="44" t="s">
        <v>1343</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1345</v>
      </c>
      <c r="B32" s="44">
        <v>13104</v>
      </c>
      <c r="C32" s="44" t="s">
        <v>1346</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1347</v>
      </c>
      <c r="B33" s="44">
        <v>13105</v>
      </c>
      <c r="C33" s="44" t="s">
        <v>1346</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1309</v>
      </c>
      <c r="B34" s="44">
        <v>13204</v>
      </c>
      <c r="C34" s="44" t="s">
        <v>1346</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1348</v>
      </c>
      <c r="B35" s="44">
        <v>13502</v>
      </c>
      <c r="C35" s="44" t="s">
        <v>1346</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1349</v>
      </c>
      <c r="B36" s="44">
        <v>13701</v>
      </c>
      <c r="C36" s="44" t="s">
        <v>1346</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1291</v>
      </c>
      <c r="B37" s="44">
        <v>21001</v>
      </c>
      <c r="C37" s="44" t="s">
        <v>1346</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1346</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1303</v>
      </c>
      <c r="B39" s="44">
        <v>22002</v>
      </c>
      <c r="C39" s="44" t="s">
        <v>1346</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1319</v>
      </c>
      <c r="B40" s="44">
        <v>30001</v>
      </c>
      <c r="C40" s="44" t="s">
        <v>1346</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53" t="s">
        <v>1350</v>
      </c>
      <c r="D42" s="1553"/>
      <c r="E42" s="1553"/>
      <c r="F42" s="1553"/>
      <c r="G42" s="1553"/>
      <c r="H42" s="1553"/>
      <c r="I42" s="1553"/>
      <c r="J42" s="1553"/>
      <c r="K42" s="1553"/>
      <c r="L42" s="1553"/>
      <c r="M42" s="1553"/>
      <c r="N42" s="1553"/>
      <c r="O42" s="1553"/>
      <c r="P42" s="1235"/>
      <c r="Q42" s="1235"/>
      <c r="R42" s="1235"/>
      <c r="S42" s="1235"/>
    </row>
    <row r="43" spans="1:19" x14ac:dyDescent="0.35">
      <c r="A43" s="44" t="s">
        <v>1351</v>
      </c>
      <c r="B43" s="44">
        <v>10101</v>
      </c>
      <c r="C43" s="44" t="s">
        <v>1352</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1353</v>
      </c>
      <c r="B44" s="44" t="s">
        <v>1354</v>
      </c>
      <c r="C44" s="44" t="s">
        <v>1352</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1355</v>
      </c>
      <c r="B45" s="44">
        <v>13101</v>
      </c>
      <c r="C45" s="44" t="s">
        <v>1352</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1356</v>
      </c>
      <c r="B46" s="44">
        <v>13102</v>
      </c>
      <c r="C46" s="44" t="s">
        <v>1352</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1357</v>
      </c>
      <c r="B47" s="44">
        <v>13104</v>
      </c>
      <c r="C47" s="44" t="s">
        <v>1352</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1358</v>
      </c>
      <c r="B48" s="44">
        <v>13105</v>
      </c>
      <c r="C48" s="44" t="s">
        <v>1352</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1359</v>
      </c>
      <c r="B49" s="44">
        <v>13303</v>
      </c>
      <c r="C49" s="44" t="s">
        <v>1352</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1360</v>
      </c>
      <c r="B50" s="44" t="s">
        <v>1361</v>
      </c>
      <c r="C50" s="44" t="s">
        <v>1352</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1362</v>
      </c>
      <c r="B51" s="44">
        <v>13601</v>
      </c>
      <c r="C51" s="44" t="s">
        <v>1352</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1363</v>
      </c>
      <c r="B52" s="44" t="s">
        <v>1364</v>
      </c>
      <c r="C52" s="44" t="s">
        <v>1352</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1365</v>
      </c>
      <c r="B53" s="44">
        <v>13901</v>
      </c>
      <c r="C53" s="44" t="s">
        <v>1352</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1366</v>
      </c>
      <c r="B54" s="44">
        <v>13902</v>
      </c>
      <c r="C54" s="44" t="s">
        <v>1352</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1367</v>
      </c>
      <c r="B55" s="44" t="s">
        <v>1368</v>
      </c>
      <c r="C55" s="44" t="s">
        <v>1352</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1369</v>
      </c>
      <c r="B56" s="44">
        <v>60113</v>
      </c>
      <c r="C56" s="44" t="s">
        <v>1352</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1370</v>
      </c>
      <c r="B57" s="44">
        <v>10201</v>
      </c>
      <c r="C57" s="44" t="s">
        <v>1352</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1377</v>
      </c>
      <c r="B58" s="44">
        <v>13304</v>
      </c>
      <c r="C58" s="44" t="s">
        <v>1382</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1373</v>
      </c>
      <c r="B59" s="44" t="s">
        <v>1374</v>
      </c>
      <c r="C59" s="44" t="s">
        <v>1382</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52" t="s">
        <v>1371</v>
      </c>
      <c r="B60" s="1253">
        <v>10301</v>
      </c>
      <c r="C60" s="1253" t="s">
        <v>227</v>
      </c>
      <c r="D60" s="1253">
        <v>0</v>
      </c>
      <c r="E60" s="1254">
        <v>2012</v>
      </c>
      <c r="F60" s="1254">
        <v>5106</v>
      </c>
      <c r="G60" s="1254">
        <v>11125</v>
      </c>
      <c r="H60" s="1254">
        <v>16116</v>
      </c>
      <c r="I60" s="1254">
        <v>21716</v>
      </c>
      <c r="J60" s="1254">
        <v>26314</v>
      </c>
      <c r="K60" s="1254">
        <v>31218</v>
      </c>
      <c r="L60" s="1254">
        <v>34877</v>
      </c>
      <c r="M60" s="1254">
        <v>31904</v>
      </c>
      <c r="N60" s="1254">
        <v>34359</v>
      </c>
      <c r="O60" s="1255">
        <v>180388</v>
      </c>
      <c r="P60" s="81"/>
      <c r="Q60" s="81"/>
      <c r="R60" s="81"/>
      <c r="S60" s="81"/>
    </row>
    <row r="61" spans="1:19" x14ac:dyDescent="0.35">
      <c r="A61" s="44" t="s">
        <v>1372</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1375</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1376</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1378</v>
      </c>
      <c r="B64" s="44" t="s">
        <v>1379</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56">
        <v>2022</v>
      </c>
      <c r="E67" s="1256">
        <v>2023</v>
      </c>
      <c r="F67" s="1256">
        <v>2024</v>
      </c>
      <c r="G67" s="1256">
        <v>2025</v>
      </c>
      <c r="H67" s="1256">
        <v>2026</v>
      </c>
      <c r="I67" s="1256">
        <v>2027</v>
      </c>
      <c r="J67" s="1256">
        <v>2028</v>
      </c>
      <c r="K67" s="1256">
        <v>2029</v>
      </c>
      <c r="L67" s="1256">
        <v>2030</v>
      </c>
      <c r="M67" s="1257">
        <v>2031</v>
      </c>
      <c r="N67" s="1236" t="s">
        <v>1321</v>
      </c>
      <c r="O67" s="1258" t="s">
        <v>1322</v>
      </c>
      <c r="P67" s="1236"/>
      <c r="Q67" s="1236"/>
      <c r="R67" s="1236"/>
      <c r="S67" s="1236"/>
    </row>
    <row r="68" spans="3:19" x14ac:dyDescent="0.35">
      <c r="C68" s="1554" t="s">
        <v>1380</v>
      </c>
      <c r="D68" s="1555"/>
      <c r="E68" s="1555"/>
      <c r="F68" s="1555"/>
      <c r="G68" s="1555"/>
      <c r="H68" s="1555"/>
      <c r="I68" s="1555"/>
      <c r="J68" s="1555"/>
      <c r="K68" s="1555"/>
      <c r="L68" s="1555"/>
      <c r="M68" s="1555"/>
      <c r="N68" s="1555"/>
      <c r="O68" s="1556"/>
      <c r="P68" s="1235"/>
      <c r="Q68" s="1235"/>
      <c r="R68" s="1235"/>
      <c r="S68" s="1235"/>
    </row>
    <row r="69" spans="3:19" x14ac:dyDescent="0.35">
      <c r="C69" s="53" t="s">
        <v>1341</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1209</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1343</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1346</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54" t="s">
        <v>1381</v>
      </c>
      <c r="D75" s="1555"/>
      <c r="E75" s="1555"/>
      <c r="F75" s="1555"/>
      <c r="G75" s="1555"/>
      <c r="H75" s="1555"/>
      <c r="I75" s="1555"/>
      <c r="J75" s="1555"/>
      <c r="K75" s="1555"/>
      <c r="L75" s="1555"/>
      <c r="M75" s="1555"/>
      <c r="N75" s="1555"/>
      <c r="O75" s="1556"/>
      <c r="P75" s="1235"/>
      <c r="Q75" s="1235"/>
      <c r="R75" s="1235"/>
      <c r="S75" s="1235"/>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54" t="s">
        <v>1350</v>
      </c>
      <c r="D82" s="1555"/>
      <c r="E82" s="1555"/>
      <c r="F82" s="1555"/>
      <c r="G82" s="1555"/>
      <c r="H82" s="1555"/>
      <c r="I82" s="1555"/>
      <c r="J82" s="1555"/>
      <c r="K82" s="1555"/>
      <c r="L82" s="1555"/>
      <c r="M82" s="1555"/>
      <c r="N82" s="1555"/>
      <c r="O82" s="1556"/>
      <c r="P82" s="1235"/>
      <c r="Q82" s="1235"/>
      <c r="R82" s="1235"/>
      <c r="S82" s="1235"/>
    </row>
    <row r="83" spans="1:20" x14ac:dyDescent="0.35">
      <c r="C83" s="53" t="s">
        <v>1352</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1332</v>
      </c>
    </row>
    <row r="88" spans="1:20" x14ac:dyDescent="0.35">
      <c r="A88" s="1171" t="s">
        <v>1139</v>
      </c>
      <c r="B88" s="1172" t="s">
        <v>1140</v>
      </c>
      <c r="C88" s="1173">
        <v>2022</v>
      </c>
      <c r="D88" s="1173">
        <v>2023</v>
      </c>
      <c r="E88" s="1173">
        <v>2024</v>
      </c>
      <c r="F88" s="1173">
        <v>2025</v>
      </c>
      <c r="G88" s="1173">
        <v>2026</v>
      </c>
      <c r="H88" s="1173">
        <v>2027</v>
      </c>
      <c r="I88" s="1173">
        <v>2028</v>
      </c>
      <c r="J88" s="1173">
        <v>2029</v>
      </c>
      <c r="K88" s="1173">
        <v>2030</v>
      </c>
      <c r="L88" s="1173">
        <v>2031</v>
      </c>
      <c r="M88" s="1174" t="s">
        <v>1141</v>
      </c>
      <c r="N88" s="1174" t="s">
        <v>1142</v>
      </c>
      <c r="O88" s="1175" t="s">
        <v>1143</v>
      </c>
      <c r="P88" s="1175"/>
      <c r="Q88" s="1175"/>
      <c r="R88" s="1175"/>
      <c r="S88" s="1175"/>
      <c r="T88" s="1176" t="s">
        <v>1144</v>
      </c>
    </row>
    <row r="89" spans="1:20" x14ac:dyDescent="0.35">
      <c r="A89" s="1177" t="s">
        <v>1145</v>
      </c>
      <c r="B89" s="1178" t="s">
        <v>1146</v>
      </c>
      <c r="C89" s="1179">
        <v>0</v>
      </c>
      <c r="D89" s="1179">
        <v>3</v>
      </c>
      <c r="E89" s="1179">
        <v>3</v>
      </c>
      <c r="F89" s="1179">
        <v>3</v>
      </c>
      <c r="G89" s="1179">
        <v>3</v>
      </c>
      <c r="H89" s="1179">
        <v>1</v>
      </c>
      <c r="I89" s="1179">
        <v>0</v>
      </c>
      <c r="J89" s="1179">
        <v>0</v>
      </c>
      <c r="K89" s="1179">
        <v>0</v>
      </c>
      <c r="L89" s="1179">
        <v>0</v>
      </c>
      <c r="M89" s="1179">
        <v>12</v>
      </c>
      <c r="N89" s="1179">
        <v>13</v>
      </c>
      <c r="O89" s="1180" t="s">
        <v>1147</v>
      </c>
      <c r="P89" s="1180"/>
      <c r="Q89" s="1180"/>
      <c r="R89" s="1180"/>
      <c r="S89" s="1180"/>
      <c r="T89" s="1181"/>
    </row>
    <row r="90" spans="1:20" ht="24" customHeight="1" x14ac:dyDescent="0.35">
      <c r="A90" s="1177" t="s">
        <v>1148</v>
      </c>
      <c r="B90" s="1178" t="s">
        <v>1149</v>
      </c>
      <c r="C90" s="1179">
        <v>0</v>
      </c>
      <c r="D90" s="1179">
        <v>65</v>
      </c>
      <c r="E90" s="1179">
        <v>1360</v>
      </c>
      <c r="F90" s="1179">
        <v>2430</v>
      </c>
      <c r="G90" s="1179">
        <v>2800</v>
      </c>
      <c r="H90" s="1179">
        <v>1740</v>
      </c>
      <c r="I90" s="1179">
        <v>570</v>
      </c>
      <c r="J90" s="1179">
        <v>35</v>
      </c>
      <c r="K90" s="1179">
        <v>0</v>
      </c>
      <c r="L90" s="1179">
        <v>0</v>
      </c>
      <c r="M90" s="1179">
        <v>6655</v>
      </c>
      <c r="N90" s="1179">
        <v>9000</v>
      </c>
      <c r="O90" s="1180" t="s">
        <v>1147</v>
      </c>
      <c r="P90" s="1180"/>
      <c r="Q90" s="1180"/>
      <c r="R90" s="1180"/>
      <c r="S90" s="1180"/>
      <c r="T90" s="1182"/>
    </row>
    <row r="91" spans="1:20" x14ac:dyDescent="0.35">
      <c r="A91" s="1183" t="s">
        <v>1150</v>
      </c>
      <c r="B91" s="1184" t="s">
        <v>1151</v>
      </c>
      <c r="C91" s="1185">
        <v>0</v>
      </c>
      <c r="D91" s="1185">
        <v>0</v>
      </c>
      <c r="E91" s="1185">
        <v>601</v>
      </c>
      <c r="F91" s="1186">
        <v>1038</v>
      </c>
      <c r="G91" s="1186">
        <v>1251</v>
      </c>
      <c r="H91" s="1186">
        <v>1431</v>
      </c>
      <c r="I91" s="1186">
        <v>1492</v>
      </c>
      <c r="J91" s="1186">
        <v>1530</v>
      </c>
      <c r="K91" s="1186">
        <v>1567</v>
      </c>
      <c r="L91" s="1186">
        <v>1606</v>
      </c>
      <c r="M91" s="1186">
        <v>2890</v>
      </c>
      <c r="N91" s="1186">
        <v>10516</v>
      </c>
      <c r="O91" s="1187" t="s">
        <v>1152</v>
      </c>
      <c r="P91" s="1187"/>
      <c r="Q91" s="1187"/>
      <c r="R91" s="1187"/>
      <c r="S91" s="1187"/>
      <c r="T91" s="1188"/>
    </row>
    <row r="92" spans="1:20" x14ac:dyDescent="0.35">
      <c r="A92" s="1189" t="s">
        <v>1153</v>
      </c>
      <c r="B92" s="1190" t="s">
        <v>1154</v>
      </c>
      <c r="C92" s="1256">
        <v>0</v>
      </c>
      <c r="D92" s="1256">
        <v>30</v>
      </c>
      <c r="E92" s="1256">
        <v>120</v>
      </c>
      <c r="F92" s="1256">
        <v>165</v>
      </c>
      <c r="G92" s="1256">
        <v>370</v>
      </c>
      <c r="H92" s="1256">
        <v>470</v>
      </c>
      <c r="I92" s="1256">
        <v>420</v>
      </c>
      <c r="J92" s="1256">
        <v>285</v>
      </c>
      <c r="K92" s="1256">
        <v>220</v>
      </c>
      <c r="L92" s="1257">
        <v>65</v>
      </c>
      <c r="M92" s="1256">
        <v>685</v>
      </c>
      <c r="N92" s="1191">
        <v>2145</v>
      </c>
      <c r="O92" s="1192" t="s">
        <v>1155</v>
      </c>
      <c r="P92" s="1237"/>
      <c r="Q92" s="1237"/>
      <c r="R92" s="1237"/>
      <c r="S92" s="1237"/>
      <c r="T92" s="1193" t="s">
        <v>1156</v>
      </c>
    </row>
    <row r="93" spans="1:20" x14ac:dyDescent="0.35">
      <c r="A93" s="1177" t="s">
        <v>1157</v>
      </c>
      <c r="B93" s="1178" t="s">
        <v>1158</v>
      </c>
      <c r="C93" s="1179">
        <v>0</v>
      </c>
      <c r="D93" s="1179">
        <v>2</v>
      </c>
      <c r="E93" s="1179">
        <v>10</v>
      </c>
      <c r="F93" s="1179">
        <v>25</v>
      </c>
      <c r="G93" s="1179">
        <v>28</v>
      </c>
      <c r="H93" s="1179">
        <v>17</v>
      </c>
      <c r="I93" s="1179">
        <v>11</v>
      </c>
      <c r="J93" s="1179">
        <v>4</v>
      </c>
      <c r="K93" s="1179">
        <v>2</v>
      </c>
      <c r="L93" s="1179">
        <v>1</v>
      </c>
      <c r="M93" s="1179">
        <v>65</v>
      </c>
      <c r="N93" s="1179">
        <v>100</v>
      </c>
      <c r="O93" s="1180" t="s">
        <v>1155</v>
      </c>
      <c r="P93" s="1180"/>
      <c r="Q93" s="1180"/>
      <c r="R93" s="1180"/>
      <c r="S93" s="1180"/>
      <c r="T93" s="1181" t="s">
        <v>1159</v>
      </c>
    </row>
    <row r="94" spans="1:20" ht="24" customHeight="1" x14ac:dyDescent="0.35">
      <c r="A94" s="1194" t="s">
        <v>1160</v>
      </c>
      <c r="B94" s="1195" t="s">
        <v>1161</v>
      </c>
      <c r="C94" s="1179">
        <v>0</v>
      </c>
      <c r="D94" s="1179">
        <v>36</v>
      </c>
      <c r="E94" s="1179">
        <v>30</v>
      </c>
      <c r="F94" s="1179">
        <v>14</v>
      </c>
      <c r="G94" s="1179">
        <v>7</v>
      </c>
      <c r="H94" s="1179">
        <v>0</v>
      </c>
      <c r="I94" s="1179">
        <v>0</v>
      </c>
      <c r="J94" s="1179">
        <v>0</v>
      </c>
      <c r="K94" s="1179">
        <v>0</v>
      </c>
      <c r="L94" s="1179">
        <v>0</v>
      </c>
      <c r="M94" s="1179">
        <v>87</v>
      </c>
      <c r="N94" s="1179">
        <v>87</v>
      </c>
      <c r="O94" s="1180" t="s">
        <v>1155</v>
      </c>
      <c r="P94" s="1180"/>
      <c r="Q94" s="1180"/>
      <c r="R94" s="1180"/>
      <c r="S94" s="1180"/>
      <c r="T94" s="1181" t="s">
        <v>1162</v>
      </c>
    </row>
    <row r="95" spans="1:20" x14ac:dyDescent="0.35">
      <c r="A95" s="1177" t="s">
        <v>1163</v>
      </c>
      <c r="B95" s="1178" t="s">
        <v>1164</v>
      </c>
      <c r="C95" s="1179">
        <v>0</v>
      </c>
      <c r="D95" s="1196">
        <v>5240</v>
      </c>
      <c r="E95" s="1196">
        <v>4175</v>
      </c>
      <c r="F95" s="1196">
        <v>5215</v>
      </c>
      <c r="G95" s="1196">
        <v>6493</v>
      </c>
      <c r="H95" s="1196">
        <v>7982</v>
      </c>
      <c r="I95" s="1196">
        <v>9820</v>
      </c>
      <c r="J95" s="1196">
        <v>11813</v>
      </c>
      <c r="K95" s="1196">
        <v>14269</v>
      </c>
      <c r="L95" s="1196">
        <v>14605</v>
      </c>
      <c r="M95" s="1196">
        <v>21123</v>
      </c>
      <c r="N95" s="1196">
        <v>79612</v>
      </c>
      <c r="O95" s="1197" t="s">
        <v>1155</v>
      </c>
      <c r="P95" s="1197"/>
      <c r="Q95" s="1197"/>
      <c r="R95" s="1197"/>
      <c r="S95" s="1197"/>
      <c r="T95" s="1181"/>
    </row>
    <row r="96" spans="1:20" x14ac:dyDescent="0.35">
      <c r="A96" s="1177" t="s">
        <v>1165</v>
      </c>
      <c r="B96" s="1178" t="s">
        <v>1166</v>
      </c>
      <c r="C96" s="1198">
        <v>0</v>
      </c>
      <c r="D96" s="1198">
        <v>55</v>
      </c>
      <c r="E96" s="1198">
        <v>55</v>
      </c>
      <c r="F96" s="1198">
        <v>55</v>
      </c>
      <c r="G96" s="1198">
        <v>55</v>
      </c>
      <c r="H96" s="1198">
        <v>55</v>
      </c>
      <c r="I96" s="1198">
        <v>55</v>
      </c>
      <c r="J96" s="1198">
        <v>55</v>
      </c>
      <c r="K96" s="1198">
        <v>55</v>
      </c>
      <c r="L96" s="1198">
        <v>55</v>
      </c>
      <c r="M96" s="1198">
        <v>220</v>
      </c>
      <c r="N96" s="1198">
        <v>495</v>
      </c>
      <c r="O96" s="1199" t="s">
        <v>1155</v>
      </c>
      <c r="P96" s="1199"/>
      <c r="Q96" s="1199"/>
      <c r="R96" s="1199"/>
      <c r="S96" s="1199"/>
      <c r="T96" s="1182"/>
    </row>
    <row r="97" spans="1:20" x14ac:dyDescent="0.35">
      <c r="A97" s="1177" t="s">
        <v>1167</v>
      </c>
      <c r="B97" s="1178" t="s">
        <v>1168</v>
      </c>
      <c r="C97" s="1179">
        <v>0</v>
      </c>
      <c r="D97" s="1179">
        <v>19</v>
      </c>
      <c r="E97" s="1179">
        <v>26</v>
      </c>
      <c r="F97" s="1179">
        <v>27</v>
      </c>
      <c r="G97" s="1179">
        <v>17</v>
      </c>
      <c r="H97" s="1179">
        <v>7</v>
      </c>
      <c r="I97" s="1179">
        <v>3</v>
      </c>
      <c r="J97" s="1179">
        <v>1</v>
      </c>
      <c r="K97" s="1179">
        <v>0</v>
      </c>
      <c r="L97" s="1179">
        <v>0</v>
      </c>
      <c r="M97" s="1179">
        <v>89</v>
      </c>
      <c r="N97" s="1179">
        <v>100</v>
      </c>
      <c r="O97" s="1197" t="s">
        <v>1155</v>
      </c>
      <c r="P97" s="1197"/>
      <c r="Q97" s="1197"/>
      <c r="R97" s="1197"/>
      <c r="S97" s="1197"/>
      <c r="T97" s="1182"/>
    </row>
    <row r="98" spans="1:20" x14ac:dyDescent="0.35">
      <c r="A98" s="1177" t="s">
        <v>1169</v>
      </c>
      <c r="B98" s="1178" t="s">
        <v>1170</v>
      </c>
      <c r="C98" s="1179">
        <v>0</v>
      </c>
      <c r="D98" s="1179">
        <v>15</v>
      </c>
      <c r="E98" s="1179">
        <v>15</v>
      </c>
      <c r="F98" s="1179">
        <v>15</v>
      </c>
      <c r="G98" s="1179">
        <v>10</v>
      </c>
      <c r="H98" s="1179">
        <v>10</v>
      </c>
      <c r="I98" s="1179">
        <v>10</v>
      </c>
      <c r="J98" s="1179">
        <v>10</v>
      </c>
      <c r="K98" s="1179">
        <v>10</v>
      </c>
      <c r="L98" s="1179">
        <v>5</v>
      </c>
      <c r="M98" s="1179">
        <v>55</v>
      </c>
      <c r="N98" s="1179">
        <v>100</v>
      </c>
      <c r="O98" s="1180" t="s">
        <v>1155</v>
      </c>
      <c r="P98" s="1180"/>
      <c r="Q98" s="1180"/>
      <c r="R98" s="1180"/>
      <c r="S98" s="1180"/>
      <c r="T98" s="1182"/>
    </row>
    <row r="99" spans="1:20" ht="36" customHeight="1" x14ac:dyDescent="0.35">
      <c r="A99" s="1177" t="s">
        <v>1171</v>
      </c>
      <c r="B99" s="1178" t="s">
        <v>1172</v>
      </c>
      <c r="C99" s="1200">
        <v>0</v>
      </c>
      <c r="D99" s="1200">
        <v>22</v>
      </c>
      <c r="E99" s="1200">
        <v>96</v>
      </c>
      <c r="F99" s="1200">
        <v>170</v>
      </c>
      <c r="G99" s="1200">
        <v>213</v>
      </c>
      <c r="H99" s="1200">
        <v>160</v>
      </c>
      <c r="I99" s="1200">
        <v>47</v>
      </c>
      <c r="J99" s="1200">
        <v>2</v>
      </c>
      <c r="K99" s="1200">
        <v>0</v>
      </c>
      <c r="L99" s="1200">
        <v>0</v>
      </c>
      <c r="M99" s="1200">
        <v>501</v>
      </c>
      <c r="N99" s="1200">
        <v>710</v>
      </c>
      <c r="O99" s="1179" t="s">
        <v>1155</v>
      </c>
      <c r="P99" s="1179"/>
      <c r="Q99" s="1179"/>
      <c r="R99" s="1179"/>
      <c r="S99" s="1179"/>
      <c r="T99" s="1182"/>
    </row>
    <row r="100" spans="1:20" ht="36" customHeight="1" x14ac:dyDescent="0.35">
      <c r="A100" s="1177" t="s">
        <v>1173</v>
      </c>
      <c r="B100" s="1178" t="s">
        <v>1174</v>
      </c>
      <c r="C100" s="1201"/>
      <c r="D100" s="1201">
        <v>90</v>
      </c>
      <c r="E100" s="1201">
        <v>260</v>
      </c>
      <c r="F100" s="1201">
        <v>427</v>
      </c>
      <c r="G100" s="1201">
        <v>560</v>
      </c>
      <c r="H100" s="1201">
        <v>572</v>
      </c>
      <c r="I100" s="1201">
        <v>534</v>
      </c>
      <c r="J100" s="1201">
        <v>275</v>
      </c>
      <c r="K100" s="1201">
        <v>162</v>
      </c>
      <c r="L100" s="1201">
        <v>70</v>
      </c>
      <c r="M100" s="1201">
        <v>1347</v>
      </c>
      <c r="N100" s="1201">
        <v>2960</v>
      </c>
      <c r="O100" s="1202" t="s">
        <v>1155</v>
      </c>
      <c r="P100" s="1202"/>
      <c r="Q100" s="1202"/>
      <c r="R100" s="1202"/>
      <c r="S100" s="1202"/>
      <c r="T100" s="1182"/>
    </row>
    <row r="101" spans="1:20" x14ac:dyDescent="0.35">
      <c r="A101" s="1177" t="s">
        <v>1175</v>
      </c>
      <c r="B101" s="1178" t="s">
        <v>1176</v>
      </c>
      <c r="C101" s="1179">
        <v>0</v>
      </c>
      <c r="D101" s="1179">
        <v>40</v>
      </c>
      <c r="E101" s="1179">
        <v>60</v>
      </c>
      <c r="F101" s="1179">
        <v>52</v>
      </c>
      <c r="G101" s="1179">
        <v>40</v>
      </c>
      <c r="H101" s="1179">
        <v>27</v>
      </c>
      <c r="I101" s="1179">
        <v>19</v>
      </c>
      <c r="J101" s="1179">
        <v>10</v>
      </c>
      <c r="K101" s="1179">
        <v>2</v>
      </c>
      <c r="L101" s="1179">
        <v>0</v>
      </c>
      <c r="M101" s="1179">
        <v>192</v>
      </c>
      <c r="N101" s="1179">
        <v>250</v>
      </c>
      <c r="O101" s="1180" t="s">
        <v>1155</v>
      </c>
      <c r="P101" s="1180"/>
      <c r="Q101" s="1180"/>
      <c r="R101" s="1180"/>
      <c r="S101" s="1180"/>
      <c r="T101" s="1182"/>
    </row>
    <row r="102" spans="1:20" x14ac:dyDescent="0.35">
      <c r="A102" s="1194" t="s">
        <v>1177</v>
      </c>
      <c r="B102" s="1195" t="s">
        <v>1178</v>
      </c>
      <c r="C102" s="1179">
        <v>0</v>
      </c>
      <c r="D102" s="1179">
        <v>49</v>
      </c>
      <c r="E102" s="1179">
        <v>62</v>
      </c>
      <c r="F102" s="1179">
        <v>62</v>
      </c>
      <c r="G102" s="1179">
        <v>62</v>
      </c>
      <c r="H102" s="1179">
        <v>63</v>
      </c>
      <c r="I102" s="1179">
        <v>63</v>
      </c>
      <c r="J102" s="1179">
        <v>63</v>
      </c>
      <c r="K102" s="1179">
        <v>64</v>
      </c>
      <c r="L102" s="1179">
        <v>12</v>
      </c>
      <c r="M102" s="1179">
        <v>235</v>
      </c>
      <c r="N102" s="1179">
        <v>500</v>
      </c>
      <c r="O102" s="1180" t="s">
        <v>1155</v>
      </c>
      <c r="P102" s="1180"/>
      <c r="Q102" s="1180"/>
      <c r="R102" s="1180"/>
      <c r="S102" s="1180"/>
      <c r="T102" s="1182"/>
    </row>
    <row r="103" spans="1:20" x14ac:dyDescent="0.35">
      <c r="A103" s="1177" t="s">
        <v>1179</v>
      </c>
      <c r="B103" s="1178" t="s">
        <v>1180</v>
      </c>
      <c r="C103" s="1179">
        <v>0</v>
      </c>
      <c r="D103" s="1179">
        <v>0</v>
      </c>
      <c r="E103" s="1179">
        <v>0</v>
      </c>
      <c r="F103" s="1179">
        <v>0</v>
      </c>
      <c r="G103" s="1179">
        <v>-20</v>
      </c>
      <c r="H103" s="1179">
        <v>-28</v>
      </c>
      <c r="I103" s="1179">
        <v>-28</v>
      </c>
      <c r="J103" s="1179">
        <v>-28</v>
      </c>
      <c r="K103" s="1179">
        <v>-28</v>
      </c>
      <c r="L103" s="1179">
        <v>-28</v>
      </c>
      <c r="M103" s="1179">
        <v>-20</v>
      </c>
      <c r="N103" s="1179">
        <v>-160</v>
      </c>
      <c r="O103" s="1180" t="s">
        <v>1155</v>
      </c>
      <c r="P103" s="1180"/>
      <c r="Q103" s="1180"/>
      <c r="R103" s="1180"/>
      <c r="S103" s="1180"/>
      <c r="T103" s="1182"/>
    </row>
    <row r="104" spans="1:20" ht="24" customHeight="1" x14ac:dyDescent="0.35">
      <c r="A104" s="1177" t="s">
        <v>1181</v>
      </c>
      <c r="B104" s="1178" t="s">
        <v>1182</v>
      </c>
      <c r="C104" s="1179">
        <v>0</v>
      </c>
      <c r="D104" s="1179">
        <v>-235</v>
      </c>
      <c r="E104" s="1179">
        <v>-44</v>
      </c>
      <c r="F104" s="1179">
        <v>-22</v>
      </c>
      <c r="G104" s="1179">
        <v>-26</v>
      </c>
      <c r="H104" s="1179">
        <v>-23</v>
      </c>
      <c r="I104" s="1179">
        <v>-19</v>
      </c>
      <c r="J104" s="1179">
        <v>-41</v>
      </c>
      <c r="K104" s="1179">
        <v>-35</v>
      </c>
      <c r="L104" s="1179">
        <v>-39</v>
      </c>
      <c r="M104" s="1179">
        <v>-327</v>
      </c>
      <c r="N104" s="1179">
        <v>-484</v>
      </c>
      <c r="O104" s="1180" t="s">
        <v>1155</v>
      </c>
      <c r="P104" s="1180"/>
      <c r="Q104" s="1180"/>
      <c r="R104" s="1180"/>
      <c r="S104" s="1180"/>
      <c r="T104" s="1182"/>
    </row>
    <row r="105" spans="1:20" x14ac:dyDescent="0.35">
      <c r="A105" s="1177" t="s">
        <v>1183</v>
      </c>
      <c r="B105" s="1178" t="s">
        <v>1184</v>
      </c>
      <c r="C105" s="1179">
        <v>0</v>
      </c>
      <c r="D105" s="1179">
        <v>7</v>
      </c>
      <c r="E105" s="1179">
        <v>8</v>
      </c>
      <c r="F105" s="1179">
        <v>6</v>
      </c>
      <c r="G105" s="1179">
        <v>2</v>
      </c>
      <c r="H105" s="1179">
        <v>1</v>
      </c>
      <c r="I105" s="1179">
        <v>0</v>
      </c>
      <c r="J105" s="1179">
        <v>0</v>
      </c>
      <c r="K105" s="1179">
        <v>0</v>
      </c>
      <c r="L105" s="1179">
        <v>0</v>
      </c>
      <c r="M105" s="1179">
        <v>23</v>
      </c>
      <c r="N105" s="1179">
        <v>24</v>
      </c>
      <c r="O105" s="1180" t="s">
        <v>1155</v>
      </c>
      <c r="P105" s="1180"/>
      <c r="Q105" s="1180"/>
      <c r="R105" s="1180"/>
      <c r="S105" s="1180"/>
      <c r="T105" s="1182"/>
    </row>
    <row r="106" spans="1:20" ht="36" customHeight="1" x14ac:dyDescent="0.35">
      <c r="A106" s="1177" t="s">
        <v>1185</v>
      </c>
      <c r="B106" s="1178" t="s">
        <v>1186</v>
      </c>
      <c r="C106" s="1179">
        <v>0</v>
      </c>
      <c r="D106" s="1179">
        <v>50</v>
      </c>
      <c r="E106" s="1179">
        <v>77</v>
      </c>
      <c r="F106" s="1179">
        <v>87</v>
      </c>
      <c r="G106" s="1179">
        <v>81</v>
      </c>
      <c r="H106" s="1179">
        <v>50</v>
      </c>
      <c r="I106" s="1179">
        <v>30</v>
      </c>
      <c r="J106" s="1179">
        <v>10</v>
      </c>
      <c r="K106" s="1179">
        <v>0</v>
      </c>
      <c r="L106" s="1179">
        <v>0</v>
      </c>
      <c r="M106" s="1179">
        <v>295</v>
      </c>
      <c r="N106" s="1179">
        <v>385</v>
      </c>
      <c r="O106" s="1180" t="s">
        <v>1155</v>
      </c>
      <c r="P106" s="1180"/>
      <c r="Q106" s="1180"/>
      <c r="R106" s="1180"/>
      <c r="S106" s="1180"/>
      <c r="T106" s="1182"/>
    </row>
    <row r="107" spans="1:20" x14ac:dyDescent="0.35">
      <c r="A107" s="1194" t="s">
        <v>1187</v>
      </c>
      <c r="B107" s="1195" t="s">
        <v>1188</v>
      </c>
      <c r="C107" s="1179">
        <v>0</v>
      </c>
      <c r="D107" s="1179">
        <v>3</v>
      </c>
      <c r="E107" s="1179">
        <v>2</v>
      </c>
      <c r="F107" s="1179">
        <v>0</v>
      </c>
      <c r="G107" s="1179">
        <v>0</v>
      </c>
      <c r="H107" s="1179">
        <v>0</v>
      </c>
      <c r="I107" s="1179">
        <v>0</v>
      </c>
      <c r="J107" s="1179">
        <v>0</v>
      </c>
      <c r="K107" s="1179">
        <v>0</v>
      </c>
      <c r="L107" s="1179">
        <v>0</v>
      </c>
      <c r="M107" s="1179">
        <v>5</v>
      </c>
      <c r="N107" s="1179">
        <v>5</v>
      </c>
      <c r="O107" s="1180" t="s">
        <v>1189</v>
      </c>
      <c r="P107" s="1180"/>
      <c r="Q107" s="1180"/>
      <c r="R107" s="1180"/>
      <c r="S107" s="1180"/>
      <c r="T107" s="1182"/>
    </row>
    <row r="108" spans="1:20" x14ac:dyDescent="0.35">
      <c r="A108" s="1194" t="s">
        <v>1190</v>
      </c>
      <c r="B108" s="1195" t="s">
        <v>1191</v>
      </c>
      <c r="C108" s="1179">
        <v>0</v>
      </c>
      <c r="D108" s="1179">
        <v>70</v>
      </c>
      <c r="E108" s="1179">
        <v>80</v>
      </c>
      <c r="F108" s="1179">
        <v>62</v>
      </c>
      <c r="G108" s="1179">
        <v>25</v>
      </c>
      <c r="H108" s="1179">
        <v>13</v>
      </c>
      <c r="I108" s="1179">
        <v>0</v>
      </c>
      <c r="J108" s="1179">
        <v>0</v>
      </c>
      <c r="K108" s="1179">
        <v>0</v>
      </c>
      <c r="L108" s="1179">
        <v>0</v>
      </c>
      <c r="M108" s="1179">
        <v>237</v>
      </c>
      <c r="N108" s="1179">
        <v>250</v>
      </c>
      <c r="O108" s="1180" t="s">
        <v>1189</v>
      </c>
      <c r="P108" s="1180"/>
      <c r="Q108" s="1180"/>
      <c r="R108" s="1180"/>
      <c r="S108" s="1180"/>
      <c r="T108" s="1182"/>
    </row>
    <row r="109" spans="1:20" ht="24" customHeight="1" x14ac:dyDescent="0.35">
      <c r="A109" s="1194" t="s">
        <v>1192</v>
      </c>
      <c r="B109" s="1195" t="s">
        <v>1193</v>
      </c>
      <c r="C109" s="1198">
        <v>0</v>
      </c>
      <c r="D109" s="1198">
        <v>33</v>
      </c>
      <c r="E109" s="1198">
        <v>54</v>
      </c>
      <c r="F109" s="1198">
        <v>37</v>
      </c>
      <c r="G109" s="1198">
        <v>16</v>
      </c>
      <c r="H109" s="1198">
        <v>0</v>
      </c>
      <c r="I109" s="1198">
        <v>0</v>
      </c>
      <c r="J109" s="1198">
        <v>0</v>
      </c>
      <c r="K109" s="1198">
        <v>0</v>
      </c>
      <c r="L109" s="1198">
        <v>0</v>
      </c>
      <c r="M109" s="1198">
        <v>140</v>
      </c>
      <c r="N109" s="1198">
        <v>140</v>
      </c>
      <c r="O109" s="1180" t="s">
        <v>1155</v>
      </c>
      <c r="P109" s="1180"/>
      <c r="Q109" s="1180"/>
      <c r="R109" s="1180"/>
      <c r="S109" s="1180"/>
      <c r="T109" s="1182"/>
    </row>
    <row r="110" spans="1:20" x14ac:dyDescent="0.35">
      <c r="A110" s="1177" t="s">
        <v>1194</v>
      </c>
      <c r="B110" s="1178" t="s">
        <v>1195</v>
      </c>
      <c r="C110" s="1179">
        <v>0</v>
      </c>
      <c r="D110" s="1179">
        <v>40</v>
      </c>
      <c r="E110" s="1179">
        <v>40</v>
      </c>
      <c r="F110" s="1179">
        <v>30</v>
      </c>
      <c r="G110" s="1179">
        <v>10</v>
      </c>
      <c r="H110" s="1179">
        <v>5</v>
      </c>
      <c r="I110" s="1179">
        <v>0</v>
      </c>
      <c r="J110" s="1179">
        <v>0</v>
      </c>
      <c r="K110" s="1179">
        <v>0</v>
      </c>
      <c r="L110" s="1179">
        <v>0</v>
      </c>
      <c r="M110" s="1179">
        <v>120</v>
      </c>
      <c r="N110" s="1179">
        <v>125</v>
      </c>
      <c r="O110" s="1180" t="s">
        <v>1155</v>
      </c>
      <c r="P110" s="1180"/>
      <c r="Q110" s="1180"/>
      <c r="R110" s="1180"/>
      <c r="S110" s="1180"/>
      <c r="T110" s="1182"/>
    </row>
    <row r="111" spans="1:20" x14ac:dyDescent="0.35">
      <c r="A111" s="1194" t="s">
        <v>1196</v>
      </c>
      <c r="B111" s="1178" t="s">
        <v>1197</v>
      </c>
      <c r="C111" s="1179">
        <v>0</v>
      </c>
      <c r="D111" s="1179">
        <v>5</v>
      </c>
      <c r="E111" s="1179">
        <v>8</v>
      </c>
      <c r="F111" s="1179">
        <v>8</v>
      </c>
      <c r="G111" s="1179">
        <v>8</v>
      </c>
      <c r="H111" s="1179">
        <v>4</v>
      </c>
      <c r="I111" s="1179">
        <v>0</v>
      </c>
      <c r="J111" s="1179">
        <v>0</v>
      </c>
      <c r="K111" s="1179">
        <v>0</v>
      </c>
      <c r="L111" s="1179">
        <v>0</v>
      </c>
      <c r="M111" s="1179">
        <v>29</v>
      </c>
      <c r="N111" s="1179">
        <v>33</v>
      </c>
      <c r="O111" s="1180" t="s">
        <v>1155</v>
      </c>
      <c r="P111" s="1180"/>
      <c r="Q111" s="1180"/>
      <c r="R111" s="1180"/>
      <c r="S111" s="1180"/>
      <c r="T111" s="1182"/>
    </row>
    <row r="112" spans="1:20" x14ac:dyDescent="0.35">
      <c r="A112" s="1177" t="s">
        <v>1198</v>
      </c>
      <c r="B112" s="1195" t="s">
        <v>1199</v>
      </c>
      <c r="C112" s="1179">
        <v>0</v>
      </c>
      <c r="D112" s="1179">
        <v>3</v>
      </c>
      <c r="E112" s="1179">
        <v>8</v>
      </c>
      <c r="F112" s="1179">
        <v>8</v>
      </c>
      <c r="G112" s="1179">
        <v>8</v>
      </c>
      <c r="H112" s="1179">
        <v>3</v>
      </c>
      <c r="I112" s="1179">
        <v>0</v>
      </c>
      <c r="J112" s="1179">
        <v>0</v>
      </c>
      <c r="K112" s="1179">
        <v>0</v>
      </c>
      <c r="L112" s="1179">
        <v>0</v>
      </c>
      <c r="M112" s="1179">
        <v>27</v>
      </c>
      <c r="N112" s="1179">
        <v>30</v>
      </c>
      <c r="O112" s="1180" t="s">
        <v>1155</v>
      </c>
      <c r="P112" s="1180"/>
      <c r="Q112" s="1180"/>
      <c r="R112" s="1180"/>
      <c r="S112" s="1180"/>
      <c r="T112" s="1182"/>
    </row>
    <row r="113" spans="1:20" ht="24" customHeight="1" x14ac:dyDescent="0.35">
      <c r="A113" s="1177" t="s">
        <v>1200</v>
      </c>
      <c r="B113" s="1178" t="s">
        <v>1201</v>
      </c>
      <c r="C113" s="1198">
        <v>0</v>
      </c>
      <c r="D113" s="1198">
        <v>165</v>
      </c>
      <c r="E113" s="1198">
        <v>165</v>
      </c>
      <c r="F113" s="1198">
        <v>230</v>
      </c>
      <c r="G113" s="1198">
        <v>340</v>
      </c>
      <c r="H113" s="1198">
        <v>490</v>
      </c>
      <c r="I113" s="1198">
        <v>540</v>
      </c>
      <c r="J113" s="1198">
        <v>640</v>
      </c>
      <c r="K113" s="1198">
        <v>475</v>
      </c>
      <c r="L113" s="1198">
        <v>330</v>
      </c>
      <c r="M113" s="1198">
        <v>900</v>
      </c>
      <c r="N113" s="1198">
        <v>3375</v>
      </c>
      <c r="O113" s="1197" t="s">
        <v>1155</v>
      </c>
      <c r="P113" s="1197"/>
      <c r="Q113" s="1197"/>
      <c r="R113" s="1197"/>
      <c r="S113" s="1197"/>
      <c r="T113" s="1182"/>
    </row>
    <row r="114" spans="1:20" ht="24" customHeight="1" x14ac:dyDescent="0.35">
      <c r="A114" s="1203" t="s">
        <v>1171</v>
      </c>
      <c r="B114" s="1204" t="s">
        <v>1202</v>
      </c>
      <c r="C114" s="1179">
        <v>0</v>
      </c>
      <c r="D114" s="1179">
        <v>195</v>
      </c>
      <c r="E114" s="1179">
        <v>448</v>
      </c>
      <c r="F114" s="1179">
        <v>641</v>
      </c>
      <c r="G114" s="1179">
        <v>716</v>
      </c>
      <c r="H114" s="1179">
        <v>681</v>
      </c>
      <c r="I114" s="1179">
        <v>528</v>
      </c>
      <c r="J114" s="1179">
        <v>421</v>
      </c>
      <c r="K114" s="1179">
        <v>323</v>
      </c>
      <c r="L114" s="1179">
        <v>23</v>
      </c>
      <c r="M114" s="1196">
        <v>2000</v>
      </c>
      <c r="N114" s="1196">
        <v>3976</v>
      </c>
      <c r="O114" s="1197" t="s">
        <v>1155</v>
      </c>
      <c r="P114" s="1197"/>
      <c r="Q114" s="1197"/>
      <c r="R114" s="1197"/>
      <c r="S114" s="1197"/>
      <c r="T114" s="1205"/>
    </row>
    <row r="115" spans="1:20" ht="30" customHeight="1" x14ac:dyDescent="0.35">
      <c r="A115" s="1189" t="s">
        <v>1203</v>
      </c>
      <c r="B115" s="1190" t="s">
        <v>1204</v>
      </c>
      <c r="C115" s="1206">
        <v>0</v>
      </c>
      <c r="D115" s="1206">
        <v>20</v>
      </c>
      <c r="E115" s="1206">
        <v>57</v>
      </c>
      <c r="F115" s="1206">
        <v>96</v>
      </c>
      <c r="G115" s="1206">
        <v>150</v>
      </c>
      <c r="H115" s="1206">
        <v>200</v>
      </c>
      <c r="I115" s="1206">
        <v>185</v>
      </c>
      <c r="J115" s="1206">
        <v>147</v>
      </c>
      <c r="K115" s="1206">
        <v>106</v>
      </c>
      <c r="L115" s="1206">
        <v>39</v>
      </c>
      <c r="M115" s="1206">
        <v>323</v>
      </c>
      <c r="N115" s="1207">
        <v>1000</v>
      </c>
      <c r="O115" s="1208" t="s">
        <v>1205</v>
      </c>
      <c r="P115" s="1238"/>
      <c r="Q115" s="1238"/>
      <c r="R115" s="1238"/>
      <c r="S115" s="1238"/>
      <c r="T115" s="1209" t="s">
        <v>1206</v>
      </c>
    </row>
    <row r="116" spans="1:20" x14ac:dyDescent="0.35">
      <c r="A116" s="1194" t="s">
        <v>1207</v>
      </c>
      <c r="B116" s="1178" t="s">
        <v>1208</v>
      </c>
      <c r="C116" s="1179">
        <v>0</v>
      </c>
      <c r="D116" s="1179">
        <v>15</v>
      </c>
      <c r="E116" s="1179">
        <v>53</v>
      </c>
      <c r="F116" s="1179">
        <v>57</v>
      </c>
      <c r="G116" s="1179">
        <v>48</v>
      </c>
      <c r="H116" s="1179">
        <v>43</v>
      </c>
      <c r="I116" s="1179">
        <v>17</v>
      </c>
      <c r="J116" s="1179">
        <v>2</v>
      </c>
      <c r="K116" s="1179">
        <v>0</v>
      </c>
      <c r="L116" s="1179">
        <v>0</v>
      </c>
      <c r="M116" s="1179">
        <v>173</v>
      </c>
      <c r="N116" s="1179">
        <v>235</v>
      </c>
      <c r="O116" s="1180" t="s">
        <v>1209</v>
      </c>
      <c r="P116" s="1180"/>
      <c r="Q116" s="1180"/>
      <c r="R116" s="1180"/>
      <c r="S116" s="1180"/>
      <c r="T116" s="1181" t="s">
        <v>1210</v>
      </c>
    </row>
    <row r="117" spans="1:20" x14ac:dyDescent="0.35">
      <c r="A117" s="1177" t="s">
        <v>1211</v>
      </c>
      <c r="B117" s="1178" t="s">
        <v>1212</v>
      </c>
      <c r="C117" s="1179">
        <v>0</v>
      </c>
      <c r="D117" s="1179">
        <v>15</v>
      </c>
      <c r="E117" s="1179">
        <v>53</v>
      </c>
      <c r="F117" s="1179">
        <v>57</v>
      </c>
      <c r="G117" s="1179">
        <v>48</v>
      </c>
      <c r="H117" s="1179">
        <v>43</v>
      </c>
      <c r="I117" s="1179">
        <v>17</v>
      </c>
      <c r="J117" s="1179">
        <v>2</v>
      </c>
      <c r="K117" s="1179">
        <v>0</v>
      </c>
      <c r="L117" s="1179">
        <v>0</v>
      </c>
      <c r="M117" s="1179">
        <v>173</v>
      </c>
      <c r="N117" s="1179">
        <v>235</v>
      </c>
      <c r="O117" s="1180" t="s">
        <v>1209</v>
      </c>
      <c r="P117" s="1180"/>
      <c r="Q117" s="1180"/>
      <c r="R117" s="1180"/>
      <c r="S117" s="1180"/>
      <c r="T117" s="1181" t="s">
        <v>1210</v>
      </c>
    </row>
    <row r="118" spans="1:20" x14ac:dyDescent="0.35">
      <c r="A118" s="1194" t="s">
        <v>1213</v>
      </c>
      <c r="B118" s="1195" t="s">
        <v>1214</v>
      </c>
      <c r="C118" s="1179">
        <v>0</v>
      </c>
      <c r="D118" s="1179">
        <v>42</v>
      </c>
      <c r="E118" s="1179">
        <v>18</v>
      </c>
      <c r="F118" s="1179">
        <v>0</v>
      </c>
      <c r="G118" s="1179">
        <v>0</v>
      </c>
      <c r="H118" s="1179">
        <v>0</v>
      </c>
      <c r="I118" s="1179">
        <v>0</v>
      </c>
      <c r="J118" s="1179">
        <v>0</v>
      </c>
      <c r="K118" s="1179">
        <v>0</v>
      </c>
      <c r="L118" s="1179">
        <v>0</v>
      </c>
      <c r="M118" s="1179">
        <v>60</v>
      </c>
      <c r="N118" s="1179">
        <v>60</v>
      </c>
      <c r="O118" s="1180" t="s">
        <v>1205</v>
      </c>
      <c r="P118" s="1180"/>
      <c r="Q118" s="1180"/>
      <c r="R118" s="1180"/>
      <c r="S118" s="1180"/>
      <c r="T118" s="1182" t="s">
        <v>1215</v>
      </c>
    </row>
    <row r="119" spans="1:20" x14ac:dyDescent="0.35">
      <c r="A119" s="1177" t="s">
        <v>1216</v>
      </c>
      <c r="B119" s="1178" t="s">
        <v>1217</v>
      </c>
      <c r="C119" s="1179">
        <v>0</v>
      </c>
      <c r="D119" s="1179">
        <v>2</v>
      </c>
      <c r="E119" s="1179">
        <v>13</v>
      </c>
      <c r="F119" s="1179">
        <v>26</v>
      </c>
      <c r="G119" s="1179">
        <v>30</v>
      </c>
      <c r="H119" s="1179">
        <v>24</v>
      </c>
      <c r="I119" s="1179">
        <v>0</v>
      </c>
      <c r="J119" s="1179">
        <v>0</v>
      </c>
      <c r="K119" s="1179">
        <v>0</v>
      </c>
      <c r="L119" s="1179">
        <v>0</v>
      </c>
      <c r="M119" s="1179">
        <v>71</v>
      </c>
      <c r="N119" s="1179">
        <v>95</v>
      </c>
      <c r="O119" s="1180" t="s">
        <v>1205</v>
      </c>
      <c r="P119" s="1180"/>
      <c r="Q119" s="1180"/>
      <c r="R119" s="1180"/>
      <c r="S119" s="1180"/>
      <c r="T119" s="1181" t="s">
        <v>1218</v>
      </c>
    </row>
    <row r="120" spans="1:20" ht="36" customHeight="1" x14ac:dyDescent="0.35">
      <c r="A120" s="1177" t="s">
        <v>1219</v>
      </c>
      <c r="B120" s="1178" t="s">
        <v>1220</v>
      </c>
      <c r="C120" s="1179">
        <v>0</v>
      </c>
      <c r="D120" s="1179">
        <v>3</v>
      </c>
      <c r="E120" s="1179">
        <v>19</v>
      </c>
      <c r="F120" s="1179">
        <v>67</v>
      </c>
      <c r="G120" s="1179">
        <v>86</v>
      </c>
      <c r="H120" s="1179">
        <v>59</v>
      </c>
      <c r="I120" s="1179">
        <v>35</v>
      </c>
      <c r="J120" s="1179">
        <v>19</v>
      </c>
      <c r="K120" s="1179">
        <v>6</v>
      </c>
      <c r="L120" s="1179">
        <v>0</v>
      </c>
      <c r="M120" s="1179">
        <v>175</v>
      </c>
      <c r="N120" s="1179">
        <v>294</v>
      </c>
      <c r="O120" s="1180" t="s">
        <v>1205</v>
      </c>
      <c r="P120" s="1180"/>
      <c r="Q120" s="1180"/>
      <c r="R120" s="1180"/>
      <c r="S120" s="1180"/>
      <c r="T120" s="1205" t="s">
        <v>1221</v>
      </c>
    </row>
    <row r="121" spans="1:20" x14ac:dyDescent="0.35">
      <c r="A121" s="1177" t="s">
        <v>1222</v>
      </c>
      <c r="B121" s="1178" t="s">
        <v>1223</v>
      </c>
      <c r="C121" s="1179">
        <v>0</v>
      </c>
      <c r="D121" s="1179">
        <v>65</v>
      </c>
      <c r="E121" s="1179">
        <v>150</v>
      </c>
      <c r="F121" s="1179">
        <v>290</v>
      </c>
      <c r="G121" s="1179">
        <v>290</v>
      </c>
      <c r="H121" s="1179">
        <v>290</v>
      </c>
      <c r="I121" s="1179">
        <v>285</v>
      </c>
      <c r="J121" s="1179">
        <v>250</v>
      </c>
      <c r="K121" s="1179">
        <v>220</v>
      </c>
      <c r="L121" s="1179">
        <v>160</v>
      </c>
      <c r="M121" s="1179">
        <v>795</v>
      </c>
      <c r="N121" s="1196">
        <v>2000</v>
      </c>
      <c r="O121" s="1180" t="s">
        <v>1205</v>
      </c>
      <c r="P121" s="1180"/>
      <c r="Q121" s="1180"/>
      <c r="R121" s="1180"/>
      <c r="S121" s="1180"/>
      <c r="T121" s="1182"/>
    </row>
    <row r="122" spans="1:20" x14ac:dyDescent="0.35">
      <c r="A122" s="1177" t="s">
        <v>1224</v>
      </c>
      <c r="B122" s="1178" t="s">
        <v>1225</v>
      </c>
      <c r="C122" s="1179">
        <v>0</v>
      </c>
      <c r="D122" s="1179">
        <v>5</v>
      </c>
      <c r="E122" s="1179">
        <v>20</v>
      </c>
      <c r="F122" s="1179">
        <v>65</v>
      </c>
      <c r="G122" s="1179">
        <v>105</v>
      </c>
      <c r="H122" s="1179">
        <v>140</v>
      </c>
      <c r="I122" s="1179">
        <v>175</v>
      </c>
      <c r="J122" s="1179">
        <v>210</v>
      </c>
      <c r="K122" s="1179">
        <v>150</v>
      </c>
      <c r="L122" s="1179">
        <v>35</v>
      </c>
      <c r="M122" s="1179">
        <v>195</v>
      </c>
      <c r="N122" s="1179">
        <v>905</v>
      </c>
      <c r="O122" s="1210" t="s">
        <v>1205</v>
      </c>
      <c r="P122" s="1210"/>
      <c r="Q122" s="1210"/>
      <c r="R122" s="1210"/>
      <c r="S122" s="1210"/>
      <c r="T122" s="1211"/>
    </row>
    <row r="123" spans="1:20" x14ac:dyDescent="0.35">
      <c r="A123" s="1177" t="s">
        <v>1226</v>
      </c>
      <c r="B123" s="1178" t="s">
        <v>1227</v>
      </c>
      <c r="C123" s="1179">
        <v>0</v>
      </c>
      <c r="D123" s="1179">
        <v>10</v>
      </c>
      <c r="E123" s="1179">
        <v>150</v>
      </c>
      <c r="F123" s="1179">
        <v>300</v>
      </c>
      <c r="G123" s="1179">
        <v>590</v>
      </c>
      <c r="H123" s="1179">
        <v>460</v>
      </c>
      <c r="I123" s="1179">
        <v>295</v>
      </c>
      <c r="J123" s="1179">
        <v>195</v>
      </c>
      <c r="K123" s="1179">
        <v>0</v>
      </c>
      <c r="L123" s="1179">
        <v>0</v>
      </c>
      <c r="M123" s="1196">
        <v>1050</v>
      </c>
      <c r="N123" s="1196">
        <v>2000</v>
      </c>
      <c r="O123" s="1180" t="s">
        <v>1205</v>
      </c>
      <c r="P123" s="1180"/>
      <c r="Q123" s="1180"/>
      <c r="R123" s="1180"/>
      <c r="S123" s="1180"/>
      <c r="T123" s="1182"/>
    </row>
    <row r="124" spans="1:20" x14ac:dyDescent="0.35">
      <c r="A124" s="1177" t="s">
        <v>1228</v>
      </c>
      <c r="B124" s="1178" t="s">
        <v>1229</v>
      </c>
      <c r="C124" s="1179"/>
      <c r="D124" s="1179"/>
      <c r="E124" s="1179"/>
      <c r="F124" s="1179"/>
      <c r="G124" s="1179"/>
      <c r="H124" s="1179"/>
      <c r="I124" s="1179"/>
      <c r="J124" s="1179"/>
      <c r="K124" s="1179"/>
      <c r="L124" s="1179"/>
      <c r="M124" s="1179"/>
      <c r="N124" s="1179"/>
      <c r="O124" s="1180"/>
      <c r="P124" s="1180"/>
      <c r="Q124" s="1180"/>
      <c r="R124" s="1180"/>
      <c r="S124" s="1180"/>
      <c r="T124" s="1182"/>
    </row>
    <row r="125" spans="1:20" ht="24" customHeight="1" x14ac:dyDescent="0.35">
      <c r="A125" s="1194" t="s">
        <v>1230</v>
      </c>
      <c r="B125" s="1195" t="s">
        <v>1231</v>
      </c>
      <c r="C125" s="1198">
        <v>0</v>
      </c>
      <c r="D125" s="1198">
        <v>72</v>
      </c>
      <c r="E125" s="1198">
        <v>123</v>
      </c>
      <c r="F125" s="1198">
        <v>122</v>
      </c>
      <c r="G125" s="1198">
        <v>115</v>
      </c>
      <c r="H125" s="1198">
        <v>55</v>
      </c>
      <c r="I125" s="1198">
        <v>55</v>
      </c>
      <c r="J125" s="1198">
        <v>33</v>
      </c>
      <c r="K125" s="1198">
        <v>0</v>
      </c>
      <c r="L125" s="1198">
        <v>0</v>
      </c>
      <c r="M125" s="1198">
        <v>432</v>
      </c>
      <c r="N125" s="1198">
        <v>575</v>
      </c>
      <c r="O125" s="1179" t="s">
        <v>1205</v>
      </c>
      <c r="P125" s="1179"/>
      <c r="Q125" s="1179"/>
      <c r="R125" s="1179"/>
      <c r="S125" s="1179"/>
      <c r="T125" s="1182"/>
    </row>
    <row r="126" spans="1:20" x14ac:dyDescent="0.35">
      <c r="A126" s="1177" t="s">
        <v>1232</v>
      </c>
      <c r="B126" s="1178" t="s">
        <v>1233</v>
      </c>
      <c r="C126" s="1179">
        <v>0</v>
      </c>
      <c r="D126" s="1179">
        <v>1</v>
      </c>
      <c r="E126" s="1179">
        <v>2</v>
      </c>
      <c r="F126" s="1179">
        <v>2</v>
      </c>
      <c r="G126" s="1179">
        <v>2</v>
      </c>
      <c r="H126" s="1179">
        <v>2</v>
      </c>
      <c r="I126" s="1179">
        <v>2</v>
      </c>
      <c r="J126" s="1179">
        <v>2</v>
      </c>
      <c r="K126" s="1179">
        <v>2</v>
      </c>
      <c r="L126" s="1179">
        <v>1</v>
      </c>
      <c r="M126" s="1179">
        <v>7</v>
      </c>
      <c r="N126" s="1179">
        <v>16</v>
      </c>
      <c r="O126" s="1180" t="s">
        <v>1205</v>
      </c>
      <c r="P126" s="1180"/>
      <c r="Q126" s="1180"/>
      <c r="R126" s="1180"/>
      <c r="S126" s="1180"/>
      <c r="T126" s="1182"/>
    </row>
    <row r="127" spans="1:20" x14ac:dyDescent="0.35">
      <c r="A127" s="1177" t="s">
        <v>1234</v>
      </c>
      <c r="B127" s="1178" t="s">
        <v>1235</v>
      </c>
      <c r="C127" s="1179">
        <v>0</v>
      </c>
      <c r="D127" s="1179">
        <v>49</v>
      </c>
      <c r="E127" s="1179">
        <v>190</v>
      </c>
      <c r="F127" s="1179">
        <v>379</v>
      </c>
      <c r="G127" s="1179">
        <v>531</v>
      </c>
      <c r="H127" s="1179">
        <v>619</v>
      </c>
      <c r="I127" s="1179">
        <v>580</v>
      </c>
      <c r="J127" s="1179">
        <v>387</v>
      </c>
      <c r="K127" s="1179">
        <v>196</v>
      </c>
      <c r="L127" s="1179">
        <v>69</v>
      </c>
      <c r="M127" s="1196">
        <v>1149</v>
      </c>
      <c r="N127" s="1196">
        <v>3000</v>
      </c>
      <c r="O127" s="1180" t="s">
        <v>1205</v>
      </c>
      <c r="P127" s="1180"/>
      <c r="Q127" s="1180"/>
      <c r="R127" s="1180"/>
      <c r="S127" s="1180"/>
      <c r="T127" s="1182"/>
    </row>
    <row r="128" spans="1:20" x14ac:dyDescent="0.35">
      <c r="A128" s="1194" t="s">
        <v>1236</v>
      </c>
      <c r="B128" s="1195" t="s">
        <v>1237</v>
      </c>
      <c r="C128" s="1179">
        <v>0</v>
      </c>
      <c r="D128" s="1179">
        <v>22</v>
      </c>
      <c r="E128" s="1179">
        <v>22</v>
      </c>
      <c r="F128" s="1179">
        <v>6</v>
      </c>
      <c r="G128" s="1179">
        <v>0</v>
      </c>
      <c r="H128" s="1179">
        <v>0</v>
      </c>
      <c r="I128" s="1179">
        <v>0</v>
      </c>
      <c r="J128" s="1179">
        <v>0</v>
      </c>
      <c r="K128" s="1179">
        <v>0</v>
      </c>
      <c r="L128" s="1179">
        <v>0</v>
      </c>
      <c r="M128" s="1179">
        <v>50</v>
      </c>
      <c r="N128" s="1179">
        <v>50</v>
      </c>
      <c r="O128" s="1180" t="s">
        <v>1205</v>
      </c>
      <c r="P128" s="1180"/>
      <c r="Q128" s="1180"/>
      <c r="R128" s="1180"/>
      <c r="S128" s="1180"/>
      <c r="T128" s="1181"/>
    </row>
    <row r="129" spans="1:20" x14ac:dyDescent="0.35">
      <c r="A129" s="1177" t="s">
        <v>1238</v>
      </c>
      <c r="B129" s="1178" t="s">
        <v>1239</v>
      </c>
      <c r="C129" s="1179">
        <v>0</v>
      </c>
      <c r="D129" s="1179">
        <v>30</v>
      </c>
      <c r="E129" s="1179">
        <v>30</v>
      </c>
      <c r="F129" s="1179">
        <v>40</v>
      </c>
      <c r="G129" s="1179">
        <v>15</v>
      </c>
      <c r="H129" s="1179">
        <v>5</v>
      </c>
      <c r="I129" s="1179">
        <v>5</v>
      </c>
      <c r="J129" s="1179">
        <v>0</v>
      </c>
      <c r="K129" s="1179">
        <v>0</v>
      </c>
      <c r="L129" s="1179">
        <v>0</v>
      </c>
      <c r="M129" s="1179">
        <v>115</v>
      </c>
      <c r="N129" s="1179">
        <v>125</v>
      </c>
      <c r="O129" s="1180" t="s">
        <v>1205</v>
      </c>
      <c r="P129" s="1180"/>
      <c r="Q129" s="1180"/>
      <c r="R129" s="1180"/>
      <c r="S129" s="1180"/>
      <c r="T129" s="1182"/>
    </row>
    <row r="130" spans="1:20" x14ac:dyDescent="0.35">
      <c r="A130" s="1177" t="s">
        <v>1240</v>
      </c>
      <c r="B130" s="1178" t="s">
        <v>1241</v>
      </c>
      <c r="C130" s="1179">
        <v>0</v>
      </c>
      <c r="D130" s="1179">
        <v>10</v>
      </c>
      <c r="E130" s="1179">
        <v>230</v>
      </c>
      <c r="F130" s="1179">
        <v>660</v>
      </c>
      <c r="G130" s="1179">
        <v>945</v>
      </c>
      <c r="H130" s="1179">
        <v>605</v>
      </c>
      <c r="I130" s="1179">
        <v>100</v>
      </c>
      <c r="J130" s="1179">
        <v>0</v>
      </c>
      <c r="K130" s="1179">
        <v>0</v>
      </c>
      <c r="L130" s="1179">
        <v>0</v>
      </c>
      <c r="M130" s="1196">
        <v>1845</v>
      </c>
      <c r="N130" s="1196">
        <v>2550</v>
      </c>
      <c r="O130" s="1180" t="s">
        <v>1205</v>
      </c>
      <c r="P130" s="1180"/>
      <c r="Q130" s="1180"/>
      <c r="R130" s="1180"/>
      <c r="S130" s="1180"/>
      <c r="T130" s="1182"/>
    </row>
    <row r="131" spans="1:20" x14ac:dyDescent="0.35">
      <c r="A131" s="1177" t="s">
        <v>1242</v>
      </c>
      <c r="B131" s="1178" t="s">
        <v>1243</v>
      </c>
      <c r="C131" s="1179">
        <v>0</v>
      </c>
      <c r="D131" s="1179">
        <v>10</v>
      </c>
      <c r="E131" s="1179">
        <v>45</v>
      </c>
      <c r="F131" s="1179">
        <v>70</v>
      </c>
      <c r="G131" s="1179">
        <v>100</v>
      </c>
      <c r="H131" s="1179">
        <v>100</v>
      </c>
      <c r="I131" s="1179">
        <v>100</v>
      </c>
      <c r="J131" s="1179">
        <v>100</v>
      </c>
      <c r="K131" s="1179">
        <v>100</v>
      </c>
      <c r="L131" s="1179">
        <v>100</v>
      </c>
      <c r="M131" s="1179">
        <v>225</v>
      </c>
      <c r="N131" s="1179">
        <v>725</v>
      </c>
      <c r="O131" s="1180" t="s">
        <v>1205</v>
      </c>
      <c r="P131" s="1180"/>
      <c r="Q131" s="1180"/>
      <c r="R131" s="1180"/>
      <c r="S131" s="1180"/>
      <c r="T131" s="1182"/>
    </row>
    <row r="132" spans="1:20" x14ac:dyDescent="0.35">
      <c r="A132" s="1194" t="s">
        <v>1244</v>
      </c>
      <c r="B132" s="1195" t="s">
        <v>1245</v>
      </c>
      <c r="C132" s="1179">
        <v>0</v>
      </c>
      <c r="D132" s="1179">
        <v>14</v>
      </c>
      <c r="E132" s="1179">
        <v>11</v>
      </c>
      <c r="F132" s="1179">
        <v>0</v>
      </c>
      <c r="G132" s="1179">
        <v>0</v>
      </c>
      <c r="H132" s="1179">
        <v>0</v>
      </c>
      <c r="I132" s="1179">
        <v>0</v>
      </c>
      <c r="J132" s="1179">
        <v>0</v>
      </c>
      <c r="K132" s="1179">
        <v>0</v>
      </c>
      <c r="L132" s="1179">
        <v>0</v>
      </c>
      <c r="M132" s="1179">
        <v>25</v>
      </c>
      <c r="N132" s="1179">
        <v>25</v>
      </c>
      <c r="O132" s="1180" t="s">
        <v>1209</v>
      </c>
      <c r="P132" s="1180"/>
      <c r="Q132" s="1180"/>
      <c r="R132" s="1180"/>
      <c r="S132" s="1180"/>
      <c r="T132" s="1181"/>
    </row>
    <row r="133" spans="1:20" x14ac:dyDescent="0.35">
      <c r="A133" s="1194" t="s">
        <v>1246</v>
      </c>
      <c r="B133" s="1195" t="s">
        <v>1247</v>
      </c>
      <c r="C133" s="1179">
        <v>0</v>
      </c>
      <c r="D133" s="1179">
        <v>84</v>
      </c>
      <c r="E133" s="1179">
        <v>320</v>
      </c>
      <c r="F133" s="1179">
        <v>638</v>
      </c>
      <c r="G133" s="1179">
        <v>928</v>
      </c>
      <c r="H133" s="1179">
        <v>940</v>
      </c>
      <c r="I133" s="1179">
        <v>720</v>
      </c>
      <c r="J133" s="1179">
        <v>300</v>
      </c>
      <c r="K133" s="1179">
        <v>120</v>
      </c>
      <c r="L133" s="1179">
        <v>0</v>
      </c>
      <c r="M133" s="1196">
        <v>1970</v>
      </c>
      <c r="N133" s="1196">
        <v>4050</v>
      </c>
      <c r="O133" s="1180" t="s">
        <v>1209</v>
      </c>
      <c r="P133" s="1180"/>
      <c r="Q133" s="1180"/>
      <c r="R133" s="1180"/>
      <c r="S133" s="1180"/>
      <c r="T133" s="1182"/>
    </row>
    <row r="134" spans="1:20" x14ac:dyDescent="0.35">
      <c r="A134" s="1177" t="s">
        <v>1248</v>
      </c>
      <c r="B134" s="1178" t="s">
        <v>1249</v>
      </c>
      <c r="C134" s="1179">
        <v>0</v>
      </c>
      <c r="D134" s="1179">
        <v>40</v>
      </c>
      <c r="E134" s="1179">
        <v>200</v>
      </c>
      <c r="F134" s="1179">
        <v>400</v>
      </c>
      <c r="G134" s="1179">
        <v>660</v>
      </c>
      <c r="H134" s="1179">
        <v>640</v>
      </c>
      <c r="I134" s="1179">
        <v>515</v>
      </c>
      <c r="J134" s="1179">
        <v>240</v>
      </c>
      <c r="K134" s="1179">
        <v>105</v>
      </c>
      <c r="L134" s="1179">
        <v>0</v>
      </c>
      <c r="M134" s="1196">
        <v>1300</v>
      </c>
      <c r="N134" s="1196">
        <v>2800</v>
      </c>
      <c r="O134" s="1180" t="s">
        <v>1209</v>
      </c>
      <c r="P134" s="1180"/>
      <c r="Q134" s="1180"/>
      <c r="R134" s="1180"/>
      <c r="S134" s="1180"/>
      <c r="T134" s="1182"/>
    </row>
    <row r="135" spans="1:20" x14ac:dyDescent="0.35">
      <c r="A135" s="1177" t="s">
        <v>1250</v>
      </c>
      <c r="B135" s="1178" t="s">
        <v>1251</v>
      </c>
      <c r="C135" s="1212">
        <v>0</v>
      </c>
      <c r="D135" s="1212">
        <v>138</v>
      </c>
      <c r="E135" s="1212">
        <v>566</v>
      </c>
      <c r="F135" s="1212">
        <v>994</v>
      </c>
      <c r="G135" s="1213">
        <v>1328</v>
      </c>
      <c r="H135" s="1213">
        <v>1791</v>
      </c>
      <c r="I135" s="1213">
        <v>2350</v>
      </c>
      <c r="J135" s="1213">
        <v>2928</v>
      </c>
      <c r="K135" s="1213">
        <v>3548</v>
      </c>
      <c r="L135" s="1213">
        <v>4162</v>
      </c>
      <c r="M135" s="1213">
        <v>3026</v>
      </c>
      <c r="N135" s="1213">
        <v>17805</v>
      </c>
      <c r="O135" s="1214" t="s">
        <v>45</v>
      </c>
      <c r="P135" s="1214"/>
      <c r="Q135" s="1214"/>
      <c r="R135" s="1214"/>
      <c r="S135" s="1214"/>
      <c r="T135" s="1215"/>
    </row>
    <row r="136" spans="1:20" x14ac:dyDescent="0.35">
      <c r="A136" s="1177" t="s">
        <v>1252</v>
      </c>
      <c r="B136" s="1178" t="s">
        <v>1253</v>
      </c>
      <c r="C136" s="1212">
        <v>0</v>
      </c>
      <c r="D136" s="1212">
        <v>0</v>
      </c>
      <c r="E136" s="1212">
        <v>235</v>
      </c>
      <c r="F136" s="1212">
        <v>317</v>
      </c>
      <c r="G136" s="1212">
        <v>304</v>
      </c>
      <c r="H136" s="1212">
        <v>314</v>
      </c>
      <c r="I136" s="1212">
        <v>324</v>
      </c>
      <c r="J136" s="1212">
        <v>335</v>
      </c>
      <c r="K136" s="1212">
        <v>346</v>
      </c>
      <c r="L136" s="1212">
        <v>359</v>
      </c>
      <c r="M136" s="1212">
        <v>856</v>
      </c>
      <c r="N136" s="1213">
        <v>2534</v>
      </c>
      <c r="O136" s="1214" t="s">
        <v>45</v>
      </c>
      <c r="P136" s="1214"/>
      <c r="Q136" s="1214"/>
      <c r="R136" s="1214"/>
      <c r="S136" s="1214"/>
      <c r="T136" s="1182"/>
    </row>
    <row r="137" spans="1:20" ht="24" customHeight="1" x14ac:dyDescent="0.35">
      <c r="A137" s="1177" t="s">
        <v>1254</v>
      </c>
      <c r="B137" s="1178" t="s">
        <v>1255</v>
      </c>
      <c r="C137" s="1216"/>
      <c r="D137" s="1216">
        <v>333</v>
      </c>
      <c r="E137" s="1216">
        <v>314</v>
      </c>
      <c r="F137" s="1216">
        <v>314</v>
      </c>
      <c r="G137" s="1216">
        <v>-4530</v>
      </c>
      <c r="H137" s="1216">
        <v>-9118</v>
      </c>
      <c r="I137" s="1216">
        <v>-18184</v>
      </c>
      <c r="J137" s="1216">
        <v>-20493</v>
      </c>
      <c r="K137" s="1216">
        <v>-23289</v>
      </c>
      <c r="L137" s="1216">
        <v>-24298</v>
      </c>
      <c r="M137" s="1216">
        <v>-569</v>
      </c>
      <c r="N137" s="1216">
        <v>-95951</v>
      </c>
      <c r="O137" s="1217" t="s">
        <v>46</v>
      </c>
      <c r="P137" s="1217"/>
      <c r="Q137" s="1217"/>
      <c r="R137" s="1217"/>
      <c r="S137" s="1217"/>
      <c r="T137" s="1218"/>
    </row>
    <row r="138" spans="1:20" ht="36" customHeight="1" x14ac:dyDescent="0.35">
      <c r="A138" s="1177" t="s">
        <v>1250</v>
      </c>
      <c r="B138" s="1178" t="s">
        <v>1256</v>
      </c>
      <c r="C138" s="1219">
        <v>0</v>
      </c>
      <c r="D138" s="1219">
        <v>-2447</v>
      </c>
      <c r="E138" s="1219">
        <v>-3716</v>
      </c>
      <c r="F138" s="1219">
        <v>-19171</v>
      </c>
      <c r="G138" s="1219">
        <v>-7014</v>
      </c>
      <c r="H138" s="1219">
        <v>-7706</v>
      </c>
      <c r="I138" s="1219">
        <v>-8497</v>
      </c>
      <c r="J138" s="1219">
        <v>-9360</v>
      </c>
      <c r="K138" s="1219">
        <v>-10602</v>
      </c>
      <c r="L138" s="1219">
        <v>-11603</v>
      </c>
      <c r="M138" s="1219">
        <v>-32348</v>
      </c>
      <c r="N138" s="1219">
        <v>-80116</v>
      </c>
      <c r="O138" s="1217" t="s">
        <v>46</v>
      </c>
      <c r="P138" s="1217"/>
      <c r="Q138" s="1217"/>
      <c r="R138" s="1217"/>
      <c r="S138" s="1217"/>
      <c r="T138" s="1182"/>
    </row>
    <row r="139" spans="1:20" x14ac:dyDescent="0.35">
      <c r="A139" s="1177" t="s">
        <v>1257</v>
      </c>
      <c r="B139" s="1178" t="s">
        <v>1258</v>
      </c>
      <c r="C139" s="1216">
        <v>0</v>
      </c>
      <c r="D139" s="1216">
        <v>53</v>
      </c>
      <c r="E139" s="1216">
        <v>1991</v>
      </c>
      <c r="F139" s="1216">
        <v>3308</v>
      </c>
      <c r="G139" s="1216">
        <v>3545</v>
      </c>
      <c r="H139" s="1216">
        <v>4537</v>
      </c>
      <c r="I139" s="1216">
        <v>4476</v>
      </c>
      <c r="J139" s="1216">
        <v>3947</v>
      </c>
      <c r="K139" s="1216">
        <v>1781</v>
      </c>
      <c r="L139" s="1216">
        <v>1462</v>
      </c>
      <c r="M139" s="1216">
        <v>8897</v>
      </c>
      <c r="N139" s="1216">
        <v>25100</v>
      </c>
      <c r="O139" s="1217" t="s">
        <v>46</v>
      </c>
      <c r="P139" s="1217"/>
      <c r="Q139" s="1217"/>
      <c r="R139" s="1217"/>
      <c r="S139" s="1217"/>
      <c r="T139" s="1182"/>
    </row>
    <row r="140" spans="1:20" x14ac:dyDescent="0.35">
      <c r="A140" s="1177" t="s">
        <v>1259</v>
      </c>
      <c r="B140" s="1178" t="s">
        <v>1260</v>
      </c>
      <c r="C140" s="1220">
        <v>0</v>
      </c>
      <c r="D140" s="1220">
        <v>0</v>
      </c>
      <c r="E140" s="1220">
        <v>0</v>
      </c>
      <c r="F140" s="1220">
        <v>0</v>
      </c>
      <c r="G140" s="1220">
        <v>0</v>
      </c>
      <c r="H140" s="1221">
        <v>-16290</v>
      </c>
      <c r="I140" s="1221">
        <v>-25656</v>
      </c>
      <c r="J140" s="1221">
        <v>-23394</v>
      </c>
      <c r="K140" s="1221">
        <v>-27561</v>
      </c>
      <c r="L140" s="1221">
        <v>-29250</v>
      </c>
      <c r="M140" s="1220">
        <v>0</v>
      </c>
      <c r="N140" s="1221">
        <v>-122151</v>
      </c>
      <c r="O140" s="1217" t="s">
        <v>46</v>
      </c>
      <c r="P140" s="1217"/>
      <c r="Q140" s="1217"/>
      <c r="R140" s="1217"/>
      <c r="S140" s="1217"/>
      <c r="T140" s="1182"/>
    </row>
    <row r="141" spans="1:20" ht="36" customHeight="1" x14ac:dyDescent="0.35">
      <c r="A141" s="1177" t="s">
        <v>1261</v>
      </c>
      <c r="B141" s="1178" t="s">
        <v>1262</v>
      </c>
      <c r="C141" s="1216">
        <v>0</v>
      </c>
      <c r="D141" s="1216">
        <v>-70</v>
      </c>
      <c r="E141" s="1216">
        <v>300</v>
      </c>
      <c r="F141" s="1216">
        <v>862</v>
      </c>
      <c r="G141" s="1216">
        <v>577</v>
      </c>
      <c r="H141" s="1216">
        <v>464</v>
      </c>
      <c r="I141" s="1216">
        <v>549</v>
      </c>
      <c r="J141" s="1216">
        <v>501</v>
      </c>
      <c r="K141" s="1216">
        <v>591</v>
      </c>
      <c r="L141" s="1216">
        <v>630</v>
      </c>
      <c r="M141" s="1216">
        <v>1669</v>
      </c>
      <c r="N141" s="1216">
        <v>4404</v>
      </c>
      <c r="O141" s="1217" t="s">
        <v>46</v>
      </c>
      <c r="P141" s="1217"/>
      <c r="Q141" s="1217"/>
      <c r="R141" s="1217"/>
      <c r="S141" s="1217"/>
      <c r="T141" s="1182"/>
    </row>
    <row r="142" spans="1:20" x14ac:dyDescent="0.35">
      <c r="A142" s="1177" t="s">
        <v>1263</v>
      </c>
      <c r="B142" s="1178" t="s">
        <v>1264</v>
      </c>
      <c r="C142" s="1220">
        <v>0</v>
      </c>
      <c r="D142" s="1220">
        <v>0</v>
      </c>
      <c r="E142" s="1220">
        <v>195</v>
      </c>
      <c r="F142" s="1220">
        <v>230</v>
      </c>
      <c r="G142" s="1220">
        <v>248</v>
      </c>
      <c r="H142" s="1220">
        <v>266</v>
      </c>
      <c r="I142" s="1220">
        <v>311</v>
      </c>
      <c r="J142" s="1220">
        <v>281</v>
      </c>
      <c r="K142" s="1220">
        <v>327</v>
      </c>
      <c r="L142" s="1220">
        <v>347</v>
      </c>
      <c r="M142" s="1220">
        <v>673</v>
      </c>
      <c r="N142" s="1221">
        <v>2205</v>
      </c>
      <c r="O142" s="1217" t="s">
        <v>46</v>
      </c>
      <c r="P142" s="1217"/>
      <c r="Q142" s="1217"/>
      <c r="R142" s="1217"/>
      <c r="S142" s="1217"/>
      <c r="T142" s="1182"/>
    </row>
    <row r="143" spans="1:20" x14ac:dyDescent="0.35">
      <c r="A143" s="1194" t="s">
        <v>1265</v>
      </c>
      <c r="B143" s="1195" t="s">
        <v>1266</v>
      </c>
      <c r="C143" s="1222">
        <v>0</v>
      </c>
      <c r="D143" s="1222">
        <v>70</v>
      </c>
      <c r="E143" s="1222">
        <v>132</v>
      </c>
      <c r="F143" s="1222">
        <v>51</v>
      </c>
      <c r="G143" s="1222">
        <v>20</v>
      </c>
      <c r="H143" s="1222">
        <v>8</v>
      </c>
      <c r="I143" s="1222">
        <v>0</v>
      </c>
      <c r="J143" s="1222">
        <v>0</v>
      </c>
      <c r="K143" s="1222">
        <v>0</v>
      </c>
      <c r="L143" s="1222">
        <v>0</v>
      </c>
      <c r="M143" s="1222">
        <v>273</v>
      </c>
      <c r="N143" s="1222">
        <v>281</v>
      </c>
      <c r="O143" s="1223" t="s">
        <v>1267</v>
      </c>
      <c r="P143" s="1223"/>
      <c r="Q143" s="1223"/>
      <c r="R143" s="1223"/>
      <c r="S143" s="1223"/>
      <c r="T143" s="1182" t="s">
        <v>1268</v>
      </c>
    </row>
    <row r="144" spans="1:20" x14ac:dyDescent="0.35">
      <c r="A144" s="1194" t="s">
        <v>1269</v>
      </c>
      <c r="B144" s="1195" t="s">
        <v>1270</v>
      </c>
      <c r="C144" s="1222">
        <v>0</v>
      </c>
      <c r="D144" s="1222">
        <v>465</v>
      </c>
      <c r="E144" s="1224">
        <v>2420</v>
      </c>
      <c r="F144" s="1224">
        <v>4755</v>
      </c>
      <c r="G144" s="1224">
        <v>5980</v>
      </c>
      <c r="H144" s="1224">
        <v>4694</v>
      </c>
      <c r="I144" s="1224">
        <v>1573</v>
      </c>
      <c r="J144" s="1222">
        <v>93</v>
      </c>
      <c r="K144" s="1222">
        <v>0</v>
      </c>
      <c r="L144" s="1222">
        <v>0</v>
      </c>
      <c r="M144" s="1224">
        <v>13620</v>
      </c>
      <c r="N144" s="1224">
        <v>19980</v>
      </c>
      <c r="O144" s="1223" t="s">
        <v>1267</v>
      </c>
      <c r="P144" s="1223"/>
      <c r="Q144" s="1223"/>
      <c r="R144" s="1223"/>
      <c r="S144" s="1223"/>
      <c r="T144" s="1182" t="s">
        <v>1271</v>
      </c>
    </row>
    <row r="145" spans="1:20" x14ac:dyDescent="0.35">
      <c r="A145" s="1177" t="s">
        <v>1272</v>
      </c>
      <c r="B145" s="1178" t="s">
        <v>1273</v>
      </c>
      <c r="C145" s="1222">
        <v>0</v>
      </c>
      <c r="D145" s="1222">
        <v>20</v>
      </c>
      <c r="E145" s="1222">
        <v>65</v>
      </c>
      <c r="F145" s="1222">
        <v>110</v>
      </c>
      <c r="G145" s="1222">
        <v>135</v>
      </c>
      <c r="H145" s="1222">
        <v>180</v>
      </c>
      <c r="I145" s="1222">
        <v>230</v>
      </c>
      <c r="J145" s="1222">
        <v>180</v>
      </c>
      <c r="K145" s="1222">
        <v>60</v>
      </c>
      <c r="L145" s="1222">
        <v>10</v>
      </c>
      <c r="M145" s="1222">
        <v>330</v>
      </c>
      <c r="N145" s="1222">
        <v>990</v>
      </c>
      <c r="O145" s="1223" t="s">
        <v>1267</v>
      </c>
      <c r="P145" s="1223"/>
      <c r="Q145" s="1223"/>
      <c r="R145" s="1223"/>
      <c r="S145" s="1223"/>
      <c r="T145" s="1205" t="s">
        <v>1274</v>
      </c>
    </row>
    <row r="146" spans="1:20" x14ac:dyDescent="0.35">
      <c r="A146" s="1177" t="s">
        <v>1275</v>
      </c>
      <c r="B146" s="1178" t="s">
        <v>1276</v>
      </c>
      <c r="C146" s="1222">
        <v>0</v>
      </c>
      <c r="D146" s="1224">
        <v>20892</v>
      </c>
      <c r="E146" s="1224">
        <v>11288</v>
      </c>
      <c r="F146" s="1224">
        <v>9651</v>
      </c>
      <c r="G146" s="1224">
        <v>-8548</v>
      </c>
      <c r="H146" s="1222">
        <v>-463</v>
      </c>
      <c r="I146" s="1222">
        <v>0</v>
      </c>
      <c r="J146" s="1222">
        <v>0</v>
      </c>
      <c r="K146" s="1222">
        <v>0</v>
      </c>
      <c r="L146" s="1222">
        <v>0</v>
      </c>
      <c r="M146" s="1224">
        <v>33283</v>
      </c>
      <c r="N146" s="1224">
        <v>32820</v>
      </c>
      <c r="O146" s="1225" t="s">
        <v>1267</v>
      </c>
      <c r="P146" s="1225"/>
      <c r="Q146" s="1225"/>
      <c r="R146" s="1225"/>
      <c r="S146" s="1225"/>
      <c r="T146" s="1182"/>
    </row>
    <row r="147" spans="1:20" x14ac:dyDescent="0.35">
      <c r="A147" s="1177" t="s">
        <v>1277</v>
      </c>
      <c r="B147" s="1178" t="s">
        <v>1278</v>
      </c>
      <c r="C147" s="1222">
        <v>0</v>
      </c>
      <c r="D147" s="1222">
        <v>24</v>
      </c>
      <c r="E147" s="1222">
        <v>65</v>
      </c>
      <c r="F147" s="1222">
        <v>112</v>
      </c>
      <c r="G147" s="1222">
        <v>130</v>
      </c>
      <c r="H147" s="1222">
        <v>98</v>
      </c>
      <c r="I147" s="1222">
        <v>56</v>
      </c>
      <c r="J147" s="1222">
        <v>15</v>
      </c>
      <c r="K147" s="1222">
        <v>0</v>
      </c>
      <c r="L147" s="1222">
        <v>0</v>
      </c>
      <c r="M147" s="1222">
        <v>331</v>
      </c>
      <c r="N147" s="1222">
        <v>500</v>
      </c>
      <c r="O147" s="1225" t="s">
        <v>1267</v>
      </c>
      <c r="P147" s="1225"/>
      <c r="Q147" s="1225"/>
      <c r="R147" s="1225"/>
      <c r="S147" s="1225"/>
      <c r="T147" s="1182"/>
    </row>
    <row r="148" spans="1:20" x14ac:dyDescent="0.35">
      <c r="A148" s="1226" t="s">
        <v>1279</v>
      </c>
      <c r="B148" s="1227" t="s">
        <v>1280</v>
      </c>
      <c r="C148" s="1222">
        <v>0</v>
      </c>
      <c r="D148" s="1222">
        <v>50</v>
      </c>
      <c r="E148" s="1222">
        <v>500</v>
      </c>
      <c r="F148" s="1222">
        <v>920</v>
      </c>
      <c r="G148" s="1224">
        <v>1310</v>
      </c>
      <c r="H148" s="1224">
        <v>1680</v>
      </c>
      <c r="I148" s="1224">
        <v>1780</v>
      </c>
      <c r="J148" s="1224">
        <v>1640</v>
      </c>
      <c r="K148" s="1224">
        <v>1090</v>
      </c>
      <c r="L148" s="1222">
        <v>630</v>
      </c>
      <c r="M148" s="1224">
        <v>2780</v>
      </c>
      <c r="N148" s="1224">
        <v>9600</v>
      </c>
      <c r="O148" s="1225" t="s">
        <v>1267</v>
      </c>
      <c r="P148" s="1225"/>
      <c r="Q148" s="1225"/>
      <c r="R148" s="1225"/>
      <c r="S148" s="1225"/>
      <c r="T148" s="1228"/>
    </row>
    <row r="149" spans="1:20" x14ac:dyDescent="0.35">
      <c r="A149" s="1177" t="s">
        <v>1281</v>
      </c>
      <c r="B149" s="1178" t="s">
        <v>1282</v>
      </c>
      <c r="C149" s="1222">
        <v>0</v>
      </c>
      <c r="D149" s="1222">
        <v>30</v>
      </c>
      <c r="E149" s="1222">
        <v>90</v>
      </c>
      <c r="F149" s="1222">
        <v>90</v>
      </c>
      <c r="G149" s="1222">
        <v>85</v>
      </c>
      <c r="H149" s="1222">
        <v>70</v>
      </c>
      <c r="I149" s="1222">
        <v>65</v>
      </c>
      <c r="J149" s="1222">
        <v>65</v>
      </c>
      <c r="K149" s="1222">
        <v>35</v>
      </c>
      <c r="L149" s="1222">
        <v>15</v>
      </c>
      <c r="M149" s="1222">
        <v>295</v>
      </c>
      <c r="N149" s="1222">
        <v>545</v>
      </c>
      <c r="O149" s="1225" t="s">
        <v>1267</v>
      </c>
      <c r="P149" s="1225"/>
      <c r="Q149" s="1225"/>
      <c r="R149" s="1225"/>
      <c r="S149" s="1225"/>
      <c r="T149" s="1182"/>
    </row>
    <row r="150" spans="1:20" x14ac:dyDescent="0.35">
      <c r="A150" s="1177" t="s">
        <v>1283</v>
      </c>
      <c r="B150" s="1178" t="s">
        <v>1284</v>
      </c>
      <c r="C150" s="1222">
        <v>0</v>
      </c>
      <c r="D150" s="1222">
        <v>185</v>
      </c>
      <c r="E150" s="1222">
        <v>394</v>
      </c>
      <c r="F150" s="1222">
        <v>639</v>
      </c>
      <c r="G150" s="1222">
        <v>722</v>
      </c>
      <c r="H150" s="1222">
        <v>595</v>
      </c>
      <c r="I150" s="1222">
        <v>346</v>
      </c>
      <c r="J150" s="1222">
        <v>101</v>
      </c>
      <c r="K150" s="1222">
        <v>18</v>
      </c>
      <c r="L150" s="1222">
        <v>0</v>
      </c>
      <c r="M150" s="1224">
        <v>1940</v>
      </c>
      <c r="N150" s="1224">
        <v>3000</v>
      </c>
      <c r="O150" s="1223" t="s">
        <v>1267</v>
      </c>
      <c r="P150" s="1223"/>
      <c r="Q150" s="1223"/>
      <c r="R150" s="1223"/>
      <c r="S150" s="1223"/>
      <c r="T150" s="1182"/>
    </row>
    <row r="151" spans="1:20" x14ac:dyDescent="0.35">
      <c r="A151" s="1177" t="s">
        <v>1285</v>
      </c>
      <c r="B151" s="1178" t="s">
        <v>1286</v>
      </c>
      <c r="C151" s="1222">
        <v>0</v>
      </c>
      <c r="D151" s="1222">
        <v>8</v>
      </c>
      <c r="E151" s="1222">
        <v>26</v>
      </c>
      <c r="F151" s="1222">
        <v>41</v>
      </c>
      <c r="G151" s="1222">
        <v>38</v>
      </c>
      <c r="H151" s="1222">
        <v>22</v>
      </c>
      <c r="I151" s="1222">
        <v>11</v>
      </c>
      <c r="J151" s="1222">
        <v>4</v>
      </c>
      <c r="K151" s="1222">
        <v>0</v>
      </c>
      <c r="L151" s="1222">
        <v>0</v>
      </c>
      <c r="M151" s="1222">
        <v>113</v>
      </c>
      <c r="N151" s="1222">
        <v>150</v>
      </c>
      <c r="O151" s="1223" t="s">
        <v>1267</v>
      </c>
      <c r="P151" s="1223"/>
      <c r="Q151" s="1223"/>
      <c r="R151" s="1223"/>
      <c r="S151" s="1223"/>
      <c r="T151" s="1182"/>
    </row>
    <row r="152" spans="1:20" ht="24" customHeight="1" x14ac:dyDescent="0.35">
      <c r="A152" s="1194" t="s">
        <v>1287</v>
      </c>
      <c r="B152" s="1195" t="s">
        <v>1288</v>
      </c>
      <c r="C152" s="1229">
        <v>0</v>
      </c>
      <c r="D152" s="1230">
        <v>77</v>
      </c>
      <c r="E152" s="1230">
        <v>232</v>
      </c>
      <c r="F152" s="1230">
        <v>341</v>
      </c>
      <c r="G152" s="1230">
        <v>496</v>
      </c>
      <c r="H152" s="1230">
        <v>310</v>
      </c>
      <c r="I152" s="1230">
        <v>47</v>
      </c>
      <c r="J152" s="1230">
        <v>31</v>
      </c>
      <c r="K152" s="1230">
        <v>15</v>
      </c>
      <c r="L152" s="1230">
        <v>1</v>
      </c>
      <c r="M152" s="1231">
        <v>1146</v>
      </c>
      <c r="N152" s="1231">
        <v>1550</v>
      </c>
      <c r="O152" s="1232" t="s">
        <v>1289</v>
      </c>
      <c r="P152" s="1239"/>
      <c r="Q152" s="1239"/>
      <c r="R152" s="1239"/>
      <c r="S152" s="1239"/>
      <c r="T152" s="1182" t="s">
        <v>1290</v>
      </c>
    </row>
    <row r="153" spans="1:20" ht="30" customHeight="1" x14ac:dyDescent="0.35">
      <c r="A153" s="1177" t="s">
        <v>1291</v>
      </c>
      <c r="B153" s="1178" t="s">
        <v>1292</v>
      </c>
      <c r="C153" s="1233">
        <v>0</v>
      </c>
      <c r="D153" s="1233">
        <v>264</v>
      </c>
      <c r="E153" s="1233">
        <v>715</v>
      </c>
      <c r="F153" s="1233">
        <v>1393</v>
      </c>
      <c r="G153" s="1233">
        <v>2492</v>
      </c>
      <c r="H153" s="1233">
        <v>3364</v>
      </c>
      <c r="I153" s="1233">
        <v>3209</v>
      </c>
      <c r="J153" s="1233">
        <v>2750</v>
      </c>
      <c r="K153" s="1233">
        <v>1783</v>
      </c>
      <c r="L153" s="1233">
        <v>744</v>
      </c>
      <c r="M153" s="1234">
        <v>4864</v>
      </c>
      <c r="N153" s="1234">
        <v>16714</v>
      </c>
      <c r="O153" s="1240" t="s">
        <v>43</v>
      </c>
      <c r="P153" s="1240"/>
      <c r="Q153" s="1240"/>
      <c r="R153" s="1240"/>
      <c r="S153" s="1240"/>
      <c r="T153" s="1241" t="s">
        <v>1293</v>
      </c>
    </row>
    <row r="154" spans="1:20" x14ac:dyDescent="0.35">
      <c r="A154" s="1177" t="s">
        <v>1294</v>
      </c>
      <c r="B154" s="1178" t="s">
        <v>1295</v>
      </c>
      <c r="C154" s="1242">
        <v>0</v>
      </c>
      <c r="D154" s="1242">
        <v>0</v>
      </c>
      <c r="E154" s="1242">
        <v>50</v>
      </c>
      <c r="F154" s="1242">
        <v>270</v>
      </c>
      <c r="G154" s="1242">
        <v>680</v>
      </c>
      <c r="H154" s="1242">
        <v>850</v>
      </c>
      <c r="I154" s="1242">
        <v>730</v>
      </c>
      <c r="J154" s="1242">
        <v>485</v>
      </c>
      <c r="K154" s="1242">
        <v>285</v>
      </c>
      <c r="L154" s="1242">
        <v>145</v>
      </c>
      <c r="M154" s="1243">
        <v>1000</v>
      </c>
      <c r="N154" s="1243">
        <v>3495</v>
      </c>
      <c r="O154" s="1244" t="s">
        <v>43</v>
      </c>
      <c r="P154" s="1244"/>
      <c r="Q154" s="1244"/>
      <c r="R154" s="1244"/>
      <c r="S154" s="1244"/>
      <c r="T154" s="1245" t="s">
        <v>1296</v>
      </c>
    </row>
    <row r="155" spans="1:20" x14ac:dyDescent="0.35">
      <c r="A155" s="1177" t="s">
        <v>1297</v>
      </c>
      <c r="B155" s="1178" t="s">
        <v>1298</v>
      </c>
      <c r="C155" s="1242">
        <v>0</v>
      </c>
      <c r="D155" s="1242">
        <v>5</v>
      </c>
      <c r="E155" s="1242">
        <v>5</v>
      </c>
      <c r="F155" s="1242">
        <v>10</v>
      </c>
      <c r="G155" s="1242">
        <v>25</v>
      </c>
      <c r="H155" s="1242">
        <v>70</v>
      </c>
      <c r="I155" s="1242">
        <v>175</v>
      </c>
      <c r="J155" s="1242">
        <v>385</v>
      </c>
      <c r="K155" s="1242">
        <v>460</v>
      </c>
      <c r="L155" s="1242">
        <v>325</v>
      </c>
      <c r="M155" s="1242">
        <v>45</v>
      </c>
      <c r="N155" s="1243">
        <v>1460</v>
      </c>
      <c r="O155" s="1246" t="s">
        <v>43</v>
      </c>
      <c r="P155" s="1246"/>
      <c r="Q155" s="1246"/>
      <c r="R155" s="1246"/>
      <c r="S155" s="1246"/>
      <c r="T155" s="1245" t="s">
        <v>1299</v>
      </c>
    </row>
    <row r="156" spans="1:20" x14ac:dyDescent="0.35">
      <c r="A156" s="1194" t="s">
        <v>1300</v>
      </c>
      <c r="B156" s="1195" t="s">
        <v>1301</v>
      </c>
      <c r="C156" s="1242">
        <v>0</v>
      </c>
      <c r="D156" s="1242">
        <v>6</v>
      </c>
      <c r="E156" s="1242">
        <v>8</v>
      </c>
      <c r="F156" s="1242">
        <v>1</v>
      </c>
      <c r="G156" s="1242">
        <v>0</v>
      </c>
      <c r="H156" s="1242">
        <v>0</v>
      </c>
      <c r="I156" s="1242">
        <v>0</v>
      </c>
      <c r="J156" s="1242">
        <v>0</v>
      </c>
      <c r="K156" s="1242">
        <v>0</v>
      </c>
      <c r="L156" s="1242">
        <v>0</v>
      </c>
      <c r="M156" s="1242">
        <v>15</v>
      </c>
      <c r="N156" s="1242">
        <v>15</v>
      </c>
      <c r="O156" s="1246" t="s">
        <v>43</v>
      </c>
      <c r="P156" s="1246"/>
      <c r="Q156" s="1246"/>
      <c r="R156" s="1246"/>
      <c r="S156" s="1246"/>
      <c r="T156" s="1245" t="s">
        <v>1302</v>
      </c>
    </row>
    <row r="157" spans="1:20" ht="24" customHeight="1" x14ac:dyDescent="0.35">
      <c r="A157" s="1177" t="s">
        <v>1303</v>
      </c>
      <c r="B157" s="1178" t="s">
        <v>1304</v>
      </c>
      <c r="C157" s="1242">
        <v>0</v>
      </c>
      <c r="D157" s="1242">
        <v>5</v>
      </c>
      <c r="E157" s="1242">
        <v>41</v>
      </c>
      <c r="F157" s="1242">
        <v>116</v>
      </c>
      <c r="G157" s="1242">
        <v>284</v>
      </c>
      <c r="H157" s="1242">
        <v>417</v>
      </c>
      <c r="I157" s="1242">
        <v>459</v>
      </c>
      <c r="J157" s="1242">
        <v>355</v>
      </c>
      <c r="K157" s="1242">
        <v>210</v>
      </c>
      <c r="L157" s="1242">
        <v>90</v>
      </c>
      <c r="M157" s="1242">
        <v>446</v>
      </c>
      <c r="N157" s="1243">
        <v>1977</v>
      </c>
      <c r="O157" s="1247" t="s">
        <v>43</v>
      </c>
      <c r="P157" s="1247"/>
      <c r="Q157" s="1247"/>
      <c r="R157" s="1247"/>
      <c r="S157" s="1247"/>
      <c r="T157" s="1248" t="s">
        <v>1305</v>
      </c>
    </row>
    <row r="158" spans="1:20" ht="24" customHeight="1" x14ac:dyDescent="0.35">
      <c r="A158" s="1177" t="s">
        <v>1306</v>
      </c>
      <c r="B158" s="1178" t="s">
        <v>1307</v>
      </c>
      <c r="C158" s="1242">
        <v>0</v>
      </c>
      <c r="D158" s="1242">
        <v>20</v>
      </c>
      <c r="E158" s="1242">
        <v>100</v>
      </c>
      <c r="F158" s="1242">
        <v>460</v>
      </c>
      <c r="G158" s="1243">
        <v>1070</v>
      </c>
      <c r="H158" s="1243">
        <v>1430</v>
      </c>
      <c r="I158" s="1243">
        <v>1110</v>
      </c>
      <c r="J158" s="1242">
        <v>660</v>
      </c>
      <c r="K158" s="1242">
        <v>300</v>
      </c>
      <c r="L158" s="1242">
        <v>100</v>
      </c>
      <c r="M158" s="1243">
        <v>1650</v>
      </c>
      <c r="N158" s="1243">
        <v>5250</v>
      </c>
      <c r="O158" s="1246" t="s">
        <v>43</v>
      </c>
      <c r="P158" s="1246"/>
      <c r="Q158" s="1246"/>
      <c r="R158" s="1246"/>
      <c r="S158" s="1246"/>
      <c r="T158" s="1245" t="s">
        <v>1308</v>
      </c>
    </row>
    <row r="159" spans="1:20" x14ac:dyDescent="0.35">
      <c r="A159" s="1177" t="s">
        <v>1309</v>
      </c>
      <c r="B159" s="1178" t="s">
        <v>1310</v>
      </c>
      <c r="C159" s="1260">
        <v>0</v>
      </c>
      <c r="D159" s="1260">
        <v>56</v>
      </c>
      <c r="E159" s="1260">
        <v>141</v>
      </c>
      <c r="F159" s="1260">
        <v>230</v>
      </c>
      <c r="G159" s="1260">
        <v>343</v>
      </c>
      <c r="H159" s="1260">
        <v>470</v>
      </c>
      <c r="I159" s="1260">
        <v>620</v>
      </c>
      <c r="J159" s="1260">
        <v>802</v>
      </c>
      <c r="K159" s="1260">
        <v>1024</v>
      </c>
      <c r="L159" s="1260">
        <v>1330</v>
      </c>
      <c r="M159" s="1260">
        <v>769</v>
      </c>
      <c r="N159" s="1260">
        <v>5015</v>
      </c>
      <c r="O159" s="1244" t="s">
        <v>43</v>
      </c>
      <c r="P159" s="1244"/>
      <c r="Q159" s="1244"/>
      <c r="R159" s="1244"/>
      <c r="S159" s="1244"/>
      <c r="T159" s="1182"/>
    </row>
    <row r="160" spans="1:20" x14ac:dyDescent="0.35">
      <c r="A160" s="1177" t="s">
        <v>1311</v>
      </c>
      <c r="B160" s="1178" t="s">
        <v>1312</v>
      </c>
      <c r="C160" s="1242"/>
      <c r="D160" s="1242"/>
      <c r="E160" s="1242"/>
      <c r="F160" s="1242"/>
      <c r="G160" s="1242"/>
      <c r="H160" s="1242"/>
      <c r="I160" s="1242"/>
      <c r="J160" s="1242"/>
      <c r="K160" s="1242"/>
      <c r="L160" s="1242"/>
      <c r="M160" s="1242"/>
      <c r="N160" s="1243"/>
      <c r="O160" s="1247"/>
      <c r="P160" s="1247"/>
      <c r="Q160" s="1247"/>
      <c r="R160" s="1247"/>
      <c r="S160" s="1247"/>
      <c r="T160" s="1182"/>
    </row>
    <row r="161" spans="1:21" x14ac:dyDescent="0.35">
      <c r="A161" s="1177" t="s">
        <v>1313</v>
      </c>
      <c r="B161" s="1178" t="s">
        <v>1314</v>
      </c>
      <c r="C161" s="1242"/>
      <c r="D161" s="1242"/>
      <c r="E161" s="1242"/>
      <c r="F161" s="1242"/>
      <c r="G161" s="1242"/>
      <c r="H161" s="1242"/>
      <c r="I161" s="1242"/>
      <c r="J161" s="1242"/>
      <c r="K161" s="1242"/>
      <c r="L161" s="1242"/>
      <c r="M161" s="1242"/>
      <c r="N161" s="1243"/>
      <c r="O161" s="1261"/>
      <c r="P161" s="1261"/>
      <c r="Q161" s="1261"/>
      <c r="R161" s="1261"/>
      <c r="S161" s="1261"/>
      <c r="T161" s="1262"/>
    </row>
    <row r="162" spans="1:21" x14ac:dyDescent="0.35">
      <c r="A162" s="1177" t="s">
        <v>1315</v>
      </c>
      <c r="B162" s="1178" t="s">
        <v>1316</v>
      </c>
      <c r="C162" s="1242">
        <v>0</v>
      </c>
      <c r="D162" s="1242">
        <v>20</v>
      </c>
      <c r="E162" s="1242">
        <v>70</v>
      </c>
      <c r="F162" s="1242">
        <v>130</v>
      </c>
      <c r="G162" s="1242">
        <v>155</v>
      </c>
      <c r="H162" s="1242">
        <v>155</v>
      </c>
      <c r="I162" s="1242">
        <v>155</v>
      </c>
      <c r="J162" s="1242">
        <v>135</v>
      </c>
      <c r="K162" s="1242">
        <v>80</v>
      </c>
      <c r="L162" s="1242">
        <v>20</v>
      </c>
      <c r="M162" s="1242">
        <v>375</v>
      </c>
      <c r="N162" s="1242">
        <v>920</v>
      </c>
      <c r="O162" s="1246" t="s">
        <v>43</v>
      </c>
      <c r="P162" s="1246"/>
      <c r="Q162" s="1246"/>
      <c r="R162" s="1246"/>
      <c r="S162" s="1246"/>
      <c r="T162" s="1182"/>
    </row>
    <row r="163" spans="1:21" x14ac:dyDescent="0.35">
      <c r="A163" s="1194" t="s">
        <v>1317</v>
      </c>
      <c r="B163" s="1195" t="s">
        <v>1318</v>
      </c>
      <c r="C163" s="1242">
        <v>0</v>
      </c>
      <c r="D163" s="1242">
        <v>15</v>
      </c>
      <c r="E163" s="1242">
        <v>12</v>
      </c>
      <c r="F163" s="1242">
        <v>8</v>
      </c>
      <c r="G163" s="1242">
        <v>4</v>
      </c>
      <c r="H163" s="1242">
        <v>0</v>
      </c>
      <c r="I163" s="1242">
        <v>0</v>
      </c>
      <c r="J163" s="1242">
        <v>0</v>
      </c>
      <c r="K163" s="1242">
        <v>0</v>
      </c>
      <c r="L163" s="1242">
        <v>0</v>
      </c>
      <c r="M163" s="1242">
        <v>39</v>
      </c>
      <c r="N163" s="1242">
        <v>39</v>
      </c>
      <c r="O163" s="1246" t="s">
        <v>43</v>
      </c>
      <c r="P163" s="1246"/>
      <c r="Q163" s="1246"/>
      <c r="R163" s="1246"/>
      <c r="S163" s="1246"/>
      <c r="T163" s="1182"/>
    </row>
    <row r="164" spans="1:21" x14ac:dyDescent="0.35">
      <c r="A164" s="1177" t="s">
        <v>1319</v>
      </c>
      <c r="B164" s="1178" t="s">
        <v>1320</v>
      </c>
      <c r="C164" s="1263">
        <v>0</v>
      </c>
      <c r="D164" s="1263">
        <v>25</v>
      </c>
      <c r="E164" s="1263">
        <v>100</v>
      </c>
      <c r="F164" s="1263">
        <v>125</v>
      </c>
      <c r="G164" s="1263">
        <v>100</v>
      </c>
      <c r="H164" s="1263">
        <v>75</v>
      </c>
      <c r="I164" s="1263">
        <v>30</v>
      </c>
      <c r="J164" s="1263">
        <v>20</v>
      </c>
      <c r="K164" s="1263">
        <v>0</v>
      </c>
      <c r="L164" s="1263">
        <v>0</v>
      </c>
      <c r="M164" s="1263">
        <v>350</v>
      </c>
      <c r="N164" s="1263">
        <v>475</v>
      </c>
      <c r="O164" s="1264" t="s">
        <v>43</v>
      </c>
      <c r="P164" s="1264"/>
      <c r="Q164" s="1264"/>
      <c r="R164" s="1264"/>
      <c r="S164" s="1264"/>
      <c r="T164" s="1182"/>
    </row>
    <row r="165" spans="1:21" x14ac:dyDescent="0.35">
      <c r="A165" s="62"/>
      <c r="B165" s="1146"/>
      <c r="C165" s="45"/>
      <c r="D165" s="45"/>
      <c r="E165" s="45"/>
      <c r="F165" s="45"/>
      <c r="G165" s="45"/>
      <c r="H165" s="45"/>
      <c r="I165" s="45"/>
      <c r="J165" s="45"/>
      <c r="K165" s="45"/>
      <c r="L165" s="45"/>
      <c r="M165" s="45"/>
      <c r="N165" s="45"/>
      <c r="O165" s="62"/>
      <c r="P165" s="62"/>
      <c r="Q165" s="62"/>
      <c r="R165" s="62"/>
      <c r="S165" s="62"/>
      <c r="T165" s="1146"/>
    </row>
    <row r="167" spans="1:21" x14ac:dyDescent="0.35">
      <c r="A167" s="63" t="s">
        <v>1328</v>
      </c>
    </row>
    <row r="168" spans="1:21" x14ac:dyDescent="0.35">
      <c r="A168" s="1265"/>
      <c r="B168" s="1265"/>
      <c r="C168" s="1249"/>
      <c r="D168" s="1249">
        <v>2022</v>
      </c>
      <c r="E168" s="1249">
        <v>2023</v>
      </c>
      <c r="F168" s="1249">
        <v>2024</v>
      </c>
      <c r="G168" s="1249">
        <v>2025</v>
      </c>
      <c r="H168" s="1249">
        <v>2026</v>
      </c>
      <c r="I168" s="1249">
        <v>2027</v>
      </c>
      <c r="J168" s="1249">
        <v>2028</v>
      </c>
      <c r="K168" s="1249">
        <v>2029</v>
      </c>
      <c r="L168" s="1249">
        <v>2030</v>
      </c>
      <c r="M168" s="1250">
        <v>2031</v>
      </c>
      <c r="N168" s="1251" t="s">
        <v>1321</v>
      </c>
      <c r="O168" s="1251" t="s">
        <v>1322</v>
      </c>
      <c r="P168" s="1236"/>
      <c r="Q168" s="1236"/>
      <c r="R168" s="1236"/>
      <c r="S168" s="1236"/>
      <c r="U168" s="55"/>
    </row>
    <row r="169" spans="1:21" x14ac:dyDescent="0.35">
      <c r="A169" s="1266" t="s">
        <v>1323</v>
      </c>
      <c r="B169" s="1266"/>
      <c r="C169" s="1272"/>
      <c r="D169" s="1272">
        <f t="shared" ref="D169:O169" si="9">D78/1000</f>
        <v>0</v>
      </c>
      <c r="E169" s="1272">
        <f t="shared" si="9"/>
        <v>6.8000000000000005E-2</v>
      </c>
      <c r="F169" s="1272">
        <f t="shared" si="9"/>
        <v>1.363</v>
      </c>
      <c r="G169" s="1272">
        <f t="shared" si="9"/>
        <v>2.4329999999999998</v>
      </c>
      <c r="H169" s="1272">
        <f t="shared" si="9"/>
        <v>2.8029999999999999</v>
      </c>
      <c r="I169" s="1272">
        <f t="shared" si="9"/>
        <v>1.7410000000000001</v>
      </c>
      <c r="J169" s="1272">
        <f t="shared" si="9"/>
        <v>0.56999999999999995</v>
      </c>
      <c r="K169" s="1272">
        <f t="shared" si="9"/>
        <v>3.5000000000000003E-2</v>
      </c>
      <c r="L169" s="1272">
        <f t="shared" si="9"/>
        <v>0</v>
      </c>
      <c r="M169" s="1272">
        <f t="shared" si="9"/>
        <v>0</v>
      </c>
      <c r="N169" s="1272">
        <f t="shared" si="9"/>
        <v>6.6669999999999998</v>
      </c>
      <c r="O169" s="1272">
        <f t="shared" si="9"/>
        <v>9.0129999999999999</v>
      </c>
      <c r="P169" s="1272"/>
      <c r="Q169" s="1272"/>
      <c r="R169" s="1272"/>
      <c r="S169" s="1272"/>
      <c r="U169" s="55"/>
    </row>
    <row r="170" spans="1:21" x14ac:dyDescent="0.35">
      <c r="A170" s="1266" t="s">
        <v>1324</v>
      </c>
      <c r="B170" s="1266"/>
      <c r="C170" s="1272"/>
      <c r="D170" s="1272">
        <f t="shared" ref="D170:O170" si="10">(D77+D70)/1000</f>
        <v>0</v>
      </c>
      <c r="E170" s="1272">
        <f t="shared" si="10"/>
        <v>0.81899999999999995</v>
      </c>
      <c r="F170" s="1272">
        <f t="shared" si="10"/>
        <v>2.4780000000000002</v>
      </c>
      <c r="G170" s="1272">
        <f t="shared" si="10"/>
        <v>4.0720000000000001</v>
      </c>
      <c r="H170" s="1272">
        <f t="shared" si="10"/>
        <v>5.4480000000000004</v>
      </c>
      <c r="I170" s="1272">
        <f t="shared" si="10"/>
        <v>4.8289999999999997</v>
      </c>
      <c r="J170" s="1272">
        <f t="shared" si="10"/>
        <v>3.2949999999999999</v>
      </c>
      <c r="K170" s="1272">
        <f t="shared" si="10"/>
        <v>1.98</v>
      </c>
      <c r="L170" s="1272">
        <f t="shared" si="10"/>
        <v>1.01</v>
      </c>
      <c r="M170" s="1272">
        <f t="shared" si="10"/>
        <v>0.40400000000000003</v>
      </c>
      <c r="N170" s="1272">
        <f t="shared" si="10"/>
        <v>12.817</v>
      </c>
      <c r="O170" s="1272">
        <f t="shared" si="10"/>
        <v>24.335000000000001</v>
      </c>
      <c r="P170" s="1272"/>
      <c r="Q170" s="1272"/>
      <c r="R170" s="1272"/>
      <c r="S170" s="1272"/>
      <c r="U170" s="55"/>
    </row>
    <row r="171" spans="1:21" x14ac:dyDescent="0.35">
      <c r="A171" s="1266" t="s">
        <v>1325</v>
      </c>
      <c r="B171" s="1266"/>
      <c r="C171" s="1272"/>
      <c r="D171" s="1272">
        <f t="shared" ref="D171:O171" si="11">(D69+D76)/1000</f>
        <v>0</v>
      </c>
      <c r="E171" s="1272">
        <f t="shared" si="11"/>
        <v>4.5430000000000001</v>
      </c>
      <c r="F171" s="1272">
        <f t="shared" si="11"/>
        <v>5.6079999999999997</v>
      </c>
      <c r="G171" s="1272">
        <f t="shared" si="11"/>
        <v>8.16</v>
      </c>
      <c r="H171" s="1272">
        <f t="shared" si="11"/>
        <v>10.069000000000001</v>
      </c>
      <c r="I171" s="1272">
        <f t="shared" si="11"/>
        <v>12.026999999999999</v>
      </c>
      <c r="J171" s="1272">
        <f t="shared" si="11"/>
        <v>13.826000000000001</v>
      </c>
      <c r="K171" s="1272">
        <f t="shared" si="11"/>
        <v>15.862</v>
      </c>
      <c r="L171" s="1272">
        <f t="shared" si="11"/>
        <v>17.890999999999998</v>
      </c>
      <c r="M171" s="1272">
        <f t="shared" si="11"/>
        <v>17.481000000000002</v>
      </c>
      <c r="N171" s="1272">
        <f t="shared" si="11"/>
        <v>28.38</v>
      </c>
      <c r="O171" s="1272">
        <f t="shared" si="11"/>
        <v>105.467</v>
      </c>
      <c r="P171" s="1272"/>
      <c r="Q171" s="1272"/>
      <c r="R171" s="1272"/>
      <c r="S171" s="1272"/>
      <c r="U171" s="55"/>
    </row>
    <row r="172" spans="1:21" x14ac:dyDescent="0.35">
      <c r="A172" s="1267" t="s">
        <v>43</v>
      </c>
      <c r="B172" s="1267"/>
      <c r="C172" s="1272"/>
      <c r="D172" s="1272">
        <f t="shared" ref="D172:O172" si="12">(D79+D74)/1000</f>
        <v>0</v>
      </c>
      <c r="E172" s="1272">
        <f t="shared" si="12"/>
        <v>1.2969999999999999</v>
      </c>
      <c r="F172" s="1272">
        <f t="shared" si="12"/>
        <v>3.8479999999999999</v>
      </c>
      <c r="G172" s="1272">
        <f t="shared" si="12"/>
        <v>6.4420000000000002</v>
      </c>
      <c r="H172" s="1272">
        <f t="shared" si="12"/>
        <v>9.532</v>
      </c>
      <c r="I172" s="1272">
        <f t="shared" si="12"/>
        <v>11.882</v>
      </c>
      <c r="J172" s="1272">
        <f t="shared" si="12"/>
        <v>11.727</v>
      </c>
      <c r="K172" s="1272">
        <f t="shared" si="12"/>
        <v>10.569000000000001</v>
      </c>
      <c r="L172" s="1272">
        <f t="shared" si="12"/>
        <v>8.8879999999999999</v>
      </c>
      <c r="M172" s="1272">
        <f t="shared" si="12"/>
        <v>7.1890000000000001</v>
      </c>
      <c r="N172" s="1272">
        <f t="shared" si="12"/>
        <v>21.117000000000001</v>
      </c>
      <c r="O172" s="1272">
        <f t="shared" si="12"/>
        <v>71.372</v>
      </c>
      <c r="P172" s="1272"/>
      <c r="Q172" s="1272"/>
      <c r="R172" s="1272"/>
      <c r="S172" s="1272"/>
      <c r="U172" s="55"/>
    </row>
    <row r="173" spans="1:21" x14ac:dyDescent="0.35">
      <c r="A173" s="1268" t="s">
        <v>493</v>
      </c>
      <c r="B173" s="1268"/>
      <c r="C173" s="1272"/>
      <c r="D173" s="1272"/>
      <c r="E173" s="1272"/>
      <c r="F173" s="1272"/>
      <c r="G173" s="1272"/>
      <c r="H173" s="1272"/>
      <c r="I173" s="1272"/>
      <c r="J173" s="1272"/>
      <c r="K173" s="1272"/>
      <c r="L173" s="1272"/>
      <c r="M173" s="1272"/>
      <c r="N173" s="1272"/>
      <c r="O173" s="1272"/>
      <c r="P173" s="1272"/>
      <c r="Q173" s="1272"/>
      <c r="R173" s="1272"/>
      <c r="S173" s="1272"/>
      <c r="U173" s="55"/>
    </row>
    <row r="174" spans="1:21" x14ac:dyDescent="0.35">
      <c r="A174" s="1269" t="s">
        <v>45</v>
      </c>
      <c r="B174" s="1269"/>
      <c r="C174" s="1272"/>
      <c r="D174" s="1272">
        <f t="shared" ref="D174:O174" si="13">D71/1000</f>
        <v>0</v>
      </c>
      <c r="E174" s="1272">
        <f t="shared" si="13"/>
        <v>0.11</v>
      </c>
      <c r="F174" s="1272">
        <f t="shared" si="13"/>
        <v>0.73899999999999999</v>
      </c>
      <c r="G174" s="1272">
        <f t="shared" si="13"/>
        <v>1.1950000000000001</v>
      </c>
      <c r="H174" s="1272">
        <f t="shared" si="13"/>
        <v>1.4970000000000001</v>
      </c>
      <c r="I174" s="1272">
        <f t="shared" si="13"/>
        <v>1.91</v>
      </c>
      <c r="J174" s="1272">
        <f t="shared" si="13"/>
        <v>2.4049999999999998</v>
      </c>
      <c r="K174" s="1272">
        <f t="shared" si="13"/>
        <v>2.9220000000000002</v>
      </c>
      <c r="L174" s="1272">
        <f t="shared" si="13"/>
        <v>3.4630000000000001</v>
      </c>
      <c r="M174" s="1272">
        <f t="shared" si="13"/>
        <v>4.0069999999999997</v>
      </c>
      <c r="N174" s="1272">
        <f t="shared" si="13"/>
        <v>3.5409999999999999</v>
      </c>
      <c r="O174" s="1272">
        <f t="shared" si="13"/>
        <v>18.248000000000001</v>
      </c>
      <c r="P174" s="1272"/>
      <c r="Q174" s="1272"/>
      <c r="R174" s="1272"/>
      <c r="S174" s="1272"/>
      <c r="U174" s="55"/>
    </row>
    <row r="175" spans="1:21" x14ac:dyDescent="0.35">
      <c r="A175" s="1269" t="s">
        <v>1326</v>
      </c>
      <c r="B175" s="1269"/>
      <c r="C175" s="1272"/>
      <c r="D175" s="1272">
        <f t="shared" ref="D175:O175" si="14">D72/1000</f>
        <v>0</v>
      </c>
      <c r="E175" s="1272">
        <f t="shared" si="14"/>
        <v>-0.41499999999999998</v>
      </c>
      <c r="F175" s="1272">
        <f t="shared" si="14"/>
        <v>2.7679999999999998</v>
      </c>
      <c r="G175" s="1272">
        <f t="shared" si="14"/>
        <v>-12.473000000000001</v>
      </c>
      <c r="H175" s="1272">
        <f t="shared" si="14"/>
        <v>-5.3739999999999997</v>
      </c>
      <c r="I175" s="1272">
        <f t="shared" si="14"/>
        <v>-25.515000000000001</v>
      </c>
      <c r="J175" s="1272">
        <f t="shared" si="14"/>
        <v>-43.975000000000001</v>
      </c>
      <c r="K175" s="1272">
        <f t="shared" si="14"/>
        <v>-46.426000000000002</v>
      </c>
      <c r="L175" s="1272">
        <f t="shared" si="14"/>
        <v>-56.228000000000002</v>
      </c>
      <c r="M175" s="1272">
        <f t="shared" si="14"/>
        <v>-60.581000000000003</v>
      </c>
      <c r="N175" s="1272">
        <f t="shared" si="14"/>
        <v>-15.494</v>
      </c>
      <c r="O175" s="1272">
        <f t="shared" si="14"/>
        <v>-248.21899999999999</v>
      </c>
      <c r="P175" s="1272"/>
      <c r="Q175" s="1272"/>
      <c r="R175" s="1272"/>
      <c r="S175" s="1272"/>
      <c r="U175" s="55"/>
    </row>
    <row r="176" spans="1:21" x14ac:dyDescent="0.35">
      <c r="A176" s="1270" t="s">
        <v>48</v>
      </c>
      <c r="B176" s="1270"/>
      <c r="C176" s="1272"/>
      <c r="D176" s="1272">
        <f t="shared" ref="D176:O176" si="15">(D80+D73)/1000</f>
        <v>-0.622</v>
      </c>
      <c r="E176" s="1272">
        <f t="shared" si="15"/>
        <v>21.89</v>
      </c>
      <c r="F176" s="1272">
        <f t="shared" si="15"/>
        <v>15.439</v>
      </c>
      <c r="G176" s="1272">
        <f t="shared" si="15"/>
        <v>16.966999999999999</v>
      </c>
      <c r="H176" s="1272">
        <f t="shared" si="15"/>
        <v>0.72799999999999998</v>
      </c>
      <c r="I176" s="1272">
        <f t="shared" si="15"/>
        <v>7.657</v>
      </c>
      <c r="J176" s="1272">
        <f t="shared" si="15"/>
        <v>4.5590000000000002</v>
      </c>
      <c r="K176" s="1272">
        <f t="shared" si="15"/>
        <v>2.4649999999999999</v>
      </c>
      <c r="L176" s="1272">
        <f t="shared" si="15"/>
        <v>1.444</v>
      </c>
      <c r="M176" s="1272">
        <f t="shared" si="15"/>
        <v>0.77300000000000002</v>
      </c>
      <c r="N176" s="1272">
        <f t="shared" si="15"/>
        <v>54.402000000000001</v>
      </c>
      <c r="O176" s="1272">
        <f t="shared" si="15"/>
        <v>71.3</v>
      </c>
      <c r="P176" s="1272"/>
      <c r="Q176" s="1272"/>
      <c r="R176" s="1272"/>
      <c r="S176" s="1272"/>
      <c r="U176" s="55"/>
    </row>
    <row r="177" spans="1:21" x14ac:dyDescent="0.35">
      <c r="A177" s="1271" t="s">
        <v>1382</v>
      </c>
      <c r="B177" s="1271"/>
      <c r="C177" s="1272"/>
      <c r="D177" s="1259">
        <f t="shared" ref="D177:O177" si="16">D84/1000</f>
        <v>0</v>
      </c>
      <c r="E177" s="1259">
        <f t="shared" si="16"/>
        <v>-3.1549999999999998</v>
      </c>
      <c r="F177" s="1259">
        <f t="shared" si="16"/>
        <v>-2.2309999999999999</v>
      </c>
      <c r="G177" s="1259">
        <f t="shared" si="16"/>
        <v>-1.6080000000000001</v>
      </c>
      <c r="H177" s="1259">
        <f t="shared" si="16"/>
        <v>-0.77</v>
      </c>
      <c r="I177" s="1259">
        <f t="shared" si="16"/>
        <v>-0.98299999999999998</v>
      </c>
      <c r="J177" s="1259">
        <f t="shared" si="16"/>
        <v>-1.2110000000000001</v>
      </c>
      <c r="K177" s="1259">
        <f t="shared" si="16"/>
        <v>-1.4710000000000001</v>
      </c>
      <c r="L177" s="1259">
        <f t="shared" si="16"/>
        <v>-1.81</v>
      </c>
      <c r="M177" s="1259">
        <f t="shared" si="16"/>
        <v>-2.3250000000000002</v>
      </c>
      <c r="N177" s="1259">
        <f t="shared" si="16"/>
        <v>-7.7670000000000003</v>
      </c>
      <c r="O177" s="1259">
        <f t="shared" si="16"/>
        <v>-15.566000000000001</v>
      </c>
      <c r="P177" s="1259"/>
      <c r="Q177" s="1259"/>
      <c r="R177" s="1259"/>
      <c r="S177" s="1259"/>
      <c r="U177" s="55"/>
    </row>
    <row r="178" spans="1:21" x14ac:dyDescent="0.35">
      <c r="A178" s="1271" t="s">
        <v>227</v>
      </c>
      <c r="B178" s="1271"/>
      <c r="C178" s="1272"/>
      <c r="D178" s="1259">
        <f t="shared" ref="D178:O178" si="17">D85/1000</f>
        <v>0</v>
      </c>
      <c r="E178" s="1259">
        <f t="shared" si="17"/>
        <v>0.45200000000000001</v>
      </c>
      <c r="F178" s="1259">
        <f t="shared" si="17"/>
        <v>-8.67</v>
      </c>
      <c r="G178" s="1259">
        <f t="shared" si="17"/>
        <v>-4.5270000000000001</v>
      </c>
      <c r="H178" s="1259">
        <f t="shared" si="17"/>
        <v>-0.70499999999999996</v>
      </c>
      <c r="I178" s="1259">
        <f t="shared" si="17"/>
        <v>15.813000000000001</v>
      </c>
      <c r="J178" s="1259">
        <f t="shared" si="17"/>
        <v>20.372</v>
      </c>
      <c r="K178" s="1259">
        <f t="shared" si="17"/>
        <v>24.847000000000001</v>
      </c>
      <c r="L178" s="1259">
        <f t="shared" si="17"/>
        <v>28.113</v>
      </c>
      <c r="M178" s="1259">
        <f t="shared" si="17"/>
        <v>24.777000000000001</v>
      </c>
      <c r="N178" s="1259">
        <f t="shared" si="17"/>
        <v>-13.451000000000001</v>
      </c>
      <c r="O178" s="1259">
        <f t="shared" si="17"/>
        <v>100.468</v>
      </c>
      <c r="P178" s="1259"/>
      <c r="Q178" s="1259"/>
      <c r="R178" s="1259"/>
      <c r="S178" s="1259"/>
      <c r="U178" s="55"/>
    </row>
    <row r="179" spans="1:21" x14ac:dyDescent="0.35">
      <c r="A179" s="1271" t="s">
        <v>94</v>
      </c>
      <c r="B179" s="1271"/>
      <c r="C179" s="1272"/>
      <c r="D179" s="1259">
        <f t="shared" ref="D179:O179" si="18">D83/1000</f>
        <v>0</v>
      </c>
      <c r="E179" s="1259">
        <f t="shared" si="18"/>
        <v>35.317</v>
      </c>
      <c r="F179" s="1259">
        <f t="shared" si="18"/>
        <v>36.033000000000001</v>
      </c>
      <c r="G179" s="1259">
        <f t="shared" si="18"/>
        <v>21.076000000000001</v>
      </c>
      <c r="H179" s="1259">
        <f t="shared" si="18"/>
        <v>13.346</v>
      </c>
      <c r="I179" s="1259">
        <f t="shared" si="18"/>
        <v>27.507999999999999</v>
      </c>
      <c r="J179" s="1259">
        <f t="shared" si="18"/>
        <v>35.85</v>
      </c>
      <c r="K179" s="1259">
        <f t="shared" si="18"/>
        <v>18.64</v>
      </c>
      <c r="L179" s="1259">
        <f t="shared" si="18"/>
        <v>8.3940000000000001</v>
      </c>
      <c r="M179" s="1259">
        <f t="shared" si="18"/>
        <v>7.9820000000000002</v>
      </c>
      <c r="N179" s="1259">
        <f t="shared" si="18"/>
        <v>105.76900000000001</v>
      </c>
      <c r="O179" s="1259">
        <f t="shared" si="18"/>
        <v>204.14400000000001</v>
      </c>
      <c r="P179" s="1259"/>
      <c r="Q179" s="1259"/>
      <c r="R179" s="1259"/>
      <c r="S179" s="1259"/>
      <c r="U179" s="55"/>
    </row>
    <row r="182" spans="1:21" x14ac:dyDescent="0.35">
      <c r="A182" s="63" t="s">
        <v>1327</v>
      </c>
    </row>
    <row r="183" spans="1:21" x14ac:dyDescent="0.35">
      <c r="A183" s="1265"/>
      <c r="B183" s="1265"/>
      <c r="C183" s="1265"/>
      <c r="D183" s="1265" t="s">
        <v>171</v>
      </c>
      <c r="E183" s="1265" t="s">
        <v>172</v>
      </c>
      <c r="F183" s="1265" t="s">
        <v>173</v>
      </c>
      <c r="G183" s="1265" t="s">
        <v>174</v>
      </c>
      <c r="H183" s="1265" t="s">
        <v>175</v>
      </c>
      <c r="I183" s="1265" t="s">
        <v>176</v>
      </c>
      <c r="J183" s="1265" t="s">
        <v>177</v>
      </c>
      <c r="K183" s="1265" t="s">
        <v>178</v>
      </c>
      <c r="L183" s="1265" t="s">
        <v>179</v>
      </c>
      <c r="M183" s="1265" t="s">
        <v>163</v>
      </c>
      <c r="N183" s="1265" t="s">
        <v>164</v>
      </c>
      <c r="O183" s="1265" t="s">
        <v>165</v>
      </c>
      <c r="P183" s="1265" t="s">
        <v>730</v>
      </c>
      <c r="Q183" s="1265" t="s">
        <v>731</v>
      </c>
      <c r="R183" s="1265" t="s">
        <v>732</v>
      </c>
      <c r="S183" s="1265" t="s">
        <v>1110</v>
      </c>
      <c r="U183" s="55"/>
    </row>
    <row r="184" spans="1:21" x14ac:dyDescent="0.35">
      <c r="A184" s="1266" t="s">
        <v>1323</v>
      </c>
      <c r="B184" s="1266"/>
      <c r="C184" s="1273"/>
      <c r="D184" s="1273">
        <f t="shared" ref="D184:D191" si="19">D169</f>
        <v>0</v>
      </c>
      <c r="E184" s="1273">
        <f>D184</f>
        <v>0</v>
      </c>
      <c r="F184" s="1273">
        <f t="shared" ref="F184:F191" si="20">E169</f>
        <v>6.8000000000000005E-2</v>
      </c>
      <c r="G184" s="1273">
        <f>F184</f>
        <v>6.8000000000000005E-2</v>
      </c>
      <c r="H184" s="1273">
        <f>G184</f>
        <v>6.8000000000000005E-2</v>
      </c>
      <c r="I184" s="1273">
        <f>H184</f>
        <v>6.8000000000000005E-2</v>
      </c>
      <c r="J184" s="1273">
        <f t="shared" ref="J184:J191" si="21">F169</f>
        <v>1.363</v>
      </c>
      <c r="K184" s="1273">
        <f t="shared" ref="K184:M191" si="22">J184</f>
        <v>1.363</v>
      </c>
      <c r="L184" s="1273">
        <f t="shared" si="22"/>
        <v>1.363</v>
      </c>
      <c r="M184" s="1273">
        <f>L184</f>
        <v>1.363</v>
      </c>
      <c r="N184" s="1273">
        <f>G169</f>
        <v>2.4329999999999998</v>
      </c>
      <c r="O184" s="1273">
        <f>N184</f>
        <v>2.4329999999999998</v>
      </c>
      <c r="P184" s="1273">
        <f t="shared" ref="P184:Q184" si="23">O184</f>
        <v>2.4329999999999998</v>
      </c>
      <c r="Q184" s="1273">
        <f t="shared" si="23"/>
        <v>2.4329999999999998</v>
      </c>
      <c r="R184" s="1273">
        <f>H169</f>
        <v>2.8029999999999999</v>
      </c>
      <c r="S184" s="1273">
        <f>R184</f>
        <v>2.8029999999999999</v>
      </c>
      <c r="U184" s="55"/>
    </row>
    <row r="185" spans="1:21" x14ac:dyDescent="0.35">
      <c r="A185" s="1266" t="s">
        <v>1324</v>
      </c>
      <c r="B185" s="1266"/>
      <c r="C185" s="1273"/>
      <c r="D185" s="1273">
        <f t="shared" si="19"/>
        <v>0</v>
      </c>
      <c r="E185" s="1273">
        <f t="shared" ref="E185:E191" si="24">D185</f>
        <v>0</v>
      </c>
      <c r="F185" s="1273">
        <f t="shared" si="20"/>
        <v>0.81899999999999995</v>
      </c>
      <c r="G185" s="1273">
        <f t="shared" ref="G185:I191" si="25">F185</f>
        <v>0.81899999999999995</v>
      </c>
      <c r="H185" s="1273">
        <f t="shared" si="25"/>
        <v>0.81899999999999995</v>
      </c>
      <c r="I185" s="1273">
        <f t="shared" si="25"/>
        <v>0.81899999999999995</v>
      </c>
      <c r="J185" s="1273">
        <f>F170</f>
        <v>2.4780000000000002</v>
      </c>
      <c r="K185" s="1273">
        <f t="shared" si="22"/>
        <v>2.4780000000000002</v>
      </c>
      <c r="L185" s="1273">
        <f t="shared" si="22"/>
        <v>2.4780000000000002</v>
      </c>
      <c r="M185" s="1273">
        <f>L185</f>
        <v>2.4780000000000002</v>
      </c>
      <c r="N185" s="1273">
        <f>G170</f>
        <v>4.0720000000000001</v>
      </c>
      <c r="O185" s="1273">
        <f>N185</f>
        <v>4.0720000000000001</v>
      </c>
      <c r="P185" s="1273">
        <f t="shared" ref="P185:Q194" si="26">O185</f>
        <v>4.0720000000000001</v>
      </c>
      <c r="Q185" s="1273">
        <f t="shared" si="26"/>
        <v>4.0720000000000001</v>
      </c>
      <c r="R185" s="1273">
        <f>H170</f>
        <v>5.4480000000000004</v>
      </c>
      <c r="S185" s="1273">
        <f t="shared" ref="S185:S194" si="27">R185</f>
        <v>5.4480000000000004</v>
      </c>
      <c r="U185" s="55"/>
    </row>
    <row r="186" spans="1:21" x14ac:dyDescent="0.35">
      <c r="A186" s="1266" t="s">
        <v>1325</v>
      </c>
      <c r="B186" s="1266"/>
      <c r="C186" s="1273"/>
      <c r="D186" s="1273">
        <f t="shared" si="19"/>
        <v>0</v>
      </c>
      <c r="E186" s="1273">
        <f t="shared" si="24"/>
        <v>0</v>
      </c>
      <c r="F186" s="1273">
        <f t="shared" si="20"/>
        <v>4.5430000000000001</v>
      </c>
      <c r="G186" s="1273">
        <f t="shared" si="25"/>
        <v>4.5430000000000001</v>
      </c>
      <c r="H186" s="1273">
        <f t="shared" si="25"/>
        <v>4.5430000000000001</v>
      </c>
      <c r="I186" s="1273">
        <f t="shared" si="25"/>
        <v>4.5430000000000001</v>
      </c>
      <c r="J186" s="1273">
        <f t="shared" si="21"/>
        <v>5.6079999999999997</v>
      </c>
      <c r="K186" s="1273">
        <f t="shared" si="22"/>
        <v>5.6079999999999997</v>
      </c>
      <c r="L186" s="1273">
        <f t="shared" si="22"/>
        <v>5.6079999999999997</v>
      </c>
      <c r="M186" s="1273">
        <f t="shared" si="22"/>
        <v>5.6079999999999997</v>
      </c>
      <c r="N186" s="1273">
        <f>G171</f>
        <v>8.16</v>
      </c>
      <c r="O186" s="1273">
        <f t="shared" ref="O186:O191" si="28">N186</f>
        <v>8.16</v>
      </c>
      <c r="P186" s="1273">
        <f t="shared" si="26"/>
        <v>8.16</v>
      </c>
      <c r="Q186" s="1273">
        <f t="shared" si="26"/>
        <v>8.16</v>
      </c>
      <c r="R186" s="1273">
        <f t="shared" ref="R186:R194" si="29">H171</f>
        <v>10.069000000000001</v>
      </c>
      <c r="S186" s="1273">
        <f t="shared" si="27"/>
        <v>10.069000000000001</v>
      </c>
      <c r="U186" s="55"/>
    </row>
    <row r="187" spans="1:21" x14ac:dyDescent="0.35">
      <c r="A187" s="1267" t="s">
        <v>43</v>
      </c>
      <c r="B187" s="1267"/>
      <c r="C187" s="1273"/>
      <c r="D187" s="1273">
        <f t="shared" si="19"/>
        <v>0</v>
      </c>
      <c r="E187" s="1273">
        <f t="shared" si="24"/>
        <v>0</v>
      </c>
      <c r="F187" s="1273">
        <f t="shared" si="20"/>
        <v>1.2969999999999999</v>
      </c>
      <c r="G187" s="1273">
        <f t="shared" si="25"/>
        <v>1.2969999999999999</v>
      </c>
      <c r="H187" s="1273">
        <f t="shared" si="25"/>
        <v>1.2969999999999999</v>
      </c>
      <c r="I187" s="1273">
        <f t="shared" si="25"/>
        <v>1.2969999999999999</v>
      </c>
      <c r="J187" s="1273">
        <f t="shared" si="21"/>
        <v>3.8479999999999999</v>
      </c>
      <c r="K187" s="1273">
        <f t="shared" si="22"/>
        <v>3.8479999999999999</v>
      </c>
      <c r="L187" s="1273">
        <f t="shared" si="22"/>
        <v>3.8479999999999999</v>
      </c>
      <c r="M187" s="1273">
        <f t="shared" si="22"/>
        <v>3.8479999999999999</v>
      </c>
      <c r="N187" s="1273">
        <f t="shared" ref="N187:N191" si="30">G172</f>
        <v>6.4420000000000002</v>
      </c>
      <c r="O187" s="1273">
        <f t="shared" si="28"/>
        <v>6.4420000000000002</v>
      </c>
      <c r="P187" s="1273">
        <f t="shared" si="26"/>
        <v>6.4420000000000002</v>
      </c>
      <c r="Q187" s="1273">
        <f t="shared" si="26"/>
        <v>6.4420000000000002</v>
      </c>
      <c r="R187" s="1273">
        <f t="shared" si="29"/>
        <v>9.532</v>
      </c>
      <c r="S187" s="1273">
        <f t="shared" si="27"/>
        <v>9.532</v>
      </c>
      <c r="U187" s="55"/>
    </row>
    <row r="188" spans="1:21" x14ac:dyDescent="0.35">
      <c r="A188" s="1268" t="s">
        <v>493</v>
      </c>
      <c r="B188" s="1268"/>
      <c r="C188" s="1273"/>
      <c r="D188" s="1273">
        <f t="shared" si="19"/>
        <v>0</v>
      </c>
      <c r="E188" s="1273">
        <f t="shared" si="24"/>
        <v>0</v>
      </c>
      <c r="F188" s="1273">
        <f t="shared" si="20"/>
        <v>0</v>
      </c>
      <c r="G188" s="1273">
        <f t="shared" si="25"/>
        <v>0</v>
      </c>
      <c r="H188" s="1273">
        <f t="shared" si="25"/>
        <v>0</v>
      </c>
      <c r="I188" s="1273">
        <f t="shared" si="25"/>
        <v>0</v>
      </c>
      <c r="J188" s="1273">
        <f t="shared" si="21"/>
        <v>0</v>
      </c>
      <c r="K188" s="1273">
        <f t="shared" si="22"/>
        <v>0</v>
      </c>
      <c r="L188" s="1273">
        <f t="shared" si="22"/>
        <v>0</v>
      </c>
      <c r="M188" s="1273">
        <f t="shared" si="22"/>
        <v>0</v>
      </c>
      <c r="N188" s="1273">
        <f t="shared" si="30"/>
        <v>0</v>
      </c>
      <c r="O188" s="1273">
        <f t="shared" si="28"/>
        <v>0</v>
      </c>
      <c r="P188" s="1273">
        <f t="shared" si="26"/>
        <v>0</v>
      </c>
      <c r="Q188" s="1273">
        <f t="shared" si="26"/>
        <v>0</v>
      </c>
      <c r="R188" s="1273">
        <f t="shared" si="29"/>
        <v>0</v>
      </c>
      <c r="S188" s="1273">
        <f t="shared" si="27"/>
        <v>0</v>
      </c>
      <c r="U188" s="55"/>
    </row>
    <row r="189" spans="1:21" x14ac:dyDescent="0.35">
      <c r="A189" s="1269" t="s">
        <v>45</v>
      </c>
      <c r="B189" s="1269"/>
      <c r="C189" s="1273"/>
      <c r="D189" s="1273">
        <f t="shared" si="19"/>
        <v>0</v>
      </c>
      <c r="E189" s="1273">
        <f t="shared" si="24"/>
        <v>0</v>
      </c>
      <c r="F189" s="1273">
        <f t="shared" si="20"/>
        <v>0.11</v>
      </c>
      <c r="G189" s="1273">
        <f t="shared" si="25"/>
        <v>0.11</v>
      </c>
      <c r="H189" s="1273">
        <f t="shared" si="25"/>
        <v>0.11</v>
      </c>
      <c r="I189" s="1273">
        <f t="shared" si="25"/>
        <v>0.11</v>
      </c>
      <c r="J189" s="1273">
        <f t="shared" si="21"/>
        <v>0.73899999999999999</v>
      </c>
      <c r="K189" s="1273">
        <f t="shared" si="22"/>
        <v>0.73899999999999999</v>
      </c>
      <c r="L189" s="1273">
        <f t="shared" si="22"/>
        <v>0.73899999999999999</v>
      </c>
      <c r="M189" s="1273">
        <f t="shared" si="22"/>
        <v>0.73899999999999999</v>
      </c>
      <c r="N189" s="1273">
        <f t="shared" si="30"/>
        <v>1.1950000000000001</v>
      </c>
      <c r="O189" s="1273">
        <f t="shared" si="28"/>
        <v>1.1950000000000001</v>
      </c>
      <c r="P189" s="1273">
        <f t="shared" si="26"/>
        <v>1.1950000000000001</v>
      </c>
      <c r="Q189" s="1273">
        <f t="shared" si="26"/>
        <v>1.1950000000000001</v>
      </c>
      <c r="R189" s="1273">
        <f t="shared" si="29"/>
        <v>1.4970000000000001</v>
      </c>
      <c r="S189" s="1273">
        <f t="shared" si="27"/>
        <v>1.4970000000000001</v>
      </c>
      <c r="U189" s="55"/>
    </row>
    <row r="190" spans="1:21" x14ac:dyDescent="0.35">
      <c r="A190" s="1269" t="s">
        <v>1326</v>
      </c>
      <c r="B190" s="1269"/>
      <c r="C190" s="1273"/>
      <c r="D190" s="1273">
        <f t="shared" si="19"/>
        <v>0</v>
      </c>
      <c r="E190" s="1273">
        <f t="shared" si="24"/>
        <v>0</v>
      </c>
      <c r="F190" s="1273">
        <f t="shared" si="20"/>
        <v>-0.41499999999999998</v>
      </c>
      <c r="G190" s="1273">
        <f t="shared" si="25"/>
        <v>-0.41499999999999998</v>
      </c>
      <c r="H190" s="1273">
        <f t="shared" si="25"/>
        <v>-0.41499999999999998</v>
      </c>
      <c r="I190" s="1273">
        <f t="shared" si="25"/>
        <v>-0.41499999999999998</v>
      </c>
      <c r="J190" s="1273">
        <f t="shared" si="21"/>
        <v>2.7679999999999998</v>
      </c>
      <c r="K190" s="1273">
        <f t="shared" si="22"/>
        <v>2.7679999999999998</v>
      </c>
      <c r="L190" s="1273">
        <f t="shared" si="22"/>
        <v>2.7679999999999998</v>
      </c>
      <c r="M190" s="1273">
        <f t="shared" si="22"/>
        <v>2.7679999999999998</v>
      </c>
      <c r="N190" s="1273">
        <f t="shared" si="30"/>
        <v>-12.473000000000001</v>
      </c>
      <c r="O190" s="1273">
        <f t="shared" si="28"/>
        <v>-12.473000000000001</v>
      </c>
      <c r="P190" s="1273">
        <f t="shared" si="26"/>
        <v>-12.473000000000001</v>
      </c>
      <c r="Q190" s="1273">
        <f t="shared" si="26"/>
        <v>-12.473000000000001</v>
      </c>
      <c r="R190" s="1273">
        <f t="shared" si="29"/>
        <v>-5.3739999999999997</v>
      </c>
      <c r="S190" s="1273">
        <f t="shared" si="27"/>
        <v>-5.3739999999999997</v>
      </c>
      <c r="U190" s="55"/>
    </row>
    <row r="191" spans="1:21" x14ac:dyDescent="0.35">
      <c r="A191" s="1270" t="s">
        <v>48</v>
      </c>
      <c r="B191" s="1270"/>
      <c r="C191" s="1273"/>
      <c r="D191" s="1273">
        <f t="shared" si="19"/>
        <v>-0.622</v>
      </c>
      <c r="E191" s="1273">
        <f t="shared" si="24"/>
        <v>-0.622</v>
      </c>
      <c r="F191" s="1273">
        <f t="shared" si="20"/>
        <v>21.89</v>
      </c>
      <c r="G191" s="1273">
        <f t="shared" si="25"/>
        <v>21.89</v>
      </c>
      <c r="H191" s="1273">
        <f t="shared" si="25"/>
        <v>21.89</v>
      </c>
      <c r="I191" s="1273">
        <f t="shared" si="25"/>
        <v>21.89</v>
      </c>
      <c r="J191" s="1273">
        <f t="shared" si="21"/>
        <v>15.439</v>
      </c>
      <c r="K191" s="1273">
        <f t="shared" si="22"/>
        <v>15.439</v>
      </c>
      <c r="L191" s="1273">
        <f t="shared" si="22"/>
        <v>15.439</v>
      </c>
      <c r="M191" s="1273">
        <f t="shared" si="22"/>
        <v>15.439</v>
      </c>
      <c r="N191" s="1273">
        <f t="shared" si="30"/>
        <v>16.966999999999999</v>
      </c>
      <c r="O191" s="1273">
        <f t="shared" si="28"/>
        <v>16.966999999999999</v>
      </c>
      <c r="P191" s="1273">
        <f t="shared" si="26"/>
        <v>16.966999999999999</v>
      </c>
      <c r="Q191" s="1273">
        <f t="shared" si="26"/>
        <v>16.966999999999999</v>
      </c>
      <c r="R191" s="1273">
        <f t="shared" si="29"/>
        <v>0.72799999999999998</v>
      </c>
      <c r="S191" s="1273">
        <f t="shared" si="27"/>
        <v>0.72799999999999998</v>
      </c>
      <c r="U191" s="55"/>
    </row>
    <row r="192" spans="1:21" x14ac:dyDescent="0.35">
      <c r="A192" s="1271" t="s">
        <v>451</v>
      </c>
      <c r="B192" s="1271"/>
      <c r="C192" s="1273"/>
      <c r="D192" s="1259">
        <f t="shared" ref="D192:D194" si="31">D177</f>
        <v>0</v>
      </c>
      <c r="E192" s="1259">
        <f t="shared" ref="E192:E194" si="32">D192</f>
        <v>0</v>
      </c>
      <c r="F192" s="1259">
        <f t="shared" ref="F192:F194" si="33">E177</f>
        <v>-3.1549999999999998</v>
      </c>
      <c r="G192" s="1259">
        <f t="shared" ref="G192:G194" si="34">F192</f>
        <v>-3.1549999999999998</v>
      </c>
      <c r="H192" s="1259">
        <f t="shared" ref="H192:H194" si="35">G192</f>
        <v>-3.1549999999999998</v>
      </c>
      <c r="I192" s="1259">
        <f t="shared" ref="I192:I194" si="36">H192</f>
        <v>-3.1549999999999998</v>
      </c>
      <c r="J192" s="1259">
        <f t="shared" ref="J192:J194" si="37">F177</f>
        <v>-2.2309999999999999</v>
      </c>
      <c r="K192" s="1259">
        <f t="shared" ref="K192:K194" si="38">J192</f>
        <v>-2.2309999999999999</v>
      </c>
      <c r="L192" s="1259">
        <f t="shared" ref="L192:L194" si="39">K192</f>
        <v>-2.2309999999999999</v>
      </c>
      <c r="M192" s="1259">
        <f t="shared" ref="M192:M194" si="40">L192</f>
        <v>-2.2309999999999999</v>
      </c>
      <c r="N192" s="1259">
        <f t="shared" ref="N192:N194" si="41">G177</f>
        <v>-1.6080000000000001</v>
      </c>
      <c r="O192" s="1259">
        <f t="shared" ref="O192:O194" si="42">N192</f>
        <v>-1.6080000000000001</v>
      </c>
      <c r="P192" s="1259">
        <f t="shared" si="26"/>
        <v>-1.6080000000000001</v>
      </c>
      <c r="Q192" s="1259">
        <f t="shared" si="26"/>
        <v>-1.6080000000000001</v>
      </c>
      <c r="R192" s="1273">
        <f t="shared" si="29"/>
        <v>-0.77</v>
      </c>
      <c r="S192" s="1273">
        <f t="shared" si="27"/>
        <v>-0.77</v>
      </c>
      <c r="U192" s="55"/>
    </row>
    <row r="193" spans="1:21" x14ac:dyDescent="0.35">
      <c r="A193" s="1271" t="s">
        <v>449</v>
      </c>
      <c r="B193" s="1271"/>
      <c r="C193" s="1273"/>
      <c r="D193" s="1259">
        <f t="shared" si="31"/>
        <v>0</v>
      </c>
      <c r="E193" s="1259">
        <f t="shared" si="32"/>
        <v>0</v>
      </c>
      <c r="F193" s="1259">
        <f t="shared" si="33"/>
        <v>0.45200000000000001</v>
      </c>
      <c r="G193" s="1259">
        <f t="shared" si="34"/>
        <v>0.45200000000000001</v>
      </c>
      <c r="H193" s="1259">
        <f t="shared" si="35"/>
        <v>0.45200000000000001</v>
      </c>
      <c r="I193" s="1259">
        <f t="shared" si="36"/>
        <v>0.45200000000000001</v>
      </c>
      <c r="J193" s="1259">
        <f t="shared" si="37"/>
        <v>-8.67</v>
      </c>
      <c r="K193" s="1259">
        <f t="shared" si="38"/>
        <v>-8.67</v>
      </c>
      <c r="L193" s="1259">
        <f t="shared" si="39"/>
        <v>-8.67</v>
      </c>
      <c r="M193" s="1259">
        <f t="shared" si="40"/>
        <v>-8.67</v>
      </c>
      <c r="N193" s="1259">
        <f t="shared" si="41"/>
        <v>-4.5270000000000001</v>
      </c>
      <c r="O193" s="1259">
        <f t="shared" si="42"/>
        <v>-4.5270000000000001</v>
      </c>
      <c r="P193" s="1259">
        <f t="shared" si="26"/>
        <v>-4.5270000000000001</v>
      </c>
      <c r="Q193" s="1259">
        <f t="shared" si="26"/>
        <v>-4.5270000000000001</v>
      </c>
      <c r="R193" s="1273">
        <f t="shared" si="29"/>
        <v>-0.70499999999999996</v>
      </c>
      <c r="S193" s="1273">
        <f t="shared" si="27"/>
        <v>-0.70499999999999996</v>
      </c>
      <c r="U193" s="55"/>
    </row>
    <row r="194" spans="1:21" x14ac:dyDescent="0.35">
      <c r="A194" s="1271" t="s">
        <v>94</v>
      </c>
      <c r="B194" s="1271"/>
      <c r="C194" s="1273"/>
      <c r="D194" s="1259">
        <f t="shared" si="31"/>
        <v>0</v>
      </c>
      <c r="E194" s="1259">
        <f t="shared" si="32"/>
        <v>0</v>
      </c>
      <c r="F194" s="1259">
        <f t="shared" si="33"/>
        <v>35.317</v>
      </c>
      <c r="G194" s="1259">
        <f t="shared" si="34"/>
        <v>35.317</v>
      </c>
      <c r="H194" s="1259">
        <f t="shared" si="35"/>
        <v>35.317</v>
      </c>
      <c r="I194" s="1259">
        <f t="shared" si="36"/>
        <v>35.317</v>
      </c>
      <c r="J194" s="1259">
        <f t="shared" si="37"/>
        <v>36.033000000000001</v>
      </c>
      <c r="K194" s="1259">
        <f t="shared" si="38"/>
        <v>36.033000000000001</v>
      </c>
      <c r="L194" s="1259">
        <f t="shared" si="39"/>
        <v>36.033000000000001</v>
      </c>
      <c r="M194" s="1259">
        <f t="shared" si="40"/>
        <v>36.033000000000001</v>
      </c>
      <c r="N194" s="1259">
        <f t="shared" si="41"/>
        <v>21.076000000000001</v>
      </c>
      <c r="O194" s="1259">
        <f t="shared" si="42"/>
        <v>21.076000000000001</v>
      </c>
      <c r="P194" s="1259">
        <f t="shared" si="26"/>
        <v>21.076000000000001</v>
      </c>
      <c r="Q194" s="1259">
        <f t="shared" si="26"/>
        <v>21.076000000000001</v>
      </c>
      <c r="R194" s="1273">
        <f t="shared" si="29"/>
        <v>13.346</v>
      </c>
      <c r="S194" s="1273">
        <f t="shared" si="27"/>
        <v>13.346</v>
      </c>
      <c r="U194" s="55"/>
    </row>
    <row r="197" spans="1:21" x14ac:dyDescent="0.35">
      <c r="A197" s="63" t="s">
        <v>1329</v>
      </c>
    </row>
    <row r="198" spans="1:21" x14ac:dyDescent="0.35">
      <c r="A198" s="1267" t="s">
        <v>43</v>
      </c>
      <c r="D198" s="1274">
        <v>0</v>
      </c>
      <c r="E198" s="1274">
        <v>0</v>
      </c>
      <c r="F198" s="1274">
        <v>2.3250000000000002</v>
      </c>
      <c r="G198" s="1274">
        <v>2.3250000000000002</v>
      </c>
      <c r="H198" s="1274">
        <v>2.3250000000000002</v>
      </c>
      <c r="I198" s="1274">
        <v>2.3250000000000002</v>
      </c>
      <c r="J198" s="1274">
        <v>5.5830000000000002</v>
      </c>
      <c r="K198" s="1274">
        <v>5.5830000000000002</v>
      </c>
      <c r="L198" s="1274">
        <v>5.5830000000000002</v>
      </c>
      <c r="M198" s="1274">
        <v>5.5830000000000002</v>
      </c>
      <c r="N198" s="1274">
        <v>8.0220000000000002</v>
      </c>
      <c r="O198" s="1274">
        <v>8.0220000000000002</v>
      </c>
      <c r="P198" s="1274"/>
      <c r="Q198" s="1274"/>
      <c r="R198" s="1274"/>
      <c r="S198" s="1274"/>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519</v>
      </c>
    </row>
    <row r="2" spans="1:6" ht="20.9" customHeight="1" x14ac:dyDescent="0.4">
      <c r="A2" s="1279" t="s">
        <v>520</v>
      </c>
      <c r="B2" s="1279" t="s">
        <v>521</v>
      </c>
      <c r="C2" s="1279" t="s">
        <v>522</v>
      </c>
      <c r="D2" s="1279" t="s">
        <v>523</v>
      </c>
    </row>
    <row r="3" spans="1:6" x14ac:dyDescent="0.35">
      <c r="A3" s="1280" t="s">
        <v>524</v>
      </c>
      <c r="B3" s="1073">
        <f>SUM(B4:B7)</f>
        <v>325</v>
      </c>
      <c r="E3" s="1557" t="s">
        <v>525</v>
      </c>
      <c r="F3" s="1557"/>
    </row>
    <row r="4" spans="1:6" x14ac:dyDescent="0.35">
      <c r="A4" s="966" t="s">
        <v>526</v>
      </c>
      <c r="B4" s="1073">
        <v>284</v>
      </c>
      <c r="E4" s="644" t="s">
        <v>42</v>
      </c>
      <c r="F4" s="644" t="s">
        <v>527</v>
      </c>
    </row>
    <row r="5" spans="1:6" x14ac:dyDescent="0.35">
      <c r="A5" s="966" t="s">
        <v>379</v>
      </c>
      <c r="B5" s="1073">
        <v>20</v>
      </c>
      <c r="E5" s="268" t="s">
        <v>138</v>
      </c>
      <c r="F5" s="268">
        <f>SUM(B11:B16)</f>
        <v>82</v>
      </c>
    </row>
    <row r="6" spans="1:6" x14ac:dyDescent="0.35">
      <c r="A6" s="966" t="s">
        <v>386</v>
      </c>
      <c r="B6" s="1073">
        <v>15</v>
      </c>
      <c r="E6" s="268" t="s">
        <v>40</v>
      </c>
      <c r="F6" s="268">
        <f>B23</f>
        <v>3</v>
      </c>
    </row>
    <row r="7" spans="1:6" x14ac:dyDescent="0.35">
      <c r="A7" s="966" t="s">
        <v>387</v>
      </c>
      <c r="B7" s="1073">
        <v>6</v>
      </c>
      <c r="E7" s="268" t="s">
        <v>309</v>
      </c>
      <c r="F7" s="268">
        <f>B27-B28</f>
        <v>29</v>
      </c>
    </row>
    <row r="8" spans="1:6" x14ac:dyDescent="0.35">
      <c r="A8" s="644" t="s">
        <v>528</v>
      </c>
      <c r="B8" s="1073">
        <v>121</v>
      </c>
      <c r="E8" s="268" t="s">
        <v>326</v>
      </c>
      <c r="F8" s="268">
        <f>B42</f>
        <v>2</v>
      </c>
    </row>
    <row r="9" spans="1:6" x14ac:dyDescent="0.35">
      <c r="A9" s="1281" t="s">
        <v>529</v>
      </c>
      <c r="B9" s="1073">
        <v>166</v>
      </c>
      <c r="E9" s="268" t="s">
        <v>530</v>
      </c>
      <c r="F9" s="268">
        <f>B18+B20+B21</f>
        <v>34</v>
      </c>
    </row>
    <row r="10" spans="1:6" x14ac:dyDescent="0.35">
      <c r="A10" s="1278" t="s">
        <v>531</v>
      </c>
      <c r="B10" s="1073">
        <v>82</v>
      </c>
      <c r="E10" s="644" t="s">
        <v>532</v>
      </c>
      <c r="F10" s="644" t="s">
        <v>533</v>
      </c>
    </row>
    <row r="11" spans="1:6" x14ac:dyDescent="0.35">
      <c r="A11" s="966" t="s">
        <v>534</v>
      </c>
      <c r="B11" s="1073">
        <v>54</v>
      </c>
      <c r="E11" s="268" t="s">
        <v>282</v>
      </c>
      <c r="F11" s="268">
        <f>B4</f>
        <v>284</v>
      </c>
    </row>
    <row r="12" spans="1:6" x14ac:dyDescent="0.35">
      <c r="A12" s="966" t="s">
        <v>535</v>
      </c>
      <c r="B12" s="1073">
        <v>20</v>
      </c>
      <c r="E12" s="268" t="s">
        <v>536</v>
      </c>
      <c r="F12" s="268">
        <f>B5</f>
        <v>20</v>
      </c>
    </row>
    <row r="13" spans="1:6" x14ac:dyDescent="0.35">
      <c r="A13" s="966" t="s">
        <v>537</v>
      </c>
      <c r="B13" s="1073">
        <v>4</v>
      </c>
      <c r="E13" s="268" t="s">
        <v>386</v>
      </c>
      <c r="F13" s="268">
        <f>B6</f>
        <v>15</v>
      </c>
    </row>
    <row r="14" spans="1:6" ht="27.65" customHeight="1" x14ac:dyDescent="0.35">
      <c r="A14" s="966" t="s">
        <v>538</v>
      </c>
      <c r="B14" s="1073">
        <v>2</v>
      </c>
      <c r="E14" s="399" t="s">
        <v>387</v>
      </c>
      <c r="F14" s="268">
        <f>B7</f>
        <v>6</v>
      </c>
    </row>
    <row r="15" spans="1:6" ht="27.65" customHeight="1" x14ac:dyDescent="0.35">
      <c r="A15" s="966" t="s">
        <v>539</v>
      </c>
      <c r="B15" s="1073">
        <v>1</v>
      </c>
      <c r="E15" s="399" t="s">
        <v>540</v>
      </c>
      <c r="F15" s="268">
        <f>B28</f>
        <v>15</v>
      </c>
    </row>
    <row r="16" spans="1:6" x14ac:dyDescent="0.35">
      <c r="A16" s="966" t="s">
        <v>541</v>
      </c>
      <c r="B16" s="1073">
        <v>1</v>
      </c>
      <c r="E16" s="268" t="s">
        <v>542</v>
      </c>
      <c r="F16" s="268">
        <f>B37</f>
        <v>12</v>
      </c>
    </row>
    <row r="17" spans="1:6" x14ac:dyDescent="0.35">
      <c r="A17" s="644" t="s">
        <v>543</v>
      </c>
      <c r="B17" s="1073">
        <v>72</v>
      </c>
      <c r="E17" s="268" t="s">
        <v>544</v>
      </c>
      <c r="F17" s="268">
        <f>B38</f>
        <v>10</v>
      </c>
    </row>
    <row r="18" spans="1:6" x14ac:dyDescent="0.35">
      <c r="A18" s="966" t="s">
        <v>545</v>
      </c>
      <c r="B18" s="1073">
        <v>22</v>
      </c>
      <c r="C18" s="268" t="s">
        <v>546</v>
      </c>
    </row>
    <row r="19" spans="1:6" x14ac:dyDescent="0.35">
      <c r="A19" s="966" t="s">
        <v>547</v>
      </c>
      <c r="B19" s="1073">
        <v>20</v>
      </c>
      <c r="C19" s="268" t="s">
        <v>97</v>
      </c>
    </row>
    <row r="20" spans="1:6" x14ac:dyDescent="0.35">
      <c r="A20" s="966" t="s">
        <v>548</v>
      </c>
      <c r="B20" s="1073">
        <v>8</v>
      </c>
      <c r="C20" s="268" t="s">
        <v>546</v>
      </c>
    </row>
    <row r="21" spans="1:6" x14ac:dyDescent="0.35">
      <c r="A21" s="966" t="s">
        <v>549</v>
      </c>
      <c r="B21" s="1073">
        <v>4</v>
      </c>
      <c r="C21" s="268" t="s">
        <v>42</v>
      </c>
    </row>
    <row r="22" spans="1:6" x14ac:dyDescent="0.35">
      <c r="A22" s="966" t="s">
        <v>550</v>
      </c>
      <c r="B22" s="1073">
        <v>4</v>
      </c>
      <c r="C22" s="268" t="s">
        <v>97</v>
      </c>
    </row>
    <row r="23" spans="1:6" x14ac:dyDescent="0.35">
      <c r="A23" s="966" t="s">
        <v>551</v>
      </c>
      <c r="B23" s="1073">
        <v>3</v>
      </c>
      <c r="C23" s="268" t="s">
        <v>552</v>
      </c>
    </row>
    <row r="24" spans="1:6" x14ac:dyDescent="0.35">
      <c r="A24" s="966" t="s">
        <v>553</v>
      </c>
      <c r="B24" s="1073">
        <v>3</v>
      </c>
      <c r="C24" s="268" t="s">
        <v>554</v>
      </c>
    </row>
    <row r="25" spans="1:6" x14ac:dyDescent="0.35">
      <c r="A25" s="1282" t="s">
        <v>555</v>
      </c>
      <c r="B25" s="1073">
        <v>3</v>
      </c>
      <c r="C25" s="268" t="s">
        <v>46</v>
      </c>
    </row>
    <row r="26" spans="1:6" x14ac:dyDescent="0.35">
      <c r="A26" s="966" t="s">
        <v>556</v>
      </c>
      <c r="B26" s="1073">
        <v>4</v>
      </c>
      <c r="C26" s="268" t="s">
        <v>557</v>
      </c>
    </row>
    <row r="27" spans="1:6" x14ac:dyDescent="0.35">
      <c r="A27" s="644" t="s">
        <v>309</v>
      </c>
      <c r="B27" s="1073">
        <v>44</v>
      </c>
    </row>
    <row r="28" spans="1:6" x14ac:dyDescent="0.35">
      <c r="A28" s="1275" t="s">
        <v>540</v>
      </c>
      <c r="B28" s="1276">
        <v>15</v>
      </c>
    </row>
    <row r="29" spans="1:6" x14ac:dyDescent="0.35">
      <c r="A29" s="966" t="s">
        <v>558</v>
      </c>
      <c r="B29" s="1073">
        <v>14</v>
      </c>
    </row>
    <row r="30" spans="1:6" x14ac:dyDescent="0.35">
      <c r="A30" s="966" t="s">
        <v>559</v>
      </c>
      <c r="B30" s="1073">
        <v>10</v>
      </c>
    </row>
    <row r="31" spans="1:6" x14ac:dyDescent="0.35">
      <c r="A31" s="966" t="s">
        <v>560</v>
      </c>
      <c r="B31" s="1073">
        <v>2</v>
      </c>
    </row>
    <row r="32" spans="1:6" x14ac:dyDescent="0.35">
      <c r="A32" s="966" t="s">
        <v>561</v>
      </c>
      <c r="B32" s="1073">
        <v>2</v>
      </c>
    </row>
    <row r="33" spans="1:6" x14ac:dyDescent="0.35">
      <c r="A33" s="966" t="s">
        <v>562</v>
      </c>
      <c r="B33" s="1073">
        <v>1</v>
      </c>
    </row>
    <row r="34" spans="1:6" x14ac:dyDescent="0.35">
      <c r="A34" s="644" t="s">
        <v>563</v>
      </c>
      <c r="B34" s="1073">
        <v>88</v>
      </c>
    </row>
    <row r="35" spans="1:6" x14ac:dyDescent="0.35">
      <c r="A35" s="1282" t="s">
        <v>564</v>
      </c>
      <c r="B35" s="1073">
        <v>26</v>
      </c>
    </row>
    <row r="36" spans="1:6" x14ac:dyDescent="0.35">
      <c r="A36" s="966" t="s">
        <v>565</v>
      </c>
      <c r="B36" s="1073">
        <v>25</v>
      </c>
    </row>
    <row r="37" spans="1:6" x14ac:dyDescent="0.35">
      <c r="A37" s="966" t="s">
        <v>542</v>
      </c>
      <c r="B37" s="1073">
        <v>12</v>
      </c>
      <c r="C37" s="268" t="s">
        <v>566</v>
      </c>
      <c r="E37" s="268" t="s">
        <v>567</v>
      </c>
      <c r="F37" s="268" t="s">
        <v>568</v>
      </c>
    </row>
    <row r="38" spans="1:6" x14ac:dyDescent="0.35">
      <c r="A38" s="966" t="s">
        <v>544</v>
      </c>
      <c r="B38" s="1073">
        <v>10</v>
      </c>
      <c r="C38" s="268" t="s">
        <v>566</v>
      </c>
      <c r="E38" s="268" t="s">
        <v>569</v>
      </c>
      <c r="F38" s="268" t="s">
        <v>570</v>
      </c>
    </row>
    <row r="39" spans="1:6" x14ac:dyDescent="0.35">
      <c r="A39" s="966" t="s">
        <v>571</v>
      </c>
      <c r="B39" s="1073">
        <v>7</v>
      </c>
      <c r="C39" s="268" t="s">
        <v>557</v>
      </c>
      <c r="E39" s="268" t="s">
        <v>572</v>
      </c>
      <c r="F39" s="268" t="s">
        <v>573</v>
      </c>
    </row>
    <row r="40" spans="1:6" x14ac:dyDescent="0.35">
      <c r="A40" s="966" t="s">
        <v>574</v>
      </c>
      <c r="B40" s="1073">
        <v>5</v>
      </c>
      <c r="C40" s="268" t="s">
        <v>97</v>
      </c>
      <c r="E40" s="268" t="s">
        <v>575</v>
      </c>
    </row>
    <row r="41" spans="1:6" x14ac:dyDescent="0.35">
      <c r="A41" s="966" t="s">
        <v>576</v>
      </c>
      <c r="B41" s="1073">
        <v>2</v>
      </c>
      <c r="C41" s="268" t="s">
        <v>557</v>
      </c>
      <c r="E41" s="268" t="s">
        <v>577</v>
      </c>
    </row>
    <row r="42" spans="1:6" x14ac:dyDescent="0.35">
      <c r="A42" s="966" t="s">
        <v>578</v>
      </c>
      <c r="B42" s="1073">
        <v>2</v>
      </c>
      <c r="C42" s="268" t="s">
        <v>546</v>
      </c>
      <c r="E42" s="1277" t="s">
        <v>579</v>
      </c>
    </row>
    <row r="43" spans="1:6" x14ac:dyDescent="0.35">
      <c r="A43" s="966" t="s">
        <v>580</v>
      </c>
      <c r="B43" s="1073">
        <v>0</v>
      </c>
      <c r="E43" s="268" t="s">
        <v>581</v>
      </c>
    </row>
    <row r="44" spans="1:6" x14ac:dyDescent="0.35">
      <c r="A44" s="644" t="s">
        <v>582</v>
      </c>
      <c r="B44" s="1073">
        <v>40</v>
      </c>
    </row>
    <row r="45" spans="1:6" x14ac:dyDescent="0.35">
      <c r="A45" s="1282" t="s">
        <v>583</v>
      </c>
      <c r="B45" s="1283">
        <v>21</v>
      </c>
    </row>
    <row r="46" spans="1:6" x14ac:dyDescent="0.35">
      <c r="A46" s="966" t="s">
        <v>584</v>
      </c>
      <c r="B46" s="1073">
        <v>6</v>
      </c>
    </row>
    <row r="47" spans="1:6" x14ac:dyDescent="0.35">
      <c r="A47" s="1282" t="s">
        <v>585</v>
      </c>
      <c r="B47" s="1283">
        <v>4</v>
      </c>
    </row>
    <row r="48" spans="1:6" x14ac:dyDescent="0.35">
      <c r="A48" s="966" t="s">
        <v>586</v>
      </c>
      <c r="B48" s="1073">
        <v>4</v>
      </c>
    </row>
    <row r="49" spans="1:2" x14ac:dyDescent="0.35">
      <c r="A49" s="1282" t="s">
        <v>587</v>
      </c>
      <c r="B49" s="1283">
        <v>3</v>
      </c>
    </row>
    <row r="50" spans="1:2" x14ac:dyDescent="0.35">
      <c r="A50" s="966" t="s">
        <v>588</v>
      </c>
      <c r="B50" s="1073">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794</v>
      </c>
      <c r="I1" s="1558"/>
      <c r="J1" s="1558"/>
      <c r="K1" s="1558"/>
    </row>
    <row r="2" spans="1:62" ht="13.4" customHeight="1" x14ac:dyDescent="0.35">
      <c r="A2" s="1295"/>
      <c r="O2" s="1321" t="s">
        <v>760</v>
      </c>
      <c r="P2" s="1564" t="s">
        <v>589</v>
      </c>
      <c r="Q2" s="1564"/>
      <c r="R2" s="1564"/>
      <c r="S2" s="1564"/>
      <c r="T2" s="1324"/>
      <c r="U2" s="1324"/>
      <c r="V2" s="1324"/>
      <c r="W2" s="1324"/>
      <c r="X2" s="1324"/>
      <c r="Y2" s="1559" t="s">
        <v>590</v>
      </c>
      <c r="Z2" s="1560"/>
      <c r="AA2" s="1560"/>
      <c r="AB2" s="1560"/>
      <c r="AC2" s="1560"/>
      <c r="AD2" s="1560"/>
      <c r="AE2" s="1324"/>
      <c r="AF2" s="1324"/>
      <c r="AG2" s="1561" t="s">
        <v>591</v>
      </c>
      <c r="AH2" s="1560"/>
      <c r="AI2" s="1560"/>
      <c r="AJ2" s="1563" t="s">
        <v>592</v>
      </c>
      <c r="AK2" s="1563"/>
      <c r="AL2" s="1563"/>
      <c r="AM2" s="1563"/>
      <c r="AN2" s="1563"/>
      <c r="AO2" s="1563"/>
      <c r="AP2" s="1563"/>
      <c r="AQ2" s="1563"/>
      <c r="AR2" s="1563"/>
      <c r="AS2" s="1563"/>
      <c r="AT2" s="1325"/>
      <c r="AU2" s="1562" t="s">
        <v>351</v>
      </c>
      <c r="AV2" s="1562"/>
      <c r="AW2" s="1562"/>
      <c r="AX2" s="1562"/>
      <c r="AY2" s="1562"/>
      <c r="AZ2" s="1562"/>
      <c r="BA2" s="1562"/>
      <c r="BB2" s="1306"/>
      <c r="BC2" s="1306"/>
      <c r="BD2" s="1306"/>
      <c r="BE2" s="1306"/>
      <c r="BF2" s="1306"/>
      <c r="BG2" s="1306"/>
      <c r="BH2" s="1306"/>
      <c r="BI2" s="1306"/>
      <c r="BJ2" s="1312" t="s">
        <v>593</v>
      </c>
    </row>
    <row r="3" spans="1:62" ht="43.4" customHeight="1" x14ac:dyDescent="0.35">
      <c r="A3" s="1296"/>
      <c r="B3" s="1296"/>
      <c r="C3" s="1296"/>
      <c r="D3" s="1296"/>
      <c r="E3" s="1296"/>
      <c r="F3" s="1296"/>
      <c r="G3" s="1296"/>
      <c r="H3" s="1296"/>
      <c r="I3" s="1296"/>
      <c r="J3" s="1296"/>
      <c r="K3" s="1296"/>
      <c r="L3" s="1296"/>
      <c r="M3" s="1296"/>
      <c r="N3" s="1296"/>
      <c r="O3" s="1322" t="s">
        <v>594</v>
      </c>
      <c r="P3" s="1305" t="s">
        <v>595</v>
      </c>
      <c r="Q3" s="1305" t="s">
        <v>596</v>
      </c>
      <c r="R3" s="1305" t="s">
        <v>597</v>
      </c>
      <c r="S3" s="1305" t="s">
        <v>598</v>
      </c>
      <c r="T3" s="1305" t="s">
        <v>599</v>
      </c>
      <c r="U3" s="1305" t="s">
        <v>600</v>
      </c>
      <c r="V3" s="1305" t="s">
        <v>601</v>
      </c>
      <c r="W3" s="1305" t="s">
        <v>602</v>
      </c>
      <c r="X3" s="1305" t="s">
        <v>603</v>
      </c>
      <c r="Y3" s="1305" t="s">
        <v>604</v>
      </c>
      <c r="Z3" s="1305"/>
      <c r="AA3" s="1305"/>
      <c r="AB3" s="1305"/>
      <c r="AC3" s="1305" t="s">
        <v>605</v>
      </c>
      <c r="AD3" s="1305" t="s">
        <v>606</v>
      </c>
      <c r="AE3" s="1305" t="s">
        <v>607</v>
      </c>
      <c r="AF3" s="1305" t="s">
        <v>608</v>
      </c>
      <c r="AG3" s="1305" t="s">
        <v>609</v>
      </c>
      <c r="AH3" s="1305" t="s">
        <v>610</v>
      </c>
      <c r="AI3" s="1305" t="s">
        <v>611</v>
      </c>
      <c r="AJ3" s="1305" t="s">
        <v>612</v>
      </c>
      <c r="AK3" s="1305" t="s">
        <v>613</v>
      </c>
      <c r="AL3" s="1305" t="s">
        <v>614</v>
      </c>
      <c r="AM3" s="1305" t="s">
        <v>615</v>
      </c>
      <c r="AN3" s="1305" t="s">
        <v>616</v>
      </c>
      <c r="AO3" s="1305" t="s">
        <v>617</v>
      </c>
      <c r="AP3" s="1305" t="s">
        <v>618</v>
      </c>
      <c r="AQ3" s="1318" t="s">
        <v>619</v>
      </c>
      <c r="AR3" s="1305" t="s">
        <v>620</v>
      </c>
      <c r="AS3" s="1305" t="s">
        <v>621</v>
      </c>
      <c r="AT3" s="1305" t="s">
        <v>622</v>
      </c>
      <c r="AU3" s="1305" t="s">
        <v>623</v>
      </c>
      <c r="AV3" s="1305" t="s">
        <v>624</v>
      </c>
      <c r="AW3" s="1305" t="s">
        <v>625</v>
      </c>
      <c r="AX3" s="1305" t="s">
        <v>626</v>
      </c>
      <c r="AY3" s="1305" t="s">
        <v>627</v>
      </c>
      <c r="AZ3" s="1305" t="s">
        <v>628</v>
      </c>
      <c r="BA3" s="1305" t="s">
        <v>605</v>
      </c>
      <c r="BB3" s="1313" t="s">
        <v>629</v>
      </c>
      <c r="BC3" s="1313" t="s">
        <v>630</v>
      </c>
      <c r="BD3" s="1313" t="s">
        <v>631</v>
      </c>
      <c r="BE3" s="1313" t="s">
        <v>632</v>
      </c>
      <c r="BF3" s="1313" t="s">
        <v>633</v>
      </c>
      <c r="BG3" s="1313" t="s">
        <v>634</v>
      </c>
      <c r="BH3" s="1313" t="s">
        <v>635</v>
      </c>
      <c r="BI3" s="1313" t="s">
        <v>636</v>
      </c>
      <c r="BJ3" s="1307" t="s">
        <v>637</v>
      </c>
    </row>
    <row r="4" spans="1:62" ht="63" customHeight="1" x14ac:dyDescent="0.35">
      <c r="A4" s="1316" t="s">
        <v>638</v>
      </c>
      <c r="B4" s="1295" t="s">
        <v>47</v>
      </c>
      <c r="C4" s="1295" t="s">
        <v>639</v>
      </c>
      <c r="D4" s="1295" t="s">
        <v>509</v>
      </c>
      <c r="E4" s="1295" t="s">
        <v>640</v>
      </c>
      <c r="F4" s="1295" t="s">
        <v>641</v>
      </c>
      <c r="G4" s="1295" t="s">
        <v>642</v>
      </c>
      <c r="H4" s="1295" t="s">
        <v>119</v>
      </c>
      <c r="I4" s="1302" t="s">
        <v>314</v>
      </c>
      <c r="J4" s="1302" t="s">
        <v>138</v>
      </c>
      <c r="K4" s="1302" t="s">
        <v>643</v>
      </c>
      <c r="L4" s="1300" t="s">
        <v>147</v>
      </c>
      <c r="M4" s="1295" t="s">
        <v>97</v>
      </c>
      <c r="N4" s="1295" t="s">
        <v>644</v>
      </c>
      <c r="O4" s="1323" t="s">
        <v>645</v>
      </c>
      <c r="P4" s="1313" t="s">
        <v>646</v>
      </c>
      <c r="Q4" s="1313" t="s">
        <v>647</v>
      </c>
      <c r="R4" s="1313" t="s">
        <v>648</v>
      </c>
      <c r="S4" s="1313" t="s">
        <v>649</v>
      </c>
      <c r="T4" s="1313" t="s">
        <v>650</v>
      </c>
      <c r="U4" s="1313" t="s">
        <v>651</v>
      </c>
      <c r="V4" s="1313" t="s">
        <v>652</v>
      </c>
      <c r="W4" s="1313" t="s">
        <v>653</v>
      </c>
      <c r="X4" s="1313" t="s">
        <v>654</v>
      </c>
      <c r="Y4" s="1313" t="s">
        <v>655</v>
      </c>
      <c r="Z4" s="1313" t="s">
        <v>656</v>
      </c>
      <c r="AA4" s="1313" t="s">
        <v>657</v>
      </c>
      <c r="AB4" s="1313" t="s">
        <v>658</v>
      </c>
      <c r="AC4" s="1313" t="s">
        <v>659</v>
      </c>
      <c r="AD4" s="1313" t="s">
        <v>660</v>
      </c>
      <c r="AE4" s="1313" t="s">
        <v>661</v>
      </c>
      <c r="AF4" s="1313" t="s">
        <v>662</v>
      </c>
      <c r="AG4" s="1313" t="s">
        <v>198</v>
      </c>
      <c r="AH4" s="1313" t="s">
        <v>199</v>
      </c>
      <c r="AI4" s="1313" t="s">
        <v>663</v>
      </c>
      <c r="AJ4" s="1313" t="s">
        <v>664</v>
      </c>
      <c r="AK4" s="1313" t="s">
        <v>665</v>
      </c>
      <c r="AL4" s="1313" t="s">
        <v>666</v>
      </c>
      <c r="AM4" s="1313" t="s">
        <v>667</v>
      </c>
      <c r="AN4" s="1313" t="s">
        <v>668</v>
      </c>
      <c r="AO4" s="1313" t="s">
        <v>669</v>
      </c>
      <c r="AP4" s="1313" t="s">
        <v>670</v>
      </c>
      <c r="AQ4" s="1314" t="s">
        <v>671</v>
      </c>
      <c r="AR4" s="1313" t="s">
        <v>672</v>
      </c>
      <c r="AS4" s="1313" t="s">
        <v>673</v>
      </c>
      <c r="AT4" s="1313" t="s">
        <v>674</v>
      </c>
      <c r="AU4" s="1313" t="s">
        <v>675</v>
      </c>
      <c r="AV4" s="1313" t="s">
        <v>676</v>
      </c>
      <c r="AW4" s="1313" t="s">
        <v>677</v>
      </c>
      <c r="AX4" s="1313" t="s">
        <v>678</v>
      </c>
      <c r="AY4" s="1313" t="s">
        <v>679</v>
      </c>
      <c r="AZ4" s="1313" t="s">
        <v>680</v>
      </c>
      <c r="BA4" s="1313"/>
      <c r="BB4" s="1313" t="s">
        <v>391</v>
      </c>
      <c r="BC4" s="1313" t="s">
        <v>681</v>
      </c>
      <c r="BD4" s="1313" t="s">
        <v>682</v>
      </c>
      <c r="BE4" s="1313" t="s">
        <v>683</v>
      </c>
      <c r="BF4" s="1313" t="s">
        <v>684</v>
      </c>
      <c r="BG4" s="1313" t="s">
        <v>685</v>
      </c>
      <c r="BH4" s="1313" t="s">
        <v>686</v>
      </c>
      <c r="BI4" s="1313" t="s">
        <v>687</v>
      </c>
      <c r="BJ4" s="1315" t="s">
        <v>688</v>
      </c>
    </row>
    <row r="5" spans="1:62" x14ac:dyDescent="0.35">
      <c r="A5" s="1297">
        <v>2021</v>
      </c>
      <c r="B5" s="1299">
        <f>Q5</f>
        <v>394.202</v>
      </c>
      <c r="C5" s="1299">
        <f>SUM(Y5:AB5)</f>
        <v>195.7</v>
      </c>
      <c r="D5" s="1299">
        <f>T5</f>
        <v>18.823</v>
      </c>
      <c r="E5" s="1299">
        <f>SUM(P5:S5)-B5</f>
        <v>0.77600000000001046</v>
      </c>
      <c r="F5" s="1299">
        <f>SUM(T5:AF5)-C5-L5-D5 - 28</f>
        <v>19.722000000000016</v>
      </c>
      <c r="G5" s="1299">
        <f>SUM(BB5:BI5)-BC5</f>
        <v>81.642999999999986</v>
      </c>
      <c r="H5" s="1299">
        <f>SUM(AG5:AI5)</f>
        <v>7.798</v>
      </c>
      <c r="I5" s="1299">
        <f>AJ5</f>
        <v>283.95749999999998</v>
      </c>
      <c r="J5" s="1299">
        <f>AL5</f>
        <v>12.347</v>
      </c>
      <c r="K5" s="1299">
        <f>SUM(AM5:AT5)</f>
        <v>29.628</v>
      </c>
      <c r="L5" s="1303">
        <f>103/4</f>
        <v>25.75</v>
      </c>
      <c r="M5" s="1299">
        <f t="shared" ref="M5:M16" si="0">SUM(AU5:BA5)</f>
        <v>31.939</v>
      </c>
      <c r="N5" s="1299">
        <f>AK5</f>
        <v>3.4</v>
      </c>
      <c r="O5" s="1326">
        <v>50</v>
      </c>
      <c r="P5" s="1320">
        <v>0.55000000000000004</v>
      </c>
      <c r="Q5" s="288">
        <v>394.202</v>
      </c>
      <c r="R5" s="1328">
        <v>0.14599999999999999</v>
      </c>
      <c r="S5" s="1328">
        <v>0.08</v>
      </c>
      <c r="T5" s="1328">
        <v>18.823</v>
      </c>
      <c r="U5" s="288">
        <v>19</v>
      </c>
      <c r="V5" s="1328">
        <v>11.481999999999999</v>
      </c>
      <c r="W5" s="891">
        <v>1.5580000000000001</v>
      </c>
      <c r="X5" s="891">
        <v>0.74</v>
      </c>
      <c r="Y5" s="288">
        <v>0.2</v>
      </c>
      <c r="Z5" s="288">
        <v>43.1</v>
      </c>
      <c r="AA5" s="288">
        <v>33.9</v>
      </c>
      <c r="AB5" s="288">
        <v>118.5</v>
      </c>
      <c r="AC5" s="288">
        <v>28</v>
      </c>
      <c r="AD5" s="891">
        <v>-2.0379999999999998</v>
      </c>
      <c r="AE5" s="288">
        <v>14.31</v>
      </c>
      <c r="AF5" s="1328">
        <v>0.42</v>
      </c>
      <c r="AG5" s="1328">
        <v>7.7279999999999998</v>
      </c>
      <c r="AH5" s="288">
        <v>7.0000000000000007E-2</v>
      </c>
      <c r="AI5" s="288">
        <v>0</v>
      </c>
      <c r="AJ5" s="288">
        <v>283.95749999999998</v>
      </c>
      <c r="AK5" s="1319">
        <v>3.4</v>
      </c>
      <c r="AL5" s="1319">
        <v>12.347</v>
      </c>
      <c r="AM5" s="1329">
        <v>0.28599999999999998</v>
      </c>
      <c r="AN5" s="1319">
        <v>2</v>
      </c>
      <c r="AO5" s="288">
        <v>0.81</v>
      </c>
      <c r="AP5" s="1319">
        <v>0.52100000000000002</v>
      </c>
      <c r="AQ5" s="1330">
        <v>10</v>
      </c>
      <c r="AR5" s="1319">
        <v>2.7</v>
      </c>
      <c r="AS5" s="1319">
        <v>0.751</v>
      </c>
      <c r="AT5" s="288">
        <v>12.56</v>
      </c>
      <c r="AU5" s="288">
        <v>0</v>
      </c>
      <c r="AV5" s="1319">
        <v>1.415</v>
      </c>
      <c r="AW5" s="1319">
        <v>10.51</v>
      </c>
      <c r="AX5" s="1319">
        <v>2.6</v>
      </c>
      <c r="AY5" s="288">
        <v>-0.33</v>
      </c>
      <c r="AZ5" s="1319">
        <v>17.744</v>
      </c>
      <c r="BA5" s="288">
        <v>0</v>
      </c>
      <c r="BB5" s="1319">
        <v>4.0999999999999996</v>
      </c>
      <c r="BC5" s="1319">
        <v>7.25</v>
      </c>
      <c r="BD5" s="1319">
        <v>48.4</v>
      </c>
      <c r="BE5" s="1328">
        <v>0.83</v>
      </c>
      <c r="BF5" s="891">
        <v>4.5110000000000001</v>
      </c>
      <c r="BG5" s="288">
        <v>3.0739999999999998</v>
      </c>
      <c r="BH5" s="1284">
        <v>-0.28399999999999997</v>
      </c>
      <c r="BI5" s="1319">
        <v>21.012</v>
      </c>
      <c r="BJ5" s="1308">
        <v>1.1599999999999999</v>
      </c>
    </row>
    <row r="6" spans="1:62" x14ac:dyDescent="0.35">
      <c r="A6" s="1297">
        <v>2022</v>
      </c>
      <c r="B6" s="1299">
        <f t="shared" ref="B6:B15" si="1">Q6</f>
        <v>17.465</v>
      </c>
      <c r="C6" s="1299">
        <f t="shared" ref="C6:C15" si="2">SUM(Y6:AB6)</f>
        <v>10.1</v>
      </c>
      <c r="D6" s="1299">
        <f t="shared" ref="D6:D15" si="3">T6</f>
        <v>2.5950000000000002</v>
      </c>
      <c r="E6" s="1299">
        <f t="shared" ref="E6:E15" si="4">SUM(P6:S6)-B6</f>
        <v>19.719000000000005</v>
      </c>
      <c r="F6" s="1299">
        <f>SUM(T6:AF6)-C6-L6-D6</f>
        <v>52.756999999999998</v>
      </c>
      <c r="G6" s="1299">
        <f t="shared" ref="G6:G16" si="5">SUM(BB6:BI6)-BC6</f>
        <v>110.24799999999999</v>
      </c>
      <c r="H6" s="1299">
        <f t="shared" ref="H6:H15" si="6">SUM(AG6:AI6)</f>
        <v>7.9489999999999998</v>
      </c>
      <c r="I6" s="1299">
        <f t="shared" ref="I6:I15" si="7">AJ6</f>
        <v>77.092500000000001</v>
      </c>
      <c r="J6" s="1299">
        <f t="shared" ref="J6:J15" si="8">AL6</f>
        <v>46.79</v>
      </c>
      <c r="K6" s="1299">
        <f t="shared" ref="K6:K16" si="9">SUM(AM6:AT6)</f>
        <v>35.671000000000006</v>
      </c>
      <c r="L6" s="1303">
        <v>0</v>
      </c>
      <c r="M6" s="1299">
        <f t="shared" si="0"/>
        <v>56.412999999999997</v>
      </c>
      <c r="N6" s="1299">
        <f t="shared" ref="N6:N15" si="10">AK6</f>
        <v>5.0999999999999996</v>
      </c>
      <c r="O6" s="1326">
        <v>55</v>
      </c>
      <c r="P6" s="1320">
        <v>15.61</v>
      </c>
      <c r="Q6" s="288">
        <v>17.465</v>
      </c>
      <c r="R6" s="1328">
        <v>0.317</v>
      </c>
      <c r="S6" s="1328">
        <v>3.7919999999999998</v>
      </c>
      <c r="T6" s="288">
        <v>2.5950000000000002</v>
      </c>
      <c r="U6" s="1319">
        <v>14.5</v>
      </c>
      <c r="V6" s="288">
        <v>25.070999999999998</v>
      </c>
      <c r="W6" s="891">
        <v>1.952</v>
      </c>
      <c r="X6" s="891">
        <v>0.61399999999999999</v>
      </c>
      <c r="Y6" s="1319">
        <v>0</v>
      </c>
      <c r="Z6" s="1319">
        <v>2.2999999999999998</v>
      </c>
      <c r="AA6" s="1319">
        <v>1.6</v>
      </c>
      <c r="AB6" s="1319">
        <v>6.2</v>
      </c>
      <c r="AC6" s="288">
        <v>0</v>
      </c>
      <c r="AD6" s="288">
        <v>1.31</v>
      </c>
      <c r="AE6" s="288">
        <v>8.61</v>
      </c>
      <c r="AF6" s="288">
        <v>0.7</v>
      </c>
      <c r="AG6" s="1328">
        <v>7.782</v>
      </c>
      <c r="AH6" s="288">
        <v>0.12</v>
      </c>
      <c r="AI6" s="288">
        <v>4.7E-2</v>
      </c>
      <c r="AJ6" s="288">
        <v>77.092500000000001</v>
      </c>
      <c r="AK6" s="1319">
        <v>5.0999999999999996</v>
      </c>
      <c r="AL6" s="1319">
        <v>46.79</v>
      </c>
      <c r="AM6" s="1284">
        <v>0.30499999999999999</v>
      </c>
      <c r="AN6" s="1319">
        <v>4.3</v>
      </c>
      <c r="AO6" s="891">
        <v>1.1000000000000001</v>
      </c>
      <c r="AP6" s="1319">
        <v>1.575</v>
      </c>
      <c r="AQ6" s="1330">
        <v>10</v>
      </c>
      <c r="AR6" s="1319">
        <v>4.5</v>
      </c>
      <c r="AS6" s="1319">
        <v>1.9810000000000001</v>
      </c>
      <c r="AT6" s="288">
        <v>11.91</v>
      </c>
      <c r="AU6" s="288">
        <v>0</v>
      </c>
      <c r="AV6" s="1319">
        <v>3.927</v>
      </c>
      <c r="AW6" s="1319">
        <v>4.2880000000000003</v>
      </c>
      <c r="AX6" s="1319">
        <v>3.7</v>
      </c>
      <c r="AY6" s="288">
        <v>-1.34</v>
      </c>
      <c r="AZ6" s="1319">
        <v>45.838000000000001</v>
      </c>
      <c r="BA6" s="288">
        <v>0</v>
      </c>
      <c r="BB6" s="1319">
        <v>11.3</v>
      </c>
      <c r="BC6" s="1319">
        <v>0</v>
      </c>
      <c r="BD6" s="1319">
        <v>1.1000000000000001</v>
      </c>
      <c r="BE6" s="1328">
        <v>1.75</v>
      </c>
      <c r="BF6" s="891">
        <v>1.7330000000000001</v>
      </c>
      <c r="BG6" s="891">
        <v>7.1440000000000001</v>
      </c>
      <c r="BH6" s="1285">
        <v>81.608999999999995</v>
      </c>
      <c r="BI6" s="1319">
        <v>5.6120000000000001</v>
      </c>
      <c r="BJ6" s="1308">
        <v>4.2</v>
      </c>
    </row>
    <row r="7" spans="1:62" x14ac:dyDescent="0.35">
      <c r="A7" s="1297">
        <v>2023</v>
      </c>
      <c r="B7" s="1299">
        <f t="shared" si="1"/>
        <v>0.48599999999999999</v>
      </c>
      <c r="C7" s="1299">
        <f t="shared" si="2"/>
        <v>0</v>
      </c>
      <c r="D7" s="1299">
        <f t="shared" si="3"/>
        <v>0.93700000000000006</v>
      </c>
      <c r="E7" s="1299">
        <f t="shared" si="4"/>
        <v>1.4159999999999999</v>
      </c>
      <c r="F7" s="1299">
        <f t="shared" ref="F7:F15" si="11">SUM(T7:AF7)-C7-L7-D7</f>
        <v>12</v>
      </c>
      <c r="G7" s="1299">
        <f t="shared" si="5"/>
        <v>12.726000000000001</v>
      </c>
      <c r="H7" s="1299">
        <f t="shared" si="6"/>
        <v>4.7519999999999998</v>
      </c>
      <c r="I7" s="1299">
        <f t="shared" si="7"/>
        <v>1</v>
      </c>
      <c r="J7" s="1299">
        <f t="shared" si="8"/>
        <v>38.595999999999997</v>
      </c>
      <c r="K7" s="1299">
        <f t="shared" si="9"/>
        <v>24.216000000000001</v>
      </c>
      <c r="L7" s="1303">
        <v>0</v>
      </c>
      <c r="M7" s="1299">
        <f t="shared" si="0"/>
        <v>15.652999999999999</v>
      </c>
      <c r="N7" s="1299">
        <f t="shared" si="10"/>
        <v>0</v>
      </c>
      <c r="O7" s="1326">
        <v>0.7</v>
      </c>
      <c r="P7" s="1320">
        <v>0.96</v>
      </c>
      <c r="Q7" s="288">
        <v>0.48599999999999999</v>
      </c>
      <c r="R7" s="1328">
        <v>0.45600000000000002</v>
      </c>
      <c r="S7" s="288">
        <v>0</v>
      </c>
      <c r="T7" s="1286">
        <v>0.93700000000000006</v>
      </c>
      <c r="U7" s="1319">
        <v>3</v>
      </c>
      <c r="V7" s="1328">
        <v>7.891</v>
      </c>
      <c r="W7" s="891">
        <v>0.61699999999999999</v>
      </c>
      <c r="X7" s="891">
        <v>8.4000000000000005E-2</v>
      </c>
      <c r="Y7" s="1319">
        <v>0</v>
      </c>
      <c r="Z7" s="1319">
        <v>0</v>
      </c>
      <c r="AA7" s="1319">
        <v>0</v>
      </c>
      <c r="AB7" s="1319">
        <v>0</v>
      </c>
      <c r="AC7" s="288">
        <v>0</v>
      </c>
      <c r="AD7" s="288">
        <v>0.318</v>
      </c>
      <c r="AE7" s="1328">
        <v>-0.11000000000000001</v>
      </c>
      <c r="AF7" s="288">
        <v>0.2</v>
      </c>
      <c r="AG7" s="1328">
        <v>4.6749999999999998</v>
      </c>
      <c r="AH7" s="288">
        <v>0.06</v>
      </c>
      <c r="AI7" s="288">
        <v>1.7000000000000001E-2</v>
      </c>
      <c r="AJ7" s="288">
        <v>1</v>
      </c>
      <c r="AK7" s="1319">
        <v>0</v>
      </c>
      <c r="AL7" s="1319">
        <v>38.595999999999997</v>
      </c>
      <c r="AM7" s="288">
        <v>0.14899999999999999</v>
      </c>
      <c r="AN7" s="1319">
        <v>1.2</v>
      </c>
      <c r="AO7" s="891">
        <v>0.53</v>
      </c>
      <c r="AP7" s="1319">
        <v>0.38100000000000001</v>
      </c>
      <c r="AQ7" s="1330">
        <v>8</v>
      </c>
      <c r="AR7" s="1319">
        <v>4.5</v>
      </c>
      <c r="AS7" s="1319">
        <v>0.76600000000000001</v>
      </c>
      <c r="AT7" s="288">
        <v>8.69</v>
      </c>
      <c r="AU7" s="288">
        <v>0</v>
      </c>
      <c r="AV7" s="1319">
        <v>1.93</v>
      </c>
      <c r="AW7" s="1319">
        <v>1.4379999999999999</v>
      </c>
      <c r="AX7" s="1319">
        <v>2.6</v>
      </c>
      <c r="AY7" s="891">
        <v>-2.48</v>
      </c>
      <c r="AZ7" s="1319">
        <v>12.164999999999999</v>
      </c>
      <c r="BA7" s="891">
        <v>0</v>
      </c>
      <c r="BB7" s="1319">
        <v>8.4</v>
      </c>
      <c r="BC7" s="1319">
        <v>0</v>
      </c>
      <c r="BD7" s="1319">
        <v>0.3</v>
      </c>
      <c r="BE7" s="1328">
        <v>1.8</v>
      </c>
      <c r="BF7" s="891">
        <v>0</v>
      </c>
      <c r="BG7" s="891">
        <v>0</v>
      </c>
      <c r="BH7" s="1284">
        <v>1.3759999999999999</v>
      </c>
      <c r="BI7" s="1319">
        <v>0.85</v>
      </c>
      <c r="BJ7" s="1308">
        <v>2.7</v>
      </c>
    </row>
    <row r="8" spans="1:62" x14ac:dyDescent="0.35">
      <c r="A8" s="1297">
        <v>2024</v>
      </c>
      <c r="B8" s="1299">
        <f t="shared" si="1"/>
        <v>0</v>
      </c>
      <c r="C8" s="1299">
        <f t="shared" si="2"/>
        <v>0</v>
      </c>
      <c r="D8" s="1299">
        <f t="shared" si="3"/>
        <v>0.16</v>
      </c>
      <c r="E8" s="1299">
        <f t="shared" si="4"/>
        <v>1.4790000000000001</v>
      </c>
      <c r="F8" s="1299">
        <f t="shared" si="11"/>
        <v>4.2219999999999995</v>
      </c>
      <c r="G8" s="1299">
        <f t="shared" si="5"/>
        <v>1.365</v>
      </c>
      <c r="H8" s="1299">
        <f t="shared" si="6"/>
        <v>4.637999999999999</v>
      </c>
      <c r="I8" s="1299">
        <f t="shared" si="7"/>
        <v>0</v>
      </c>
      <c r="J8" s="1299">
        <f t="shared" si="8"/>
        <v>31.911000000000001</v>
      </c>
      <c r="K8" s="1299">
        <f t="shared" si="9"/>
        <v>9.6430000000000007</v>
      </c>
      <c r="L8" s="1303">
        <v>0</v>
      </c>
      <c r="M8" s="1299">
        <f t="shared" si="0"/>
        <v>3.9320000000000004</v>
      </c>
      <c r="N8" s="1299">
        <f t="shared" si="10"/>
        <v>0</v>
      </c>
      <c r="O8" s="1326">
        <v>0.7</v>
      </c>
      <c r="P8" s="1320">
        <v>0.96</v>
      </c>
      <c r="Q8" s="1319">
        <v>0</v>
      </c>
      <c r="R8" s="1328">
        <v>0.51900000000000002</v>
      </c>
      <c r="S8" s="288">
        <v>0</v>
      </c>
      <c r="T8" s="1287">
        <v>0.16</v>
      </c>
      <c r="U8" s="1319">
        <v>2.8</v>
      </c>
      <c r="V8" s="288">
        <v>0.504</v>
      </c>
      <c r="W8" s="891">
        <v>0.47199999999999998</v>
      </c>
      <c r="X8" s="891">
        <v>2E-3</v>
      </c>
      <c r="Y8" s="1319">
        <v>0</v>
      </c>
      <c r="Z8" s="1319">
        <v>0</v>
      </c>
      <c r="AA8" s="1319">
        <v>0</v>
      </c>
      <c r="AB8" s="1319">
        <v>0</v>
      </c>
      <c r="AC8" s="288">
        <v>0</v>
      </c>
      <c r="AD8" s="288">
        <v>0.34399999999999997</v>
      </c>
      <c r="AE8" s="1328">
        <v>0</v>
      </c>
      <c r="AF8" s="1328">
        <v>0.1</v>
      </c>
      <c r="AG8" s="1328">
        <v>4.5739999999999998</v>
      </c>
      <c r="AH8" s="288">
        <v>0.06</v>
      </c>
      <c r="AI8" s="288">
        <v>4.0000000000000001E-3</v>
      </c>
      <c r="AJ8" s="288">
        <v>0</v>
      </c>
      <c r="AK8" s="1319">
        <v>0</v>
      </c>
      <c r="AL8" s="1319">
        <v>31.911000000000001</v>
      </c>
      <c r="AM8" s="288">
        <v>4.1000000000000002E-2</v>
      </c>
      <c r="AN8" s="1319">
        <v>0.4</v>
      </c>
      <c r="AO8" s="891">
        <v>0.41</v>
      </c>
      <c r="AP8" s="1319">
        <v>0.13100000000000001</v>
      </c>
      <c r="AQ8" s="1330">
        <v>0</v>
      </c>
      <c r="AR8" s="1319">
        <v>3</v>
      </c>
      <c r="AS8" s="1319">
        <v>0.30099999999999999</v>
      </c>
      <c r="AT8" s="891">
        <v>5.36</v>
      </c>
      <c r="AU8" s="288">
        <v>0</v>
      </c>
      <c r="AV8" s="1319">
        <v>0.79600000000000004</v>
      </c>
      <c r="AW8" s="1319">
        <v>0.27500000000000002</v>
      </c>
      <c r="AX8" s="1319">
        <v>1</v>
      </c>
      <c r="AY8" s="891">
        <v>-2.6</v>
      </c>
      <c r="AZ8" s="1319">
        <v>4.4610000000000003</v>
      </c>
      <c r="BA8" s="891">
        <v>0</v>
      </c>
      <c r="BB8" s="1319">
        <v>0.2</v>
      </c>
      <c r="BC8" s="1319">
        <v>0</v>
      </c>
      <c r="BD8" s="1319">
        <v>0</v>
      </c>
      <c r="BE8" s="1328">
        <v>1.95</v>
      </c>
      <c r="BF8" s="891">
        <v>0</v>
      </c>
      <c r="BG8" s="891">
        <v>0</v>
      </c>
      <c r="BH8" s="1284">
        <v>-0.875</v>
      </c>
      <c r="BI8" s="1319">
        <v>0.09</v>
      </c>
      <c r="BJ8" s="1309">
        <v>0.87</v>
      </c>
    </row>
    <row r="9" spans="1:62" x14ac:dyDescent="0.35">
      <c r="A9" s="1297">
        <v>2025</v>
      </c>
      <c r="B9" s="1299">
        <f t="shared" si="1"/>
        <v>0</v>
      </c>
      <c r="C9" s="1299">
        <f t="shared" si="2"/>
        <v>0</v>
      </c>
      <c r="D9" s="1299">
        <f t="shared" si="3"/>
        <v>3.3000000000000002E-2</v>
      </c>
      <c r="E9" s="1299">
        <f t="shared" si="4"/>
        <v>1.63</v>
      </c>
      <c r="F9" s="1299">
        <f t="shared" si="11"/>
        <v>2.3719999999999999</v>
      </c>
      <c r="G9" s="1299">
        <f t="shared" si="5"/>
        <v>-0.90100000000000025</v>
      </c>
      <c r="H9" s="1299">
        <f t="shared" si="6"/>
        <v>1.8800000000000001</v>
      </c>
      <c r="I9" s="1299">
        <f t="shared" si="7"/>
        <v>0</v>
      </c>
      <c r="J9" s="1299">
        <f t="shared" si="8"/>
        <v>23.099</v>
      </c>
      <c r="K9" s="1299">
        <f t="shared" si="9"/>
        <v>4.5789999999999997</v>
      </c>
      <c r="L9" s="1303">
        <v>0</v>
      </c>
      <c r="M9" s="1299">
        <f t="shared" si="0"/>
        <v>-0.74299999999999988</v>
      </c>
      <c r="N9" s="1299">
        <f t="shared" si="10"/>
        <v>0</v>
      </c>
      <c r="O9" s="1326">
        <v>0.7</v>
      </c>
      <c r="P9" s="1320">
        <v>1.06</v>
      </c>
      <c r="Q9" s="1319">
        <v>0</v>
      </c>
      <c r="R9" s="1328">
        <v>0.56999999999999995</v>
      </c>
      <c r="S9" s="288">
        <v>0</v>
      </c>
      <c r="T9" s="1288">
        <v>3.3000000000000002E-2</v>
      </c>
      <c r="U9" s="1319">
        <v>2</v>
      </c>
      <c r="V9" s="1288">
        <v>0</v>
      </c>
      <c r="W9" s="891">
        <v>0.21299999999999999</v>
      </c>
      <c r="X9" s="891">
        <v>2E-3</v>
      </c>
      <c r="Y9" s="1319">
        <v>0</v>
      </c>
      <c r="Z9" s="1319">
        <v>0</v>
      </c>
      <c r="AA9" s="1319">
        <v>0</v>
      </c>
      <c r="AB9" s="1319">
        <v>0</v>
      </c>
      <c r="AC9" s="288">
        <v>0</v>
      </c>
      <c r="AD9" s="288">
        <v>0.157</v>
      </c>
      <c r="AE9" s="1328">
        <v>0</v>
      </c>
      <c r="AF9" s="1328">
        <v>0</v>
      </c>
      <c r="AG9" s="288">
        <v>1.81</v>
      </c>
      <c r="AH9" s="288">
        <v>7.0000000000000007E-2</v>
      </c>
      <c r="AI9" s="288">
        <v>0</v>
      </c>
      <c r="AJ9" s="1319">
        <v>0</v>
      </c>
      <c r="AK9" s="1319">
        <v>0</v>
      </c>
      <c r="AL9" s="1319">
        <v>23.099</v>
      </c>
      <c r="AM9" s="288">
        <v>1.2999999999999999E-2</v>
      </c>
      <c r="AN9" s="1319">
        <v>0.3</v>
      </c>
      <c r="AO9" s="1317">
        <v>0.15</v>
      </c>
      <c r="AP9" s="1319">
        <v>0.112</v>
      </c>
      <c r="AQ9" s="1330">
        <v>0</v>
      </c>
      <c r="AR9" s="1319">
        <v>0.2</v>
      </c>
      <c r="AS9" s="1319">
        <v>7.3999999999999996E-2</v>
      </c>
      <c r="AT9" s="891">
        <v>3.73</v>
      </c>
      <c r="AU9" s="288">
        <v>0</v>
      </c>
      <c r="AV9" s="1319">
        <v>5.3999999999999999E-2</v>
      </c>
      <c r="AW9" s="1319">
        <v>0.13100000000000001</v>
      </c>
      <c r="AX9" s="1319">
        <v>0</v>
      </c>
      <c r="AY9" s="891">
        <v>-2.71</v>
      </c>
      <c r="AZ9" s="1319">
        <v>1.782</v>
      </c>
      <c r="BA9" s="891">
        <v>0</v>
      </c>
      <c r="BB9" s="1319">
        <v>0</v>
      </c>
      <c r="BC9" s="1319">
        <v>0</v>
      </c>
      <c r="BD9" s="1319">
        <v>0</v>
      </c>
      <c r="BE9" s="1328">
        <v>1.43</v>
      </c>
      <c r="BF9" s="891">
        <v>0</v>
      </c>
      <c r="BG9" s="891">
        <v>0</v>
      </c>
      <c r="BH9" s="1284">
        <v>-2.3410000000000002</v>
      </c>
      <c r="BI9" s="1319">
        <v>0.01</v>
      </c>
      <c r="BJ9" s="1309">
        <v>0.33</v>
      </c>
    </row>
    <row r="10" spans="1:62" x14ac:dyDescent="0.35">
      <c r="A10" s="1297">
        <v>2026</v>
      </c>
      <c r="B10" s="1299">
        <f t="shared" si="1"/>
        <v>0</v>
      </c>
      <c r="C10" s="1299">
        <f t="shared" si="2"/>
        <v>0</v>
      </c>
      <c r="D10" s="1299">
        <f t="shared" si="3"/>
        <v>3.2000000000000001E-2</v>
      </c>
      <c r="E10" s="1299">
        <f t="shared" si="4"/>
        <v>1.671</v>
      </c>
      <c r="F10" s="1299">
        <f t="shared" si="11"/>
        <v>0.49</v>
      </c>
      <c r="G10" s="1299">
        <f t="shared" si="5"/>
        <v>-2.1500000000000004</v>
      </c>
      <c r="H10" s="1299">
        <f t="shared" si="6"/>
        <v>1.446</v>
      </c>
      <c r="I10" s="1299">
        <f t="shared" si="7"/>
        <v>0</v>
      </c>
      <c r="J10" s="1299">
        <f t="shared" si="8"/>
        <v>10.766999999999999</v>
      </c>
      <c r="K10" s="1299">
        <f t="shared" si="9"/>
        <v>2.9130000000000003</v>
      </c>
      <c r="L10" s="1303"/>
      <c r="M10" s="1299">
        <f t="shared" si="0"/>
        <v>-21.606000000000002</v>
      </c>
      <c r="N10" s="1299">
        <f t="shared" si="10"/>
        <v>0</v>
      </c>
      <c r="O10" s="1326">
        <v>0.7</v>
      </c>
      <c r="P10" s="1320">
        <v>1.07</v>
      </c>
      <c r="Q10" s="1319">
        <v>0</v>
      </c>
      <c r="R10" s="1328">
        <v>0.60099999999999998</v>
      </c>
      <c r="S10" s="288">
        <v>0</v>
      </c>
      <c r="T10" s="1284">
        <v>3.2000000000000001E-2</v>
      </c>
      <c r="U10" s="1319">
        <v>0.3</v>
      </c>
      <c r="V10" s="1328">
        <v>0</v>
      </c>
      <c r="W10" s="891">
        <v>0.188</v>
      </c>
      <c r="X10" s="891">
        <v>2E-3</v>
      </c>
      <c r="Y10" s="1319">
        <v>0</v>
      </c>
      <c r="Z10" s="1319">
        <v>0</v>
      </c>
      <c r="AA10" s="1319">
        <v>0</v>
      </c>
      <c r="AB10" s="1319">
        <v>0</v>
      </c>
      <c r="AC10" s="288">
        <v>0</v>
      </c>
      <c r="AD10" s="288">
        <v>0</v>
      </c>
      <c r="AE10" s="288">
        <v>0</v>
      </c>
      <c r="AF10" s="1328">
        <v>0</v>
      </c>
      <c r="AG10" s="288">
        <v>1.3759999999999999</v>
      </c>
      <c r="AH10" s="288">
        <v>7.0000000000000007E-2</v>
      </c>
      <c r="AI10" s="288">
        <v>0</v>
      </c>
      <c r="AJ10" s="1289">
        <v>0</v>
      </c>
      <c r="AK10" s="1319">
        <v>0</v>
      </c>
      <c r="AL10" s="1319">
        <v>10.766999999999999</v>
      </c>
      <c r="AM10" s="288">
        <v>3.0000000000000001E-3</v>
      </c>
      <c r="AN10" s="1319">
        <v>0.2</v>
      </c>
      <c r="AO10" s="1317">
        <v>0.1</v>
      </c>
      <c r="AP10" s="1319">
        <v>0.05</v>
      </c>
      <c r="AQ10" s="1330">
        <v>0</v>
      </c>
      <c r="AR10" s="1319">
        <v>0</v>
      </c>
      <c r="AS10" s="1319">
        <v>0</v>
      </c>
      <c r="AT10" s="891">
        <v>2.56</v>
      </c>
      <c r="AU10" s="288">
        <v>0</v>
      </c>
      <c r="AV10" s="1319">
        <v>3.7999999999999999E-2</v>
      </c>
      <c r="AW10" s="1319">
        <v>2.5999999999999999E-2</v>
      </c>
      <c r="AX10" s="1319">
        <v>0</v>
      </c>
      <c r="AY10" s="891">
        <v>-2.6700000000000004</v>
      </c>
      <c r="AZ10" s="1319">
        <v>0</v>
      </c>
      <c r="BA10" s="891">
        <v>-19</v>
      </c>
      <c r="BB10" s="1319">
        <v>0</v>
      </c>
      <c r="BC10" s="1319">
        <v>0</v>
      </c>
      <c r="BD10" s="1319">
        <v>0</v>
      </c>
      <c r="BE10" s="891">
        <v>0.88</v>
      </c>
      <c r="BF10" s="891">
        <v>0</v>
      </c>
      <c r="BG10" s="891">
        <v>0</v>
      </c>
      <c r="BH10" s="288">
        <v>-2.8200000000000003</v>
      </c>
      <c r="BI10" s="1319">
        <v>-0.21</v>
      </c>
      <c r="BJ10" s="1309">
        <v>0.17</v>
      </c>
    </row>
    <row r="11" spans="1:62" x14ac:dyDescent="0.35">
      <c r="A11" s="1297">
        <v>2027</v>
      </c>
      <c r="B11" s="1299">
        <f t="shared" si="1"/>
        <v>0</v>
      </c>
      <c r="C11" s="1299">
        <f t="shared" si="2"/>
        <v>0</v>
      </c>
      <c r="D11" s="1299">
        <f t="shared" si="3"/>
        <v>3.2000000000000001E-2</v>
      </c>
      <c r="E11" s="1299">
        <f t="shared" si="4"/>
        <v>1.7130000000000001</v>
      </c>
      <c r="F11" s="1299">
        <f t="shared" si="11"/>
        <v>0</v>
      </c>
      <c r="G11" s="1299">
        <f t="shared" si="5"/>
        <v>-4.8169999999999993</v>
      </c>
      <c r="H11" s="1299">
        <f t="shared" si="6"/>
        <v>0.65699999999999992</v>
      </c>
      <c r="I11" s="1299">
        <f t="shared" si="7"/>
        <v>0</v>
      </c>
      <c r="J11" s="1299">
        <f t="shared" si="8"/>
        <v>4.0789999999999997</v>
      </c>
      <c r="K11" s="1299">
        <f t="shared" si="9"/>
        <v>2.46</v>
      </c>
      <c r="L11" s="1303"/>
      <c r="M11" s="1299">
        <f t="shared" si="0"/>
        <v>-14.713000000000001</v>
      </c>
      <c r="N11" s="1299">
        <f t="shared" si="10"/>
        <v>0</v>
      </c>
      <c r="O11" s="1326">
        <v>0.3</v>
      </c>
      <c r="P11" s="1320">
        <v>1.08</v>
      </c>
      <c r="Q11" s="1319">
        <v>0</v>
      </c>
      <c r="R11" s="1328">
        <v>0.63300000000000001</v>
      </c>
      <c r="S11" s="1287">
        <v>0</v>
      </c>
      <c r="T11" s="1319">
        <v>3.2000000000000001E-2</v>
      </c>
      <c r="U11" s="1319">
        <v>0</v>
      </c>
      <c r="V11" s="288">
        <v>0</v>
      </c>
      <c r="W11" s="891">
        <v>0</v>
      </c>
      <c r="X11" s="891">
        <v>0</v>
      </c>
      <c r="Y11" s="1319">
        <v>0</v>
      </c>
      <c r="Z11" s="1319">
        <v>0</v>
      </c>
      <c r="AA11" s="1319">
        <v>0</v>
      </c>
      <c r="AB11" s="1319">
        <v>0</v>
      </c>
      <c r="AC11" s="288">
        <v>0</v>
      </c>
      <c r="AD11" s="1328">
        <v>0</v>
      </c>
      <c r="AE11" s="288">
        <v>0</v>
      </c>
      <c r="AF11" s="1328">
        <v>0</v>
      </c>
      <c r="AG11" s="288">
        <v>0.57699999999999996</v>
      </c>
      <c r="AH11" s="288">
        <v>0.08</v>
      </c>
      <c r="AI11" s="288">
        <v>0</v>
      </c>
      <c r="AJ11" s="288">
        <v>0</v>
      </c>
      <c r="AK11" s="1319">
        <v>0</v>
      </c>
      <c r="AL11" s="1319">
        <v>4.0789999999999997</v>
      </c>
      <c r="AM11" s="1319">
        <v>0</v>
      </c>
      <c r="AN11" s="1319">
        <v>0.1</v>
      </c>
      <c r="AO11" s="1317">
        <v>0.1</v>
      </c>
      <c r="AP11" s="1319">
        <v>0.03</v>
      </c>
      <c r="AQ11" s="1330">
        <v>0</v>
      </c>
      <c r="AR11" s="1319">
        <v>0</v>
      </c>
      <c r="AS11" s="1319">
        <v>0</v>
      </c>
      <c r="AT11" s="1317">
        <v>2.23</v>
      </c>
      <c r="AU11" s="288">
        <v>0</v>
      </c>
      <c r="AV11" s="1319">
        <v>1.7000000000000001E-2</v>
      </c>
      <c r="AW11" s="1319">
        <v>0</v>
      </c>
      <c r="AX11" s="1319">
        <v>0</v>
      </c>
      <c r="AY11" s="891">
        <v>-2.73</v>
      </c>
      <c r="AZ11" s="1319">
        <v>0</v>
      </c>
      <c r="BA11" s="891">
        <v>-12</v>
      </c>
      <c r="BB11" s="1319">
        <v>0</v>
      </c>
      <c r="BC11" s="1319">
        <v>0</v>
      </c>
      <c r="BD11" s="1319">
        <v>0</v>
      </c>
      <c r="BE11" s="891">
        <v>0.28000000000000003</v>
      </c>
      <c r="BF11" s="891">
        <v>0</v>
      </c>
      <c r="BG11" s="891">
        <v>0</v>
      </c>
      <c r="BH11" s="1288">
        <v>-5.0069999999999997</v>
      </c>
      <c r="BI11" s="1319">
        <v>-0.09</v>
      </c>
      <c r="BJ11" s="1310">
        <v>0.06</v>
      </c>
    </row>
    <row r="12" spans="1:62" x14ac:dyDescent="0.35">
      <c r="A12" s="1297">
        <v>2028</v>
      </c>
      <c r="B12" s="1299">
        <f t="shared" si="1"/>
        <v>0</v>
      </c>
      <c r="C12" s="1299">
        <f t="shared" si="2"/>
        <v>0</v>
      </c>
      <c r="D12" s="1299">
        <f t="shared" si="3"/>
        <v>3.3000000000000002E-2</v>
      </c>
      <c r="E12" s="1299">
        <f t="shared" si="4"/>
        <v>1.7130000000000001</v>
      </c>
      <c r="F12" s="1299">
        <f t="shared" si="11"/>
        <v>0</v>
      </c>
      <c r="G12" s="1299">
        <f t="shared" si="5"/>
        <v>-5.0590000000000002</v>
      </c>
      <c r="H12" s="1299">
        <f t="shared" si="6"/>
        <v>-1.071</v>
      </c>
      <c r="I12" s="1299">
        <f t="shared" si="7"/>
        <v>0</v>
      </c>
      <c r="J12" s="1299">
        <f t="shared" si="8"/>
        <v>1.635</v>
      </c>
      <c r="K12" s="1299">
        <f t="shared" si="9"/>
        <v>1.81</v>
      </c>
      <c r="L12" s="1303"/>
      <c r="M12" s="1299">
        <f t="shared" si="0"/>
        <v>-2.7690000000000001</v>
      </c>
      <c r="N12" s="1299">
        <f t="shared" si="10"/>
        <v>0</v>
      </c>
      <c r="O12" s="1326">
        <v>0.3</v>
      </c>
      <c r="P12" s="1320">
        <v>1.08</v>
      </c>
      <c r="Q12" s="1319">
        <v>0</v>
      </c>
      <c r="R12" s="1328">
        <v>0.63300000000000001</v>
      </c>
      <c r="S12" s="1287">
        <v>0</v>
      </c>
      <c r="T12" s="1290">
        <v>3.3000000000000002E-2</v>
      </c>
      <c r="U12" s="1319">
        <v>0</v>
      </c>
      <c r="V12" s="288">
        <v>0</v>
      </c>
      <c r="W12" s="891">
        <v>0</v>
      </c>
      <c r="X12" s="891">
        <v>0</v>
      </c>
      <c r="Y12" s="1319">
        <v>0</v>
      </c>
      <c r="Z12" s="1319">
        <v>0</v>
      </c>
      <c r="AA12" s="1319">
        <v>0</v>
      </c>
      <c r="AB12" s="1319">
        <v>0</v>
      </c>
      <c r="AC12" s="288">
        <v>0</v>
      </c>
      <c r="AD12" s="288">
        <v>0</v>
      </c>
      <c r="AE12" s="288">
        <v>0</v>
      </c>
      <c r="AF12" s="288">
        <v>0</v>
      </c>
      <c r="AG12" s="288">
        <v>-1.151</v>
      </c>
      <c r="AH12" s="288">
        <v>0.08</v>
      </c>
      <c r="AI12" s="288">
        <v>0</v>
      </c>
      <c r="AJ12" s="288">
        <v>0</v>
      </c>
      <c r="AK12" s="1319">
        <v>0</v>
      </c>
      <c r="AL12" s="1319">
        <v>1.635</v>
      </c>
      <c r="AM12" s="1319">
        <v>0</v>
      </c>
      <c r="AN12" s="1319">
        <v>0.1</v>
      </c>
      <c r="AO12" s="891">
        <v>0</v>
      </c>
      <c r="AP12" s="1319">
        <v>0</v>
      </c>
      <c r="AQ12" s="1330">
        <v>0</v>
      </c>
      <c r="AR12" s="1319">
        <v>0</v>
      </c>
      <c r="AS12" s="1319">
        <v>0</v>
      </c>
      <c r="AT12" s="1317">
        <v>1.71</v>
      </c>
      <c r="AU12" s="288">
        <v>0</v>
      </c>
      <c r="AV12" s="1319">
        <v>1E-3</v>
      </c>
      <c r="AW12" s="1319">
        <v>0</v>
      </c>
      <c r="AX12" s="1319">
        <v>0</v>
      </c>
      <c r="AY12" s="891">
        <v>-2.77</v>
      </c>
      <c r="AZ12" s="1319">
        <v>0</v>
      </c>
      <c r="BA12" s="891">
        <v>0</v>
      </c>
      <c r="BB12" s="1319">
        <v>0</v>
      </c>
      <c r="BC12" s="1319">
        <v>0</v>
      </c>
      <c r="BD12" s="1319">
        <v>0</v>
      </c>
      <c r="BE12" s="891">
        <v>0.1</v>
      </c>
      <c r="BF12" s="891">
        <v>0</v>
      </c>
      <c r="BG12" s="891">
        <v>0</v>
      </c>
      <c r="BH12" s="1288">
        <v>-5.069</v>
      </c>
      <c r="BI12" s="1319">
        <v>-0.09</v>
      </c>
      <c r="BJ12" s="1310">
        <v>0.03</v>
      </c>
    </row>
    <row r="13" spans="1:62" x14ac:dyDescent="0.35">
      <c r="A13" s="1297">
        <v>2029</v>
      </c>
      <c r="B13" s="1299">
        <f t="shared" si="1"/>
        <v>0</v>
      </c>
      <c r="C13" s="1299">
        <f t="shared" si="2"/>
        <v>0</v>
      </c>
      <c r="D13" s="1299">
        <f t="shared" si="3"/>
        <v>3.3000000000000002E-2</v>
      </c>
      <c r="E13" s="1299">
        <f t="shared" si="4"/>
        <v>1.7130000000000001</v>
      </c>
      <c r="F13" s="1299">
        <f t="shared" si="11"/>
        <v>0</v>
      </c>
      <c r="G13" s="1299">
        <f t="shared" si="5"/>
        <v>-5.218</v>
      </c>
      <c r="H13" s="1299">
        <f t="shared" si="6"/>
        <v>-1.964</v>
      </c>
      <c r="I13" s="1299">
        <f t="shared" si="7"/>
        <v>0</v>
      </c>
      <c r="J13" s="1299">
        <f t="shared" si="8"/>
        <v>-1.7000000000000001E-2</v>
      </c>
      <c r="K13" s="1299">
        <f t="shared" si="9"/>
        <v>1</v>
      </c>
      <c r="L13" s="1303"/>
      <c r="M13" s="1299">
        <f t="shared" si="0"/>
        <v>-2.75</v>
      </c>
      <c r="N13" s="1299">
        <f t="shared" si="10"/>
        <v>0</v>
      </c>
      <c r="O13" s="1326">
        <v>0.3</v>
      </c>
      <c r="P13" s="1320">
        <v>1.08</v>
      </c>
      <c r="Q13" s="1319">
        <v>0</v>
      </c>
      <c r="R13" s="1328">
        <v>0.63300000000000001</v>
      </c>
      <c r="S13" s="1287">
        <v>0</v>
      </c>
      <c r="T13" s="288">
        <v>3.3000000000000002E-2</v>
      </c>
      <c r="U13" s="1319">
        <v>0</v>
      </c>
      <c r="V13" s="288">
        <v>0</v>
      </c>
      <c r="W13" s="891">
        <v>0</v>
      </c>
      <c r="X13" s="891">
        <v>0</v>
      </c>
      <c r="Y13" s="1319">
        <v>0</v>
      </c>
      <c r="Z13" s="1319">
        <v>0</v>
      </c>
      <c r="AA13" s="1319">
        <v>0</v>
      </c>
      <c r="AB13" s="1319">
        <v>0</v>
      </c>
      <c r="AC13" s="288">
        <v>0</v>
      </c>
      <c r="AD13" s="288">
        <v>0</v>
      </c>
      <c r="AE13" s="288">
        <v>0</v>
      </c>
      <c r="AF13" s="288">
        <v>0</v>
      </c>
      <c r="AG13" s="1319">
        <v>-2.044</v>
      </c>
      <c r="AH13" s="288">
        <v>0.08</v>
      </c>
      <c r="AI13" s="288">
        <v>0</v>
      </c>
      <c r="AJ13" s="1291">
        <v>0</v>
      </c>
      <c r="AK13" s="1319">
        <v>0</v>
      </c>
      <c r="AL13" s="1319">
        <v>-1.7000000000000001E-2</v>
      </c>
      <c r="AM13" s="1319">
        <v>0</v>
      </c>
      <c r="AN13" s="1319">
        <v>0</v>
      </c>
      <c r="AO13" s="891">
        <v>0</v>
      </c>
      <c r="AP13" s="1319">
        <v>0</v>
      </c>
      <c r="AQ13" s="1330">
        <v>0</v>
      </c>
      <c r="AR13" s="1319">
        <v>0</v>
      </c>
      <c r="AS13" s="1319">
        <v>0</v>
      </c>
      <c r="AT13" s="1317">
        <v>1</v>
      </c>
      <c r="AU13" s="288">
        <v>0</v>
      </c>
      <c r="AV13" s="1319">
        <v>0</v>
      </c>
      <c r="AW13" s="1319">
        <v>0</v>
      </c>
      <c r="AX13" s="1319">
        <v>0</v>
      </c>
      <c r="AY13" s="891">
        <v>-2.75</v>
      </c>
      <c r="AZ13" s="1319">
        <v>0</v>
      </c>
      <c r="BA13" s="891">
        <v>0</v>
      </c>
      <c r="BB13" s="1319">
        <v>0</v>
      </c>
      <c r="BC13" s="1319">
        <v>0</v>
      </c>
      <c r="BD13" s="1319">
        <v>0</v>
      </c>
      <c r="BE13" s="891">
        <v>0</v>
      </c>
      <c r="BF13" s="1292">
        <v>0</v>
      </c>
      <c r="BG13" s="891">
        <v>0</v>
      </c>
      <c r="BH13" s="1288">
        <v>-5.1180000000000003</v>
      </c>
      <c r="BI13" s="1319">
        <v>-0.1</v>
      </c>
      <c r="BJ13" s="1310">
        <v>0.01</v>
      </c>
    </row>
    <row r="14" spans="1:62" x14ac:dyDescent="0.35">
      <c r="A14" s="1297">
        <v>2030</v>
      </c>
      <c r="B14" s="1299">
        <f t="shared" si="1"/>
        <v>0</v>
      </c>
      <c r="C14" s="1299">
        <f t="shared" si="2"/>
        <v>0</v>
      </c>
      <c r="D14" s="1299">
        <f t="shared" si="3"/>
        <v>3.3000000000000002E-2</v>
      </c>
      <c r="E14" s="1299">
        <f t="shared" si="4"/>
        <v>1.8130000000000002</v>
      </c>
      <c r="F14" s="1299">
        <f t="shared" si="11"/>
        <v>0</v>
      </c>
      <c r="G14" s="1299">
        <f t="shared" si="5"/>
        <v>-5.9420000000000002</v>
      </c>
      <c r="H14" s="1299">
        <f t="shared" si="6"/>
        <v>-2.0210000000000004</v>
      </c>
      <c r="I14" s="1299">
        <f t="shared" si="7"/>
        <v>0</v>
      </c>
      <c r="J14" s="1299">
        <f t="shared" si="8"/>
        <v>-1.9E-2</v>
      </c>
      <c r="K14" s="1299">
        <f t="shared" si="9"/>
        <v>0.8</v>
      </c>
      <c r="L14" s="1303"/>
      <c r="M14" s="1299">
        <f t="shared" si="0"/>
        <v>-8.1189999999999998</v>
      </c>
      <c r="N14" s="1299">
        <f t="shared" si="10"/>
        <v>0</v>
      </c>
      <c r="O14" s="1326">
        <v>0.3</v>
      </c>
      <c r="P14" s="1320">
        <v>1.1800000000000002</v>
      </c>
      <c r="Q14" s="1319">
        <v>0</v>
      </c>
      <c r="R14" s="1328">
        <v>0.63300000000000001</v>
      </c>
      <c r="S14" s="1287">
        <v>0</v>
      </c>
      <c r="T14" s="288">
        <v>3.3000000000000002E-2</v>
      </c>
      <c r="U14" s="1319">
        <v>0</v>
      </c>
      <c r="V14" s="288">
        <v>0</v>
      </c>
      <c r="W14" s="891">
        <v>0</v>
      </c>
      <c r="X14" s="891">
        <v>0</v>
      </c>
      <c r="Y14" s="1319">
        <v>0</v>
      </c>
      <c r="Z14" s="1319">
        <v>0</v>
      </c>
      <c r="AA14" s="1319">
        <v>0</v>
      </c>
      <c r="AB14" s="1319">
        <v>0</v>
      </c>
      <c r="AC14" s="288">
        <v>0</v>
      </c>
      <c r="AD14" s="1328">
        <v>0</v>
      </c>
      <c r="AE14" s="1319">
        <v>0</v>
      </c>
      <c r="AF14" s="288">
        <v>0</v>
      </c>
      <c r="AG14" s="288">
        <v>-2.1110000000000002</v>
      </c>
      <c r="AH14" s="288">
        <v>0.09</v>
      </c>
      <c r="AI14" s="288">
        <v>0</v>
      </c>
      <c r="AJ14" s="1293">
        <v>0</v>
      </c>
      <c r="AK14" s="1319">
        <v>0</v>
      </c>
      <c r="AL14" s="1319">
        <v>-1.9E-2</v>
      </c>
      <c r="AM14" s="1319">
        <v>0</v>
      </c>
      <c r="AN14" s="1319">
        <v>0</v>
      </c>
      <c r="AO14" s="891">
        <v>0</v>
      </c>
      <c r="AP14" s="1319">
        <v>0</v>
      </c>
      <c r="AQ14" s="1330">
        <v>0</v>
      </c>
      <c r="AR14" s="1319">
        <v>0</v>
      </c>
      <c r="AS14" s="1319">
        <v>0</v>
      </c>
      <c r="AT14" s="891">
        <v>0.8</v>
      </c>
      <c r="AU14" s="288">
        <v>-5.4089999999999998</v>
      </c>
      <c r="AV14" s="1319">
        <v>0</v>
      </c>
      <c r="AW14" s="1319">
        <v>0</v>
      </c>
      <c r="AX14" s="1319">
        <v>0</v>
      </c>
      <c r="AY14" s="891">
        <v>-2.71</v>
      </c>
      <c r="AZ14" s="1319">
        <v>0</v>
      </c>
      <c r="BA14" s="891">
        <v>0</v>
      </c>
      <c r="BB14" s="1319">
        <v>0</v>
      </c>
      <c r="BC14" s="1319">
        <v>0</v>
      </c>
      <c r="BD14" s="1319">
        <v>0</v>
      </c>
      <c r="BE14" s="1319">
        <v>0</v>
      </c>
      <c r="BF14" s="891">
        <v>0</v>
      </c>
      <c r="BG14" s="891">
        <v>0</v>
      </c>
      <c r="BH14" s="288">
        <v>-5.8319999999999999</v>
      </c>
      <c r="BI14" s="1319">
        <v>-0.11</v>
      </c>
      <c r="BJ14" s="1309">
        <v>0.01</v>
      </c>
    </row>
    <row r="15" spans="1:62" ht="17.25" customHeight="1" x14ac:dyDescent="0.35">
      <c r="A15" s="1297">
        <v>2031</v>
      </c>
      <c r="B15" s="1299">
        <f t="shared" si="1"/>
        <v>0</v>
      </c>
      <c r="C15" s="1299">
        <f t="shared" si="2"/>
        <v>0</v>
      </c>
      <c r="D15" s="1299">
        <f t="shared" si="3"/>
        <v>0</v>
      </c>
      <c r="E15" s="1299">
        <f t="shared" si="4"/>
        <v>1.8230000000000002</v>
      </c>
      <c r="F15" s="1299">
        <f t="shared" si="11"/>
        <v>0</v>
      </c>
      <c r="G15" s="1299">
        <f t="shared" si="5"/>
        <v>-7.7250000000000005</v>
      </c>
      <c r="H15" s="1299">
        <f t="shared" si="6"/>
        <v>-2.4630000000000001</v>
      </c>
      <c r="I15" s="1299">
        <f t="shared" si="7"/>
        <v>0</v>
      </c>
      <c r="J15" s="1299">
        <f t="shared" si="8"/>
        <v>-1.9E-2</v>
      </c>
      <c r="K15" s="1299">
        <f t="shared" si="9"/>
        <v>0</v>
      </c>
      <c r="L15" s="1303"/>
      <c r="M15" s="1299">
        <f t="shared" si="0"/>
        <v>-3.0390000000000001</v>
      </c>
      <c r="N15" s="1299">
        <f t="shared" si="10"/>
        <v>0</v>
      </c>
      <c r="O15" s="1326">
        <v>0.3</v>
      </c>
      <c r="P15" s="1320">
        <v>1.1900000000000002</v>
      </c>
      <c r="Q15" s="1319">
        <v>0</v>
      </c>
      <c r="R15" s="1328">
        <v>0.63300000000000001</v>
      </c>
      <c r="S15" s="1287">
        <v>0</v>
      </c>
      <c r="T15" s="891">
        <v>0</v>
      </c>
      <c r="U15" s="1319">
        <v>0</v>
      </c>
      <c r="V15" s="1319">
        <v>0</v>
      </c>
      <c r="W15" s="891">
        <v>0</v>
      </c>
      <c r="X15" s="891">
        <v>0</v>
      </c>
      <c r="Y15" s="1319">
        <v>0</v>
      </c>
      <c r="Z15" s="1319">
        <v>0</v>
      </c>
      <c r="AA15" s="1319">
        <v>0</v>
      </c>
      <c r="AB15" s="1319">
        <v>0</v>
      </c>
      <c r="AC15" s="288">
        <v>0</v>
      </c>
      <c r="AD15" s="1319">
        <v>0</v>
      </c>
      <c r="AE15" s="288">
        <v>0</v>
      </c>
      <c r="AF15" s="288">
        <v>0</v>
      </c>
      <c r="AG15" s="288">
        <v>-2.5529999999999999</v>
      </c>
      <c r="AH15" s="288">
        <v>0.09</v>
      </c>
      <c r="AI15" s="288">
        <v>0</v>
      </c>
      <c r="AJ15" s="1294">
        <v>0</v>
      </c>
      <c r="AK15" s="1319">
        <v>0</v>
      </c>
      <c r="AL15" s="1319">
        <v>-1.9E-2</v>
      </c>
      <c r="AM15" s="1319">
        <v>0</v>
      </c>
      <c r="AN15" s="1319">
        <v>0</v>
      </c>
      <c r="AO15" s="891">
        <v>0</v>
      </c>
      <c r="AP15" s="1319">
        <v>0</v>
      </c>
      <c r="AQ15" s="1330">
        <v>0</v>
      </c>
      <c r="AR15" s="1319">
        <v>0</v>
      </c>
      <c r="AS15" s="1319">
        <v>0</v>
      </c>
      <c r="AT15" s="891">
        <v>0</v>
      </c>
      <c r="AU15" s="288">
        <v>-0.26900000000000002</v>
      </c>
      <c r="AV15" s="1319">
        <v>0</v>
      </c>
      <c r="AW15" s="1319">
        <v>0</v>
      </c>
      <c r="AX15" s="1319">
        <v>0</v>
      </c>
      <c r="AY15" s="891">
        <v>-2.77</v>
      </c>
      <c r="AZ15" s="1319">
        <v>0</v>
      </c>
      <c r="BA15" s="891">
        <v>0</v>
      </c>
      <c r="BB15" s="1319">
        <v>0</v>
      </c>
      <c r="BC15" s="1319">
        <v>0</v>
      </c>
      <c r="BD15" s="1319">
        <v>0</v>
      </c>
      <c r="BE15" s="1319">
        <v>0</v>
      </c>
      <c r="BF15" s="891">
        <v>0</v>
      </c>
      <c r="BG15" s="891">
        <v>0</v>
      </c>
      <c r="BH15" s="288">
        <v>-5.4350000000000005</v>
      </c>
      <c r="BI15" s="1319">
        <v>-2.29</v>
      </c>
      <c r="BJ15" s="1309">
        <v>0</v>
      </c>
    </row>
    <row r="16" spans="1:62" x14ac:dyDescent="0.35">
      <c r="A16" s="1298" t="s">
        <v>278</v>
      </c>
      <c r="B16" s="1298">
        <f>SUM(B5:B15)</f>
        <v>412.15299999999996</v>
      </c>
      <c r="C16" s="1298">
        <f>SUM(C5:C15)</f>
        <v>205.79999999999998</v>
      </c>
      <c r="D16" s="1298">
        <f>SUM(D5:D15)</f>
        <v>22.711000000000006</v>
      </c>
      <c r="E16" s="1298">
        <f t="shared" ref="E16:H16" si="12">SUM(E5:E15)</f>
        <v>35.466000000000015</v>
      </c>
      <c r="F16" s="1298">
        <f t="shared" si="12"/>
        <v>91.563000000000002</v>
      </c>
      <c r="G16" s="1299">
        <f t="shared" si="5"/>
        <v>174.17</v>
      </c>
      <c r="H16" s="1298">
        <f t="shared" si="12"/>
        <v>21.600999999999996</v>
      </c>
      <c r="I16" s="1303">
        <f t="shared" ref="I16" si="13">SUM(I5:I15)</f>
        <v>362.04999999999995</v>
      </c>
      <c r="J16" s="1303">
        <f t="shared" ref="J16" si="14">SUM(J5:J15)</f>
        <v>169.16899999999998</v>
      </c>
      <c r="K16" s="1299">
        <f t="shared" si="9"/>
        <v>112.72</v>
      </c>
      <c r="L16" s="1303">
        <f>SUM(L5:L15)</f>
        <v>25.75</v>
      </c>
      <c r="M16" s="1299">
        <f t="shared" si="0"/>
        <v>85.197999999999993</v>
      </c>
      <c r="N16" s="1299">
        <f>AK16</f>
        <v>8.5</v>
      </c>
      <c r="O16" s="1327">
        <f t="shared" ref="O16:BI16" si="15">SUM(O5:O15)</f>
        <v>109.3</v>
      </c>
      <c r="P16" s="1319">
        <f t="shared" si="15"/>
        <v>25.819999999999997</v>
      </c>
      <c r="Q16" s="1319">
        <f t="shared" si="15"/>
        <v>412.15299999999996</v>
      </c>
      <c r="R16" s="1319">
        <f t="shared" si="15"/>
        <v>5.774</v>
      </c>
      <c r="S16" s="1319">
        <f t="shared" si="15"/>
        <v>3.8719999999999999</v>
      </c>
      <c r="T16" s="1319">
        <f t="shared" si="15"/>
        <v>22.711000000000006</v>
      </c>
      <c r="U16" s="1319">
        <f t="shared" si="15"/>
        <v>41.599999999999994</v>
      </c>
      <c r="V16" s="1319">
        <f t="shared" si="15"/>
        <v>44.947999999999993</v>
      </c>
      <c r="W16" s="1319">
        <f t="shared" si="15"/>
        <v>5</v>
      </c>
      <c r="X16" s="1319">
        <f t="shared" si="15"/>
        <v>1.4440000000000002</v>
      </c>
      <c r="Y16" s="1319">
        <f t="shared" si="15"/>
        <v>0.2</v>
      </c>
      <c r="Z16" s="1319">
        <f t="shared" si="15"/>
        <v>45.4</v>
      </c>
      <c r="AA16" s="1319">
        <f t="shared" si="15"/>
        <v>35.5</v>
      </c>
      <c r="AB16" s="1319">
        <f t="shared" si="15"/>
        <v>124.7</v>
      </c>
      <c r="AC16" s="1319">
        <f t="shared" si="15"/>
        <v>28</v>
      </c>
      <c r="AD16" s="1319">
        <f t="shared" si="15"/>
        <v>9.100000000000022E-2</v>
      </c>
      <c r="AE16" s="1319">
        <f t="shared" si="15"/>
        <v>22.810000000000002</v>
      </c>
      <c r="AF16" s="1319">
        <f t="shared" si="15"/>
        <v>1.42</v>
      </c>
      <c r="AG16" s="1319">
        <f t="shared" si="15"/>
        <v>20.662999999999997</v>
      </c>
      <c r="AH16" s="1319">
        <f t="shared" si="15"/>
        <v>0.86999999999999988</v>
      </c>
      <c r="AI16" s="1319">
        <f t="shared" si="15"/>
        <v>6.8000000000000005E-2</v>
      </c>
      <c r="AJ16" s="1319">
        <f t="shared" si="15"/>
        <v>362.04999999999995</v>
      </c>
      <c r="AK16" s="1319">
        <f t="shared" ref="AK16:AO16" si="16">SUM(AK5:AK15)</f>
        <v>8.5</v>
      </c>
      <c r="AL16" s="1319">
        <f t="shared" si="16"/>
        <v>169.16899999999998</v>
      </c>
      <c r="AM16" s="1301">
        <f t="shared" si="16"/>
        <v>0.79700000000000004</v>
      </c>
      <c r="AN16" s="1319">
        <f t="shared" si="16"/>
        <v>8.6</v>
      </c>
      <c r="AO16" s="1319">
        <f t="shared" si="16"/>
        <v>3.2000000000000006</v>
      </c>
      <c r="AP16" s="1319">
        <f t="shared" si="15"/>
        <v>2.8000000000000003</v>
      </c>
      <c r="AQ16" s="1304">
        <f>SUM(AQ5:AQ15)</f>
        <v>28</v>
      </c>
      <c r="AR16" s="1319">
        <f>SUM(AR5:AR15)</f>
        <v>14.899999999999999</v>
      </c>
      <c r="AS16" s="1319">
        <f>SUM(AS5:AS15)</f>
        <v>3.8730000000000002</v>
      </c>
      <c r="AT16" s="1319">
        <f t="shared" ref="AT16" si="17">SUM(AT5:AT15)</f>
        <v>50.54999999999999</v>
      </c>
      <c r="AU16" s="1319">
        <f t="shared" si="15"/>
        <v>-5.6779999999999999</v>
      </c>
      <c r="AV16" s="1319">
        <f t="shared" si="15"/>
        <v>8.177999999999999</v>
      </c>
      <c r="AW16" s="1319">
        <f t="shared" si="15"/>
        <v>16.667999999999999</v>
      </c>
      <c r="AX16" s="1319">
        <f t="shared" si="15"/>
        <v>9.9</v>
      </c>
      <c r="AY16" s="1319">
        <f t="shared" si="15"/>
        <v>-25.860000000000003</v>
      </c>
      <c r="AZ16" s="1319">
        <f t="shared" si="15"/>
        <v>81.99</v>
      </c>
      <c r="BA16" s="1319">
        <v>0</v>
      </c>
      <c r="BB16" s="1319">
        <f t="shared" si="15"/>
        <v>24</v>
      </c>
      <c r="BC16" s="1319">
        <f t="shared" si="15"/>
        <v>7.25</v>
      </c>
      <c r="BD16" s="1319">
        <f t="shared" si="15"/>
        <v>49.8</v>
      </c>
      <c r="BE16" s="1319">
        <f t="shared" si="15"/>
        <v>9.02</v>
      </c>
      <c r="BF16" s="1319">
        <f t="shared" si="15"/>
        <v>6.2439999999999998</v>
      </c>
      <c r="BG16" s="1319">
        <f t="shared" si="15"/>
        <v>10.218</v>
      </c>
      <c r="BH16" s="1319">
        <f t="shared" si="15"/>
        <v>50.203999999999979</v>
      </c>
      <c r="BI16" s="1319">
        <f t="shared" si="15"/>
        <v>24.684000000000005</v>
      </c>
      <c r="BJ16" s="1311">
        <f>SUM(BJ5:BJ15)</f>
        <v>9.5399999999999991</v>
      </c>
    </row>
    <row r="17" spans="2:61" x14ac:dyDescent="0.35">
      <c r="R17" s="1328"/>
      <c r="S17" s="1328"/>
      <c r="W17" s="1328"/>
      <c r="X17" s="1328"/>
      <c r="AE17" s="1328"/>
      <c r="AF17" s="1328"/>
      <c r="AV17" s="1328"/>
      <c r="AW17" s="1328"/>
      <c r="AX17" s="1328"/>
      <c r="AY17" s="1328"/>
      <c r="AZ17" s="1328"/>
      <c r="BA17" s="1328"/>
      <c r="BC17" s="1328"/>
      <c r="BE17" s="1328"/>
      <c r="BF17" s="1328"/>
      <c r="BG17" s="1328"/>
    </row>
    <row r="18" spans="2:61" x14ac:dyDescent="0.35">
      <c r="R18" s="1328"/>
      <c r="S18" s="1328"/>
      <c r="W18" s="1328"/>
      <c r="X18" s="1328"/>
      <c r="AE18" s="1328"/>
      <c r="AF18" s="1328"/>
      <c r="AV18" s="1328"/>
      <c r="AW18" s="1328"/>
      <c r="AX18" s="1328"/>
      <c r="AY18" s="1328"/>
      <c r="AZ18" s="1328"/>
      <c r="BA18" s="1328"/>
      <c r="BC18" s="1328" t="s">
        <v>689</v>
      </c>
      <c r="BD18" s="1328" t="s">
        <v>689</v>
      </c>
      <c r="BE18" s="1328"/>
      <c r="BF18" s="1328" t="s">
        <v>689</v>
      </c>
      <c r="BG18" s="1328" t="s">
        <v>689</v>
      </c>
      <c r="BI18" s="1328" t="s">
        <v>689</v>
      </c>
    </row>
    <row r="19" spans="2:61" x14ac:dyDescent="0.35">
      <c r="B19" s="1331"/>
      <c r="C19" s="1331"/>
      <c r="D19" s="1331"/>
      <c r="E19" s="1331"/>
      <c r="F19" s="1331"/>
      <c r="H19" s="1331"/>
      <c r="I19" s="1331"/>
      <c r="J19" s="1331"/>
      <c r="K19" s="1331"/>
      <c r="M19" s="1331"/>
      <c r="N19" s="1331"/>
      <c r="R19" s="1328"/>
      <c r="S19" s="1328"/>
      <c r="W19" s="1328"/>
      <c r="X19" s="1328"/>
      <c r="AE19" s="1328"/>
      <c r="AF19" s="1328"/>
      <c r="AV19" s="1328"/>
      <c r="AW19" s="1328"/>
      <c r="AX19" s="1328"/>
      <c r="AY19" s="1328"/>
      <c r="AZ19" s="1328"/>
      <c r="BA19" s="1328"/>
      <c r="BC19" s="1328"/>
      <c r="BD19" t="s">
        <v>690</v>
      </c>
      <c r="BE19" s="1328"/>
      <c r="BF19" s="1328"/>
      <c r="BG19" s="1328"/>
    </row>
    <row r="20" spans="2:61" x14ac:dyDescent="0.35">
      <c r="R20" s="1328"/>
      <c r="S20" s="1328"/>
      <c r="W20" s="1328"/>
      <c r="X20" s="1328"/>
      <c r="AE20" s="1328"/>
      <c r="AF20" s="1328"/>
      <c r="AV20" s="1328"/>
      <c r="AW20" s="1328"/>
      <c r="AX20" s="1328"/>
      <c r="AY20" s="1328"/>
      <c r="AZ20" s="1328"/>
      <c r="BA20" s="1328"/>
      <c r="BC20" s="1328"/>
      <c r="BE20" s="1328"/>
      <c r="BF20" s="1328"/>
      <c r="BG20" s="1328"/>
    </row>
    <row r="21" spans="2:61" x14ac:dyDescent="0.35">
      <c r="R21" s="1328"/>
      <c r="S21" s="1328"/>
      <c r="W21" s="1328"/>
      <c r="X21" s="1328"/>
      <c r="AE21" s="1328"/>
      <c r="AF21" s="1328"/>
      <c r="AV21" s="1328"/>
      <c r="AW21" s="1328"/>
      <c r="AX21" s="1328"/>
      <c r="AY21" s="1328"/>
      <c r="AZ21" s="1328"/>
      <c r="BA21" s="1328"/>
      <c r="BC21" s="1328"/>
      <c r="BE21" s="1328"/>
      <c r="BF21" s="1328"/>
      <c r="BG21" s="1328"/>
    </row>
    <row r="22" spans="2:61" x14ac:dyDescent="0.35">
      <c r="B22" s="1331"/>
      <c r="R22" s="1328"/>
      <c r="S22" s="1328"/>
      <c r="W22" s="1328"/>
      <c r="X22" s="1328"/>
      <c r="AE22" s="1328"/>
      <c r="AF22" s="1328"/>
      <c r="AV22" s="1328"/>
      <c r="AW22" s="1328"/>
      <c r="AX22" s="1328"/>
      <c r="AY22" s="1328"/>
      <c r="AZ22" s="1328"/>
      <c r="BA22" s="1328"/>
      <c r="BC22" s="1328"/>
      <c r="BE22" s="1328"/>
      <c r="BF22" s="1328"/>
      <c r="BG22" s="1328"/>
    </row>
    <row r="23" spans="2:61" x14ac:dyDescent="0.35">
      <c r="B23" s="1331"/>
      <c r="R23" s="1328"/>
      <c r="S23" s="1328"/>
      <c r="W23" s="1328"/>
      <c r="X23" s="1328"/>
      <c r="AE23" s="1328"/>
      <c r="AF23" s="1328"/>
      <c r="AV23" s="1328"/>
      <c r="AW23" s="1328"/>
      <c r="AX23" s="1328"/>
      <c r="AY23" s="1328"/>
      <c r="AZ23" s="1328"/>
      <c r="BA23" s="1328"/>
      <c r="BC23" s="1328"/>
      <c r="BE23" s="1328"/>
      <c r="BF23" s="1328"/>
      <c r="BG23" s="1328"/>
    </row>
    <row r="24" spans="2:61" x14ac:dyDescent="0.35">
      <c r="B24" s="1331"/>
      <c r="R24" s="1328"/>
      <c r="S24" s="1328"/>
      <c r="W24" s="1328"/>
      <c r="X24" s="1328"/>
      <c r="AE24" s="1328"/>
      <c r="AF24" s="1328"/>
      <c r="AV24" s="1328"/>
      <c r="AW24" s="1328"/>
      <c r="AX24" s="1328"/>
      <c r="AY24" s="1328"/>
      <c r="AZ24" s="1328"/>
      <c r="BA24" s="1328"/>
      <c r="BC24" s="1328"/>
      <c r="BE24" s="1328"/>
      <c r="BF24" s="1328"/>
      <c r="BG24" s="1328"/>
    </row>
    <row r="25" spans="2:61" x14ac:dyDescent="0.35">
      <c r="B25" s="1331"/>
      <c r="R25" s="1328"/>
      <c r="S25" s="1328"/>
      <c r="W25" s="1328"/>
      <c r="X25" s="1328"/>
      <c r="AE25" s="1328"/>
      <c r="AF25" s="1328"/>
      <c r="AV25" s="1328"/>
      <c r="AW25" s="1328"/>
      <c r="AX25" s="1328"/>
      <c r="AY25" s="1328"/>
      <c r="AZ25" s="1328"/>
      <c r="BA25" s="1328"/>
      <c r="BC25" s="1328"/>
      <c r="BE25" s="1328"/>
      <c r="BF25" s="1328"/>
      <c r="BG25" s="1328"/>
    </row>
    <row r="26" spans="2:61" x14ac:dyDescent="0.35">
      <c r="B26" s="1331"/>
      <c r="R26" s="1328"/>
      <c r="S26" s="1328"/>
      <c r="W26" s="1328"/>
      <c r="X26" s="1328"/>
      <c r="AE26" s="1328"/>
      <c r="AF26" s="1328"/>
      <c r="AV26" s="1328"/>
      <c r="AW26" s="1328"/>
      <c r="AX26" s="1328"/>
      <c r="AY26" s="1328"/>
      <c r="AZ26" s="1328"/>
      <c r="BA26" s="1328"/>
      <c r="BC26" s="1328"/>
      <c r="BE26" s="1328"/>
      <c r="BF26" s="1328"/>
      <c r="BG26" s="1328"/>
    </row>
    <row r="27" spans="2:61" x14ac:dyDescent="0.35">
      <c r="B27" s="1331"/>
      <c r="R27" s="1328"/>
      <c r="S27" s="1328"/>
      <c r="W27" s="1328"/>
      <c r="X27" s="1328"/>
      <c r="AE27" s="1328"/>
      <c r="AF27" s="1328"/>
      <c r="AV27" s="1328"/>
      <c r="AW27" s="1328"/>
      <c r="AX27" s="1328"/>
      <c r="AY27" s="1328"/>
      <c r="AZ27" s="1328"/>
      <c r="BA27" s="1328"/>
      <c r="BC27" s="1328"/>
      <c r="BE27" s="1328"/>
      <c r="BF27" s="1328"/>
      <c r="BG27" s="1328"/>
    </row>
    <row r="28" spans="2:61" x14ac:dyDescent="0.35">
      <c r="B28" s="1331"/>
      <c r="R28" s="1328"/>
      <c r="S28" s="1328"/>
      <c r="W28" s="1328"/>
      <c r="X28" s="1328"/>
      <c r="AE28" s="1328"/>
      <c r="AF28" s="1328"/>
      <c r="AV28" s="1328"/>
      <c r="AW28" s="1328"/>
      <c r="AX28" s="1328"/>
      <c r="AY28" s="1328"/>
      <c r="AZ28" s="1328"/>
      <c r="BA28" s="1328"/>
      <c r="BC28" s="1328"/>
      <c r="BE28" s="1328"/>
      <c r="BF28" s="1328"/>
      <c r="BG28" s="1328"/>
    </row>
    <row r="29" spans="2:61" x14ac:dyDescent="0.35">
      <c r="R29" s="1328"/>
      <c r="S29" s="1328"/>
      <c r="W29" s="1328"/>
      <c r="X29" s="1328"/>
      <c r="AE29" s="1328"/>
      <c r="AF29" s="1328"/>
      <c r="AV29" s="1328"/>
      <c r="AW29" s="1328"/>
      <c r="AX29" s="1328"/>
      <c r="AY29" s="1328"/>
      <c r="AZ29" s="1328"/>
      <c r="BA29" s="1328"/>
      <c r="BC29" s="1328"/>
      <c r="BE29" s="1328"/>
      <c r="BF29" s="1328"/>
      <c r="BG29" s="1328"/>
    </row>
    <row r="30" spans="2:61" x14ac:dyDescent="0.35">
      <c r="R30" s="1328"/>
      <c r="S30" s="1328"/>
      <c r="W30" s="1328"/>
      <c r="X30" s="1328"/>
      <c r="AE30" s="1328"/>
      <c r="AF30" s="1328"/>
      <c r="AV30" s="1328"/>
      <c r="AW30" s="1328"/>
      <c r="AX30" s="1328"/>
      <c r="AY30" s="1328"/>
      <c r="AZ30" s="1328"/>
      <c r="BA30" s="1328"/>
      <c r="BC30" s="1328"/>
      <c r="BE30" s="1328"/>
      <c r="BF30" s="1328"/>
      <c r="BG30" s="1328"/>
    </row>
    <row r="31" spans="2:61" x14ac:dyDescent="0.35">
      <c r="R31" s="1328"/>
      <c r="S31" s="1328"/>
      <c r="W31" s="1328"/>
      <c r="X31" s="1328"/>
      <c r="AE31" s="1328"/>
      <c r="AF31" s="1328"/>
      <c r="AV31" s="1328"/>
      <c r="AW31" s="1328"/>
      <c r="AX31" s="1328"/>
      <c r="AY31" s="1328"/>
      <c r="AZ31" s="1328"/>
      <c r="BA31" s="1328"/>
      <c r="BC31" s="1328"/>
      <c r="BE31" s="1328"/>
      <c r="BF31" s="1328"/>
      <c r="BG31" s="1328"/>
    </row>
    <row r="32" spans="2:61" x14ac:dyDescent="0.35">
      <c r="R32" s="1328"/>
      <c r="S32" s="1328"/>
      <c r="W32" s="1328"/>
      <c r="X32" s="1328"/>
      <c r="AE32" s="1328"/>
      <c r="AF32" s="1328"/>
      <c r="AV32" s="1328"/>
      <c r="AW32" s="1328"/>
      <c r="AX32" s="1328"/>
      <c r="AY32" s="1328"/>
      <c r="AZ32" s="1328"/>
      <c r="BA32" s="1328"/>
      <c r="BC32" s="1328"/>
      <c r="BE32" s="1328"/>
      <c r="BF32" s="1328"/>
      <c r="BG32" s="1328"/>
    </row>
    <row r="33" spans="18:59" x14ac:dyDescent="0.35">
      <c r="R33" s="1328"/>
      <c r="S33" s="1328"/>
      <c r="W33" s="1328"/>
      <c r="X33" s="1328"/>
      <c r="AE33" s="1328"/>
      <c r="AF33" s="1328"/>
      <c r="AV33" s="1328"/>
      <c r="AW33" s="1328"/>
      <c r="AX33" s="1328"/>
      <c r="AY33" s="1328"/>
      <c r="AZ33" s="1328"/>
      <c r="BA33" s="1328"/>
      <c r="BC33" s="1328"/>
      <c r="BE33" s="1328"/>
      <c r="BF33" s="1328"/>
      <c r="BG33" s="1328"/>
    </row>
    <row r="34" spans="18:59" x14ac:dyDescent="0.35">
      <c r="R34" s="1328"/>
      <c r="S34" s="1328"/>
      <c r="W34" s="1328"/>
      <c r="X34" s="1328"/>
      <c r="AE34" s="1328"/>
      <c r="AF34" s="1328"/>
      <c r="AV34" s="1328"/>
      <c r="AW34" s="1328"/>
      <c r="AX34" s="1328"/>
      <c r="AY34" s="1328"/>
      <c r="AZ34" s="1328"/>
      <c r="BA34" s="1328"/>
      <c r="BC34" s="1328"/>
      <c r="BE34" s="1328"/>
      <c r="BF34" s="1328"/>
      <c r="BG34" s="1328"/>
    </row>
    <row r="35" spans="18:59" x14ac:dyDescent="0.35">
      <c r="R35" s="1328"/>
      <c r="S35" s="1328"/>
      <c r="W35" s="1328"/>
      <c r="X35" s="1328"/>
      <c r="AE35" s="1328"/>
      <c r="AF35" s="1328"/>
      <c r="AV35" s="1328"/>
      <c r="AW35" s="1328"/>
      <c r="AX35" s="1328"/>
      <c r="AY35" s="1328"/>
      <c r="AZ35" s="1328"/>
      <c r="BA35" s="1328"/>
      <c r="BC35" s="1328"/>
      <c r="BE35" s="1328"/>
      <c r="BF35" s="1328"/>
      <c r="BG35" s="1328"/>
    </row>
    <row r="36" spans="18:59" x14ac:dyDescent="0.35">
      <c r="R36" s="1328"/>
      <c r="S36" s="1328"/>
      <c r="W36" s="1328"/>
      <c r="X36" s="1328"/>
      <c r="AE36" s="1328"/>
      <c r="AF36" s="1328"/>
      <c r="AV36" s="1328"/>
      <c r="AW36" s="1328"/>
      <c r="AX36" s="1328"/>
      <c r="AY36" s="1328"/>
      <c r="AZ36" s="1328"/>
      <c r="BA36" s="1328"/>
      <c r="BC36" s="1328"/>
      <c r="BE36" s="1328"/>
      <c r="BF36" s="1328"/>
      <c r="BG36" s="1328"/>
    </row>
    <row r="37" spans="18:59" x14ac:dyDescent="0.35">
      <c r="R37" s="1328"/>
      <c r="S37" s="1328"/>
      <c r="W37" s="1328"/>
      <c r="X37" s="1328"/>
      <c r="AE37" s="1328"/>
      <c r="AF37" s="1328"/>
      <c r="AV37" s="1328"/>
      <c r="AW37" s="1328"/>
      <c r="AX37" s="1328"/>
      <c r="AY37" s="1328"/>
      <c r="AZ37" s="1328"/>
      <c r="BA37" s="1328"/>
      <c r="BC37" s="1328"/>
      <c r="BE37" s="1328"/>
      <c r="BF37" s="1328"/>
      <c r="BG37" s="1328"/>
    </row>
    <row r="38" spans="18:59" x14ac:dyDescent="0.35">
      <c r="R38" s="1328"/>
      <c r="S38" s="1328"/>
      <c r="W38" s="1328"/>
      <c r="X38" s="1328"/>
      <c r="AE38" s="1328"/>
      <c r="AF38" s="1328"/>
      <c r="AV38" s="1328"/>
      <c r="AW38" s="1328"/>
      <c r="AX38" s="1328"/>
      <c r="AY38" s="1328"/>
      <c r="AZ38" s="1328"/>
      <c r="BA38" s="1328"/>
      <c r="BC38" s="1328"/>
      <c r="BE38" s="1328"/>
      <c r="BF38" s="1328"/>
      <c r="BG38" s="1328"/>
    </row>
    <row r="39" spans="18:59" x14ac:dyDescent="0.35">
      <c r="R39" s="1328"/>
      <c r="S39" s="1328"/>
      <c r="W39" s="1328"/>
      <c r="X39" s="1328"/>
      <c r="AE39" s="1328"/>
      <c r="AF39" s="1328"/>
      <c r="AV39" s="1328"/>
      <c r="AW39" s="1328"/>
      <c r="AX39" s="1328"/>
      <c r="AY39" s="1328"/>
      <c r="AZ39" s="1328"/>
      <c r="BA39" s="1328"/>
      <c r="BC39" s="1328"/>
      <c r="BE39" s="1328"/>
      <c r="BF39" s="1328"/>
      <c r="BG39" s="1328"/>
    </row>
    <row r="40" spans="18:59" x14ac:dyDescent="0.35">
      <c r="R40" s="1328"/>
      <c r="S40" s="1328"/>
      <c r="W40" s="1328"/>
      <c r="X40" s="1328"/>
      <c r="AE40" s="1328"/>
      <c r="AF40" s="1328"/>
      <c r="AV40" s="1328"/>
      <c r="AW40" s="1328"/>
      <c r="AX40" s="1328"/>
      <c r="AY40" s="1328"/>
      <c r="AZ40" s="1328"/>
      <c r="BA40" s="1328"/>
      <c r="BC40" s="1328"/>
      <c r="BE40" s="1328"/>
      <c r="BF40" s="1328"/>
      <c r="BG40" s="1328"/>
    </row>
    <row r="41" spans="18:59" x14ac:dyDescent="0.35">
      <c r="R41" s="1328"/>
      <c r="S41" s="1328"/>
      <c r="W41" s="1328"/>
      <c r="X41" s="1328"/>
      <c r="AE41" s="1328"/>
      <c r="AF41" s="1328"/>
      <c r="AV41" s="1328"/>
      <c r="AW41" s="1328"/>
      <c r="AX41" s="1328"/>
      <c r="AY41" s="1328"/>
      <c r="AZ41" s="1328"/>
      <c r="BA41" s="1328"/>
      <c r="BC41" s="1328"/>
      <c r="BE41" s="1328"/>
      <c r="BF41" s="1328"/>
      <c r="BG41" s="1328"/>
    </row>
    <row r="42" spans="18:59" x14ac:dyDescent="0.35">
      <c r="R42" s="1328"/>
      <c r="S42" s="1328"/>
      <c r="W42" s="1328"/>
      <c r="X42" s="1328"/>
      <c r="AE42" s="1328"/>
      <c r="AF42" s="1328"/>
      <c r="AV42" s="1328"/>
      <c r="AW42" s="1328"/>
      <c r="AX42" s="1328"/>
      <c r="AY42" s="1328"/>
      <c r="AZ42" s="1328"/>
      <c r="BA42" s="1328"/>
      <c r="BC42" s="1328"/>
      <c r="BE42" s="1328"/>
      <c r="BF42" s="1328"/>
      <c r="BG42" s="1328"/>
    </row>
    <row r="43" spans="18:59" x14ac:dyDescent="0.35">
      <c r="R43" s="1328"/>
      <c r="S43" s="1328"/>
      <c r="W43" s="1328"/>
      <c r="X43" s="1328"/>
      <c r="AE43" s="1328"/>
      <c r="AF43" s="1328"/>
      <c r="AV43" s="1328"/>
      <c r="AW43" s="1328"/>
      <c r="AX43" s="1328"/>
      <c r="AY43" s="1328"/>
      <c r="AZ43" s="1328"/>
      <c r="BA43" s="1328"/>
      <c r="BC43" s="1328"/>
      <c r="BE43" s="1328"/>
      <c r="BF43" s="1328"/>
      <c r="BG43" s="1328"/>
    </row>
    <row r="44" spans="18:59" x14ac:dyDescent="0.35">
      <c r="R44" s="1328"/>
      <c r="S44" s="1328"/>
      <c r="W44" s="1328"/>
      <c r="X44" s="1328"/>
      <c r="AE44" s="1328"/>
      <c r="AF44" s="1328"/>
      <c r="AV44" s="1328"/>
      <c r="AW44" s="1328"/>
      <c r="AX44" s="1328"/>
      <c r="AY44" s="1328"/>
      <c r="AZ44" s="1328"/>
      <c r="BA44" s="1328"/>
      <c r="BC44" s="1328"/>
      <c r="BE44" s="1328"/>
      <c r="BF44" s="1328"/>
      <c r="BG44" s="1328"/>
    </row>
    <row r="45" spans="18:59" x14ac:dyDescent="0.35">
      <c r="R45" s="1328"/>
      <c r="S45" s="1328"/>
      <c r="W45" s="1328"/>
      <c r="X45" s="1328"/>
      <c r="AE45" s="1328"/>
      <c r="AF45" s="1328"/>
      <c r="AV45" s="1328"/>
      <c r="AW45" s="1328"/>
      <c r="AX45" s="1328"/>
      <c r="AY45" s="1328"/>
      <c r="AZ45" s="1328"/>
      <c r="BA45" s="1328"/>
      <c r="BC45" s="1328"/>
      <c r="BE45" s="1328"/>
      <c r="BF45" s="1328"/>
      <c r="BG45" s="1328"/>
    </row>
    <row r="46" spans="18:59" x14ac:dyDescent="0.35">
      <c r="R46" s="1328"/>
      <c r="S46" s="1328"/>
      <c r="W46" s="1328"/>
      <c r="X46" s="1328"/>
      <c r="AE46" s="1328"/>
      <c r="AF46" s="1328"/>
      <c r="AV46" s="1328"/>
      <c r="AW46" s="1328"/>
      <c r="AX46" s="1328"/>
      <c r="AY46" s="1328"/>
      <c r="AZ46" s="1328"/>
      <c r="BA46" s="1328"/>
      <c r="BC46" s="1328"/>
      <c r="BE46" s="1328"/>
      <c r="BF46" s="1328"/>
      <c r="BG46" s="1328"/>
    </row>
    <row r="47" spans="18:59" x14ac:dyDescent="0.35">
      <c r="R47" s="1328"/>
      <c r="S47" s="1328"/>
      <c r="W47" s="1328"/>
      <c r="X47" s="1328"/>
      <c r="AE47" s="1328"/>
      <c r="AF47" s="1328"/>
      <c r="AV47" s="1328"/>
      <c r="AW47" s="1328"/>
      <c r="AX47" s="1328"/>
      <c r="AY47" s="1328"/>
      <c r="AZ47" s="1328"/>
      <c r="BA47" s="1328"/>
      <c r="BC47" s="1328"/>
      <c r="BE47" s="1328"/>
      <c r="BF47" s="1328"/>
      <c r="BG47" s="1328"/>
    </row>
    <row r="48" spans="18:59" x14ac:dyDescent="0.35">
      <c r="R48" s="1328"/>
      <c r="S48" s="1328"/>
      <c r="W48" s="1328"/>
      <c r="X48" s="1328"/>
      <c r="AE48" s="1328"/>
      <c r="AF48" s="1328"/>
      <c r="AV48" s="1328"/>
      <c r="AW48" s="1328"/>
      <c r="AX48" s="1328"/>
      <c r="AY48" s="1328"/>
      <c r="AZ48" s="1328"/>
      <c r="BA48" s="1328"/>
      <c r="BC48" s="1328"/>
      <c r="BE48" s="1328"/>
      <c r="BF48" s="1328"/>
      <c r="BG48" s="1328"/>
    </row>
    <row r="49" spans="18:59" x14ac:dyDescent="0.35">
      <c r="R49" s="1328"/>
      <c r="S49" s="1328"/>
      <c r="W49" s="1328"/>
      <c r="X49" s="1328"/>
      <c r="AE49" s="1328"/>
      <c r="AF49" s="1328"/>
      <c r="AV49" s="1328"/>
      <c r="AW49" s="1328"/>
      <c r="AX49" s="1328"/>
      <c r="AY49" s="1328"/>
      <c r="AZ49" s="1328"/>
      <c r="BA49" s="1328"/>
      <c r="BC49" s="1328"/>
      <c r="BE49" s="1328"/>
      <c r="BF49" s="1328"/>
      <c r="BG49" s="1328"/>
    </row>
    <row r="50" spans="18:59" x14ac:dyDescent="0.35">
      <c r="R50" s="1328"/>
      <c r="S50" s="1328"/>
      <c r="W50" s="1328"/>
      <c r="X50" s="1328"/>
      <c r="AE50" s="1328"/>
      <c r="AF50" s="1328"/>
      <c r="AV50" s="1328"/>
      <c r="AW50" s="1328"/>
      <c r="AX50" s="1328"/>
      <c r="AY50" s="1328"/>
      <c r="AZ50" s="1328"/>
      <c r="BA50" s="1328"/>
      <c r="BC50" s="1328"/>
      <c r="BE50" s="1328"/>
      <c r="BF50" s="1328"/>
      <c r="BG50" s="1328"/>
    </row>
    <row r="51" spans="18:59" x14ac:dyDescent="0.35">
      <c r="R51" s="1328"/>
      <c r="S51" s="1328"/>
      <c r="W51" s="1328"/>
      <c r="X51" s="1328"/>
      <c r="AE51" s="1328"/>
      <c r="AF51" s="1328"/>
      <c r="AV51" s="1328"/>
      <c r="AW51" s="1328"/>
      <c r="AX51" s="1328"/>
      <c r="AY51" s="1328"/>
      <c r="AZ51" s="1328"/>
      <c r="BA51" s="1328"/>
      <c r="BC51" s="1328"/>
      <c r="BE51" s="1328"/>
      <c r="BF51" s="1328"/>
      <c r="BG51" s="1328"/>
    </row>
    <row r="52" spans="18:59" x14ac:dyDescent="0.35">
      <c r="R52" s="1328"/>
      <c r="S52" s="1328"/>
      <c r="W52" s="1328"/>
      <c r="X52" s="1328"/>
      <c r="AE52" s="1328"/>
      <c r="AF52" s="1328"/>
      <c r="AV52" s="1328"/>
      <c r="AW52" s="1328"/>
      <c r="AX52" s="1328"/>
      <c r="AY52" s="1328"/>
      <c r="AZ52" s="1328"/>
      <c r="BA52" s="1328"/>
      <c r="BC52" s="1328"/>
      <c r="BE52" s="1328"/>
      <c r="BF52" s="1328"/>
      <c r="BG52" s="1328"/>
    </row>
    <row r="53" spans="18:59" x14ac:dyDescent="0.35">
      <c r="R53" s="1328"/>
      <c r="S53" s="1328"/>
      <c r="W53" s="1328"/>
      <c r="X53" s="1328"/>
      <c r="AE53" s="1328"/>
      <c r="AF53" s="1328"/>
      <c r="AV53" s="1328"/>
      <c r="AW53" s="1328"/>
      <c r="AX53" s="1328"/>
      <c r="AY53" s="1328"/>
      <c r="AZ53" s="1328"/>
      <c r="BA53" s="1328"/>
      <c r="BC53" s="1328"/>
      <c r="BE53" s="1328"/>
      <c r="BF53" s="1328"/>
      <c r="BG53" s="1328"/>
    </row>
    <row r="54" spans="18:59" x14ac:dyDescent="0.35">
      <c r="R54" s="1328"/>
      <c r="S54" s="1328"/>
      <c r="W54" s="1328"/>
      <c r="X54" s="1328"/>
      <c r="AE54" s="1328"/>
      <c r="AF54" s="1328"/>
      <c r="AV54" s="1328"/>
      <c r="AW54" s="1328"/>
      <c r="AX54" s="1328"/>
      <c r="AY54" s="1328"/>
      <c r="AZ54" s="1328"/>
      <c r="BA54" s="1328"/>
      <c r="BC54" s="1328"/>
      <c r="BE54" s="1328"/>
      <c r="BF54" s="1328"/>
      <c r="BG54" s="1328"/>
    </row>
    <row r="55" spans="18:59" x14ac:dyDescent="0.35">
      <c r="R55" s="1328"/>
      <c r="S55" s="1328"/>
      <c r="W55" s="1328"/>
      <c r="X55" s="1328"/>
      <c r="AE55" s="1328"/>
      <c r="AF55" s="1328"/>
      <c r="AV55" s="1328"/>
      <c r="AW55" s="1328"/>
      <c r="AX55" s="1328"/>
      <c r="AY55" s="1328"/>
      <c r="AZ55" s="1328"/>
      <c r="BA55" s="1328"/>
      <c r="BC55" s="1328"/>
      <c r="BE55" s="1328"/>
      <c r="BF55" s="1328"/>
      <c r="BG55" s="1328"/>
    </row>
    <row r="56" spans="18:59" x14ac:dyDescent="0.35">
      <c r="R56" s="1328"/>
      <c r="S56" s="1328"/>
      <c r="W56" s="1328"/>
      <c r="X56" s="1328"/>
      <c r="AE56" s="1328"/>
      <c r="AF56" s="1328"/>
      <c r="AV56" s="1328"/>
      <c r="AW56" s="1328"/>
      <c r="AX56" s="1328"/>
      <c r="AY56" s="1328"/>
      <c r="AZ56" s="1328"/>
      <c r="BA56" s="1328"/>
      <c r="BC56" s="1328"/>
      <c r="BE56" s="1328"/>
      <c r="BF56" s="1328"/>
      <c r="BG56" s="1328"/>
    </row>
    <row r="57" spans="18:59" x14ac:dyDescent="0.35">
      <c r="R57" s="1328"/>
      <c r="S57" s="1328"/>
      <c r="W57" s="1328"/>
      <c r="X57" s="1328"/>
      <c r="AE57" s="1328"/>
      <c r="AF57" s="1328"/>
      <c r="AV57" s="1328"/>
      <c r="AW57" s="1328"/>
      <c r="AX57" s="1328"/>
      <c r="AY57" s="1328"/>
      <c r="AZ57" s="1328"/>
      <c r="BA57" s="1328"/>
      <c r="BC57" s="1328"/>
      <c r="BE57" s="1328"/>
      <c r="BF57" s="1328"/>
      <c r="BG57" s="1328"/>
    </row>
    <row r="58" spans="18:59" x14ac:dyDescent="0.35">
      <c r="R58" s="1328"/>
      <c r="S58" s="1328"/>
      <c r="W58" s="1328"/>
      <c r="X58" s="1328"/>
      <c r="AE58" s="1328"/>
      <c r="AF58" s="1328"/>
      <c r="AV58" s="1328"/>
      <c r="AW58" s="1328"/>
      <c r="AX58" s="1328"/>
      <c r="AY58" s="1328"/>
      <c r="AZ58" s="1328"/>
      <c r="BA58" s="1328"/>
      <c r="BC58" s="1328"/>
      <c r="BE58" s="1328"/>
      <c r="BF58" s="1328"/>
      <c r="BG58" s="1328"/>
    </row>
    <row r="59" spans="18:59" x14ac:dyDescent="0.35">
      <c r="R59" s="1328"/>
      <c r="S59" s="1328"/>
      <c r="W59" s="1328"/>
      <c r="X59" s="1328"/>
      <c r="AE59" s="1328"/>
      <c r="AF59" s="1328"/>
      <c r="AV59" s="1328"/>
      <c r="AW59" s="1328"/>
      <c r="AX59" s="1328"/>
      <c r="AY59" s="1328"/>
      <c r="AZ59" s="1328"/>
      <c r="BA59" s="1328"/>
      <c r="BC59" s="1328"/>
      <c r="BE59" s="1328"/>
      <c r="BF59" s="1328"/>
      <c r="BG59" s="1328"/>
    </row>
    <row r="60" spans="18:59" x14ac:dyDescent="0.35">
      <c r="R60" s="1328"/>
      <c r="S60" s="1328"/>
      <c r="W60" s="1328"/>
      <c r="X60" s="1328"/>
      <c r="AE60" s="1328"/>
      <c r="AF60" s="1328"/>
      <c r="AV60" s="1328"/>
      <c r="AW60" s="1328"/>
      <c r="AX60" s="1328"/>
      <c r="AY60" s="1328"/>
      <c r="AZ60" s="1328"/>
      <c r="BA60" s="1328"/>
      <c r="BC60" s="1328"/>
      <c r="BE60" s="1328"/>
      <c r="BF60" s="1328"/>
      <c r="BG60" s="1328"/>
    </row>
    <row r="61" spans="18:59" x14ac:dyDescent="0.35">
      <c r="R61" s="1328"/>
      <c r="S61" s="1328"/>
      <c r="W61" s="1328"/>
      <c r="X61" s="1328"/>
      <c r="AE61" s="1328"/>
      <c r="AF61" s="1328"/>
      <c r="AV61" s="1328"/>
      <c r="AW61" s="1328"/>
      <c r="AX61" s="1328"/>
      <c r="AY61" s="1328"/>
      <c r="AZ61" s="1328"/>
      <c r="BA61" s="1328"/>
      <c r="BC61" s="1328"/>
      <c r="BE61" s="1328"/>
      <c r="BF61" s="1328"/>
      <c r="BG61" s="1328"/>
    </row>
    <row r="62" spans="18:59" x14ac:dyDescent="0.35">
      <c r="R62" s="1328"/>
      <c r="S62" s="1328"/>
      <c r="W62" s="1328"/>
      <c r="X62" s="1328"/>
      <c r="AE62" s="1328"/>
      <c r="AF62" s="1328"/>
      <c r="AV62" s="1328"/>
      <c r="AW62" s="1328"/>
      <c r="AX62" s="1328"/>
      <c r="AY62" s="1328"/>
      <c r="AZ62" s="1328"/>
      <c r="BA62" s="1328"/>
      <c r="BC62" s="1328"/>
      <c r="BE62" s="1328"/>
      <c r="BF62" s="1328"/>
      <c r="BG62" s="1328"/>
    </row>
    <row r="63" spans="18:59" x14ac:dyDescent="0.35">
      <c r="R63" s="1328"/>
      <c r="S63" s="1328"/>
      <c r="W63" s="1328"/>
      <c r="X63" s="1328"/>
      <c r="AE63" s="1328"/>
      <c r="AF63" s="1328"/>
      <c r="AV63" s="1328"/>
      <c r="AW63" s="1328"/>
      <c r="AX63" s="1328"/>
      <c r="AY63" s="1328"/>
      <c r="AZ63" s="1328"/>
      <c r="BA63" s="1328"/>
      <c r="BC63" s="1328"/>
      <c r="BE63" s="1328"/>
      <c r="BF63" s="1328"/>
      <c r="BG63" s="1328"/>
    </row>
    <row r="64" spans="18:59" x14ac:dyDescent="0.35">
      <c r="R64" s="1328"/>
      <c r="S64" s="1328"/>
      <c r="W64" s="1328"/>
      <c r="X64" s="1328"/>
      <c r="AE64" s="1328"/>
      <c r="AF64" s="1328"/>
      <c r="AV64" s="1328"/>
      <c r="AW64" s="1328"/>
      <c r="AX64" s="1328"/>
      <c r="AY64" s="1328"/>
      <c r="AZ64" s="1328"/>
      <c r="BA64" s="1328"/>
      <c r="BC64" s="1328"/>
      <c r="BE64" s="1328"/>
      <c r="BF64" s="1328"/>
      <c r="BG64" s="1328"/>
    </row>
    <row r="65" spans="18:59" x14ac:dyDescent="0.35">
      <c r="R65" s="1328"/>
      <c r="S65" s="1328"/>
      <c r="W65" s="1328"/>
      <c r="X65" s="1328"/>
      <c r="AE65" s="1328"/>
      <c r="AF65" s="1328"/>
      <c r="AV65" s="1328"/>
      <c r="AW65" s="1328"/>
      <c r="AX65" s="1328"/>
      <c r="AY65" s="1328"/>
      <c r="AZ65" s="1328"/>
      <c r="BA65" s="1328"/>
      <c r="BC65" s="1328"/>
      <c r="BE65" s="1328"/>
      <c r="BF65" s="1328"/>
      <c r="BG65" s="1328"/>
    </row>
    <row r="66" spans="18:59" x14ac:dyDescent="0.35">
      <c r="R66" s="1328"/>
      <c r="S66" s="1328"/>
      <c r="W66" s="1328"/>
      <c r="X66" s="1328"/>
      <c r="AE66" s="1328"/>
      <c r="AF66" s="1328"/>
      <c r="AV66" s="1328"/>
      <c r="AW66" s="1328"/>
      <c r="AX66" s="1328"/>
      <c r="AY66" s="1328"/>
      <c r="AZ66" s="1328"/>
      <c r="BA66" s="1328"/>
      <c r="BC66" s="1328"/>
      <c r="BE66" s="1328"/>
      <c r="BF66" s="1328"/>
      <c r="BG66" s="1328"/>
    </row>
    <row r="67" spans="18:59" x14ac:dyDescent="0.35">
      <c r="R67" s="1328"/>
      <c r="S67" s="1328"/>
      <c r="W67" s="1328"/>
      <c r="X67" s="1328"/>
      <c r="AE67" s="1328"/>
      <c r="AF67" s="1328"/>
      <c r="AV67" s="1328"/>
      <c r="AW67" s="1328"/>
      <c r="AX67" s="1328"/>
      <c r="AY67" s="1328"/>
      <c r="AZ67" s="1328"/>
      <c r="BA67" s="1328"/>
      <c r="BC67" s="1328"/>
      <c r="BE67" s="1328"/>
      <c r="BF67" s="1328"/>
      <c r="BG67" s="1328"/>
    </row>
    <row r="68" spans="18:59" x14ac:dyDescent="0.35">
      <c r="R68" s="1328"/>
      <c r="S68" s="1328"/>
      <c r="W68" s="1328"/>
      <c r="X68" s="1328"/>
      <c r="AE68" s="1328"/>
      <c r="AF68" s="1328"/>
      <c r="AV68" s="1328"/>
      <c r="AW68" s="1328"/>
      <c r="AX68" s="1328"/>
      <c r="AY68" s="1328"/>
      <c r="AZ68" s="1328"/>
      <c r="BA68" s="1328"/>
      <c r="BC68" s="1328"/>
      <c r="BE68" s="1328"/>
      <c r="BF68" s="1328"/>
      <c r="BG68" s="1328"/>
    </row>
    <row r="69" spans="18:59" x14ac:dyDescent="0.35">
      <c r="R69" s="1328"/>
      <c r="S69" s="1328"/>
      <c r="W69" s="1328"/>
      <c r="X69" s="1328"/>
      <c r="AE69" s="1328"/>
      <c r="AF69" s="1328"/>
      <c r="AV69" s="1328"/>
      <c r="AW69" s="1328"/>
      <c r="AX69" s="1328"/>
      <c r="AY69" s="1328"/>
      <c r="AZ69" s="1328"/>
      <c r="BA69" s="1328"/>
      <c r="BC69" s="1328"/>
      <c r="BE69" s="1328"/>
      <c r="BF69" s="1328"/>
      <c r="BG69" s="1328"/>
    </row>
    <row r="70" spans="18:59" x14ac:dyDescent="0.35">
      <c r="R70" s="1328"/>
      <c r="S70" s="1328"/>
      <c r="W70" s="1328"/>
      <c r="X70" s="1328"/>
      <c r="AE70" s="1328"/>
      <c r="AF70" s="1328"/>
      <c r="AV70" s="1328"/>
      <c r="AW70" s="1328"/>
      <c r="AX70" s="1328"/>
      <c r="AY70" s="1328"/>
      <c r="AZ70" s="1328"/>
      <c r="BA70" s="1328"/>
      <c r="BC70" s="1328"/>
      <c r="BE70" s="1328"/>
      <c r="BF70" s="1328"/>
      <c r="BG70" s="1328"/>
    </row>
    <row r="71" spans="18:59" x14ac:dyDescent="0.35">
      <c r="R71" s="1328"/>
      <c r="S71" s="1328"/>
      <c r="W71" s="1328"/>
      <c r="X71" s="1328"/>
      <c r="AE71" s="1328"/>
      <c r="AF71" s="1328"/>
      <c r="AV71" s="1328"/>
      <c r="AW71" s="1328"/>
      <c r="AX71" s="1328"/>
      <c r="AY71" s="1328"/>
      <c r="AZ71" s="1328"/>
      <c r="BA71" s="1328"/>
      <c r="BC71" s="1328"/>
      <c r="BE71" s="1328"/>
      <c r="BF71" s="1328"/>
      <c r="BG71" s="1328"/>
    </row>
    <row r="72" spans="18:59" x14ac:dyDescent="0.35">
      <c r="R72" s="1328"/>
      <c r="S72" s="1328"/>
      <c r="W72" s="1328"/>
      <c r="X72" s="1328"/>
      <c r="AE72" s="1328"/>
      <c r="AF72" s="1328"/>
      <c r="AV72" s="1328"/>
      <c r="AW72" s="1328"/>
      <c r="AX72" s="1328"/>
      <c r="AY72" s="1328"/>
      <c r="AZ72" s="1328"/>
      <c r="BA72" s="1328"/>
      <c r="BC72" s="1328"/>
      <c r="BE72" s="1328"/>
      <c r="BF72" s="1328"/>
      <c r="BG72" s="1328"/>
    </row>
    <row r="73" spans="18:59" x14ac:dyDescent="0.35">
      <c r="R73" s="1328"/>
      <c r="S73" s="1328"/>
      <c r="W73" s="1328"/>
      <c r="X73" s="1328"/>
      <c r="AE73" s="1328"/>
      <c r="AF73" s="1328"/>
      <c r="AV73" s="1328"/>
      <c r="AW73" s="1328"/>
      <c r="AX73" s="1328"/>
      <c r="AY73" s="1328"/>
      <c r="AZ73" s="1328"/>
      <c r="BA73" s="1328"/>
      <c r="BC73" s="1328"/>
      <c r="BE73" s="1328"/>
      <c r="BF73" s="1328"/>
      <c r="BG73" s="1328"/>
    </row>
    <row r="74" spans="18:59" x14ac:dyDescent="0.35">
      <c r="R74" s="1328"/>
      <c r="S74" s="1328"/>
      <c r="W74" s="1328"/>
      <c r="X74" s="1328"/>
      <c r="AE74" s="1328"/>
      <c r="AF74" s="1328"/>
      <c r="AV74" s="1328"/>
      <c r="AW74" s="1328"/>
      <c r="AX74" s="1328"/>
      <c r="AY74" s="1328"/>
      <c r="AZ74" s="1328"/>
      <c r="BA74" s="1328"/>
      <c r="BC74" s="1328"/>
      <c r="BE74" s="1328"/>
      <c r="BF74" s="1328"/>
      <c r="BG74" s="1328"/>
    </row>
    <row r="75" spans="18:59" x14ac:dyDescent="0.35">
      <c r="R75" s="1328"/>
      <c r="S75" s="1328"/>
      <c r="W75" s="1328"/>
      <c r="X75" s="1328"/>
      <c r="AE75" s="1328"/>
      <c r="AF75" s="1328"/>
      <c r="AV75" s="1328"/>
      <c r="AW75" s="1328"/>
      <c r="AX75" s="1328"/>
      <c r="AY75" s="1328"/>
      <c r="AZ75" s="1328"/>
      <c r="BA75" s="1328"/>
      <c r="BC75" s="1328"/>
      <c r="BE75" s="1328"/>
      <c r="BF75" s="1328"/>
      <c r="BG75" s="1328"/>
    </row>
    <row r="76" spans="18:59" x14ac:dyDescent="0.35">
      <c r="R76" s="1328"/>
      <c r="S76" s="1328"/>
      <c r="W76" s="1328"/>
      <c r="X76" s="1328"/>
      <c r="AE76" s="1328"/>
      <c r="AF76" s="1328"/>
      <c r="AV76" s="1328"/>
      <c r="AW76" s="1328"/>
      <c r="AX76" s="1328"/>
      <c r="AY76" s="1328"/>
      <c r="AZ76" s="1328"/>
      <c r="BA76" s="1328"/>
      <c r="BC76" s="1328"/>
      <c r="BE76" s="1328"/>
      <c r="BF76" s="1328"/>
      <c r="BG76" s="1328"/>
    </row>
    <row r="77" spans="18:59" x14ac:dyDescent="0.35">
      <c r="R77" s="1328"/>
      <c r="S77" s="1328"/>
      <c r="W77" s="1328"/>
      <c r="X77" s="1328"/>
      <c r="AE77" s="1328"/>
      <c r="AF77" s="1328"/>
      <c r="AV77" s="1328"/>
      <c r="AW77" s="1328"/>
      <c r="AX77" s="1328"/>
      <c r="AY77" s="1328"/>
      <c r="AZ77" s="1328"/>
      <c r="BA77" s="1328"/>
      <c r="BC77" s="1328"/>
      <c r="BE77" s="1328"/>
      <c r="BF77" s="1328"/>
      <c r="BG77" s="1328"/>
    </row>
    <row r="78" spans="18:59" x14ac:dyDescent="0.35">
      <c r="R78" s="1328"/>
      <c r="S78" s="1328"/>
      <c r="W78" s="1328"/>
      <c r="X78" s="1328"/>
      <c r="AE78" s="1328"/>
      <c r="AF78" s="1328"/>
      <c r="AV78" s="1328"/>
      <c r="AW78" s="1328"/>
      <c r="AX78" s="1328"/>
      <c r="AY78" s="1328"/>
      <c r="AZ78" s="1328"/>
      <c r="BA78" s="1328"/>
      <c r="BC78" s="1328"/>
      <c r="BE78" s="1328"/>
      <c r="BF78" s="1328"/>
      <c r="BG78" s="1328"/>
    </row>
    <row r="79" spans="18:59" x14ac:dyDescent="0.35">
      <c r="R79" s="1328"/>
      <c r="S79" s="1328"/>
      <c r="W79" s="1328"/>
      <c r="X79" s="1328"/>
      <c r="AE79" s="1328"/>
      <c r="AF79" s="1328"/>
      <c r="AV79" s="1328"/>
      <c r="AW79" s="1328"/>
      <c r="AX79" s="1328"/>
      <c r="AY79" s="1328"/>
      <c r="AZ79" s="1328"/>
      <c r="BA79" s="1328"/>
      <c r="BC79" s="1328"/>
      <c r="BE79" s="1328"/>
      <c r="BF79" s="1328"/>
      <c r="BG79" s="1328"/>
    </row>
    <row r="80" spans="18:59" x14ac:dyDescent="0.35">
      <c r="R80" s="1328"/>
      <c r="S80" s="1328"/>
      <c r="W80" s="1328"/>
      <c r="X80" s="1328"/>
      <c r="AE80" s="1328"/>
      <c r="AF80" s="1328"/>
      <c r="AV80" s="1328"/>
      <c r="AW80" s="1328"/>
      <c r="AX80" s="1328"/>
      <c r="AY80" s="1328"/>
      <c r="AZ80" s="1328"/>
      <c r="BA80" s="1328"/>
      <c r="BC80" s="1328"/>
      <c r="BE80" s="1328"/>
      <c r="BF80" s="1328"/>
      <c r="BG80" s="1328"/>
    </row>
    <row r="81" spans="18:59" x14ac:dyDescent="0.35">
      <c r="R81" s="1328"/>
      <c r="S81" s="1328"/>
      <c r="W81" s="1328"/>
      <c r="X81" s="1328"/>
      <c r="AE81" s="1328"/>
      <c r="AF81" s="1328"/>
      <c r="AV81" s="1328"/>
      <c r="AW81" s="1328"/>
      <c r="AX81" s="1328"/>
      <c r="AY81" s="1328"/>
      <c r="AZ81" s="1328"/>
      <c r="BA81" s="1328"/>
      <c r="BC81" s="1328"/>
      <c r="BE81" s="1328"/>
      <c r="BF81" s="1328"/>
      <c r="BG81" s="1328"/>
    </row>
    <row r="82" spans="18:59" x14ac:dyDescent="0.35">
      <c r="R82" s="1328"/>
      <c r="S82" s="1328"/>
      <c r="W82" s="1328"/>
      <c r="X82" s="1328"/>
      <c r="AE82" s="1328"/>
      <c r="AF82" s="1328"/>
      <c r="AV82" s="1328"/>
      <c r="AW82" s="1328"/>
      <c r="AX82" s="1328"/>
      <c r="AY82" s="1328"/>
      <c r="AZ82" s="1328"/>
      <c r="BA82" s="1328"/>
      <c r="BC82" s="1328"/>
      <c r="BE82" s="1328"/>
      <c r="BF82" s="1328"/>
      <c r="BG82" s="1328"/>
    </row>
    <row r="83" spans="18:59" x14ac:dyDescent="0.35">
      <c r="R83" s="1328"/>
      <c r="S83" s="1328"/>
      <c r="W83" s="1328"/>
      <c r="X83" s="1328"/>
      <c r="AE83" s="1328"/>
      <c r="AF83" s="1328"/>
      <c r="AV83" s="1328"/>
      <c r="AW83" s="1328"/>
      <c r="AX83" s="1328"/>
      <c r="AY83" s="1328"/>
      <c r="AZ83" s="1328"/>
      <c r="BA83" s="1328"/>
      <c r="BC83" s="1328"/>
      <c r="BE83" s="1328"/>
      <c r="BF83" s="1328"/>
      <c r="BG83" s="1328"/>
    </row>
    <row r="84" spans="18:59" x14ac:dyDescent="0.35">
      <c r="R84" s="1328"/>
      <c r="S84" s="1328"/>
      <c r="W84" s="1328"/>
      <c r="X84" s="1328"/>
      <c r="AE84" s="1328"/>
      <c r="AF84" s="1328"/>
      <c r="AV84" s="1328"/>
      <c r="AW84" s="1328"/>
      <c r="AX84" s="1328"/>
      <c r="AY84" s="1328"/>
      <c r="AZ84" s="1328"/>
      <c r="BA84" s="1328"/>
      <c r="BC84" s="1328"/>
      <c r="BE84" s="1328"/>
      <c r="BF84" s="1328"/>
      <c r="BG84" s="1328"/>
    </row>
    <row r="85" spans="18:59" x14ac:dyDescent="0.35">
      <c r="R85" s="1328"/>
      <c r="S85" s="1328"/>
      <c r="W85" s="1328"/>
      <c r="X85" s="1328"/>
      <c r="AE85" s="1328"/>
      <c r="AF85" s="1328"/>
      <c r="AV85" s="1328"/>
      <c r="AW85" s="1328"/>
      <c r="AX85" s="1328"/>
      <c r="AY85" s="1328"/>
      <c r="AZ85" s="1328"/>
      <c r="BA85" s="1328"/>
      <c r="BC85" s="1328"/>
      <c r="BE85" s="1328"/>
      <c r="BF85" s="1328"/>
      <c r="BG85" s="1328"/>
    </row>
    <row r="86" spans="18:59" x14ac:dyDescent="0.35">
      <c r="R86" s="1328"/>
      <c r="S86" s="1328"/>
      <c r="W86" s="1328"/>
      <c r="X86" s="1328"/>
      <c r="AE86" s="1328"/>
      <c r="AF86" s="1328"/>
      <c r="AV86" s="1328"/>
      <c r="AW86" s="1328"/>
      <c r="AX86" s="1328"/>
      <c r="AY86" s="1328"/>
      <c r="AZ86" s="1328"/>
      <c r="BA86" s="1328"/>
      <c r="BC86" s="1328"/>
      <c r="BE86" s="1328"/>
      <c r="BF86" s="1328"/>
      <c r="BG86" s="1328"/>
    </row>
    <row r="87" spans="18:59" x14ac:dyDescent="0.35">
      <c r="R87" s="1328"/>
      <c r="S87" s="1328"/>
      <c r="W87" s="1328"/>
      <c r="X87" s="1328"/>
      <c r="AE87" s="1328"/>
      <c r="AF87" s="1328"/>
      <c r="AV87" s="1328"/>
      <c r="AW87" s="1328"/>
      <c r="AX87" s="1328"/>
      <c r="AY87" s="1328"/>
      <c r="AZ87" s="1328"/>
      <c r="BA87" s="1328"/>
      <c r="BC87" s="1328"/>
      <c r="BE87" s="1328"/>
      <c r="BF87" s="1328"/>
      <c r="BG87" s="1328"/>
    </row>
    <row r="88" spans="18:59" x14ac:dyDescent="0.35">
      <c r="R88" s="1328"/>
      <c r="S88" s="1328"/>
      <c r="W88" s="1328"/>
      <c r="X88" s="1328"/>
      <c r="AE88" s="1328"/>
      <c r="AF88" s="1328"/>
      <c r="AV88" s="1328"/>
      <c r="AW88" s="1328"/>
      <c r="AX88" s="1328"/>
      <c r="AY88" s="1328"/>
      <c r="AZ88" s="1328"/>
      <c r="BA88" s="1328"/>
      <c r="BC88" s="1328"/>
      <c r="BE88" s="1328"/>
      <c r="BF88" s="1328"/>
      <c r="BG88" s="1328"/>
    </row>
    <row r="89" spans="18:59" x14ac:dyDescent="0.35">
      <c r="R89" s="1328"/>
      <c r="S89" s="1328"/>
      <c r="W89" s="1328"/>
      <c r="X89" s="1328"/>
      <c r="AE89" s="1328"/>
      <c r="AF89" s="1328"/>
      <c r="AV89" s="1328"/>
      <c r="AW89" s="1328"/>
      <c r="AX89" s="1328"/>
      <c r="AY89" s="1328"/>
      <c r="AZ89" s="1328"/>
      <c r="BA89" s="1328"/>
      <c r="BC89" s="1328"/>
      <c r="BE89" s="1328"/>
      <c r="BF89" s="1328"/>
      <c r="BG89" s="1328"/>
    </row>
    <row r="90" spans="18:59" x14ac:dyDescent="0.35">
      <c r="R90" s="1328"/>
      <c r="S90" s="1328"/>
      <c r="W90" s="1328"/>
      <c r="X90" s="1328"/>
      <c r="AE90" s="1328"/>
      <c r="AF90" s="1328"/>
      <c r="AV90" s="1328"/>
      <c r="AW90" s="1328"/>
      <c r="AX90" s="1328"/>
      <c r="AY90" s="1328"/>
      <c r="AZ90" s="1328"/>
      <c r="BA90" s="1328"/>
      <c r="BC90" s="1328"/>
      <c r="BE90" s="1328"/>
      <c r="BF90" s="1328"/>
      <c r="BG90" s="1328"/>
    </row>
    <row r="91" spans="18:59" x14ac:dyDescent="0.35">
      <c r="R91" s="1328"/>
      <c r="S91" s="1328"/>
      <c r="W91" s="1328"/>
      <c r="X91" s="1328"/>
      <c r="AE91" s="1328"/>
      <c r="AF91" s="1328"/>
      <c r="AV91" s="1328"/>
      <c r="AW91" s="1328"/>
      <c r="AX91" s="1328"/>
      <c r="AY91" s="1328"/>
      <c r="AZ91" s="1328"/>
      <c r="BA91" s="1328"/>
      <c r="BC91" s="1328"/>
      <c r="BE91" s="1328"/>
      <c r="BF91" s="1328"/>
      <c r="BG91" s="1328"/>
    </row>
    <row r="92" spans="18:59" x14ac:dyDescent="0.35">
      <c r="R92" s="1328"/>
      <c r="S92" s="1328"/>
      <c r="W92" s="1328"/>
      <c r="X92" s="1328"/>
      <c r="AE92" s="1328"/>
      <c r="AF92" s="1328"/>
      <c r="AV92" s="1328"/>
      <c r="AW92" s="1328"/>
      <c r="AX92" s="1328"/>
      <c r="AY92" s="1328"/>
      <c r="AZ92" s="1328"/>
      <c r="BA92" s="1328"/>
      <c r="BC92" s="1328"/>
      <c r="BE92" s="1328"/>
      <c r="BF92" s="1328"/>
      <c r="BG92" s="1328"/>
    </row>
    <row r="93" spans="18:59" x14ac:dyDescent="0.35">
      <c r="R93" s="1328"/>
      <c r="S93" s="1328"/>
      <c r="W93" s="1328"/>
      <c r="X93" s="1328"/>
      <c r="AE93" s="1328"/>
      <c r="AF93" s="1328"/>
      <c r="AV93" s="1328"/>
      <c r="AW93" s="1328"/>
      <c r="AX93" s="1328"/>
      <c r="AY93" s="1328"/>
      <c r="AZ93" s="1328"/>
      <c r="BA93" s="1328"/>
      <c r="BC93" s="1328"/>
      <c r="BE93" s="1328"/>
      <c r="BF93" s="1328"/>
      <c r="BG93" s="1328"/>
    </row>
    <row r="94" spans="18:59" x14ac:dyDescent="0.35">
      <c r="R94" s="1328"/>
      <c r="S94" s="1328"/>
      <c r="W94" s="1328"/>
      <c r="X94" s="1328"/>
      <c r="AE94" s="1328"/>
      <c r="AF94" s="1328"/>
      <c r="AV94" s="1328"/>
      <c r="AW94" s="1328"/>
      <c r="AX94" s="1328"/>
      <c r="AY94" s="1328"/>
      <c r="AZ94" s="1328"/>
      <c r="BA94" s="1328"/>
      <c r="BC94" s="1328"/>
      <c r="BE94" s="1328"/>
      <c r="BF94" s="1328"/>
      <c r="BG94" s="1328"/>
    </row>
    <row r="95" spans="18:59" x14ac:dyDescent="0.35">
      <c r="R95" s="1328"/>
      <c r="S95" s="1328"/>
      <c r="W95" s="1328"/>
      <c r="X95" s="1328"/>
      <c r="AE95" s="1328"/>
      <c r="AF95" s="1328"/>
      <c r="AV95" s="1328"/>
      <c r="AW95" s="1328"/>
      <c r="AX95" s="1328"/>
      <c r="AY95" s="1328"/>
      <c r="AZ95" s="1328"/>
      <c r="BA95" s="1328"/>
      <c r="BC95" s="1328"/>
      <c r="BE95" s="1328"/>
      <c r="BF95" s="1328"/>
      <c r="BG95" s="1328"/>
    </row>
    <row r="96" spans="18:59" x14ac:dyDescent="0.35">
      <c r="R96" s="1328"/>
      <c r="S96" s="1328"/>
      <c r="W96" s="1328"/>
      <c r="X96" s="1328"/>
      <c r="AE96" s="1328"/>
      <c r="AF96" s="1328"/>
      <c r="AV96" s="1328"/>
      <c r="AW96" s="1328"/>
      <c r="AX96" s="1328"/>
      <c r="AY96" s="1328"/>
      <c r="AZ96" s="1328"/>
      <c r="BA96" s="1328"/>
      <c r="BC96" s="1328"/>
      <c r="BE96" s="1328"/>
      <c r="BF96" s="1328"/>
      <c r="BG96" s="1328"/>
    </row>
    <row r="97" spans="18:59" x14ac:dyDescent="0.35">
      <c r="R97" s="1328"/>
      <c r="S97" s="1328"/>
      <c r="W97" s="1328"/>
      <c r="X97" s="1328"/>
      <c r="AE97" s="1328"/>
      <c r="AF97" s="1328"/>
      <c r="AV97" s="1328"/>
      <c r="AW97" s="1328"/>
      <c r="AX97" s="1328"/>
      <c r="AY97" s="1328"/>
      <c r="AZ97" s="1328"/>
      <c r="BA97" s="1328"/>
      <c r="BC97" s="1328"/>
      <c r="BE97" s="1328"/>
      <c r="BF97" s="1328"/>
      <c r="BG97" s="1328"/>
    </row>
    <row r="98" spans="18:59" x14ac:dyDescent="0.35">
      <c r="R98" s="1328"/>
      <c r="S98" s="1328"/>
      <c r="W98" s="1328"/>
      <c r="X98" s="1328"/>
      <c r="AE98" s="1328"/>
      <c r="AF98" s="1328"/>
      <c r="AV98" s="1328"/>
      <c r="AW98" s="1328"/>
      <c r="AX98" s="1328"/>
      <c r="AY98" s="1328"/>
      <c r="AZ98" s="1328"/>
      <c r="BA98" s="1328"/>
      <c r="BC98" s="1328"/>
      <c r="BE98" s="1328"/>
      <c r="BF98" s="1328"/>
      <c r="BG98" s="1328"/>
    </row>
    <row r="99" spans="18:59" x14ac:dyDescent="0.35">
      <c r="R99" s="1328"/>
      <c r="S99" s="1328"/>
      <c r="W99" s="1328"/>
      <c r="X99" s="1328"/>
      <c r="AE99" s="1328"/>
      <c r="AF99" s="1328"/>
      <c r="AV99" s="1328"/>
      <c r="AW99" s="1328"/>
      <c r="AX99" s="1328"/>
      <c r="AY99" s="1328"/>
      <c r="AZ99" s="1328"/>
      <c r="BA99" s="1328"/>
      <c r="BC99" s="1328"/>
      <c r="BE99" s="1328"/>
      <c r="BF99" s="1328"/>
      <c r="BG99" s="1328"/>
    </row>
    <row r="100" spans="18:59" x14ac:dyDescent="0.35">
      <c r="R100" s="1328"/>
      <c r="S100" s="1328"/>
      <c r="W100" s="1328"/>
      <c r="X100" s="1328"/>
      <c r="AE100" s="1328"/>
      <c r="AF100" s="1328"/>
      <c r="AV100" s="1328"/>
      <c r="AW100" s="1328"/>
      <c r="AX100" s="1328"/>
      <c r="AY100" s="1328"/>
      <c r="AZ100" s="1328"/>
      <c r="BA100" s="1328"/>
      <c r="BC100" s="1328"/>
      <c r="BE100" s="1328"/>
      <c r="BF100" s="1328"/>
      <c r="BG100" s="1328"/>
    </row>
    <row r="101" spans="18:59" x14ac:dyDescent="0.35">
      <c r="R101" s="1328"/>
      <c r="S101" s="1328"/>
      <c r="W101" s="1328"/>
      <c r="X101" s="1328"/>
      <c r="AE101" s="1328"/>
      <c r="AF101" s="1328"/>
      <c r="AV101" s="1328"/>
      <c r="AW101" s="1328"/>
      <c r="AX101" s="1328"/>
      <c r="AY101" s="1328"/>
      <c r="AZ101" s="1328"/>
      <c r="BA101" s="1328"/>
      <c r="BC101" s="1328"/>
      <c r="BE101" s="1328"/>
      <c r="BF101" s="1328"/>
      <c r="BG101" s="1328"/>
    </row>
    <row r="102" spans="18:59" x14ac:dyDescent="0.35">
      <c r="R102" s="1328"/>
      <c r="S102" s="1328"/>
      <c r="W102" s="1328"/>
      <c r="X102" s="1328"/>
      <c r="AE102" s="1328"/>
      <c r="AF102" s="1328"/>
      <c r="AV102" s="1328"/>
      <c r="AW102" s="1328"/>
      <c r="AX102" s="1328"/>
      <c r="AY102" s="1328"/>
      <c r="AZ102" s="1328"/>
      <c r="BA102" s="1328"/>
      <c r="BC102" s="1328"/>
      <c r="BE102" s="1328"/>
      <c r="BF102" s="1328"/>
      <c r="BG102" s="1328"/>
    </row>
    <row r="103" spans="18:59" x14ac:dyDescent="0.35">
      <c r="R103" s="1328"/>
      <c r="S103" s="1328"/>
      <c r="W103" s="1328"/>
      <c r="X103" s="1328"/>
      <c r="AE103" s="1328"/>
      <c r="AF103" s="1328"/>
      <c r="AV103" s="1328"/>
      <c r="AW103" s="1328"/>
      <c r="AX103" s="1328"/>
      <c r="AY103" s="1328"/>
      <c r="AZ103" s="1328"/>
      <c r="BA103" s="1328"/>
      <c r="BC103" s="1328"/>
      <c r="BE103" s="1328"/>
      <c r="BF103" s="1328"/>
      <c r="BG103" s="1328"/>
    </row>
    <row r="104" spans="18:59" x14ac:dyDescent="0.35">
      <c r="R104" s="1328"/>
      <c r="S104" s="1328"/>
      <c r="W104" s="1328"/>
      <c r="X104" s="1328"/>
      <c r="AE104" s="1328"/>
      <c r="AF104" s="1328"/>
      <c r="AV104" s="1328"/>
      <c r="AW104" s="1328"/>
      <c r="AX104" s="1328"/>
      <c r="AY104" s="1328"/>
      <c r="AZ104" s="1328"/>
      <c r="BA104" s="1328"/>
      <c r="BC104" s="1328"/>
      <c r="BE104" s="1328"/>
      <c r="BF104" s="1328"/>
      <c r="BG104" s="1328"/>
    </row>
    <row r="105" spans="18:59" x14ac:dyDescent="0.35">
      <c r="R105" s="1328"/>
      <c r="S105" s="1328"/>
      <c r="W105" s="1328"/>
      <c r="X105" s="1328"/>
      <c r="AE105" s="1328"/>
      <c r="AF105" s="1328"/>
      <c r="AV105" s="1328"/>
      <c r="AW105" s="1328"/>
      <c r="AX105" s="1328"/>
      <c r="AY105" s="1328"/>
      <c r="AZ105" s="1328"/>
      <c r="BA105" s="1328"/>
      <c r="BC105" s="1328"/>
      <c r="BE105" s="1328"/>
      <c r="BF105" s="1328"/>
      <c r="BG105" s="1328"/>
    </row>
    <row r="106" spans="18:59" x14ac:dyDescent="0.35">
      <c r="R106" s="1328"/>
      <c r="S106" s="1328"/>
      <c r="W106" s="1328"/>
      <c r="X106" s="1328"/>
      <c r="AE106" s="1328"/>
      <c r="AF106" s="1328"/>
      <c r="AV106" s="1328"/>
      <c r="AW106" s="1328"/>
      <c r="AX106" s="1328"/>
      <c r="AY106" s="1328"/>
      <c r="AZ106" s="1328"/>
      <c r="BA106" s="1328"/>
      <c r="BC106" s="1328"/>
      <c r="BE106" s="1328"/>
      <c r="BF106" s="1328"/>
      <c r="BG106" s="1328"/>
    </row>
    <row r="107" spans="18:59" x14ac:dyDescent="0.35">
      <c r="R107" s="1328"/>
      <c r="S107" s="1328"/>
      <c r="W107" s="1328"/>
      <c r="X107" s="1328"/>
      <c r="AE107" s="1328"/>
      <c r="AF107" s="1328"/>
      <c r="AV107" s="1328"/>
      <c r="AW107" s="1328"/>
      <c r="AX107" s="1328"/>
      <c r="AY107" s="1328"/>
      <c r="AZ107" s="1328"/>
      <c r="BA107" s="1328"/>
      <c r="BC107" s="1328"/>
      <c r="BE107" s="1328"/>
      <c r="BF107" s="1328"/>
      <c r="BG107" s="1328"/>
    </row>
    <row r="108" spans="18:59" x14ac:dyDescent="0.35">
      <c r="R108" s="1328"/>
      <c r="S108" s="1328"/>
      <c r="W108" s="1328"/>
      <c r="X108" s="1328"/>
      <c r="AE108" s="1328"/>
      <c r="AF108" s="1328"/>
      <c r="AV108" s="1328"/>
      <c r="AW108" s="1328"/>
      <c r="AX108" s="1328"/>
      <c r="AY108" s="1328"/>
      <c r="AZ108" s="1328"/>
      <c r="BA108" s="1328"/>
      <c r="BC108" s="1328"/>
      <c r="BE108" s="1328"/>
      <c r="BF108" s="1328"/>
      <c r="BG108" s="1328"/>
    </row>
    <row r="109" spans="18:59" x14ac:dyDescent="0.35">
      <c r="R109" s="1328"/>
      <c r="S109" s="1328"/>
      <c r="W109" s="1328"/>
      <c r="X109" s="1328"/>
      <c r="AE109" s="1328"/>
      <c r="AF109" s="1328"/>
      <c r="AV109" s="1328"/>
      <c r="AW109" s="1328"/>
      <c r="AX109" s="1328"/>
      <c r="AY109" s="1328"/>
      <c r="AZ109" s="1328"/>
      <c r="BA109" s="1328"/>
      <c r="BC109" s="1328"/>
      <c r="BE109" s="1328"/>
      <c r="BF109" s="1328"/>
      <c r="BG109" s="1328"/>
    </row>
    <row r="110" spans="18:59" x14ac:dyDescent="0.35">
      <c r="R110" s="1328"/>
      <c r="S110" s="1328"/>
      <c r="W110" s="1328"/>
      <c r="X110" s="1328"/>
      <c r="AE110" s="1328"/>
      <c r="AF110" s="1328"/>
      <c r="AV110" s="1328"/>
      <c r="AW110" s="1328"/>
      <c r="AX110" s="1328"/>
      <c r="AY110" s="1328"/>
      <c r="AZ110" s="1328"/>
      <c r="BA110" s="1328"/>
      <c r="BC110" s="1328"/>
      <c r="BE110" s="1328"/>
      <c r="BF110" s="1328"/>
      <c r="BG110" s="1328"/>
    </row>
    <row r="111" spans="18:59" x14ac:dyDescent="0.35">
      <c r="R111" s="1328"/>
      <c r="S111" s="1328"/>
      <c r="W111" s="1328"/>
      <c r="X111" s="1328"/>
      <c r="AE111" s="1328"/>
      <c r="AF111" s="1328"/>
      <c r="AV111" s="1328"/>
      <c r="AW111" s="1328"/>
      <c r="AX111" s="1328"/>
      <c r="AY111" s="1328"/>
      <c r="AZ111" s="1328"/>
      <c r="BA111" s="1328"/>
      <c r="BC111" s="1328"/>
      <c r="BE111" s="1328"/>
      <c r="BF111" s="1328"/>
      <c r="BG111" s="1328"/>
    </row>
    <row r="112" spans="18:59" x14ac:dyDescent="0.35">
      <c r="R112" s="1328"/>
      <c r="S112" s="1328"/>
      <c r="W112" s="1328"/>
      <c r="X112" s="1328"/>
      <c r="AE112" s="1328"/>
      <c r="AF112" s="1328"/>
      <c r="AV112" s="1328"/>
      <c r="AW112" s="1328"/>
      <c r="AX112" s="1328"/>
      <c r="AY112" s="1328"/>
      <c r="AZ112" s="1328"/>
      <c r="BA112" s="1328"/>
      <c r="BC112" s="1328"/>
      <c r="BE112" s="1328"/>
      <c r="BF112" s="1328"/>
      <c r="BG112" s="1328"/>
    </row>
    <row r="113" spans="18:59" x14ac:dyDescent="0.35">
      <c r="R113" s="1328"/>
      <c r="S113" s="1328"/>
      <c r="W113" s="1328"/>
      <c r="X113" s="1328"/>
      <c r="AE113" s="1328"/>
      <c r="AF113" s="1328"/>
      <c r="AV113" s="1328"/>
      <c r="AW113" s="1328"/>
      <c r="AX113" s="1328"/>
      <c r="AY113" s="1328"/>
      <c r="AZ113" s="1328"/>
      <c r="BA113" s="1328"/>
      <c r="BC113" s="1328"/>
      <c r="BE113" s="1328"/>
      <c r="BF113" s="1328"/>
      <c r="BG113" s="1328"/>
    </row>
    <row r="114" spans="18:59" x14ac:dyDescent="0.35">
      <c r="R114" s="1328"/>
      <c r="S114" s="1328"/>
      <c r="W114" s="1328"/>
      <c r="X114" s="1328"/>
      <c r="AE114" s="1328"/>
      <c r="AF114" s="1328"/>
      <c r="AV114" s="1328"/>
      <c r="AW114" s="1328"/>
      <c r="AX114" s="1328"/>
      <c r="AY114" s="1328"/>
      <c r="AZ114" s="1328"/>
      <c r="BA114" s="1328"/>
      <c r="BC114" s="1328"/>
      <c r="BE114" s="1328"/>
      <c r="BF114" s="1328"/>
      <c r="BG114" s="1328"/>
    </row>
    <row r="115" spans="18:59" x14ac:dyDescent="0.35">
      <c r="R115" s="1328"/>
      <c r="S115" s="1328"/>
      <c r="W115" s="1328"/>
      <c r="X115" s="1328"/>
      <c r="AE115" s="1328"/>
      <c r="AF115" s="1328"/>
      <c r="AV115" s="1328"/>
      <c r="AW115" s="1328"/>
      <c r="AX115" s="1328"/>
      <c r="AY115" s="1328"/>
      <c r="AZ115" s="1328"/>
      <c r="BA115" s="1328"/>
      <c r="BC115" s="1328"/>
      <c r="BE115" s="1328"/>
      <c r="BF115" s="1328"/>
      <c r="BG115" s="1328"/>
    </row>
    <row r="116" spans="18:59" x14ac:dyDescent="0.35">
      <c r="R116" s="1328"/>
      <c r="S116" s="1328"/>
      <c r="W116" s="1328"/>
      <c r="X116" s="1328"/>
      <c r="AE116" s="1328"/>
      <c r="AF116" s="1328"/>
      <c r="AV116" s="1328"/>
      <c r="AW116" s="1328"/>
      <c r="AX116" s="1328"/>
      <c r="AY116" s="1328"/>
      <c r="AZ116" s="1328"/>
      <c r="BA116" s="1328"/>
      <c r="BC116" s="1328"/>
      <c r="BE116" s="1328"/>
      <c r="BF116" s="1328"/>
      <c r="BG116" s="1328"/>
    </row>
    <row r="117" spans="18:59" x14ac:dyDescent="0.35">
      <c r="R117" s="1328"/>
      <c r="S117" s="1328"/>
      <c r="W117" s="1328"/>
      <c r="X117" s="1328"/>
      <c r="AE117" s="1328"/>
      <c r="AF117" s="1328"/>
      <c r="AV117" s="1328"/>
      <c r="AW117" s="1328"/>
      <c r="AX117" s="1328"/>
      <c r="AY117" s="1328"/>
      <c r="AZ117" s="1328"/>
      <c r="BA117" s="1328"/>
      <c r="BC117" s="1328"/>
      <c r="BE117" s="1328"/>
      <c r="BF117" s="1328"/>
      <c r="BG117" s="1328"/>
    </row>
    <row r="118" spans="18:59" x14ac:dyDescent="0.35">
      <c r="R118" s="1328"/>
      <c r="S118" s="1328"/>
      <c r="W118" s="1328"/>
      <c r="X118" s="1328"/>
      <c r="AE118" s="1328"/>
      <c r="AF118" s="1328"/>
      <c r="AV118" s="1328"/>
      <c r="AW118" s="1328"/>
      <c r="AX118" s="1328"/>
      <c r="AY118" s="1328"/>
      <c r="AZ118" s="1328"/>
      <c r="BA118" s="1328"/>
      <c r="BC118" s="1328"/>
      <c r="BE118" s="1328"/>
      <c r="BF118" s="1328"/>
      <c r="BG118" s="1328"/>
    </row>
    <row r="119" spans="18:59" x14ac:dyDescent="0.35">
      <c r="R119" s="1328"/>
      <c r="S119" s="1328"/>
      <c r="W119" s="1328"/>
      <c r="X119" s="1328"/>
      <c r="AE119" s="1328"/>
      <c r="AF119" s="1328"/>
      <c r="AV119" s="1328"/>
      <c r="AW119" s="1328"/>
      <c r="AX119" s="1328"/>
      <c r="AY119" s="1328"/>
      <c r="AZ119" s="1328"/>
      <c r="BA119" s="1328"/>
      <c r="BC119" s="1328"/>
      <c r="BE119" s="1328"/>
      <c r="BF119" s="1328"/>
      <c r="BG119" s="1328"/>
    </row>
    <row r="120" spans="18:59" x14ac:dyDescent="0.35">
      <c r="R120" s="1328"/>
      <c r="S120" s="1328"/>
      <c r="W120" s="1328"/>
      <c r="X120" s="1328"/>
      <c r="AE120" s="1328"/>
      <c r="AF120" s="1328"/>
      <c r="AV120" s="1328"/>
      <c r="AW120" s="1328"/>
      <c r="AX120" s="1328"/>
      <c r="AY120" s="1328"/>
      <c r="AZ120" s="1328"/>
      <c r="BA120" s="1328"/>
      <c r="BC120" s="1328"/>
      <c r="BE120" s="1328"/>
      <c r="BF120" s="1328"/>
      <c r="BG120" s="1328"/>
    </row>
    <row r="121" spans="18:59" x14ac:dyDescent="0.35">
      <c r="R121" s="1328"/>
      <c r="S121" s="1328"/>
      <c r="W121" s="1328"/>
      <c r="X121" s="1328"/>
      <c r="AE121" s="1328"/>
      <c r="AF121" s="1328"/>
      <c r="AV121" s="1328"/>
      <c r="AW121" s="1328"/>
      <c r="AX121" s="1328"/>
      <c r="AY121" s="1328"/>
      <c r="AZ121" s="1328"/>
      <c r="BA121" s="1328"/>
      <c r="BC121" s="1328"/>
      <c r="BE121" s="1328"/>
      <c r="BF121" s="1328"/>
      <c r="BG121" s="1328"/>
    </row>
    <row r="122" spans="18:59" x14ac:dyDescent="0.35">
      <c r="R122" s="1328"/>
      <c r="S122" s="1328"/>
      <c r="W122" s="1328"/>
      <c r="X122" s="1328"/>
      <c r="AE122" s="1328"/>
      <c r="AF122" s="1328"/>
      <c r="AV122" s="1328"/>
      <c r="AW122" s="1328"/>
      <c r="AX122" s="1328"/>
      <c r="AY122" s="1328"/>
      <c r="AZ122" s="1328"/>
      <c r="BA122" s="1328"/>
      <c r="BC122" s="1328"/>
      <c r="BE122" s="1328"/>
      <c r="BF122" s="1328"/>
      <c r="BG122" s="1328"/>
    </row>
    <row r="123" spans="18:59" x14ac:dyDescent="0.35">
      <c r="R123" s="1328"/>
      <c r="S123" s="1328"/>
      <c r="W123" s="1328"/>
      <c r="X123" s="1328"/>
      <c r="AE123" s="1328"/>
      <c r="AF123" s="1328"/>
      <c r="AV123" s="1328"/>
      <c r="AW123" s="1328"/>
      <c r="AX123" s="1328"/>
      <c r="AY123" s="1328"/>
      <c r="AZ123" s="1328"/>
      <c r="BA123" s="1328"/>
      <c r="BC123" s="1328"/>
      <c r="BE123" s="1328"/>
      <c r="BF123" s="1328"/>
      <c r="BG123" s="1328"/>
    </row>
    <row r="124" spans="18:59" x14ac:dyDescent="0.35">
      <c r="R124" s="1328"/>
      <c r="S124" s="1328"/>
      <c r="W124" s="1328"/>
      <c r="X124" s="1328"/>
      <c r="AE124" s="1328"/>
      <c r="AF124" s="1328"/>
      <c r="AV124" s="1328"/>
      <c r="AW124" s="1328"/>
      <c r="AX124" s="1328"/>
      <c r="AY124" s="1328"/>
      <c r="AZ124" s="1328"/>
      <c r="BA124" s="1328"/>
      <c r="BC124" s="1328"/>
      <c r="BE124" s="1328"/>
      <c r="BF124" s="1328"/>
      <c r="BG124" s="1328"/>
    </row>
    <row r="125" spans="18:59" x14ac:dyDescent="0.35">
      <c r="R125" s="1328"/>
      <c r="S125" s="1328"/>
      <c r="W125" s="1328"/>
      <c r="X125" s="1328"/>
      <c r="AE125" s="1328"/>
      <c r="AF125" s="1328"/>
      <c r="AV125" s="1328"/>
      <c r="AW125" s="1328"/>
      <c r="AX125" s="1328"/>
      <c r="AY125" s="1328"/>
      <c r="AZ125" s="1328"/>
      <c r="BA125" s="1328"/>
      <c r="BC125" s="1328"/>
      <c r="BE125" s="1328"/>
      <c r="BF125" s="1328"/>
      <c r="BG125" s="1328"/>
    </row>
    <row r="126" spans="18:59" x14ac:dyDescent="0.35">
      <c r="R126" s="1328"/>
      <c r="S126" s="1328"/>
      <c r="W126" s="1328"/>
      <c r="X126" s="1328"/>
      <c r="AE126" s="1328"/>
      <c r="AF126" s="1328"/>
      <c r="AV126" s="1328"/>
      <c r="AW126" s="1328"/>
      <c r="AX126" s="1328"/>
      <c r="AY126" s="1328"/>
      <c r="AZ126" s="1328"/>
      <c r="BA126" s="1328"/>
      <c r="BC126" s="1328"/>
      <c r="BE126" s="1328"/>
      <c r="BF126" s="1328"/>
      <c r="BG126" s="1328"/>
    </row>
    <row r="127" spans="18:59" x14ac:dyDescent="0.35">
      <c r="R127" s="1328"/>
      <c r="S127" s="1328"/>
      <c r="W127" s="1328"/>
      <c r="X127" s="1328"/>
      <c r="AE127" s="1328"/>
      <c r="AF127" s="1328"/>
      <c r="AV127" s="1328"/>
      <c r="AW127" s="1328"/>
      <c r="AX127" s="1328"/>
      <c r="AY127" s="1328"/>
      <c r="AZ127" s="1328"/>
      <c r="BA127" s="1328"/>
      <c r="BC127" s="1328"/>
      <c r="BE127" s="1328"/>
      <c r="BF127" s="1328"/>
      <c r="BG127" s="1328"/>
    </row>
    <row r="128" spans="18:59" x14ac:dyDescent="0.35">
      <c r="R128" s="1328"/>
      <c r="S128" s="1328"/>
      <c r="W128" s="1328"/>
      <c r="X128" s="1328"/>
      <c r="AE128" s="1328"/>
      <c r="AF128" s="1328"/>
      <c r="AV128" s="1328"/>
      <c r="AW128" s="1328"/>
      <c r="AX128" s="1328"/>
      <c r="AY128" s="1328"/>
      <c r="AZ128" s="1328"/>
      <c r="BA128" s="1328"/>
      <c r="BC128" s="1328"/>
      <c r="BE128" s="1328"/>
      <c r="BF128" s="1328"/>
      <c r="BG128" s="1328"/>
    </row>
    <row r="129" spans="18:59" x14ac:dyDescent="0.35">
      <c r="R129" s="1328"/>
      <c r="S129" s="1328"/>
      <c r="W129" s="1328"/>
      <c r="X129" s="1328"/>
      <c r="AE129" s="1328"/>
      <c r="AF129" s="1328"/>
      <c r="AV129" s="1328"/>
      <c r="AW129" s="1328"/>
      <c r="AX129" s="1328"/>
      <c r="AY129" s="1328"/>
      <c r="AZ129" s="1328"/>
      <c r="BA129" s="1328"/>
      <c r="BC129" s="1328"/>
      <c r="BE129" s="1328"/>
      <c r="BF129" s="1328"/>
      <c r="BG129" s="1328"/>
    </row>
    <row r="130" spans="18:59" x14ac:dyDescent="0.35">
      <c r="R130" s="1328"/>
      <c r="S130" s="1328"/>
      <c r="W130" s="1328"/>
      <c r="X130" s="1328"/>
      <c r="AE130" s="1328"/>
      <c r="AF130" s="1328"/>
      <c r="AV130" s="1328"/>
      <c r="AW130" s="1328"/>
      <c r="AX130" s="1328"/>
      <c r="AY130" s="1328"/>
      <c r="AZ130" s="1328"/>
      <c r="BA130" s="1328"/>
      <c r="BC130" s="1328"/>
      <c r="BE130" s="1328"/>
      <c r="BF130" s="1328"/>
      <c r="BG130" s="1328"/>
    </row>
    <row r="131" spans="18:59" x14ac:dyDescent="0.35">
      <c r="R131" s="1328"/>
      <c r="S131" s="1328"/>
      <c r="W131" s="1328"/>
      <c r="X131" s="1328"/>
      <c r="AE131" s="1328"/>
      <c r="AF131" s="1328"/>
      <c r="AV131" s="1328"/>
      <c r="AW131" s="1328"/>
      <c r="AX131" s="1328"/>
      <c r="AY131" s="1328"/>
      <c r="AZ131" s="1328"/>
      <c r="BA131" s="1328"/>
      <c r="BC131" s="1328"/>
      <c r="BE131" s="1328"/>
      <c r="BF131" s="1328"/>
      <c r="BG131" s="1328"/>
    </row>
    <row r="132" spans="18:59" x14ac:dyDescent="0.35">
      <c r="R132" s="1328"/>
      <c r="S132" s="1328"/>
      <c r="W132" s="1328"/>
      <c r="X132" s="1328"/>
      <c r="AE132" s="1328"/>
      <c r="AF132" s="1328"/>
      <c r="AV132" s="1328"/>
      <c r="AW132" s="1328"/>
      <c r="AX132" s="1328"/>
      <c r="AY132" s="1328"/>
      <c r="AZ132" s="1328"/>
      <c r="BA132" s="1328"/>
      <c r="BC132" s="1328"/>
      <c r="BE132" s="1328"/>
      <c r="BF132" s="1328"/>
      <c r="BG132" s="1328"/>
    </row>
    <row r="133" spans="18:59" x14ac:dyDescent="0.35">
      <c r="R133" s="1328"/>
      <c r="S133" s="1328"/>
      <c r="W133" s="1328"/>
      <c r="X133" s="1328"/>
      <c r="AE133" s="1328"/>
      <c r="AF133" s="1328"/>
      <c r="AV133" s="1328"/>
      <c r="AW133" s="1328"/>
      <c r="AX133" s="1328"/>
      <c r="AY133" s="1328"/>
      <c r="AZ133" s="1328"/>
      <c r="BA133" s="1328"/>
      <c r="BC133" s="1328"/>
      <c r="BE133" s="1328"/>
      <c r="BF133" s="1328"/>
      <c r="BG133" s="1328"/>
    </row>
    <row r="134" spans="18:59" x14ac:dyDescent="0.35">
      <c r="R134" s="1328"/>
      <c r="S134" s="1328"/>
      <c r="W134" s="1328"/>
      <c r="X134" s="1328"/>
      <c r="AE134" s="1328"/>
      <c r="AF134" s="1328"/>
      <c r="AV134" s="1328"/>
      <c r="AW134" s="1328"/>
      <c r="AX134" s="1328"/>
      <c r="AY134" s="1328"/>
      <c r="AZ134" s="1328"/>
      <c r="BA134" s="1328"/>
      <c r="BC134" s="1328"/>
      <c r="BE134" s="1328"/>
      <c r="BF134" s="1328"/>
      <c r="BG134" s="1328"/>
    </row>
    <row r="135" spans="18:59" x14ac:dyDescent="0.35">
      <c r="R135" s="1328"/>
      <c r="S135" s="1328"/>
      <c r="W135" s="1328"/>
      <c r="X135" s="1328"/>
      <c r="AE135" s="1328"/>
      <c r="AF135" s="1328"/>
      <c r="AV135" s="1328"/>
      <c r="AW135" s="1328"/>
      <c r="AX135" s="1328"/>
      <c r="AY135" s="1328"/>
      <c r="AZ135" s="1328"/>
      <c r="BA135" s="1328"/>
      <c r="BC135" s="1328"/>
      <c r="BE135" s="1328"/>
      <c r="BF135" s="1328"/>
      <c r="BG135" s="1328"/>
    </row>
    <row r="136" spans="18:59" x14ac:dyDescent="0.35">
      <c r="R136" s="1328"/>
      <c r="S136" s="1328"/>
      <c r="W136" s="1328"/>
      <c r="X136" s="1328"/>
      <c r="AE136" s="1328"/>
      <c r="AF136" s="1328"/>
      <c r="AV136" s="1328"/>
      <c r="AW136" s="1328"/>
      <c r="AX136" s="1328"/>
      <c r="AY136" s="1328"/>
      <c r="AZ136" s="1328"/>
      <c r="BA136" s="1328"/>
      <c r="BC136" s="1328"/>
      <c r="BE136" s="1328"/>
      <c r="BF136" s="1328"/>
      <c r="BG136" s="1328"/>
    </row>
    <row r="137" spans="18:59" x14ac:dyDescent="0.35">
      <c r="R137" s="1328"/>
      <c r="S137" s="1328"/>
      <c r="W137" s="1328"/>
      <c r="X137" s="1328"/>
      <c r="AE137" s="1328"/>
      <c r="AF137" s="1328"/>
      <c r="AV137" s="1328"/>
      <c r="AW137" s="1328"/>
      <c r="AX137" s="1328"/>
      <c r="AY137" s="1328"/>
      <c r="AZ137" s="1328"/>
      <c r="BA137" s="1328"/>
      <c r="BC137" s="1328"/>
      <c r="BE137" s="1328"/>
      <c r="BF137" s="1328"/>
      <c r="BG137" s="1328"/>
    </row>
    <row r="138" spans="18:59" x14ac:dyDescent="0.35">
      <c r="R138" s="1328"/>
      <c r="S138" s="1328"/>
      <c r="W138" s="1328"/>
      <c r="X138" s="1328"/>
      <c r="AE138" s="1328"/>
      <c r="AF138" s="1328"/>
      <c r="AV138" s="1328"/>
      <c r="AW138" s="1328"/>
      <c r="AX138" s="1328"/>
      <c r="AY138" s="1328"/>
      <c r="AZ138" s="1328"/>
      <c r="BA138" s="1328"/>
      <c r="BC138" s="1328"/>
      <c r="BE138" s="1328"/>
      <c r="BF138" s="1328"/>
      <c r="BG138" s="1328"/>
    </row>
    <row r="139" spans="18:59" x14ac:dyDescent="0.35">
      <c r="R139" s="1328"/>
      <c r="S139" s="1328"/>
      <c r="W139" s="1328"/>
      <c r="X139" s="1328"/>
      <c r="AE139" s="1328"/>
      <c r="AF139" s="1328"/>
      <c r="AV139" s="1328"/>
      <c r="AW139" s="1328"/>
      <c r="AX139" s="1328"/>
      <c r="AY139" s="1328"/>
      <c r="AZ139" s="1328"/>
      <c r="BA139" s="1328"/>
      <c r="BC139" s="1328"/>
      <c r="BE139" s="1328"/>
      <c r="BF139" s="1328"/>
      <c r="BG139" s="1328"/>
    </row>
    <row r="140" spans="18:59" x14ac:dyDescent="0.35">
      <c r="R140" s="1328"/>
      <c r="S140" s="1328"/>
      <c r="W140" s="1328"/>
      <c r="X140" s="1328"/>
      <c r="AE140" s="1328"/>
      <c r="AF140" s="1328"/>
      <c r="AV140" s="1328"/>
      <c r="AW140" s="1328"/>
      <c r="AX140" s="1328"/>
      <c r="AY140" s="1328"/>
      <c r="AZ140" s="1328"/>
      <c r="BA140" s="1328"/>
      <c r="BC140" s="1328"/>
      <c r="BE140" s="1328"/>
      <c r="BF140" s="1328"/>
      <c r="BG140" s="1328"/>
    </row>
    <row r="141" spans="18:59" x14ac:dyDescent="0.35">
      <c r="R141" s="1328"/>
      <c r="S141" s="1328"/>
      <c r="W141" s="1328"/>
      <c r="X141" s="1328"/>
      <c r="AE141" s="1328"/>
      <c r="AF141" s="1328"/>
      <c r="AV141" s="1328"/>
      <c r="AW141" s="1328"/>
      <c r="AX141" s="1328"/>
      <c r="AY141" s="1328"/>
      <c r="AZ141" s="1328"/>
      <c r="BA141" s="1328"/>
      <c r="BC141" s="1328"/>
      <c r="BE141" s="1328"/>
      <c r="BF141" s="1328"/>
      <c r="BG141" s="1328"/>
    </row>
    <row r="142" spans="18:59" x14ac:dyDescent="0.35">
      <c r="R142" s="1328"/>
      <c r="S142" s="1328"/>
      <c r="W142" s="1328"/>
      <c r="X142" s="1328"/>
      <c r="AE142" s="1328"/>
      <c r="AF142" s="1328"/>
      <c r="AV142" s="1328"/>
      <c r="AW142" s="1328"/>
      <c r="AX142" s="1328"/>
      <c r="AY142" s="1328"/>
      <c r="AZ142" s="1328"/>
      <c r="BA142" s="1328"/>
      <c r="BC142" s="1328"/>
      <c r="BE142" s="1328"/>
      <c r="BF142" s="1328"/>
      <c r="BG142" s="1328"/>
    </row>
    <row r="143" spans="18:59" x14ac:dyDescent="0.35">
      <c r="R143" s="1328"/>
      <c r="S143" s="1328"/>
      <c r="W143" s="1328"/>
      <c r="X143" s="1328"/>
      <c r="AE143" s="1328"/>
      <c r="AF143" s="1328"/>
      <c r="AV143" s="1328"/>
      <c r="AW143" s="1328"/>
      <c r="AX143" s="1328"/>
      <c r="AY143" s="1328"/>
      <c r="AZ143" s="1328"/>
      <c r="BA143" s="1328"/>
      <c r="BC143" s="1328"/>
      <c r="BE143" s="1328"/>
      <c r="BF143" s="1328"/>
      <c r="BG143" s="1328"/>
    </row>
    <row r="144" spans="18:59" x14ac:dyDescent="0.35">
      <c r="R144" s="1328"/>
      <c r="S144" s="1328"/>
      <c r="W144" s="1328"/>
      <c r="X144" s="1328"/>
      <c r="AE144" s="1328"/>
      <c r="AF144" s="1328"/>
      <c r="AV144" s="1328"/>
      <c r="AW144" s="1328"/>
      <c r="AX144" s="1328"/>
      <c r="AY144" s="1328"/>
      <c r="AZ144" s="1328"/>
      <c r="BA144" s="1328"/>
      <c r="BC144" s="1328"/>
      <c r="BE144" s="1328"/>
      <c r="BF144" s="1328"/>
      <c r="BG144" s="1328"/>
    </row>
    <row r="145" spans="18:59" x14ac:dyDescent="0.35">
      <c r="R145" s="1328"/>
      <c r="S145" s="1328"/>
      <c r="W145" s="1328"/>
      <c r="X145" s="1328"/>
      <c r="AE145" s="1328"/>
      <c r="AF145" s="1328"/>
      <c r="AV145" s="1328"/>
      <c r="AW145" s="1328"/>
      <c r="AX145" s="1328"/>
      <c r="AY145" s="1328"/>
      <c r="AZ145" s="1328"/>
      <c r="BA145" s="1328"/>
      <c r="BC145" s="1328"/>
      <c r="BE145" s="1328"/>
      <c r="BF145" s="1328"/>
      <c r="BG145" s="1328"/>
    </row>
    <row r="146" spans="18:59" x14ac:dyDescent="0.35">
      <c r="R146" s="1328"/>
      <c r="S146" s="1328"/>
      <c r="W146" s="1328"/>
      <c r="X146" s="1328"/>
      <c r="AE146" s="1328"/>
      <c r="AF146" s="1328"/>
      <c r="AV146" s="1328"/>
      <c r="AW146" s="1328"/>
      <c r="AX146" s="1328"/>
      <c r="AY146" s="1328"/>
      <c r="AZ146" s="1328"/>
      <c r="BA146" s="1328"/>
      <c r="BC146" s="1328"/>
      <c r="BE146" s="1328"/>
      <c r="BF146" s="1328"/>
      <c r="BG146" s="1328"/>
    </row>
    <row r="147" spans="18:59" x14ac:dyDescent="0.35">
      <c r="R147" s="1328"/>
      <c r="S147" s="1328"/>
      <c r="W147" s="1328"/>
      <c r="X147" s="1328"/>
      <c r="AE147" s="1328"/>
      <c r="AF147" s="1328"/>
      <c r="AV147" s="1328"/>
      <c r="AW147" s="1328"/>
      <c r="AX147" s="1328"/>
      <c r="AY147" s="1328"/>
      <c r="AZ147" s="1328"/>
      <c r="BA147" s="1328"/>
      <c r="BC147" s="1328"/>
      <c r="BE147" s="1328"/>
      <c r="BF147" s="1328"/>
      <c r="BG147" s="1328"/>
    </row>
    <row r="148" spans="18:59" x14ac:dyDescent="0.35">
      <c r="R148" s="1328"/>
      <c r="S148" s="1328"/>
      <c r="W148" s="1328"/>
      <c r="X148" s="1328"/>
      <c r="AE148" s="1328"/>
      <c r="AF148" s="1328"/>
      <c r="AV148" s="1328"/>
      <c r="AW148" s="1328"/>
      <c r="AX148" s="1328"/>
      <c r="AY148" s="1328"/>
      <c r="AZ148" s="1328"/>
      <c r="BA148" s="1328"/>
      <c r="BC148" s="1328"/>
      <c r="BE148" s="1328"/>
      <c r="BF148" s="1328"/>
      <c r="BG148" s="1328"/>
    </row>
    <row r="149" spans="18:59" x14ac:dyDescent="0.35">
      <c r="R149" s="1328"/>
      <c r="S149" s="1328"/>
      <c r="W149" s="1328"/>
      <c r="X149" s="1328"/>
      <c r="AE149" s="1328"/>
      <c r="AF149" s="1328"/>
      <c r="AV149" s="1328"/>
      <c r="AW149" s="1328"/>
      <c r="AX149" s="1328"/>
      <c r="AY149" s="1328"/>
      <c r="AZ149" s="1328"/>
      <c r="BA149" s="1328"/>
      <c r="BC149" s="1328"/>
      <c r="BE149" s="1328"/>
      <c r="BF149" s="1328"/>
      <c r="BG149" s="1328"/>
    </row>
    <row r="150" spans="18:59" x14ac:dyDescent="0.35">
      <c r="R150" s="1328"/>
      <c r="S150" s="1328"/>
      <c r="W150" s="1328"/>
      <c r="X150" s="1328"/>
      <c r="AE150" s="1328"/>
      <c r="AF150" s="1328"/>
      <c r="AV150" s="1328"/>
      <c r="AW150" s="1328"/>
      <c r="AX150" s="1328"/>
      <c r="AY150" s="1328"/>
      <c r="AZ150" s="1328"/>
      <c r="BA150" s="1328"/>
      <c r="BC150" s="1328"/>
      <c r="BE150" s="1328"/>
      <c r="BF150" s="1328"/>
      <c r="BG150" s="1328"/>
    </row>
    <row r="151" spans="18:59" x14ac:dyDescent="0.35">
      <c r="R151" s="1328"/>
      <c r="S151" s="1328"/>
      <c r="W151" s="1328"/>
      <c r="X151" s="1328"/>
      <c r="AE151" s="1328"/>
      <c r="AF151" s="1328"/>
      <c r="AV151" s="1328"/>
      <c r="AW151" s="1328"/>
      <c r="AX151" s="1328"/>
      <c r="AY151" s="1328"/>
      <c r="AZ151" s="1328"/>
      <c r="BA151" s="1328"/>
      <c r="BC151" s="1328"/>
      <c r="BE151" s="1328"/>
      <c r="BF151" s="1328"/>
      <c r="BG151" s="1328"/>
    </row>
    <row r="152" spans="18:59" x14ac:dyDescent="0.35">
      <c r="R152" s="1328"/>
      <c r="S152" s="1328"/>
      <c r="W152" s="1328"/>
      <c r="X152" s="1328"/>
      <c r="AE152" s="1328"/>
      <c r="AF152" s="1328"/>
      <c r="AV152" s="1328"/>
      <c r="AW152" s="1328"/>
      <c r="AX152" s="1328"/>
      <c r="AY152" s="1328"/>
      <c r="AZ152" s="1328"/>
      <c r="BA152" s="1328"/>
      <c r="BC152" s="1328"/>
      <c r="BE152" s="1328"/>
      <c r="BF152" s="1328"/>
      <c r="BG152" s="1328"/>
    </row>
    <row r="153" spans="18:59" x14ac:dyDescent="0.35">
      <c r="R153" s="1328"/>
      <c r="S153" s="1328"/>
      <c r="W153" s="1328"/>
      <c r="X153" s="1328"/>
      <c r="AE153" s="1328"/>
      <c r="AF153" s="1328"/>
      <c r="AV153" s="1328"/>
      <c r="AW153" s="1328"/>
      <c r="AX153" s="1328"/>
      <c r="AY153" s="1328"/>
      <c r="AZ153" s="1328"/>
      <c r="BA153" s="1328"/>
      <c r="BC153" s="1328"/>
      <c r="BE153" s="1328"/>
      <c r="BF153" s="1328"/>
      <c r="BG153" s="1328"/>
    </row>
    <row r="154" spans="18:59" x14ac:dyDescent="0.35">
      <c r="R154" s="1328"/>
      <c r="S154" s="1328"/>
      <c r="W154" s="1328"/>
      <c r="X154" s="1328"/>
      <c r="AE154" s="1328"/>
      <c r="AF154" s="1328"/>
      <c r="AV154" s="1328"/>
      <c r="AW154" s="1328"/>
      <c r="AX154" s="1328"/>
      <c r="AY154" s="1328"/>
      <c r="AZ154" s="1328"/>
      <c r="BA154" s="1328"/>
      <c r="BC154" s="1328"/>
      <c r="BE154" s="1328"/>
      <c r="BF154" s="1328"/>
      <c r="BG154" s="1328"/>
    </row>
    <row r="155" spans="18:59" x14ac:dyDescent="0.35">
      <c r="R155" s="1328"/>
      <c r="S155" s="1328"/>
      <c r="W155" s="1328"/>
      <c r="X155" s="1328"/>
      <c r="AE155" s="1328"/>
      <c r="AF155" s="1328"/>
      <c r="AV155" s="1328"/>
      <c r="AW155" s="1328"/>
      <c r="AX155" s="1328"/>
      <c r="AY155" s="1328"/>
      <c r="AZ155" s="1328"/>
      <c r="BA155" s="1328"/>
      <c r="BC155" s="1328"/>
      <c r="BE155" s="1328"/>
      <c r="BF155" s="1328"/>
      <c r="BG155" s="1328"/>
    </row>
    <row r="156" spans="18:59" x14ac:dyDescent="0.35">
      <c r="R156" s="1328"/>
      <c r="S156" s="1328"/>
      <c r="W156" s="1328"/>
      <c r="X156" s="1328"/>
      <c r="AE156" s="1328"/>
      <c r="AF156" s="1328"/>
      <c r="AV156" s="1328"/>
      <c r="AW156" s="1328"/>
      <c r="AX156" s="1328"/>
      <c r="AY156" s="1328"/>
      <c r="AZ156" s="1328"/>
      <c r="BA156" s="1328"/>
      <c r="BC156" s="1328"/>
      <c r="BE156" s="1328"/>
      <c r="BF156" s="1328"/>
      <c r="BG156" s="1328"/>
    </row>
    <row r="157" spans="18:59" x14ac:dyDescent="0.35">
      <c r="R157" s="1328"/>
      <c r="S157" s="1328"/>
      <c r="W157" s="1328"/>
      <c r="X157" s="1328"/>
      <c r="AE157" s="1328"/>
      <c r="AF157" s="1328"/>
      <c r="AV157" s="1328"/>
      <c r="AW157" s="1328"/>
      <c r="AX157" s="1328"/>
      <c r="AY157" s="1328"/>
      <c r="AZ157" s="1328"/>
      <c r="BA157" s="1328"/>
      <c r="BC157" s="1328"/>
      <c r="BE157" s="1328"/>
      <c r="BF157" s="1328"/>
      <c r="BG157" s="1328"/>
    </row>
    <row r="158" spans="18:59" x14ac:dyDescent="0.35">
      <c r="R158" s="1328"/>
      <c r="S158" s="1328"/>
      <c r="W158" s="1328"/>
      <c r="X158" s="1328"/>
      <c r="AE158" s="1328"/>
      <c r="AF158" s="1328"/>
      <c r="AV158" s="1328"/>
      <c r="AW158" s="1328"/>
      <c r="AX158" s="1328"/>
      <c r="AY158" s="1328"/>
      <c r="AZ158" s="1328"/>
      <c r="BA158" s="1328"/>
      <c r="BC158" s="1328"/>
      <c r="BE158" s="1328"/>
      <c r="BF158" s="1328"/>
      <c r="BG158" s="1328"/>
    </row>
    <row r="159" spans="18:59" x14ac:dyDescent="0.35">
      <c r="R159" s="1328"/>
      <c r="S159" s="1328"/>
      <c r="W159" s="1328"/>
      <c r="X159" s="1328"/>
      <c r="AE159" s="1328"/>
      <c r="AF159" s="1328"/>
      <c r="AV159" s="1328"/>
      <c r="AW159" s="1328"/>
      <c r="AX159" s="1328"/>
      <c r="AY159" s="1328"/>
      <c r="AZ159" s="1328"/>
      <c r="BA159" s="1328"/>
      <c r="BC159" s="1328"/>
      <c r="BE159" s="1328"/>
      <c r="BF159" s="1328"/>
      <c r="BG159" s="1328"/>
    </row>
    <row r="160" spans="18:59" x14ac:dyDescent="0.35">
      <c r="R160" s="1328"/>
      <c r="S160" s="1328"/>
      <c r="W160" s="1328"/>
      <c r="X160" s="1328"/>
      <c r="AE160" s="1328"/>
      <c r="AF160" s="1328"/>
      <c r="AV160" s="1328"/>
      <c r="AW160" s="1328"/>
      <c r="AX160" s="1328"/>
      <c r="AY160" s="1328"/>
      <c r="AZ160" s="1328"/>
      <c r="BA160" s="1328"/>
      <c r="BC160" s="1328"/>
      <c r="BE160" s="1328"/>
      <c r="BF160" s="1328"/>
      <c r="BG160" s="1328"/>
    </row>
    <row r="161" spans="18:59" x14ac:dyDescent="0.35">
      <c r="R161" s="1328"/>
      <c r="S161" s="1328"/>
      <c r="W161" s="1328"/>
      <c r="X161" s="1328"/>
      <c r="AE161" s="1328"/>
      <c r="AF161" s="1328"/>
      <c r="AV161" s="1328"/>
      <c r="AW161" s="1328"/>
      <c r="AX161" s="1328"/>
      <c r="AY161" s="1328"/>
      <c r="AZ161" s="1328"/>
      <c r="BA161" s="1328"/>
      <c r="BC161" s="1328"/>
      <c r="BE161" s="1328"/>
      <c r="BF161" s="1328"/>
      <c r="BG161" s="1328"/>
    </row>
    <row r="162" spans="18:59" x14ac:dyDescent="0.35">
      <c r="R162" s="1328"/>
      <c r="S162" s="1328"/>
      <c r="W162" s="1328"/>
      <c r="X162" s="1328"/>
      <c r="AE162" s="1328"/>
      <c r="AF162" s="1328"/>
      <c r="AV162" s="1328"/>
      <c r="AW162" s="1328"/>
      <c r="AX162" s="1328"/>
      <c r="AY162" s="1328"/>
      <c r="AZ162" s="1328"/>
      <c r="BA162" s="1328"/>
      <c r="BC162" s="1328"/>
      <c r="BE162" s="1328"/>
      <c r="BF162" s="1328"/>
      <c r="BG162" s="1328"/>
    </row>
    <row r="163" spans="18:59" x14ac:dyDescent="0.35">
      <c r="R163" s="1328"/>
      <c r="S163" s="1328"/>
      <c r="W163" s="1328"/>
      <c r="X163" s="1328"/>
      <c r="AE163" s="1328"/>
      <c r="AF163" s="1328"/>
      <c r="AV163" s="1328"/>
      <c r="AW163" s="1328"/>
      <c r="AX163" s="1328"/>
      <c r="AY163" s="1328"/>
      <c r="AZ163" s="1328"/>
      <c r="BA163" s="1328"/>
      <c r="BC163" s="1328"/>
      <c r="BE163" s="1328"/>
      <c r="BF163" s="1328"/>
      <c r="BG163" s="1328"/>
    </row>
    <row r="164" spans="18:59" x14ac:dyDescent="0.35">
      <c r="R164" s="1328"/>
      <c r="S164" s="1328"/>
      <c r="W164" s="1328"/>
      <c r="X164" s="1328"/>
      <c r="AE164" s="1328"/>
      <c r="AF164" s="1328"/>
      <c r="AV164" s="1328"/>
      <c r="AW164" s="1328"/>
      <c r="AX164" s="1328"/>
      <c r="AY164" s="1328"/>
      <c r="AZ164" s="1328"/>
      <c r="BA164" s="1328"/>
      <c r="BC164" s="1328"/>
      <c r="BE164" s="1328"/>
      <c r="BF164" s="1328"/>
      <c r="BG164" s="1328"/>
    </row>
    <row r="165" spans="18:59" x14ac:dyDescent="0.35">
      <c r="R165" s="1328"/>
      <c r="S165" s="1328"/>
      <c r="W165" s="1328"/>
      <c r="X165" s="1328"/>
      <c r="AE165" s="1328"/>
      <c r="AF165" s="1328"/>
      <c r="AV165" s="1328"/>
      <c r="AW165" s="1328"/>
      <c r="AX165" s="1328"/>
      <c r="AY165" s="1328"/>
      <c r="AZ165" s="1328"/>
      <c r="BA165" s="1328"/>
      <c r="BC165" s="1328"/>
      <c r="BE165" s="1328"/>
      <c r="BF165" s="1328"/>
      <c r="BG165" s="1328"/>
    </row>
    <row r="166" spans="18:59" x14ac:dyDescent="0.35">
      <c r="R166" s="1328"/>
      <c r="S166" s="1328"/>
      <c r="W166" s="1328"/>
      <c r="X166" s="1328"/>
      <c r="AE166" s="1328"/>
      <c r="AF166" s="1328"/>
      <c r="AV166" s="1328"/>
      <c r="AW166" s="1328"/>
      <c r="AX166" s="1328"/>
      <c r="AY166" s="1328"/>
      <c r="AZ166" s="1328"/>
      <c r="BA166" s="1328"/>
      <c r="BC166" s="1328"/>
      <c r="BE166" s="1328"/>
      <c r="BF166" s="1328"/>
      <c r="BG166" s="1328"/>
    </row>
    <row r="167" spans="18:59" x14ac:dyDescent="0.35">
      <c r="R167" s="1328"/>
      <c r="S167" s="1328"/>
      <c r="W167" s="1328"/>
      <c r="X167" s="1328"/>
      <c r="AE167" s="1328"/>
      <c r="AF167" s="1328"/>
      <c r="AV167" s="1328"/>
      <c r="AW167" s="1328"/>
      <c r="AX167" s="1328"/>
      <c r="AY167" s="1328"/>
      <c r="AZ167" s="1328"/>
      <c r="BA167" s="1328"/>
      <c r="BC167" s="1328"/>
      <c r="BE167" s="1328"/>
      <c r="BF167" s="1328"/>
      <c r="BG167" s="1328"/>
    </row>
    <row r="168" spans="18:59" x14ac:dyDescent="0.35">
      <c r="R168" s="1328"/>
      <c r="S168" s="1328"/>
      <c r="W168" s="1328"/>
      <c r="X168" s="1328"/>
      <c r="AE168" s="1328"/>
      <c r="AF168" s="1328"/>
      <c r="AV168" s="1328"/>
      <c r="AW168" s="1328"/>
      <c r="AX168" s="1328"/>
      <c r="AY168" s="1328"/>
      <c r="AZ168" s="1328"/>
      <c r="BA168" s="1328"/>
      <c r="BC168" s="1328"/>
      <c r="BE168" s="1328"/>
      <c r="BF168" s="1328"/>
      <c r="BG168" s="1328"/>
    </row>
    <row r="169" spans="18:59" x14ac:dyDescent="0.35">
      <c r="R169" s="1328"/>
      <c r="S169" s="1328"/>
      <c r="W169" s="1328"/>
      <c r="X169" s="1328"/>
      <c r="AE169" s="1328"/>
      <c r="AF169" s="1328"/>
      <c r="AV169" s="1328"/>
      <c r="AW169" s="1328"/>
      <c r="AX169" s="1328"/>
      <c r="AY169" s="1328"/>
      <c r="AZ169" s="1328"/>
      <c r="BA169" s="1328"/>
      <c r="BC169" s="1328"/>
      <c r="BE169" s="1328"/>
      <c r="BF169" s="1328"/>
      <c r="BG169" s="1328"/>
    </row>
    <row r="170" spans="18:59" x14ac:dyDescent="0.35">
      <c r="R170" s="1328"/>
      <c r="S170" s="1328"/>
      <c r="W170" s="1328"/>
      <c r="X170" s="1328"/>
      <c r="AE170" s="1328"/>
      <c r="AF170" s="1328"/>
      <c r="AV170" s="1328"/>
      <c r="AW170" s="1328"/>
      <c r="AX170" s="1328"/>
      <c r="AY170" s="1328"/>
      <c r="AZ170" s="1328"/>
      <c r="BA170" s="1328"/>
      <c r="BC170" s="1328"/>
      <c r="BE170" s="1328"/>
      <c r="BF170" s="1328"/>
      <c r="BG170" s="1328"/>
    </row>
    <row r="171" spans="18:59" x14ac:dyDescent="0.35">
      <c r="R171" s="1328"/>
      <c r="S171" s="1328"/>
      <c r="W171" s="1328"/>
      <c r="X171" s="1328"/>
      <c r="AE171" s="1328"/>
      <c r="AF171" s="1328"/>
      <c r="AV171" s="1328"/>
      <c r="AW171" s="1328"/>
      <c r="AX171" s="1328"/>
      <c r="AY171" s="1328"/>
      <c r="AZ171" s="1328"/>
      <c r="BA171" s="1328"/>
      <c r="BC171" s="1328"/>
      <c r="BE171" s="1328"/>
      <c r="BF171" s="1328"/>
      <c r="BG171" s="1328"/>
    </row>
    <row r="172" spans="18:59" x14ac:dyDescent="0.35">
      <c r="R172" s="1328"/>
      <c r="S172" s="1328"/>
      <c r="W172" s="1328"/>
      <c r="X172" s="1328"/>
      <c r="AE172" s="1328"/>
      <c r="AF172" s="1328"/>
      <c r="AV172" s="1328"/>
      <c r="AW172" s="1328"/>
      <c r="AX172" s="1328"/>
      <c r="AY172" s="1328"/>
      <c r="AZ172" s="1328"/>
      <c r="BA172" s="1328"/>
      <c r="BC172" s="1328"/>
      <c r="BE172" s="1328"/>
      <c r="BF172" s="1328"/>
      <c r="BG172" s="1328"/>
    </row>
    <row r="173" spans="18:59" x14ac:dyDescent="0.35">
      <c r="R173" s="1328"/>
      <c r="S173" s="1328"/>
      <c r="W173" s="1328"/>
      <c r="X173" s="1328"/>
      <c r="AE173" s="1328"/>
      <c r="AF173" s="1328"/>
      <c r="AV173" s="1328"/>
      <c r="AW173" s="1328"/>
      <c r="AX173" s="1328"/>
      <c r="AY173" s="1328"/>
      <c r="AZ173" s="1328"/>
      <c r="BA173" s="1328"/>
      <c r="BC173" s="1328"/>
      <c r="BE173" s="1328"/>
      <c r="BF173" s="1328"/>
      <c r="BG173" s="1328"/>
    </row>
    <row r="174" spans="18:59" x14ac:dyDescent="0.35">
      <c r="R174" s="1328"/>
      <c r="S174" s="1328"/>
      <c r="W174" s="1328"/>
      <c r="X174" s="1328"/>
      <c r="AE174" s="1328"/>
      <c r="AF174" s="1328"/>
      <c r="AV174" s="1328"/>
      <c r="AW174" s="1328"/>
      <c r="AX174" s="1328"/>
      <c r="AY174" s="1328"/>
      <c r="AZ174" s="1328"/>
      <c r="BA174" s="1328"/>
      <c r="BC174" s="1328"/>
      <c r="BE174" s="1328"/>
      <c r="BF174" s="1328"/>
      <c r="BG174" s="1328"/>
    </row>
    <row r="175" spans="18:59" x14ac:dyDescent="0.35">
      <c r="R175" s="1328"/>
      <c r="S175" s="1328"/>
      <c r="W175" s="1328"/>
      <c r="X175" s="1328"/>
      <c r="AE175" s="1328"/>
      <c r="AF175" s="1328"/>
      <c r="AV175" s="1328"/>
      <c r="AW175" s="1328"/>
      <c r="AX175" s="1328"/>
      <c r="AY175" s="1328"/>
      <c r="AZ175" s="1328"/>
      <c r="BA175" s="1328"/>
      <c r="BC175" s="1328"/>
      <c r="BE175" s="1328"/>
      <c r="BF175" s="1328"/>
      <c r="BG175" s="1328"/>
    </row>
    <row r="176" spans="18:59" x14ac:dyDescent="0.35">
      <c r="R176" s="1328"/>
      <c r="S176" s="1328"/>
      <c r="W176" s="1328"/>
      <c r="X176" s="1328"/>
      <c r="AE176" s="1328"/>
      <c r="AF176" s="1328"/>
      <c r="AV176" s="1328"/>
      <c r="AW176" s="1328"/>
      <c r="AX176" s="1328"/>
      <c r="AY176" s="1328"/>
      <c r="AZ176" s="1328"/>
      <c r="BA176" s="1328"/>
      <c r="BC176" s="1328"/>
      <c r="BE176" s="1328"/>
      <c r="BF176" s="1328"/>
      <c r="BG176" s="1328"/>
    </row>
    <row r="177" spans="18:59" x14ac:dyDescent="0.35">
      <c r="R177" s="1328"/>
      <c r="S177" s="1328"/>
      <c r="W177" s="1328"/>
      <c r="X177" s="1328"/>
      <c r="AE177" s="1328"/>
      <c r="AF177" s="1328"/>
      <c r="AV177" s="1328"/>
      <c r="AW177" s="1328"/>
      <c r="AX177" s="1328"/>
      <c r="AY177" s="1328"/>
      <c r="AZ177" s="1328"/>
      <c r="BA177" s="1328"/>
      <c r="BC177" s="1328"/>
      <c r="BE177" s="1328"/>
      <c r="BF177" s="1328"/>
      <c r="BG177" s="1328"/>
    </row>
    <row r="178" spans="18:59" x14ac:dyDescent="0.35">
      <c r="R178" s="1328"/>
      <c r="S178" s="1328"/>
      <c r="W178" s="1328"/>
      <c r="X178" s="1328"/>
      <c r="AE178" s="1328"/>
      <c r="AF178" s="1328"/>
      <c r="AV178" s="1328"/>
      <c r="AW178" s="1328"/>
      <c r="AX178" s="1328"/>
      <c r="AY178" s="1328"/>
      <c r="AZ178" s="1328"/>
      <c r="BA178" s="1328"/>
      <c r="BC178" s="1328"/>
      <c r="BE178" s="1328"/>
      <c r="BF178" s="1328"/>
      <c r="BG178" s="1328"/>
    </row>
    <row r="179" spans="18:59" x14ac:dyDescent="0.35">
      <c r="R179" s="1328"/>
      <c r="S179" s="1328"/>
      <c r="W179" s="1328"/>
      <c r="X179" s="1328"/>
      <c r="AE179" s="1328"/>
      <c r="AF179" s="1328"/>
      <c r="AV179" s="1328"/>
      <c r="AW179" s="1328"/>
      <c r="AX179" s="1328"/>
      <c r="AY179" s="1328"/>
      <c r="AZ179" s="1328"/>
      <c r="BA179" s="1328"/>
      <c r="BC179" s="1328"/>
      <c r="BE179" s="1328"/>
      <c r="BF179" s="1328"/>
      <c r="BG179" s="1328"/>
    </row>
    <row r="180" spans="18:59" x14ac:dyDescent="0.35">
      <c r="R180" s="1328"/>
      <c r="S180" s="1328"/>
      <c r="W180" s="1328"/>
      <c r="X180" s="1328"/>
      <c r="AE180" s="1328"/>
      <c r="AF180" s="1328"/>
      <c r="AV180" s="1328"/>
      <c r="AW180" s="1328"/>
      <c r="AX180" s="1328"/>
      <c r="AY180" s="1328"/>
      <c r="AZ180" s="1328"/>
      <c r="BA180" s="1328"/>
      <c r="BC180" s="1328"/>
      <c r="BE180" s="1328"/>
      <c r="BF180" s="1328"/>
      <c r="BG180" s="1328"/>
    </row>
    <row r="181" spans="18:59" x14ac:dyDescent="0.35">
      <c r="R181" s="1328"/>
      <c r="S181" s="1328"/>
      <c r="W181" s="1328"/>
      <c r="X181" s="1328"/>
      <c r="AE181" s="1328"/>
      <c r="AF181" s="1328"/>
      <c r="AV181" s="1328"/>
      <c r="AW181" s="1328"/>
      <c r="AX181" s="1328"/>
      <c r="AY181" s="1328"/>
      <c r="AZ181" s="1328"/>
      <c r="BA181" s="1328"/>
      <c r="BC181" s="1328"/>
      <c r="BE181" s="1328"/>
      <c r="BF181" s="1328"/>
      <c r="BG181" s="1328"/>
    </row>
    <row r="182" spans="18:59" x14ac:dyDescent="0.35">
      <c r="R182" s="1328"/>
      <c r="S182" s="1328"/>
      <c r="W182" s="1328"/>
      <c r="X182" s="1328"/>
      <c r="AE182" s="1328"/>
      <c r="AF182" s="1328"/>
      <c r="AV182" s="1328"/>
      <c r="AW182" s="1328"/>
      <c r="AX182" s="1328"/>
      <c r="AY182" s="1328"/>
      <c r="AZ182" s="1328"/>
      <c r="BA182" s="1328"/>
      <c r="BC182" s="1328"/>
      <c r="BE182" s="1328"/>
      <c r="BF182" s="1328"/>
      <c r="BG182" s="1328"/>
    </row>
    <row r="183" spans="18:59" x14ac:dyDescent="0.35">
      <c r="R183" s="1328"/>
      <c r="S183" s="1328"/>
      <c r="W183" s="1328"/>
      <c r="X183" s="1328"/>
      <c r="AE183" s="1328"/>
      <c r="AF183" s="1328"/>
      <c r="AV183" s="1328"/>
      <c r="AW183" s="1328"/>
      <c r="AX183" s="1328"/>
      <c r="AY183" s="1328"/>
      <c r="AZ183" s="1328"/>
      <c r="BA183" s="1328"/>
      <c r="BC183" s="1328"/>
      <c r="BE183" s="1328"/>
      <c r="BF183" s="1328"/>
      <c r="BG183" s="1328"/>
    </row>
    <row r="184" spans="18:59" x14ac:dyDescent="0.35">
      <c r="R184" s="1328"/>
      <c r="S184" s="1328"/>
      <c r="W184" s="1328"/>
      <c r="X184" s="1328"/>
      <c r="AE184" s="1328"/>
      <c r="AF184" s="1328"/>
      <c r="AV184" s="1328"/>
      <c r="AW184" s="1328"/>
      <c r="AX184" s="1328"/>
      <c r="AY184" s="1328"/>
      <c r="AZ184" s="1328"/>
      <c r="BA184" s="1328"/>
      <c r="BC184" s="1328"/>
      <c r="BE184" s="1328"/>
      <c r="BF184" s="1328"/>
      <c r="BG184" s="1328"/>
    </row>
    <row r="185" spans="18:59" x14ac:dyDescent="0.35">
      <c r="R185" s="1328"/>
      <c r="S185" s="1328"/>
      <c r="W185" s="1328"/>
      <c r="X185" s="1328"/>
      <c r="AE185" s="1328"/>
      <c r="AF185" s="1328"/>
      <c r="AV185" s="1328"/>
      <c r="AW185" s="1328"/>
      <c r="AX185" s="1328"/>
      <c r="AY185" s="1328"/>
      <c r="AZ185" s="1328"/>
      <c r="BA185" s="1328"/>
      <c r="BC185" s="1328"/>
      <c r="BE185" s="1328"/>
      <c r="BF185" s="1328"/>
      <c r="BG185" s="1328"/>
    </row>
    <row r="186" spans="18:59" x14ac:dyDescent="0.35">
      <c r="R186" s="1328"/>
      <c r="S186" s="1328"/>
      <c r="W186" s="1328"/>
      <c r="X186" s="1328"/>
      <c r="AE186" s="1328"/>
      <c r="AF186" s="1328"/>
      <c r="AV186" s="1328"/>
      <c r="AW186" s="1328"/>
      <c r="AX186" s="1328"/>
      <c r="AY186" s="1328"/>
      <c r="AZ186" s="1328"/>
      <c r="BA186" s="1328"/>
      <c r="BC186" s="1328"/>
      <c r="BE186" s="1328"/>
      <c r="BF186" s="1328"/>
      <c r="BG186" s="1328"/>
    </row>
    <row r="187" spans="18:59" x14ac:dyDescent="0.35">
      <c r="R187" s="1328"/>
      <c r="S187" s="1328"/>
      <c r="W187" s="1328"/>
      <c r="X187" s="1328"/>
      <c r="AE187" s="1328"/>
      <c r="AF187" s="1328"/>
      <c r="AV187" s="1328"/>
      <c r="AW187" s="1328"/>
      <c r="AX187" s="1328"/>
      <c r="AY187" s="1328"/>
      <c r="AZ187" s="1328"/>
      <c r="BA187" s="1328"/>
      <c r="BC187" s="1328"/>
      <c r="BE187" s="1328"/>
      <c r="BF187" s="1328"/>
      <c r="BG187" s="1328"/>
    </row>
    <row r="188" spans="18:59" x14ac:dyDescent="0.35">
      <c r="R188" s="1328"/>
      <c r="S188" s="1328"/>
      <c r="W188" s="1328"/>
      <c r="X188" s="1328"/>
      <c r="AE188" s="1328"/>
      <c r="AF188" s="1328"/>
      <c r="AV188" s="1328"/>
      <c r="AW188" s="1328"/>
      <c r="AX188" s="1328"/>
      <c r="AY188" s="1328"/>
      <c r="AZ188" s="1328"/>
      <c r="BA188" s="1328"/>
      <c r="BC188" s="1328"/>
      <c r="BE188" s="1328"/>
      <c r="BF188" s="1328"/>
      <c r="BG188" s="1328"/>
    </row>
    <row r="189" spans="18:59" x14ac:dyDescent="0.35">
      <c r="R189" s="1328"/>
      <c r="S189" s="1328"/>
      <c r="W189" s="1328"/>
      <c r="X189" s="1328"/>
      <c r="AE189" s="1328"/>
      <c r="AF189" s="1328"/>
      <c r="AV189" s="1328"/>
      <c r="AW189" s="1328"/>
      <c r="AX189" s="1328"/>
      <c r="AY189" s="1328"/>
      <c r="AZ189" s="1328"/>
      <c r="BA189" s="1328"/>
      <c r="BC189" s="1328"/>
      <c r="BE189" s="1328"/>
      <c r="BF189" s="1328"/>
      <c r="BG189" s="1328"/>
    </row>
    <row r="190" spans="18:59" x14ac:dyDescent="0.35">
      <c r="R190" s="1328"/>
      <c r="S190" s="1328"/>
      <c r="W190" s="1328"/>
      <c r="X190" s="1328"/>
      <c r="AE190" s="1328"/>
      <c r="AF190" s="1328"/>
      <c r="AV190" s="1328"/>
      <c r="AW190" s="1328"/>
      <c r="AX190" s="1328"/>
      <c r="AY190" s="1328"/>
      <c r="AZ190" s="1328"/>
      <c r="BA190" s="1328"/>
      <c r="BC190" s="1328"/>
      <c r="BE190" s="1328"/>
      <c r="BF190" s="1328"/>
      <c r="BG190" s="1328"/>
    </row>
    <row r="191" spans="18:59" x14ac:dyDescent="0.35">
      <c r="R191" s="1328"/>
      <c r="S191" s="1328"/>
      <c r="W191" s="1328"/>
      <c r="X191" s="1328"/>
      <c r="AE191" s="1328"/>
      <c r="AF191" s="1328"/>
      <c r="AV191" s="1328"/>
      <c r="AW191" s="1328"/>
      <c r="AX191" s="1328"/>
      <c r="AY191" s="1328"/>
      <c r="AZ191" s="1328"/>
      <c r="BA191" s="1328"/>
      <c r="BC191" s="1328"/>
      <c r="BE191" s="1328"/>
      <c r="BF191" s="1328"/>
      <c r="BG191" s="1328"/>
    </row>
    <row r="192" spans="18:59" x14ac:dyDescent="0.35">
      <c r="R192" s="1328"/>
      <c r="S192" s="1328"/>
      <c r="W192" s="1328"/>
      <c r="X192" s="1328"/>
      <c r="AE192" s="1328"/>
      <c r="AF192" s="1328"/>
      <c r="AV192" s="1328"/>
      <c r="AW192" s="1328"/>
      <c r="AX192" s="1328"/>
      <c r="AY192" s="1328"/>
      <c r="AZ192" s="1328"/>
      <c r="BA192" s="1328"/>
      <c r="BC192" s="1328"/>
      <c r="BE192" s="1328"/>
      <c r="BF192" s="1328"/>
      <c r="BG192" s="1328"/>
    </row>
    <row r="193" spans="18:59" x14ac:dyDescent="0.35">
      <c r="R193" s="1328"/>
      <c r="S193" s="1328"/>
      <c r="W193" s="1328"/>
      <c r="X193" s="1328"/>
      <c r="AE193" s="1328"/>
      <c r="AF193" s="1328"/>
      <c r="AV193" s="1328"/>
      <c r="AW193" s="1328"/>
      <c r="AX193" s="1328"/>
      <c r="AY193" s="1328"/>
      <c r="AZ193" s="1328"/>
      <c r="BA193" s="1328"/>
      <c r="BC193" s="1328"/>
      <c r="BE193" s="1328"/>
      <c r="BF193" s="1328"/>
      <c r="BG193" s="1328"/>
    </row>
    <row r="194" spans="18:59" x14ac:dyDescent="0.35">
      <c r="R194" s="1328"/>
      <c r="S194" s="1328"/>
      <c r="W194" s="1328"/>
      <c r="X194" s="1328"/>
      <c r="AE194" s="1328"/>
      <c r="AF194" s="1328"/>
      <c r="AV194" s="1328"/>
      <c r="AW194" s="1328"/>
      <c r="AX194" s="1328"/>
      <c r="AY194" s="1328"/>
      <c r="AZ194" s="1328"/>
      <c r="BA194" s="1328"/>
      <c r="BC194" s="1328"/>
      <c r="BE194" s="1328"/>
      <c r="BF194" s="1328"/>
      <c r="BG194" s="1328"/>
    </row>
    <row r="195" spans="18:59" x14ac:dyDescent="0.35">
      <c r="R195" s="1328"/>
      <c r="S195" s="1328"/>
      <c r="W195" s="1328"/>
      <c r="X195" s="1328"/>
      <c r="AE195" s="1328"/>
      <c r="AF195" s="1328"/>
      <c r="AV195" s="1328"/>
      <c r="AW195" s="1328"/>
      <c r="AX195" s="1328"/>
      <c r="AY195" s="1328"/>
      <c r="AZ195" s="1328"/>
      <c r="BA195" s="1328"/>
      <c r="BC195" s="1328"/>
      <c r="BE195" s="1328"/>
      <c r="BF195" s="1328"/>
      <c r="BG195" s="1328"/>
    </row>
    <row r="196" spans="18:59" x14ac:dyDescent="0.35">
      <c r="R196" s="1328"/>
      <c r="S196" s="1328"/>
      <c r="W196" s="1328"/>
      <c r="X196" s="1328"/>
      <c r="AE196" s="1328"/>
      <c r="AF196" s="1328"/>
      <c r="AV196" s="1328"/>
      <c r="AW196" s="1328"/>
      <c r="AX196" s="1328"/>
      <c r="AY196" s="1328"/>
      <c r="AZ196" s="1328"/>
      <c r="BA196" s="1328"/>
      <c r="BC196" s="1328"/>
      <c r="BE196" s="1328"/>
      <c r="BF196" s="1328"/>
      <c r="BG196" s="1328"/>
    </row>
    <row r="197" spans="18:59" x14ac:dyDescent="0.35">
      <c r="R197" s="1328"/>
      <c r="S197" s="1328"/>
      <c r="W197" s="1328"/>
      <c r="X197" s="1328"/>
      <c r="AE197" s="1328"/>
      <c r="AF197" s="1328"/>
      <c r="AV197" s="1328"/>
      <c r="AW197" s="1328"/>
      <c r="AX197" s="1328"/>
      <c r="AY197" s="1328"/>
      <c r="AZ197" s="1328"/>
      <c r="BA197" s="1328"/>
      <c r="BC197" s="1328"/>
      <c r="BE197" s="1328"/>
      <c r="BF197" s="1328"/>
      <c r="BG197" s="1328"/>
    </row>
    <row r="198" spans="18:59" x14ac:dyDescent="0.35">
      <c r="R198" s="1328"/>
      <c r="S198" s="1328"/>
      <c r="W198" s="1328"/>
      <c r="X198" s="1328"/>
      <c r="AE198" s="1328"/>
      <c r="AF198" s="1328"/>
      <c r="AV198" s="1328"/>
      <c r="AW198" s="1328"/>
      <c r="AX198" s="1328"/>
      <c r="AY198" s="1328"/>
      <c r="AZ198" s="1328"/>
      <c r="BA198" s="1328"/>
      <c r="BC198" s="1328"/>
      <c r="BE198" s="1328"/>
      <c r="BF198" s="1328"/>
      <c r="BG198" s="1328"/>
    </row>
    <row r="199" spans="18:59" x14ac:dyDescent="0.35">
      <c r="R199" s="1328"/>
      <c r="S199" s="1328"/>
      <c r="W199" s="1328"/>
      <c r="X199" s="1328"/>
      <c r="AE199" s="1328"/>
      <c r="AF199" s="1328"/>
      <c r="AV199" s="1328"/>
      <c r="AW199" s="1328"/>
      <c r="AX199" s="1328"/>
      <c r="AY199" s="1328"/>
      <c r="AZ199" s="1328"/>
      <c r="BA199" s="1328"/>
      <c r="BC199" s="1328"/>
      <c r="BE199" s="1328"/>
      <c r="BF199" s="1328"/>
      <c r="BG199" s="1328"/>
    </row>
    <row r="200" spans="18:59" x14ac:dyDescent="0.35">
      <c r="R200" s="1328"/>
      <c r="S200" s="1328"/>
      <c r="W200" s="1328"/>
      <c r="X200" s="1328"/>
      <c r="AE200" s="1328"/>
      <c r="AF200" s="1328"/>
      <c r="AV200" s="1328"/>
      <c r="AW200" s="1328"/>
      <c r="AX200" s="1328"/>
      <c r="AY200" s="1328"/>
      <c r="AZ200" s="1328"/>
      <c r="BA200" s="1328"/>
      <c r="BC200" s="1328"/>
      <c r="BE200" s="1328"/>
      <c r="BF200" s="1328"/>
      <c r="BG200" s="1328"/>
    </row>
    <row r="201" spans="18:59" x14ac:dyDescent="0.35">
      <c r="R201" s="1328"/>
      <c r="S201" s="1328"/>
      <c r="W201" s="1328"/>
      <c r="X201" s="1328"/>
      <c r="AE201" s="1328"/>
      <c r="AF201" s="1328"/>
      <c r="AV201" s="1328"/>
      <c r="AW201" s="1328"/>
      <c r="AX201" s="1328"/>
      <c r="AY201" s="1328"/>
      <c r="AZ201" s="1328"/>
      <c r="BA201" s="1328"/>
      <c r="BC201" s="1328"/>
      <c r="BE201" s="1328"/>
      <c r="BF201" s="1328"/>
      <c r="BG201" s="1328"/>
    </row>
    <row r="202" spans="18:59" x14ac:dyDescent="0.35">
      <c r="R202" s="1328"/>
      <c r="S202" s="1328"/>
      <c r="W202" s="1328"/>
      <c r="X202" s="1328"/>
      <c r="AE202" s="1328"/>
      <c r="AF202" s="1328"/>
      <c r="AV202" s="1328"/>
      <c r="AW202" s="1328"/>
      <c r="AX202" s="1328"/>
      <c r="AY202" s="1328"/>
      <c r="AZ202" s="1328"/>
      <c r="BA202" s="1328"/>
      <c r="BC202" s="1328"/>
      <c r="BE202" s="1328"/>
      <c r="BF202" s="1328"/>
      <c r="BG202" s="1328"/>
    </row>
    <row r="203" spans="18:59" x14ac:dyDescent="0.35">
      <c r="R203" s="1328"/>
      <c r="S203" s="1328"/>
      <c r="W203" s="1328"/>
      <c r="X203" s="1328"/>
      <c r="AE203" s="1328"/>
      <c r="AF203" s="1328"/>
      <c r="AV203" s="1328"/>
      <c r="AW203" s="1328"/>
      <c r="AX203" s="1328"/>
      <c r="AY203" s="1328"/>
      <c r="AZ203" s="1328"/>
      <c r="BA203" s="1328"/>
      <c r="BC203" s="1328"/>
      <c r="BE203" s="1328"/>
      <c r="BF203" s="1328"/>
      <c r="BG203" s="1328"/>
    </row>
    <row r="204" spans="18:59" x14ac:dyDescent="0.35">
      <c r="R204" s="1328"/>
      <c r="S204" s="1328"/>
      <c r="W204" s="1328"/>
      <c r="X204" s="1328"/>
      <c r="AE204" s="1328"/>
      <c r="AF204" s="1328"/>
      <c r="AV204" s="1328"/>
      <c r="AW204" s="1328"/>
      <c r="AX204" s="1328"/>
      <c r="AY204" s="1328"/>
      <c r="AZ204" s="1328"/>
      <c r="BA204" s="1328"/>
      <c r="BC204" s="1328"/>
      <c r="BE204" s="1328"/>
      <c r="BF204" s="1328"/>
      <c r="BG204" s="1328"/>
    </row>
    <row r="205" spans="18:59" x14ac:dyDescent="0.35">
      <c r="R205" s="1328"/>
      <c r="S205" s="1328"/>
      <c r="W205" s="1328"/>
      <c r="X205" s="1328"/>
      <c r="AE205" s="1328"/>
      <c r="AF205" s="1328"/>
      <c r="AV205" s="1328"/>
      <c r="AW205" s="1328"/>
      <c r="AX205" s="1328"/>
      <c r="AY205" s="1328"/>
      <c r="AZ205" s="1328"/>
      <c r="BA205" s="1328"/>
      <c r="BC205" s="1328"/>
      <c r="BE205" s="1328"/>
      <c r="BF205" s="1328"/>
      <c r="BG205" s="1328"/>
    </row>
    <row r="206" spans="18:59" x14ac:dyDescent="0.35">
      <c r="R206" s="1328"/>
      <c r="S206" s="1328"/>
      <c r="W206" s="1328"/>
      <c r="X206" s="1328"/>
      <c r="AE206" s="1328"/>
      <c r="AF206" s="1328"/>
      <c r="AV206" s="1328"/>
      <c r="AW206" s="1328"/>
      <c r="AX206" s="1328"/>
      <c r="AY206" s="1328"/>
      <c r="AZ206" s="1328"/>
      <c r="BA206" s="1328"/>
      <c r="BC206" s="1328"/>
      <c r="BE206" s="1328"/>
      <c r="BF206" s="1328"/>
      <c r="BG206" s="1328"/>
    </row>
    <row r="207" spans="18:59" x14ac:dyDescent="0.35">
      <c r="R207" s="1328"/>
      <c r="S207" s="1328"/>
      <c r="W207" s="1328"/>
      <c r="X207" s="1328"/>
      <c r="AE207" s="1328"/>
      <c r="AF207" s="1328"/>
      <c r="AV207" s="1328"/>
      <c r="AW207" s="1328"/>
      <c r="AX207" s="1328"/>
      <c r="AY207" s="1328"/>
      <c r="AZ207" s="1328"/>
      <c r="BA207" s="1328"/>
      <c r="BC207" s="1328"/>
      <c r="BE207" s="1328"/>
      <c r="BF207" s="1328"/>
      <c r="BG207" s="1328"/>
    </row>
    <row r="208" spans="18:59" x14ac:dyDescent="0.35">
      <c r="R208" s="1328"/>
      <c r="S208" s="1328"/>
      <c r="W208" s="1328"/>
      <c r="X208" s="1328"/>
      <c r="AE208" s="1328"/>
      <c r="AF208" s="1328"/>
      <c r="AV208" s="1328"/>
      <c r="AW208" s="1328"/>
      <c r="AX208" s="1328"/>
      <c r="AY208" s="1328"/>
      <c r="AZ208" s="1328"/>
      <c r="BA208" s="1328"/>
      <c r="BC208" s="1328"/>
      <c r="BE208" s="1328"/>
      <c r="BF208" s="1328"/>
      <c r="BG208" s="1328"/>
    </row>
    <row r="209" spans="18:59" x14ac:dyDescent="0.35">
      <c r="R209" s="1328"/>
      <c r="S209" s="1328"/>
      <c r="W209" s="1328"/>
      <c r="X209" s="1328"/>
      <c r="AE209" s="1328"/>
      <c r="AF209" s="1328"/>
      <c r="AV209" s="1328"/>
      <c r="AW209" s="1328"/>
      <c r="AX209" s="1328"/>
      <c r="AY209" s="1328"/>
      <c r="AZ209" s="1328"/>
      <c r="BA209" s="1328"/>
      <c r="BC209" s="1328"/>
      <c r="BE209" s="1328"/>
      <c r="BF209" s="1328"/>
      <c r="BG209" s="1328"/>
    </row>
    <row r="210" spans="18:59" x14ac:dyDescent="0.35">
      <c r="R210" s="1328"/>
      <c r="S210" s="1328"/>
      <c r="W210" s="1328"/>
      <c r="X210" s="1328"/>
      <c r="AE210" s="1328"/>
      <c r="AF210" s="1328"/>
      <c r="AV210" s="1328"/>
      <c r="AW210" s="1328"/>
      <c r="AX210" s="1328"/>
      <c r="AY210" s="1328"/>
      <c r="AZ210" s="1328"/>
      <c r="BA210" s="1328"/>
      <c r="BC210" s="1328"/>
      <c r="BE210" s="1328"/>
      <c r="BF210" s="1328"/>
      <c r="BG210" s="1328"/>
    </row>
    <row r="211" spans="18:59" x14ac:dyDescent="0.35">
      <c r="R211" s="1328"/>
      <c r="S211" s="1328"/>
      <c r="W211" s="1328"/>
      <c r="X211" s="1328"/>
      <c r="AE211" s="1328"/>
      <c r="AF211" s="1328"/>
      <c r="AV211" s="1328"/>
      <c r="AW211" s="1328"/>
      <c r="AX211" s="1328"/>
      <c r="AY211" s="1328"/>
      <c r="AZ211" s="1328"/>
      <c r="BA211" s="1328"/>
      <c r="BC211" s="1328"/>
      <c r="BE211" s="1328"/>
      <c r="BF211" s="1328"/>
      <c r="BG211" s="1328"/>
    </row>
    <row r="212" spans="18:59" x14ac:dyDescent="0.35">
      <c r="R212" s="1328"/>
      <c r="S212" s="1328"/>
      <c r="W212" s="1328"/>
      <c r="X212" s="1328"/>
      <c r="AE212" s="1328"/>
      <c r="AF212" s="1328"/>
      <c r="AV212" s="1328"/>
      <c r="AW212" s="1328"/>
      <c r="AX212" s="1328"/>
      <c r="AY212" s="1328"/>
      <c r="AZ212" s="1328"/>
      <c r="BA212" s="1328"/>
      <c r="BC212" s="1328"/>
      <c r="BE212" s="1328"/>
      <c r="BF212" s="1328"/>
      <c r="BG212" s="1328"/>
    </row>
    <row r="213" spans="18:59" x14ac:dyDescent="0.35">
      <c r="R213" s="1328"/>
      <c r="S213" s="1328"/>
      <c r="W213" s="1328"/>
      <c r="X213" s="1328"/>
      <c r="AE213" s="1328"/>
      <c r="AF213" s="1328"/>
      <c r="AV213" s="1328"/>
      <c r="AW213" s="1328"/>
      <c r="AX213" s="1328"/>
      <c r="AY213" s="1328"/>
      <c r="AZ213" s="1328"/>
      <c r="BA213" s="1328"/>
      <c r="BC213" s="1328"/>
      <c r="BE213" s="1328"/>
      <c r="BF213" s="1328"/>
      <c r="BG213" s="1328"/>
    </row>
    <row r="214" spans="18:59" x14ac:dyDescent="0.35">
      <c r="R214" s="1328"/>
      <c r="S214" s="1328"/>
      <c r="W214" s="1328"/>
      <c r="X214" s="1328"/>
      <c r="AE214" s="1328"/>
      <c r="AF214" s="1328"/>
      <c r="AV214" s="1328"/>
      <c r="AW214" s="1328"/>
      <c r="AX214" s="1328"/>
      <c r="AY214" s="1328"/>
      <c r="AZ214" s="1328"/>
      <c r="BA214" s="1328"/>
      <c r="BC214" s="1328"/>
      <c r="BE214" s="1328"/>
      <c r="BF214" s="1328"/>
      <c r="BG214" s="1328"/>
    </row>
    <row r="215" spans="18:59" x14ac:dyDescent="0.35">
      <c r="R215" s="1328"/>
      <c r="S215" s="1328"/>
      <c r="W215" s="1328"/>
      <c r="X215" s="1328"/>
      <c r="AE215" s="1328"/>
      <c r="AF215" s="1328"/>
      <c r="AV215" s="1328"/>
      <c r="AW215" s="1328"/>
      <c r="AX215" s="1328"/>
      <c r="AY215" s="1328"/>
      <c r="AZ215" s="1328"/>
      <c r="BA215" s="1328"/>
      <c r="BC215" s="1328"/>
      <c r="BE215" s="1328"/>
      <c r="BF215" s="1328"/>
      <c r="BG215" s="1328"/>
    </row>
    <row r="216" spans="18:59" x14ac:dyDescent="0.35">
      <c r="R216" s="1328"/>
      <c r="S216" s="1328"/>
      <c r="W216" s="1328"/>
      <c r="X216" s="1328"/>
      <c r="AE216" s="1328"/>
      <c r="AF216" s="1328"/>
      <c r="AV216" s="1328"/>
      <c r="AW216" s="1328"/>
      <c r="AX216" s="1328"/>
      <c r="AY216" s="1328"/>
      <c r="AZ216" s="1328"/>
      <c r="BA216" s="1328"/>
      <c r="BC216" s="1328"/>
      <c r="BE216" s="1328"/>
      <c r="BF216" s="1328"/>
      <c r="BG216" s="1328"/>
    </row>
    <row r="217" spans="18:59" x14ac:dyDescent="0.35">
      <c r="R217" s="1328"/>
      <c r="S217" s="1328"/>
      <c r="W217" s="1328"/>
      <c r="X217" s="1328"/>
      <c r="AE217" s="1328"/>
      <c r="AF217" s="1328"/>
      <c r="AV217" s="1328"/>
      <c r="AW217" s="1328"/>
      <c r="AX217" s="1328"/>
      <c r="AY217" s="1328"/>
      <c r="AZ217" s="1328"/>
      <c r="BA217" s="1328"/>
      <c r="BC217" s="1328"/>
      <c r="BE217" s="1328"/>
      <c r="BF217" s="1328"/>
      <c r="BG217" s="1328"/>
    </row>
    <row r="218" spans="18:59" x14ac:dyDescent="0.35">
      <c r="R218" s="1328"/>
      <c r="S218" s="1328"/>
      <c r="W218" s="1328"/>
      <c r="X218" s="1328"/>
      <c r="AE218" s="1328"/>
      <c r="AF218" s="1328"/>
      <c r="AV218" s="1328"/>
      <c r="AW218" s="1328"/>
      <c r="AX218" s="1328"/>
      <c r="AY218" s="1328"/>
      <c r="AZ218" s="1328"/>
      <c r="BA218" s="1328"/>
      <c r="BC218" s="1328"/>
      <c r="BE218" s="1328"/>
      <c r="BF218" s="1328"/>
      <c r="BG218" s="1328"/>
    </row>
    <row r="219" spans="18:59" x14ac:dyDescent="0.35">
      <c r="R219" s="1328"/>
      <c r="S219" s="1328"/>
      <c r="W219" s="1328"/>
      <c r="X219" s="1328"/>
      <c r="AE219" s="1328"/>
      <c r="AF219" s="1328"/>
      <c r="AV219" s="1328"/>
      <c r="AW219" s="1328"/>
      <c r="AX219" s="1328"/>
      <c r="AY219" s="1328"/>
      <c r="AZ219" s="1328"/>
      <c r="BA219" s="1328"/>
      <c r="BC219" s="1328"/>
      <c r="BE219" s="1328"/>
      <c r="BF219" s="1328"/>
      <c r="BG219" s="1328"/>
    </row>
    <row r="220" spans="18:59" x14ac:dyDescent="0.35">
      <c r="R220" s="1328"/>
      <c r="S220" s="1328"/>
      <c r="W220" s="1328"/>
      <c r="X220" s="1328"/>
      <c r="AE220" s="1328"/>
      <c r="AF220" s="1328"/>
      <c r="AV220" s="1328"/>
      <c r="AW220" s="1328"/>
      <c r="AX220" s="1328"/>
      <c r="AY220" s="1328"/>
      <c r="AZ220" s="1328"/>
      <c r="BA220" s="1328"/>
      <c r="BC220" s="1328"/>
      <c r="BE220" s="1328"/>
      <c r="BF220" s="1328"/>
      <c r="BG220" s="1328"/>
    </row>
    <row r="221" spans="18:59" x14ac:dyDescent="0.35">
      <c r="R221" s="1328"/>
      <c r="S221" s="1328"/>
      <c r="W221" s="1328"/>
      <c r="X221" s="1328"/>
      <c r="AE221" s="1328"/>
      <c r="AF221" s="1328"/>
      <c r="AV221" s="1328"/>
      <c r="AW221" s="1328"/>
      <c r="AX221" s="1328"/>
      <c r="AY221" s="1328"/>
      <c r="AZ221" s="1328"/>
      <c r="BA221" s="1328"/>
      <c r="BC221" s="1328"/>
      <c r="BE221" s="1328"/>
      <c r="BF221" s="1328"/>
      <c r="BG221" s="1328"/>
    </row>
    <row r="222" spans="18:59" x14ac:dyDescent="0.35">
      <c r="R222" s="1328"/>
      <c r="S222" s="1328"/>
      <c r="W222" s="1328"/>
      <c r="X222" s="1328"/>
      <c r="AE222" s="1328"/>
      <c r="AF222" s="1328"/>
      <c r="AV222" s="1328"/>
      <c r="AW222" s="1328"/>
      <c r="AX222" s="1328"/>
      <c r="AY222" s="1328"/>
      <c r="AZ222" s="1328"/>
      <c r="BA222" s="1328"/>
      <c r="BC222" s="1328"/>
      <c r="BE222" s="1328"/>
      <c r="BF222" s="1328"/>
      <c r="BG222" s="1328"/>
    </row>
    <row r="223" spans="18:59" x14ac:dyDescent="0.35">
      <c r="R223" s="1328"/>
      <c r="S223" s="1328"/>
      <c r="W223" s="1328"/>
      <c r="X223" s="1328"/>
      <c r="AE223" s="1328"/>
      <c r="AF223" s="1328"/>
      <c r="AV223" s="1328"/>
      <c r="AW223" s="1328"/>
      <c r="AX223" s="1328"/>
      <c r="AY223" s="1328"/>
      <c r="AZ223" s="1328"/>
      <c r="BA223" s="1328"/>
      <c r="BC223" s="1328"/>
      <c r="BE223" s="1328"/>
      <c r="BF223" s="1328"/>
      <c r="BG223" s="1328"/>
    </row>
    <row r="224" spans="18:59" x14ac:dyDescent="0.35">
      <c r="R224" s="1328"/>
      <c r="S224" s="1328"/>
      <c r="W224" s="1328"/>
      <c r="X224" s="1328"/>
      <c r="AE224" s="1328"/>
      <c r="AF224" s="1328"/>
      <c r="AV224" s="1328"/>
      <c r="AW224" s="1328"/>
      <c r="AX224" s="1328"/>
      <c r="AY224" s="1328"/>
      <c r="AZ224" s="1328"/>
      <c r="BA224" s="1328"/>
      <c r="BC224" s="1328"/>
      <c r="BE224" s="1328"/>
      <c r="BF224" s="1328"/>
      <c r="BG224" s="1328"/>
    </row>
    <row r="225" spans="18:59" x14ac:dyDescent="0.35">
      <c r="R225" s="1328"/>
      <c r="S225" s="1328"/>
      <c r="W225" s="1328"/>
      <c r="X225" s="1328"/>
      <c r="AE225" s="1328"/>
      <c r="AF225" s="1328"/>
      <c r="AV225" s="1328"/>
      <c r="AW225" s="1328"/>
      <c r="AX225" s="1328"/>
      <c r="AY225" s="1328"/>
      <c r="AZ225" s="1328"/>
      <c r="BA225" s="1328"/>
      <c r="BC225" s="1328"/>
      <c r="BE225" s="1328"/>
      <c r="BF225" s="1328"/>
      <c r="BG225" s="1328"/>
    </row>
    <row r="226" spans="18:59" x14ac:dyDescent="0.35">
      <c r="R226" s="1328"/>
      <c r="S226" s="1328"/>
      <c r="W226" s="1328"/>
      <c r="X226" s="1328"/>
      <c r="AE226" s="1328"/>
      <c r="AF226" s="1328"/>
      <c r="AV226" s="1328"/>
      <c r="AW226" s="1328"/>
      <c r="AX226" s="1328"/>
      <c r="AY226" s="1328"/>
      <c r="AZ226" s="1328"/>
      <c r="BA226" s="1328"/>
      <c r="BC226" s="1328"/>
      <c r="BE226" s="1328"/>
      <c r="BF226" s="1328"/>
      <c r="BG226" s="1328"/>
    </row>
    <row r="227" spans="18:59" x14ac:dyDescent="0.35">
      <c r="R227" s="1328"/>
      <c r="S227" s="1328"/>
      <c r="W227" s="1328"/>
      <c r="X227" s="1328"/>
      <c r="AE227" s="1328"/>
      <c r="AF227" s="1328"/>
      <c r="AV227" s="1328"/>
      <c r="AW227" s="1328"/>
      <c r="AX227" s="1328"/>
      <c r="AY227" s="1328"/>
      <c r="AZ227" s="1328"/>
      <c r="BA227" s="1328"/>
      <c r="BC227" s="1328"/>
      <c r="BE227" s="1328"/>
      <c r="BF227" s="1328"/>
      <c r="BG227" s="1328"/>
    </row>
    <row r="228" spans="18:59" x14ac:dyDescent="0.35">
      <c r="R228" s="1328"/>
      <c r="S228" s="1328"/>
      <c r="W228" s="1328"/>
      <c r="X228" s="1328"/>
      <c r="AE228" s="1328"/>
      <c r="AF228" s="1328"/>
      <c r="AV228" s="1328"/>
      <c r="AW228" s="1328"/>
      <c r="AX228" s="1328"/>
      <c r="AY228" s="1328"/>
      <c r="AZ228" s="1328"/>
      <c r="BA228" s="1328"/>
      <c r="BC228" s="1328"/>
      <c r="BE228" s="1328"/>
      <c r="BF228" s="1328"/>
      <c r="BG228" s="1328"/>
    </row>
    <row r="229" spans="18:59" x14ac:dyDescent="0.35">
      <c r="R229" s="1328"/>
      <c r="S229" s="1328"/>
      <c r="W229" s="1328"/>
      <c r="X229" s="1328"/>
      <c r="AE229" s="1328"/>
      <c r="AF229" s="1328"/>
      <c r="AV229" s="1328"/>
      <c r="AW229" s="1328"/>
      <c r="AX229" s="1328"/>
      <c r="AY229" s="1328"/>
      <c r="AZ229" s="1328"/>
      <c r="BA229" s="1328"/>
      <c r="BC229" s="1328"/>
      <c r="BE229" s="1328"/>
      <c r="BF229" s="1328"/>
      <c r="BG229" s="1328"/>
    </row>
    <row r="230" spans="18:59" x14ac:dyDescent="0.35">
      <c r="R230" s="1328"/>
      <c r="S230" s="1328"/>
      <c r="W230" s="1328"/>
      <c r="X230" s="1328"/>
      <c r="AE230" s="1328"/>
      <c r="AF230" s="1328"/>
      <c r="AV230" s="1328"/>
      <c r="AW230" s="1328"/>
      <c r="AX230" s="1328"/>
      <c r="AY230" s="1328"/>
      <c r="AZ230" s="1328"/>
      <c r="BA230" s="1328"/>
      <c r="BC230" s="1328"/>
      <c r="BE230" s="1328"/>
      <c r="BF230" s="1328"/>
      <c r="BG230" s="1328"/>
    </row>
    <row r="231" spans="18:59" x14ac:dyDescent="0.35">
      <c r="R231" s="1328"/>
      <c r="S231" s="1328"/>
      <c r="W231" s="1328"/>
      <c r="X231" s="1328"/>
      <c r="AE231" s="1328"/>
      <c r="AF231" s="1328"/>
      <c r="AV231" s="1328"/>
      <c r="AW231" s="1328"/>
      <c r="AX231" s="1328"/>
      <c r="AY231" s="1328"/>
      <c r="AZ231" s="1328"/>
      <c r="BA231" s="1328"/>
      <c r="BC231" s="1328"/>
      <c r="BE231" s="1328"/>
      <c r="BF231" s="1328"/>
      <c r="BG231" s="1328"/>
    </row>
    <row r="232" spans="18:59" x14ac:dyDescent="0.35">
      <c r="R232" s="1328"/>
      <c r="S232" s="1328"/>
      <c r="W232" s="1328"/>
      <c r="X232" s="1328"/>
      <c r="AE232" s="1328"/>
      <c r="AF232" s="1328"/>
      <c r="AV232" s="1328"/>
      <c r="AW232" s="1328"/>
      <c r="AX232" s="1328"/>
      <c r="AY232" s="1328"/>
      <c r="AZ232" s="1328"/>
      <c r="BA232" s="1328"/>
      <c r="BC232" s="1328"/>
      <c r="BE232" s="1328"/>
      <c r="BF232" s="1328"/>
      <c r="BG232" s="1328"/>
    </row>
    <row r="233" spans="18:59" x14ac:dyDescent="0.35">
      <c r="R233" s="1328"/>
      <c r="S233" s="1328"/>
      <c r="W233" s="1328"/>
      <c r="X233" s="1328"/>
      <c r="AE233" s="1328"/>
      <c r="AF233" s="1328"/>
      <c r="AV233" s="1328"/>
      <c r="AW233" s="1328"/>
      <c r="AX233" s="1328"/>
      <c r="AY233" s="1328"/>
      <c r="AZ233" s="1328"/>
      <c r="BA233" s="1328"/>
      <c r="BC233" s="1328"/>
      <c r="BE233" s="1328"/>
      <c r="BF233" s="1328"/>
      <c r="BG233" s="1328"/>
    </row>
    <row r="234" spans="18:59" x14ac:dyDescent="0.35">
      <c r="R234" s="1328"/>
      <c r="S234" s="1328"/>
      <c r="W234" s="1328"/>
      <c r="X234" s="1328"/>
      <c r="AE234" s="1328"/>
      <c r="AF234" s="1328"/>
      <c r="AV234" s="1328"/>
      <c r="AW234" s="1328"/>
      <c r="AX234" s="1328"/>
      <c r="AY234" s="1328"/>
      <c r="AZ234" s="1328"/>
      <c r="BA234" s="1328"/>
      <c r="BC234" s="1328"/>
      <c r="BE234" s="1328"/>
      <c r="BF234" s="1328"/>
      <c r="BG234" s="1328"/>
    </row>
    <row r="235" spans="18:59" x14ac:dyDescent="0.35">
      <c r="R235" s="1328"/>
      <c r="S235" s="1328"/>
      <c r="W235" s="1328"/>
      <c r="X235" s="1328"/>
      <c r="AE235" s="1328"/>
      <c r="AF235" s="1328"/>
      <c r="AV235" s="1328"/>
      <c r="AW235" s="1328"/>
      <c r="AX235" s="1328"/>
      <c r="AY235" s="1328"/>
      <c r="AZ235" s="1328"/>
      <c r="BA235" s="1328"/>
      <c r="BC235" s="1328"/>
      <c r="BE235" s="1328"/>
      <c r="BF235" s="1328"/>
      <c r="BG235" s="1328"/>
    </row>
    <row r="236" spans="18:59" x14ac:dyDescent="0.35">
      <c r="R236" s="1328"/>
      <c r="S236" s="1328"/>
      <c r="W236" s="1328"/>
      <c r="X236" s="1328"/>
      <c r="AE236" s="1328"/>
      <c r="AF236" s="1328"/>
      <c r="AV236" s="1328"/>
      <c r="AW236" s="1328"/>
      <c r="AX236" s="1328"/>
      <c r="AY236" s="1328"/>
      <c r="AZ236" s="1328"/>
      <c r="BA236" s="1328"/>
      <c r="BC236" s="1328"/>
      <c r="BE236" s="1328"/>
      <c r="BF236" s="1328"/>
      <c r="BG236" s="1328"/>
    </row>
    <row r="237" spans="18:59" x14ac:dyDescent="0.35">
      <c r="R237" s="1328"/>
      <c r="S237" s="1328"/>
      <c r="W237" s="1328"/>
      <c r="X237" s="1328"/>
      <c r="AE237" s="1328"/>
      <c r="AF237" s="1328"/>
      <c r="AV237" s="1328"/>
      <c r="AW237" s="1328"/>
      <c r="AX237" s="1328"/>
      <c r="AY237" s="1328"/>
      <c r="AZ237" s="1328"/>
      <c r="BA237" s="1328"/>
      <c r="BC237" s="1328"/>
      <c r="BE237" s="1328"/>
      <c r="BF237" s="1328"/>
      <c r="BG237" s="1328"/>
    </row>
    <row r="238" spans="18:59" x14ac:dyDescent="0.35">
      <c r="R238" s="1328"/>
      <c r="S238" s="1328"/>
      <c r="W238" s="1328"/>
      <c r="X238" s="1328"/>
      <c r="AE238" s="1328"/>
      <c r="AF238" s="1328"/>
      <c r="AV238" s="1328"/>
      <c r="AW238" s="1328"/>
      <c r="AX238" s="1328"/>
      <c r="AY238" s="1328"/>
      <c r="AZ238" s="1328"/>
      <c r="BA238" s="1328"/>
      <c r="BC238" s="1328"/>
      <c r="BE238" s="1328"/>
      <c r="BF238" s="1328"/>
      <c r="BG238" s="1328"/>
    </row>
    <row r="239" spans="18:59" x14ac:dyDescent="0.35">
      <c r="R239" s="1328"/>
      <c r="S239" s="1328"/>
      <c r="W239" s="1328"/>
      <c r="X239" s="1328"/>
      <c r="AE239" s="1328"/>
      <c r="AF239" s="1328"/>
      <c r="AV239" s="1328"/>
      <c r="AW239" s="1328"/>
      <c r="AX239" s="1328"/>
      <c r="AY239" s="1328"/>
      <c r="AZ239" s="1328"/>
      <c r="BA239" s="1328"/>
      <c r="BC239" s="1328"/>
      <c r="BE239" s="1328"/>
      <c r="BF239" s="1328"/>
      <c r="BG239" s="1328"/>
    </row>
    <row r="240" spans="18:59" x14ac:dyDescent="0.35">
      <c r="R240" s="1328"/>
      <c r="S240" s="1328"/>
      <c r="W240" s="1328"/>
      <c r="X240" s="1328"/>
      <c r="AE240" s="1328"/>
      <c r="AF240" s="1328"/>
      <c r="AV240" s="1328"/>
      <c r="AW240" s="1328"/>
      <c r="AX240" s="1328"/>
      <c r="AY240" s="1328"/>
      <c r="AZ240" s="1328"/>
      <c r="BA240" s="1328"/>
      <c r="BC240" s="1328"/>
      <c r="BE240" s="1328"/>
      <c r="BF240" s="1328"/>
      <c r="BG240" s="1328"/>
    </row>
    <row r="241" spans="18:59" x14ac:dyDescent="0.35">
      <c r="R241" s="1328"/>
      <c r="S241" s="1328"/>
      <c r="W241" s="1328"/>
      <c r="X241" s="1328"/>
      <c r="AE241" s="1328"/>
      <c r="AF241" s="1328"/>
      <c r="AV241" s="1328"/>
      <c r="AW241" s="1328"/>
      <c r="AX241" s="1328"/>
      <c r="AY241" s="1328"/>
      <c r="AZ241" s="1328"/>
      <c r="BA241" s="1328"/>
      <c r="BC241" s="1328"/>
      <c r="BE241" s="1328"/>
      <c r="BF241" s="1328"/>
      <c r="BG241" s="1328"/>
    </row>
    <row r="242" spans="18:59" x14ac:dyDescent="0.35">
      <c r="R242" s="1328"/>
      <c r="S242" s="1328"/>
      <c r="W242" s="1328"/>
      <c r="X242" s="1328"/>
      <c r="AE242" s="1328"/>
      <c r="AF242" s="1328"/>
      <c r="AV242" s="1328"/>
      <c r="AW242" s="1328"/>
      <c r="AX242" s="1328"/>
      <c r="AY242" s="1328"/>
      <c r="AZ242" s="1328"/>
      <c r="BA242" s="1328"/>
      <c r="BC242" s="1328"/>
      <c r="BE242" s="1328"/>
      <c r="BF242" s="1328"/>
      <c r="BG242" s="1328"/>
    </row>
    <row r="243" spans="18:59" x14ac:dyDescent="0.35">
      <c r="R243" s="1328"/>
      <c r="S243" s="1328"/>
      <c r="W243" s="1328"/>
      <c r="X243" s="1328"/>
      <c r="AE243" s="1328"/>
      <c r="AF243" s="1328"/>
      <c r="AV243" s="1328"/>
      <c r="AW243" s="1328"/>
      <c r="AX243" s="1328"/>
      <c r="AY243" s="1328"/>
      <c r="AZ243" s="1328"/>
      <c r="BA243" s="1328"/>
      <c r="BC243" s="1328"/>
      <c r="BE243" s="1328"/>
      <c r="BF243" s="1328"/>
      <c r="BG243" s="1328"/>
    </row>
    <row r="244" spans="18:59" x14ac:dyDescent="0.35">
      <c r="R244" s="1328"/>
      <c r="S244" s="1328"/>
      <c r="W244" s="1328"/>
      <c r="X244" s="1328"/>
      <c r="AE244" s="1328"/>
      <c r="AF244" s="1328"/>
      <c r="AV244" s="1328"/>
      <c r="AW244" s="1328"/>
      <c r="AX244" s="1328"/>
      <c r="AY244" s="1328"/>
      <c r="AZ244" s="1328"/>
      <c r="BA244" s="1328"/>
      <c r="BC244" s="1328"/>
      <c r="BE244" s="1328"/>
      <c r="BF244" s="1328"/>
      <c r="BG244" s="1328"/>
    </row>
    <row r="245" spans="18:59" x14ac:dyDescent="0.35">
      <c r="R245" s="1328"/>
      <c r="S245" s="1328"/>
      <c r="W245" s="1328"/>
      <c r="X245" s="1328"/>
      <c r="AE245" s="1328"/>
      <c r="AF245" s="1328"/>
      <c r="AV245" s="1328"/>
      <c r="AW245" s="1328"/>
      <c r="AX245" s="1328"/>
      <c r="AY245" s="1328"/>
      <c r="AZ245" s="1328"/>
      <c r="BA245" s="1328"/>
      <c r="BC245" s="1328"/>
      <c r="BE245" s="1328"/>
      <c r="BF245" s="1328"/>
      <c r="BG245" s="1328"/>
    </row>
    <row r="246" spans="18:59" x14ac:dyDescent="0.35">
      <c r="R246" s="1328"/>
      <c r="S246" s="1328"/>
      <c r="W246" s="1328"/>
      <c r="X246" s="1328"/>
      <c r="AE246" s="1328"/>
      <c r="AF246" s="1328"/>
      <c r="AV246" s="1328"/>
      <c r="AW246" s="1328"/>
      <c r="AX246" s="1328"/>
      <c r="AY246" s="1328"/>
      <c r="AZ246" s="1328"/>
      <c r="BA246" s="1328"/>
      <c r="BC246" s="1328"/>
      <c r="BE246" s="1328"/>
      <c r="BF246" s="1328"/>
      <c r="BG246" s="1328"/>
    </row>
    <row r="247" spans="18:59" x14ac:dyDescent="0.35">
      <c r="R247" s="1328"/>
      <c r="S247" s="1328"/>
      <c r="W247" s="1328"/>
      <c r="X247" s="1328"/>
      <c r="AE247" s="1328"/>
      <c r="AF247" s="1328"/>
      <c r="AV247" s="1328"/>
      <c r="AW247" s="1328"/>
      <c r="AX247" s="1328"/>
      <c r="AY247" s="1328"/>
      <c r="AZ247" s="1328"/>
      <c r="BA247" s="1328"/>
      <c r="BC247" s="1328"/>
      <c r="BE247" s="1328"/>
      <c r="BF247" s="1328"/>
      <c r="BG247" s="1328"/>
    </row>
    <row r="248" spans="18:59" x14ac:dyDescent="0.35">
      <c r="R248" s="1328"/>
      <c r="S248" s="1328"/>
      <c r="W248" s="1328"/>
      <c r="X248" s="1328"/>
      <c r="AE248" s="1328"/>
      <c r="AF248" s="1328"/>
      <c r="AV248" s="1328"/>
      <c r="AW248" s="1328"/>
      <c r="AX248" s="1328"/>
      <c r="AY248" s="1328"/>
      <c r="AZ248" s="1328"/>
      <c r="BA248" s="1328"/>
      <c r="BC248" s="1328"/>
      <c r="BE248" s="1328"/>
      <c r="BF248" s="1328"/>
      <c r="BG248" s="1328"/>
    </row>
    <row r="249" spans="18:59" x14ac:dyDescent="0.35">
      <c r="R249" s="1328"/>
      <c r="S249" s="1328"/>
      <c r="W249" s="1328"/>
      <c r="X249" s="1328"/>
      <c r="AE249" s="1328"/>
      <c r="AF249" s="1328"/>
      <c r="AV249" s="1328"/>
      <c r="AW249" s="1328"/>
      <c r="AX249" s="1328"/>
      <c r="AY249" s="1328"/>
      <c r="AZ249" s="1328"/>
      <c r="BA249" s="1328"/>
      <c r="BC249" s="1328"/>
      <c r="BE249" s="1328"/>
      <c r="BF249" s="1328"/>
      <c r="BG249" s="1328"/>
    </row>
    <row r="250" spans="18:59" x14ac:dyDescent="0.35">
      <c r="R250" s="1328"/>
      <c r="S250" s="1328"/>
      <c r="W250" s="1328"/>
      <c r="X250" s="1328"/>
      <c r="AE250" s="1328"/>
      <c r="AF250" s="1328"/>
      <c r="AV250" s="1328"/>
      <c r="AW250" s="1328"/>
      <c r="AX250" s="1328"/>
      <c r="AY250" s="1328"/>
      <c r="AZ250" s="1328"/>
      <c r="BA250" s="1328"/>
      <c r="BC250" s="1328"/>
      <c r="BE250" s="1328"/>
      <c r="BF250" s="1328"/>
      <c r="BG250" s="1328"/>
    </row>
    <row r="251" spans="18:59" x14ac:dyDescent="0.35">
      <c r="R251" s="1328"/>
      <c r="S251" s="1328"/>
      <c r="W251" s="1328"/>
      <c r="X251" s="1328"/>
      <c r="AE251" s="1328"/>
      <c r="AF251" s="1328"/>
      <c r="AV251" s="1328"/>
      <c r="AW251" s="1328"/>
      <c r="AX251" s="1328"/>
      <c r="AY251" s="1328"/>
      <c r="AZ251" s="1328"/>
      <c r="BA251" s="1328"/>
      <c r="BC251" s="1328"/>
      <c r="BE251" s="1328"/>
      <c r="BF251" s="1328"/>
      <c r="BG251" s="1328"/>
    </row>
    <row r="252" spans="18:59" x14ac:dyDescent="0.35">
      <c r="R252" s="1328"/>
      <c r="S252" s="1328"/>
      <c r="W252" s="1328"/>
      <c r="X252" s="1328"/>
      <c r="AE252" s="1328"/>
      <c r="AF252" s="1328"/>
      <c r="AV252" s="1328"/>
      <c r="AW252" s="1328"/>
      <c r="AX252" s="1328"/>
      <c r="AY252" s="1328"/>
      <c r="AZ252" s="1328"/>
      <c r="BA252" s="1328"/>
      <c r="BC252" s="1328"/>
      <c r="BE252" s="1328"/>
      <c r="BF252" s="1328"/>
      <c r="BG252" s="1328"/>
    </row>
    <row r="253" spans="18:59" x14ac:dyDescent="0.35">
      <c r="R253" s="1328"/>
      <c r="S253" s="1328"/>
      <c r="W253" s="1328"/>
      <c r="X253" s="1328"/>
      <c r="AE253" s="1328"/>
      <c r="AF253" s="1328"/>
      <c r="AV253" s="1328"/>
      <c r="AW253" s="1328"/>
      <c r="AX253" s="1328"/>
      <c r="AY253" s="1328"/>
      <c r="AZ253" s="1328"/>
      <c r="BA253" s="1328"/>
      <c r="BC253" s="1328"/>
      <c r="BE253" s="1328"/>
      <c r="BF253" s="1328"/>
      <c r="BG253" s="1328"/>
    </row>
    <row r="254" spans="18:59" x14ac:dyDescent="0.35">
      <c r="R254" s="1328"/>
      <c r="S254" s="1328"/>
      <c r="W254" s="1328"/>
      <c r="X254" s="1328"/>
      <c r="AE254" s="1328"/>
      <c r="AF254" s="1328"/>
      <c r="AV254" s="1328"/>
      <c r="AW254" s="1328"/>
      <c r="AX254" s="1328"/>
      <c r="AY254" s="1328"/>
      <c r="AZ254" s="1328"/>
      <c r="BA254" s="1328"/>
      <c r="BC254" s="1328"/>
      <c r="BE254" s="1328"/>
      <c r="BF254" s="1328"/>
      <c r="BG254" s="1328"/>
    </row>
    <row r="255" spans="18:59" x14ac:dyDescent="0.35">
      <c r="R255" s="1328"/>
      <c r="S255" s="1328"/>
      <c r="W255" s="1328"/>
      <c r="X255" s="1328"/>
      <c r="AE255" s="1328"/>
      <c r="AF255" s="1328"/>
      <c r="AV255" s="1328"/>
      <c r="AW255" s="1328"/>
      <c r="AX255" s="1328"/>
      <c r="AY255" s="1328"/>
      <c r="AZ255" s="1328"/>
      <c r="BA255" s="1328"/>
      <c r="BC255" s="1328"/>
      <c r="BE255" s="1328"/>
      <c r="BF255" s="1328"/>
      <c r="BG255" s="1328"/>
    </row>
    <row r="256" spans="18:59" x14ac:dyDescent="0.35">
      <c r="R256" s="1328"/>
      <c r="S256" s="1328"/>
      <c r="W256" s="1328"/>
      <c r="X256" s="1328"/>
      <c r="AE256" s="1328"/>
      <c r="AF256" s="1328"/>
      <c r="AV256" s="1328"/>
      <c r="AW256" s="1328"/>
      <c r="AX256" s="1328"/>
      <c r="AY256" s="1328"/>
      <c r="AZ256" s="1328"/>
      <c r="BA256" s="1328"/>
      <c r="BC256" s="1328"/>
      <c r="BE256" s="1328"/>
      <c r="BF256" s="1328"/>
      <c r="BG256" s="1328"/>
    </row>
    <row r="257" spans="18:59" x14ac:dyDescent="0.35">
      <c r="R257" s="1328"/>
      <c r="S257" s="1328"/>
      <c r="W257" s="1328"/>
      <c r="X257" s="1328"/>
      <c r="AE257" s="1328"/>
      <c r="AF257" s="1328"/>
      <c r="AV257" s="1328"/>
      <c r="AW257" s="1328"/>
      <c r="AX257" s="1328"/>
      <c r="AY257" s="1328"/>
      <c r="AZ257" s="1328"/>
      <c r="BA257" s="1328"/>
      <c r="BC257" s="1328"/>
      <c r="BE257" s="1328"/>
      <c r="BF257" s="1328"/>
      <c r="BG257" s="1328"/>
    </row>
    <row r="258" spans="18:59" x14ac:dyDescent="0.35">
      <c r="R258" s="1328"/>
      <c r="S258" s="1328"/>
      <c r="W258" s="1328"/>
      <c r="X258" s="1328"/>
      <c r="AE258" s="1328"/>
      <c r="AF258" s="1328"/>
      <c r="AV258" s="1328"/>
      <c r="AW258" s="1328"/>
      <c r="AX258" s="1328"/>
      <c r="AY258" s="1328"/>
      <c r="AZ258" s="1328"/>
      <c r="BA258" s="1328"/>
      <c r="BC258" s="1328"/>
      <c r="BE258" s="1328"/>
      <c r="BF258" s="1328"/>
      <c r="BG258" s="1328"/>
    </row>
    <row r="259" spans="18:59" x14ac:dyDescent="0.35">
      <c r="R259" s="1328"/>
      <c r="S259" s="1328"/>
      <c r="W259" s="1328"/>
      <c r="X259" s="1328"/>
      <c r="AE259" s="1328"/>
      <c r="AF259" s="1328"/>
      <c r="AV259" s="1328"/>
      <c r="AW259" s="1328"/>
      <c r="AX259" s="1328"/>
      <c r="AY259" s="1328"/>
      <c r="AZ259" s="1328"/>
      <c r="BA259" s="1328"/>
      <c r="BC259" s="1328"/>
      <c r="BE259" s="1328"/>
      <c r="BF259" s="1328"/>
      <c r="BG259" s="1328"/>
    </row>
    <row r="260" spans="18:59" x14ac:dyDescent="0.35">
      <c r="R260" s="1328"/>
      <c r="S260" s="1328"/>
      <c r="W260" s="1328"/>
      <c r="X260" s="1328"/>
      <c r="AE260" s="1328"/>
      <c r="AF260" s="1328"/>
      <c r="AV260" s="1328"/>
      <c r="AW260" s="1328"/>
      <c r="AX260" s="1328"/>
      <c r="AY260" s="1328"/>
      <c r="AZ260" s="1328"/>
      <c r="BA260" s="1328"/>
      <c r="BC260" s="1328"/>
      <c r="BE260" s="1328"/>
      <c r="BF260" s="1328"/>
      <c r="BG260" s="1328"/>
    </row>
    <row r="261" spans="18:59" x14ac:dyDescent="0.35">
      <c r="R261" s="1328"/>
      <c r="S261" s="1328"/>
      <c r="W261" s="1328"/>
      <c r="X261" s="1328"/>
      <c r="AE261" s="1328"/>
      <c r="AF261" s="1328"/>
      <c r="AV261" s="1328"/>
      <c r="AW261" s="1328"/>
      <c r="AX261" s="1328"/>
      <c r="AY261" s="1328"/>
      <c r="AZ261" s="1328"/>
      <c r="BA261" s="1328"/>
      <c r="BC261" s="1328"/>
      <c r="BE261" s="1328"/>
      <c r="BF261" s="1328"/>
      <c r="BG261" s="1328"/>
    </row>
    <row r="262" spans="18:59" x14ac:dyDescent="0.35">
      <c r="R262" s="1328"/>
      <c r="S262" s="1328"/>
      <c r="W262" s="1328"/>
      <c r="X262" s="1328"/>
      <c r="AE262" s="1328"/>
      <c r="AF262" s="1328"/>
      <c r="AV262" s="1328"/>
      <c r="AW262" s="1328"/>
      <c r="AX262" s="1328"/>
      <c r="AY262" s="1328"/>
      <c r="AZ262" s="1328"/>
      <c r="BA262" s="1328"/>
      <c r="BC262" s="1328"/>
      <c r="BE262" s="1328"/>
      <c r="BF262" s="1328"/>
      <c r="BG262" s="1328"/>
    </row>
    <row r="263" spans="18:59" x14ac:dyDescent="0.35">
      <c r="R263" s="1328"/>
      <c r="S263" s="1328"/>
      <c r="W263" s="1328"/>
      <c r="X263" s="1328"/>
      <c r="AE263" s="1328"/>
      <c r="AF263" s="1328"/>
      <c r="AV263" s="1328"/>
      <c r="AW263" s="1328"/>
      <c r="AX263" s="1328"/>
      <c r="AY263" s="1328"/>
      <c r="AZ263" s="1328"/>
      <c r="BA263" s="1328"/>
      <c r="BC263" s="1328"/>
      <c r="BE263" s="1328"/>
      <c r="BF263" s="1328"/>
      <c r="BG263" s="1328"/>
    </row>
    <row r="264" spans="18:59" x14ac:dyDescent="0.35">
      <c r="R264" s="1328"/>
      <c r="S264" s="1328"/>
      <c r="W264" s="1328"/>
      <c r="X264" s="1328"/>
      <c r="AE264" s="1328"/>
      <c r="AF264" s="1328"/>
      <c r="AV264" s="1328"/>
      <c r="AW264" s="1328"/>
      <c r="AX264" s="1328"/>
      <c r="AY264" s="1328"/>
      <c r="AZ264" s="1328"/>
      <c r="BA264" s="1328"/>
      <c r="BC264" s="1328"/>
      <c r="BE264" s="1328"/>
      <c r="BF264" s="1328"/>
      <c r="BG264" s="1328"/>
    </row>
    <row r="265" spans="18:59" x14ac:dyDescent="0.35">
      <c r="R265" s="1328"/>
      <c r="S265" s="1328"/>
      <c r="W265" s="1328"/>
      <c r="X265" s="1328"/>
      <c r="AE265" s="1328"/>
      <c r="AF265" s="1328"/>
      <c r="AV265" s="1328"/>
      <c r="AW265" s="1328"/>
      <c r="AX265" s="1328"/>
      <c r="AY265" s="1328"/>
      <c r="AZ265" s="1328"/>
      <c r="BA265" s="1328"/>
      <c r="BC265" s="1328"/>
      <c r="BE265" s="1328"/>
      <c r="BF265" s="1328"/>
      <c r="BG265" s="1328"/>
    </row>
    <row r="266" spans="18:59" x14ac:dyDescent="0.35">
      <c r="R266" s="1328"/>
      <c r="S266" s="1328"/>
      <c r="W266" s="1328"/>
      <c r="X266" s="1328"/>
      <c r="AE266" s="1328"/>
      <c r="AF266" s="1328"/>
      <c r="AV266" s="1328"/>
      <c r="AW266" s="1328"/>
      <c r="AX266" s="1328"/>
      <c r="AY266" s="1328"/>
      <c r="AZ266" s="1328"/>
      <c r="BA266" s="1328"/>
      <c r="BC266" s="1328"/>
      <c r="BE266" s="1328"/>
      <c r="BF266" s="1328"/>
      <c r="BG266" s="1328"/>
    </row>
    <row r="267" spans="18:59" x14ac:dyDescent="0.35">
      <c r="R267" s="1328"/>
      <c r="S267" s="1328"/>
      <c r="W267" s="1328"/>
      <c r="X267" s="1328"/>
      <c r="AE267" s="1328"/>
      <c r="AF267" s="1328"/>
      <c r="AV267" s="1328"/>
      <c r="AW267" s="1328"/>
      <c r="AX267" s="1328"/>
      <c r="AY267" s="1328"/>
      <c r="AZ267" s="1328"/>
      <c r="BA267" s="1328"/>
      <c r="BC267" s="1328"/>
      <c r="BE267" s="1328"/>
      <c r="BF267" s="1328"/>
      <c r="BG267" s="1328"/>
    </row>
    <row r="268" spans="18:59" x14ac:dyDescent="0.35">
      <c r="R268" s="1328"/>
      <c r="S268" s="1328"/>
      <c r="W268" s="1328"/>
      <c r="X268" s="1328"/>
      <c r="AE268" s="1328"/>
      <c r="AF268" s="1328"/>
      <c r="AV268" s="1328"/>
      <c r="AW268" s="1328"/>
      <c r="AX268" s="1328"/>
      <c r="AY268" s="1328"/>
      <c r="AZ268" s="1328"/>
      <c r="BA268" s="1328"/>
      <c r="BC268" s="1328"/>
      <c r="BE268" s="1328"/>
      <c r="BF268" s="1328"/>
      <c r="BG268" s="1328"/>
    </row>
    <row r="269" spans="18:59" x14ac:dyDescent="0.35">
      <c r="R269" s="1328"/>
      <c r="S269" s="1328"/>
      <c r="W269" s="1328"/>
      <c r="X269" s="1328"/>
      <c r="AE269" s="1328"/>
      <c r="AF269" s="1328"/>
      <c r="AV269" s="1328"/>
      <c r="AW269" s="1328"/>
      <c r="AX269" s="1328"/>
      <c r="AY269" s="1328"/>
      <c r="AZ269" s="1328"/>
      <c r="BA269" s="1328"/>
      <c r="BC269" s="1328"/>
      <c r="BE269" s="1328"/>
      <c r="BF269" s="1328"/>
      <c r="BG269" s="1328"/>
    </row>
    <row r="270" spans="18:59" x14ac:dyDescent="0.35">
      <c r="R270" s="1328"/>
      <c r="S270" s="1328"/>
      <c r="W270" s="1328"/>
      <c r="X270" s="1328"/>
      <c r="AE270" s="1328"/>
      <c r="AF270" s="1328"/>
      <c r="AV270" s="1328"/>
      <c r="AW270" s="1328"/>
      <c r="AX270" s="1328"/>
      <c r="AY270" s="1328"/>
      <c r="AZ270" s="1328"/>
      <c r="BA270" s="1328"/>
      <c r="BC270" s="1328"/>
      <c r="BE270" s="1328"/>
      <c r="BF270" s="1328"/>
      <c r="BG270" s="1328"/>
    </row>
    <row r="271" spans="18:59" x14ac:dyDescent="0.35">
      <c r="R271" s="1328"/>
      <c r="S271" s="1328"/>
      <c r="W271" s="1328"/>
      <c r="X271" s="1328"/>
      <c r="AE271" s="1328"/>
      <c r="AF271" s="1328"/>
      <c r="AV271" s="1328"/>
      <c r="AW271" s="1328"/>
      <c r="AX271" s="1328"/>
      <c r="AY271" s="1328"/>
      <c r="AZ271" s="1328"/>
      <c r="BA271" s="1328"/>
      <c r="BC271" s="1328"/>
      <c r="BE271" s="1328"/>
      <c r="BF271" s="1328"/>
      <c r="BG271" s="1328"/>
    </row>
    <row r="272" spans="18:59" x14ac:dyDescent="0.35">
      <c r="R272" s="1328"/>
      <c r="S272" s="1328"/>
      <c r="W272" s="1328"/>
      <c r="X272" s="1328"/>
      <c r="AE272" s="1328"/>
      <c r="AF272" s="1328"/>
      <c r="AV272" s="1328"/>
      <c r="AW272" s="1328"/>
      <c r="AX272" s="1328"/>
      <c r="AY272" s="1328"/>
      <c r="AZ272" s="1328"/>
      <c r="BA272" s="1328"/>
      <c r="BC272" s="1328"/>
      <c r="BE272" s="1328"/>
      <c r="BF272" s="1328"/>
      <c r="BG272" s="1328"/>
    </row>
    <row r="273" spans="18:59" x14ac:dyDescent="0.35">
      <c r="R273" s="1328"/>
      <c r="S273" s="1328"/>
      <c r="W273" s="1328"/>
      <c r="X273" s="1328"/>
      <c r="AE273" s="1328"/>
      <c r="AF273" s="1328"/>
      <c r="AV273" s="1328"/>
      <c r="AW273" s="1328"/>
      <c r="AX273" s="1328"/>
      <c r="AY273" s="1328"/>
      <c r="AZ273" s="1328"/>
      <c r="BA273" s="1328"/>
      <c r="BC273" s="1328"/>
      <c r="BE273" s="1328"/>
      <c r="BF273" s="1328"/>
      <c r="BG273" s="1328"/>
    </row>
    <row r="274" spans="18:59" x14ac:dyDescent="0.35">
      <c r="R274" s="1328"/>
      <c r="S274" s="1328"/>
      <c r="W274" s="1328"/>
      <c r="X274" s="1328"/>
      <c r="AE274" s="1328"/>
      <c r="AF274" s="1328"/>
      <c r="AV274" s="1328"/>
      <c r="AW274" s="1328"/>
      <c r="AX274" s="1328"/>
      <c r="AY274" s="1328"/>
      <c r="AZ274" s="1328"/>
      <c r="BA274" s="1328"/>
      <c r="BC274" s="1328"/>
      <c r="BE274" s="1328"/>
      <c r="BF274" s="1328"/>
      <c r="BG274" s="1328"/>
    </row>
    <row r="275" spans="18:59" x14ac:dyDescent="0.35">
      <c r="R275" s="1328"/>
      <c r="S275" s="1328"/>
      <c r="W275" s="1328"/>
      <c r="X275" s="1328"/>
      <c r="AE275" s="1328"/>
      <c r="AF275" s="1328"/>
      <c r="AV275" s="1328"/>
      <c r="AW275" s="1328"/>
      <c r="AX275" s="1328"/>
      <c r="AY275" s="1328"/>
      <c r="AZ275" s="1328"/>
      <c r="BA275" s="1328"/>
      <c r="BC275" s="1328"/>
      <c r="BE275" s="1328"/>
      <c r="BF275" s="1328"/>
      <c r="BG275" s="1328"/>
    </row>
    <row r="276" spans="18:59" x14ac:dyDescent="0.35">
      <c r="R276" s="1328"/>
      <c r="S276" s="1328"/>
      <c r="W276" s="1328"/>
      <c r="X276" s="1328"/>
      <c r="AE276" s="1328"/>
      <c r="AF276" s="1328"/>
      <c r="AV276" s="1328"/>
      <c r="AW276" s="1328"/>
      <c r="AX276" s="1328"/>
      <c r="AY276" s="1328"/>
      <c r="AZ276" s="1328"/>
      <c r="BA276" s="1328"/>
      <c r="BC276" s="1328"/>
      <c r="BE276" s="1328"/>
      <c r="BF276" s="1328"/>
      <c r="BG276" s="1328"/>
    </row>
    <row r="277" spans="18:59" x14ac:dyDescent="0.35">
      <c r="R277" s="1328"/>
      <c r="S277" s="1328"/>
      <c r="W277" s="1328"/>
      <c r="X277" s="1328"/>
      <c r="AE277" s="1328"/>
      <c r="AF277" s="1328"/>
      <c r="AV277" s="1328"/>
      <c r="AW277" s="1328"/>
      <c r="AX277" s="1328"/>
      <c r="AY277" s="1328"/>
      <c r="AZ277" s="1328"/>
      <c r="BA277" s="1328"/>
      <c r="BC277" s="1328"/>
      <c r="BE277" s="1328"/>
      <c r="BF277" s="1328"/>
      <c r="BG277" s="1328"/>
    </row>
    <row r="278" spans="18:59" x14ac:dyDescent="0.35">
      <c r="R278" s="1328"/>
      <c r="S278" s="1328"/>
      <c r="W278" s="1328"/>
      <c r="X278" s="1328"/>
      <c r="AE278" s="1328"/>
      <c r="AF278" s="1328"/>
      <c r="AV278" s="1328"/>
      <c r="AW278" s="1328"/>
      <c r="AX278" s="1328"/>
      <c r="AY278" s="1328"/>
      <c r="AZ278" s="1328"/>
      <c r="BA278" s="1328"/>
      <c r="BC278" s="1328"/>
      <c r="BE278" s="1328"/>
      <c r="BF278" s="1328"/>
      <c r="BG278" s="1328"/>
    </row>
    <row r="279" spans="18:59" x14ac:dyDescent="0.35">
      <c r="R279" s="1328"/>
      <c r="S279" s="1328"/>
      <c r="W279" s="1328"/>
      <c r="X279" s="1328"/>
      <c r="AE279" s="1328"/>
      <c r="AF279" s="1328"/>
      <c r="AV279" s="1328"/>
      <c r="AW279" s="1328"/>
      <c r="AX279" s="1328"/>
      <c r="AY279" s="1328"/>
      <c r="AZ279" s="1328"/>
      <c r="BA279" s="1328"/>
      <c r="BC279" s="1328"/>
      <c r="BE279" s="1328"/>
      <c r="BF279" s="1328"/>
      <c r="BG279" s="1328"/>
    </row>
    <row r="280" spans="18:59" x14ac:dyDescent="0.35">
      <c r="R280" s="1328"/>
      <c r="S280" s="1328"/>
      <c r="W280" s="1328"/>
      <c r="X280" s="1328"/>
      <c r="AE280" s="1328"/>
      <c r="AF280" s="1328"/>
      <c r="AV280" s="1328"/>
      <c r="AW280" s="1328"/>
      <c r="AX280" s="1328"/>
      <c r="AY280" s="1328"/>
      <c r="AZ280" s="1328"/>
      <c r="BA280" s="1328"/>
      <c r="BC280" s="1328"/>
      <c r="BE280" s="1328"/>
      <c r="BF280" s="1328"/>
      <c r="BG280" s="1328"/>
    </row>
    <row r="281" spans="18:59" x14ac:dyDescent="0.35">
      <c r="R281" s="1328"/>
      <c r="S281" s="1328"/>
      <c r="W281" s="1328"/>
      <c r="X281" s="1328"/>
      <c r="AE281" s="1328"/>
      <c r="AF281" s="1328"/>
      <c r="AV281" s="1328"/>
      <c r="AW281" s="1328"/>
      <c r="AX281" s="1328"/>
      <c r="AY281" s="1328"/>
      <c r="AZ281" s="1328"/>
      <c r="BA281" s="1328"/>
      <c r="BC281" s="1328"/>
      <c r="BE281" s="1328"/>
      <c r="BF281" s="1328"/>
      <c r="BG281" s="1328"/>
    </row>
    <row r="282" spans="18:59" x14ac:dyDescent="0.35">
      <c r="R282" s="1328"/>
      <c r="S282" s="1328"/>
      <c r="W282" s="1328"/>
      <c r="X282" s="1328"/>
      <c r="AE282" s="1328"/>
      <c r="AF282" s="1328"/>
      <c r="AV282" s="1328"/>
      <c r="AW282" s="1328"/>
      <c r="AX282" s="1328"/>
      <c r="AY282" s="1328"/>
      <c r="AZ282" s="1328"/>
      <c r="BA282" s="1328"/>
      <c r="BC282" s="1328"/>
      <c r="BE282" s="1328"/>
      <c r="BF282" s="1328"/>
      <c r="BG282" s="1328"/>
    </row>
    <row r="283" spans="18:59" x14ac:dyDescent="0.35">
      <c r="R283" s="1328"/>
      <c r="S283" s="1328"/>
      <c r="W283" s="1328"/>
      <c r="X283" s="1328"/>
      <c r="AE283" s="1328"/>
      <c r="AF283" s="1328"/>
      <c r="AV283" s="1328"/>
      <c r="AW283" s="1328"/>
      <c r="AX283" s="1328"/>
      <c r="AY283" s="1328"/>
      <c r="AZ283" s="1328"/>
      <c r="BA283" s="1328"/>
      <c r="BC283" s="1328"/>
      <c r="BE283" s="1328"/>
      <c r="BF283" s="1328"/>
      <c r="BG283" s="1328"/>
    </row>
    <row r="284" spans="18:59" x14ac:dyDescent="0.35">
      <c r="R284" s="1328"/>
      <c r="S284" s="1328"/>
      <c r="W284" s="1328"/>
      <c r="X284" s="1328"/>
      <c r="AE284" s="1328"/>
      <c r="AF284" s="1328"/>
      <c r="AV284" s="1328"/>
      <c r="AW284" s="1328"/>
      <c r="AX284" s="1328"/>
      <c r="AY284" s="1328"/>
      <c r="AZ284" s="1328"/>
      <c r="BA284" s="1328"/>
      <c r="BC284" s="1328"/>
      <c r="BE284" s="1328"/>
      <c r="BF284" s="1328"/>
      <c r="BG284" s="1328"/>
    </row>
    <row r="285" spans="18:59" x14ac:dyDescent="0.35">
      <c r="R285" s="1328"/>
      <c r="S285" s="1328"/>
      <c r="W285" s="1328"/>
      <c r="X285" s="1328"/>
      <c r="AE285" s="1328"/>
      <c r="AF285" s="1328"/>
      <c r="AV285" s="1328"/>
      <c r="AW285" s="1328"/>
      <c r="AX285" s="1328"/>
      <c r="AY285" s="1328"/>
      <c r="AZ285" s="1328"/>
      <c r="BA285" s="1328"/>
      <c r="BC285" s="1328"/>
      <c r="BE285" s="1328"/>
      <c r="BF285" s="1328"/>
      <c r="BG285" s="1328"/>
    </row>
    <row r="286" spans="18:59" x14ac:dyDescent="0.35">
      <c r="R286" s="1328"/>
      <c r="S286" s="1328"/>
      <c r="W286" s="1328"/>
      <c r="X286" s="1328"/>
      <c r="AE286" s="1328"/>
      <c r="AF286" s="1328"/>
      <c r="AV286" s="1328"/>
      <c r="AW286" s="1328"/>
      <c r="AX286" s="1328"/>
      <c r="AY286" s="1328"/>
      <c r="AZ286" s="1328"/>
      <c r="BA286" s="1328"/>
      <c r="BC286" s="1328"/>
      <c r="BE286" s="1328"/>
      <c r="BF286" s="1328"/>
      <c r="BG286" s="1328"/>
    </row>
    <row r="287" spans="18:59" x14ac:dyDescent="0.35">
      <c r="R287" s="1328"/>
      <c r="S287" s="1328"/>
      <c r="W287" s="1328"/>
      <c r="X287" s="1328"/>
      <c r="AE287" s="1328"/>
      <c r="AF287" s="1328"/>
      <c r="AV287" s="1328"/>
      <c r="AW287" s="1328"/>
      <c r="AX287" s="1328"/>
      <c r="AY287" s="1328"/>
      <c r="AZ287" s="1328"/>
      <c r="BA287" s="1328"/>
      <c r="BC287" s="1328"/>
      <c r="BE287" s="1328"/>
      <c r="BF287" s="1328"/>
      <c r="BG287" s="1328"/>
    </row>
    <row r="288" spans="18:59" x14ac:dyDescent="0.35">
      <c r="R288" s="1328"/>
      <c r="S288" s="1328"/>
      <c r="W288" s="1328"/>
      <c r="X288" s="1328"/>
      <c r="AE288" s="1328"/>
      <c r="AF288" s="1328"/>
      <c r="AV288" s="1328"/>
      <c r="AW288" s="1328"/>
      <c r="AX288" s="1328"/>
      <c r="AY288" s="1328"/>
      <c r="AZ288" s="1328"/>
      <c r="BA288" s="1328"/>
      <c r="BC288" s="1328"/>
      <c r="BE288" s="1328"/>
      <c r="BF288" s="1328"/>
      <c r="BG288" s="1328"/>
    </row>
    <row r="289" spans="18:59" x14ac:dyDescent="0.35">
      <c r="R289" s="1328"/>
      <c r="S289" s="1328"/>
      <c r="W289" s="1328"/>
      <c r="X289" s="1328"/>
      <c r="AE289" s="1328"/>
      <c r="AF289" s="1328"/>
      <c r="AV289" s="1328"/>
      <c r="AW289" s="1328"/>
      <c r="AX289" s="1328"/>
      <c r="AY289" s="1328"/>
      <c r="AZ289" s="1328"/>
      <c r="BA289" s="1328"/>
      <c r="BC289" s="1328"/>
      <c r="BE289" s="1328"/>
      <c r="BF289" s="1328"/>
      <c r="BG289" s="1328"/>
    </row>
    <row r="290" spans="18:59" x14ac:dyDescent="0.35">
      <c r="R290" s="1328"/>
      <c r="S290" s="1328"/>
      <c r="W290" s="1328"/>
      <c r="X290" s="1328"/>
      <c r="AE290" s="1328"/>
      <c r="AF290" s="1328"/>
      <c r="AV290" s="1328"/>
      <c r="AW290" s="1328"/>
      <c r="AX290" s="1328"/>
      <c r="AY290" s="1328"/>
      <c r="AZ290" s="1328"/>
      <c r="BA290" s="1328"/>
      <c r="BC290" s="1328"/>
      <c r="BE290" s="1328"/>
      <c r="BF290" s="1328"/>
      <c r="BG290" s="1328"/>
    </row>
    <row r="291" spans="18:59" x14ac:dyDescent="0.35">
      <c r="R291" s="1328"/>
      <c r="S291" s="1328"/>
      <c r="W291" s="1328"/>
      <c r="X291" s="1328"/>
      <c r="AE291" s="1328"/>
      <c r="AF291" s="1328"/>
      <c r="AV291" s="1328"/>
      <c r="AW291" s="1328"/>
      <c r="AX291" s="1328"/>
      <c r="AY291" s="1328"/>
      <c r="AZ291" s="1328"/>
      <c r="BA291" s="1328"/>
      <c r="BC291" s="1328"/>
      <c r="BE291" s="1328"/>
      <c r="BF291" s="1328"/>
      <c r="BG291" s="1328"/>
    </row>
    <row r="292" spans="18:59" x14ac:dyDescent="0.35">
      <c r="R292" s="1328"/>
      <c r="S292" s="1328"/>
      <c r="W292" s="1328"/>
      <c r="X292" s="1328"/>
      <c r="AE292" s="1328"/>
      <c r="AF292" s="1328"/>
      <c r="AV292" s="1328"/>
      <c r="AW292" s="1328"/>
      <c r="AX292" s="1328"/>
      <c r="AY292" s="1328"/>
      <c r="AZ292" s="1328"/>
      <c r="BA292" s="1328"/>
      <c r="BC292" s="1328"/>
      <c r="BE292" s="1328"/>
      <c r="BF292" s="1328"/>
      <c r="BG292" s="1328"/>
    </row>
    <row r="293" spans="18:59" x14ac:dyDescent="0.35">
      <c r="R293" s="1328"/>
      <c r="S293" s="1328"/>
      <c r="W293" s="1328"/>
      <c r="X293" s="1328"/>
      <c r="AE293" s="1328"/>
      <c r="AF293" s="1328"/>
      <c r="AV293" s="1328"/>
      <c r="AW293" s="1328"/>
      <c r="AX293" s="1328"/>
      <c r="AY293" s="1328"/>
      <c r="AZ293" s="1328"/>
      <c r="BA293" s="1328"/>
      <c r="BC293" s="1328"/>
      <c r="BE293" s="1328"/>
      <c r="BF293" s="1328"/>
      <c r="BG293" s="1328"/>
    </row>
    <row r="294" spans="18:59" x14ac:dyDescent="0.35">
      <c r="R294" s="1328"/>
      <c r="S294" s="1328"/>
      <c r="W294" s="1328"/>
      <c r="X294" s="1328"/>
      <c r="AE294" s="1328"/>
      <c r="AF294" s="1328"/>
      <c r="AV294" s="1328"/>
      <c r="AW294" s="1328"/>
      <c r="AX294" s="1328"/>
      <c r="AY294" s="1328"/>
      <c r="AZ294" s="1328"/>
      <c r="BA294" s="1328"/>
      <c r="BC294" s="1328"/>
      <c r="BE294" s="1328"/>
      <c r="BF294" s="1328"/>
      <c r="BG294" s="1328"/>
    </row>
    <row r="295" spans="18:59" x14ac:dyDescent="0.35">
      <c r="R295" s="1328"/>
      <c r="S295" s="1328"/>
      <c r="W295" s="1328"/>
      <c r="X295" s="1328"/>
      <c r="AE295" s="1328"/>
      <c r="AF295" s="1328"/>
      <c r="AV295" s="1328"/>
      <c r="AW295" s="1328"/>
      <c r="AX295" s="1328"/>
      <c r="AY295" s="1328"/>
      <c r="AZ295" s="1328"/>
      <c r="BA295" s="1328"/>
      <c r="BC295" s="1328"/>
      <c r="BE295" s="1328"/>
      <c r="BF295" s="1328"/>
      <c r="BG295" s="1328"/>
    </row>
    <row r="296" spans="18:59" x14ac:dyDescent="0.35">
      <c r="R296" s="1328"/>
      <c r="S296" s="1328"/>
      <c r="W296" s="1328"/>
      <c r="X296" s="1328"/>
      <c r="AE296" s="1328"/>
      <c r="AF296" s="1328"/>
      <c r="AV296" s="1328"/>
      <c r="AW296" s="1328"/>
      <c r="AX296" s="1328"/>
      <c r="AY296" s="1328"/>
      <c r="AZ296" s="1328"/>
      <c r="BA296" s="1328"/>
      <c r="BC296" s="1328"/>
      <c r="BE296" s="1328"/>
      <c r="BF296" s="1328"/>
      <c r="BG296" s="1328"/>
    </row>
    <row r="297" spans="18:59" x14ac:dyDescent="0.35">
      <c r="R297" s="1328"/>
      <c r="S297" s="1328"/>
      <c r="W297" s="1328"/>
      <c r="X297" s="1328"/>
      <c r="AE297" s="1328"/>
      <c r="AF297" s="1328"/>
      <c r="AV297" s="1328"/>
      <c r="AW297" s="1328"/>
      <c r="AX297" s="1328"/>
      <c r="AY297" s="1328"/>
      <c r="AZ297" s="1328"/>
      <c r="BA297" s="1328"/>
      <c r="BC297" s="1328"/>
      <c r="BE297" s="1328"/>
      <c r="BF297" s="1328"/>
      <c r="BG297" s="1328"/>
    </row>
    <row r="298" spans="18:59" x14ac:dyDescent="0.35">
      <c r="R298" s="1328"/>
      <c r="S298" s="1328"/>
      <c r="W298" s="1328"/>
      <c r="X298" s="1328"/>
      <c r="AE298" s="1328"/>
      <c r="AF298" s="1328"/>
      <c r="AV298" s="1328"/>
      <c r="AW298" s="1328"/>
      <c r="AX298" s="1328"/>
      <c r="AY298" s="1328"/>
      <c r="AZ298" s="1328"/>
      <c r="BA298" s="1328"/>
      <c r="BC298" s="1328"/>
      <c r="BE298" s="1328"/>
      <c r="BF298" s="1328"/>
      <c r="BG298" s="1328"/>
    </row>
    <row r="299" spans="18:59" x14ac:dyDescent="0.35">
      <c r="R299" s="1328"/>
      <c r="S299" s="1328"/>
      <c r="W299" s="1328"/>
      <c r="X299" s="1328"/>
      <c r="AE299" s="1328"/>
      <c r="AF299" s="1328"/>
      <c r="AV299" s="1328"/>
      <c r="AW299" s="1328"/>
      <c r="AX299" s="1328"/>
      <c r="AY299" s="1328"/>
      <c r="AZ299" s="1328"/>
      <c r="BA299" s="1328"/>
      <c r="BC299" s="1328"/>
      <c r="BE299" s="1328"/>
      <c r="BF299" s="1328"/>
      <c r="BG299" s="1328"/>
    </row>
    <row r="300" spans="18:59" x14ac:dyDescent="0.35">
      <c r="R300" s="1328"/>
      <c r="S300" s="1328"/>
      <c r="W300" s="1328"/>
      <c r="X300" s="1328"/>
      <c r="AE300" s="1328"/>
      <c r="AF300" s="1328"/>
      <c r="AV300" s="1328"/>
      <c r="AW300" s="1328"/>
      <c r="AX300" s="1328"/>
      <c r="AY300" s="1328"/>
      <c r="AZ300" s="1328"/>
      <c r="BA300" s="1328"/>
      <c r="BC300" s="1328"/>
      <c r="BE300" s="1328"/>
      <c r="BF300" s="1328"/>
      <c r="BG300" s="1328"/>
    </row>
    <row r="301" spans="18:59" x14ac:dyDescent="0.35">
      <c r="R301" s="1328"/>
      <c r="S301" s="1328"/>
      <c r="W301" s="1328"/>
      <c r="X301" s="1328"/>
      <c r="AE301" s="1328"/>
      <c r="AF301" s="1328"/>
      <c r="AV301" s="1328"/>
      <c r="AW301" s="1328"/>
      <c r="AX301" s="1328"/>
      <c r="AY301" s="1328"/>
      <c r="AZ301" s="1328"/>
      <c r="BA301" s="1328"/>
      <c r="BC301" s="1328"/>
      <c r="BE301" s="1328"/>
      <c r="BF301" s="1328"/>
      <c r="BG301" s="1328"/>
    </row>
    <row r="302" spans="18:59" x14ac:dyDescent="0.35">
      <c r="R302" s="1328"/>
      <c r="S302" s="1328"/>
      <c r="W302" s="1328"/>
      <c r="X302" s="1328"/>
      <c r="AE302" s="1328"/>
      <c r="AF302" s="1328"/>
      <c r="AV302" s="1328"/>
      <c r="AW302" s="1328"/>
      <c r="AX302" s="1328"/>
      <c r="AY302" s="1328"/>
      <c r="AZ302" s="1328"/>
      <c r="BA302" s="1328"/>
      <c r="BC302" s="1328"/>
      <c r="BE302" s="1328"/>
      <c r="BF302" s="1328"/>
      <c r="BG302" s="1328"/>
    </row>
    <row r="303" spans="18:59" x14ac:dyDescent="0.35">
      <c r="R303" s="1328"/>
      <c r="S303" s="1328"/>
      <c r="W303" s="1328"/>
      <c r="X303" s="1328"/>
      <c r="AE303" s="1328"/>
      <c r="AF303" s="1328"/>
      <c r="AV303" s="1328"/>
      <c r="AW303" s="1328"/>
      <c r="AX303" s="1328"/>
      <c r="AY303" s="1328"/>
      <c r="AZ303" s="1328"/>
      <c r="BA303" s="1328"/>
      <c r="BC303" s="1328"/>
      <c r="BE303" s="1328"/>
      <c r="BF303" s="1328"/>
      <c r="BG303" s="1328"/>
    </row>
    <row r="304" spans="18:59" x14ac:dyDescent="0.35">
      <c r="R304" s="1328"/>
      <c r="S304" s="1328"/>
      <c r="W304" s="1328"/>
      <c r="X304" s="1328"/>
      <c r="AE304" s="1328"/>
      <c r="AF304" s="1328"/>
      <c r="AV304" s="1328"/>
      <c r="AW304" s="1328"/>
      <c r="AX304" s="1328"/>
      <c r="AY304" s="1328"/>
      <c r="AZ304" s="1328"/>
      <c r="BA304" s="1328"/>
      <c r="BC304" s="1328"/>
      <c r="BE304" s="1328"/>
      <c r="BF304" s="1328"/>
      <c r="BG304" s="1328"/>
    </row>
    <row r="305" spans="18:59" x14ac:dyDescent="0.35">
      <c r="R305" s="1328"/>
      <c r="S305" s="1328"/>
      <c r="W305" s="1328"/>
      <c r="X305" s="1328"/>
      <c r="AE305" s="1328"/>
      <c r="AF305" s="1328"/>
      <c r="AV305" s="1328"/>
      <c r="AW305" s="1328"/>
      <c r="AX305" s="1328"/>
      <c r="AY305" s="1328"/>
      <c r="AZ305" s="1328"/>
      <c r="BA305" s="1328"/>
      <c r="BC305" s="1328"/>
      <c r="BE305" s="1328"/>
      <c r="BF305" s="1328"/>
      <c r="BG305" s="1328"/>
    </row>
    <row r="306" spans="18:59" x14ac:dyDescent="0.35">
      <c r="R306" s="1328"/>
      <c r="S306" s="1328"/>
      <c r="W306" s="1328"/>
      <c r="X306" s="1328"/>
      <c r="AE306" s="1328"/>
      <c r="AF306" s="1328"/>
      <c r="AV306" s="1328"/>
      <c r="AW306" s="1328"/>
      <c r="AX306" s="1328"/>
      <c r="AY306" s="1328"/>
      <c r="AZ306" s="1328"/>
      <c r="BA306" s="1328"/>
      <c r="BC306" s="1328"/>
      <c r="BE306" s="1328"/>
      <c r="BF306" s="1328"/>
      <c r="BG306" s="1328"/>
    </row>
    <row r="307" spans="18:59" x14ac:dyDescent="0.35">
      <c r="R307" s="1328"/>
      <c r="S307" s="1328"/>
      <c r="W307" s="1328"/>
      <c r="X307" s="1328"/>
      <c r="AE307" s="1328"/>
      <c r="AF307" s="1328"/>
      <c r="AV307" s="1328"/>
      <c r="AW307" s="1328"/>
      <c r="AX307" s="1328"/>
      <c r="AY307" s="1328"/>
      <c r="AZ307" s="1328"/>
      <c r="BA307" s="1328"/>
      <c r="BC307" s="1328"/>
      <c r="BE307" s="1328"/>
      <c r="BF307" s="1328"/>
      <c r="BG307" s="1328"/>
    </row>
    <row r="308" spans="18:59" x14ac:dyDescent="0.35">
      <c r="R308" s="1328"/>
      <c r="S308" s="1328"/>
      <c r="W308" s="1328"/>
      <c r="X308" s="1328"/>
      <c r="AE308" s="1328"/>
      <c r="AF308" s="1328"/>
      <c r="AV308" s="1328"/>
      <c r="AW308" s="1328"/>
      <c r="AX308" s="1328"/>
      <c r="AY308" s="1328"/>
      <c r="AZ308" s="1328"/>
      <c r="BA308" s="1328"/>
      <c r="BC308" s="1328"/>
      <c r="BE308" s="1328"/>
      <c r="BF308" s="1328"/>
      <c r="BG308" s="1328"/>
    </row>
    <row r="309" spans="18:59" x14ac:dyDescent="0.35">
      <c r="R309" s="1328"/>
      <c r="S309" s="1328"/>
      <c r="W309" s="1328"/>
      <c r="X309" s="1328"/>
      <c r="AE309" s="1328"/>
      <c r="AF309" s="1328"/>
      <c r="AV309" s="1328"/>
      <c r="AW309" s="1328"/>
      <c r="AX309" s="1328"/>
      <c r="AY309" s="1328"/>
      <c r="AZ309" s="1328"/>
      <c r="BA309" s="1328"/>
      <c r="BC309" s="1328"/>
      <c r="BE309" s="1328"/>
      <c r="BF309" s="1328"/>
      <c r="BG309" s="1328"/>
    </row>
    <row r="310" spans="18:59" x14ac:dyDescent="0.35">
      <c r="R310" s="1328"/>
      <c r="S310" s="1328"/>
      <c r="W310" s="1328"/>
      <c r="X310" s="1328"/>
      <c r="AE310" s="1328"/>
      <c r="AF310" s="1328"/>
      <c r="AV310" s="1328"/>
      <c r="AW310" s="1328"/>
      <c r="AX310" s="1328"/>
      <c r="AY310" s="1328"/>
      <c r="AZ310" s="1328"/>
      <c r="BA310" s="1328"/>
      <c r="BC310" s="1328"/>
      <c r="BE310" s="1328"/>
      <c r="BF310" s="1328"/>
      <c r="BG310" s="1328"/>
    </row>
    <row r="311" spans="18:59" x14ac:dyDescent="0.35">
      <c r="R311" s="1328"/>
      <c r="S311" s="1328"/>
      <c r="W311" s="1328"/>
      <c r="X311" s="1328"/>
      <c r="AE311" s="1328"/>
      <c r="AF311" s="1328"/>
      <c r="AV311" s="1328"/>
      <c r="AW311" s="1328"/>
      <c r="AX311" s="1328"/>
      <c r="AY311" s="1328"/>
      <c r="AZ311" s="1328"/>
      <c r="BA311" s="1328"/>
      <c r="BC311" s="1328"/>
      <c r="BE311" s="1328"/>
      <c r="BF311" s="1328"/>
      <c r="BG311" s="1328"/>
    </row>
    <row r="312" spans="18:59" x14ac:dyDescent="0.35">
      <c r="R312" s="1328"/>
      <c r="S312" s="1328"/>
      <c r="W312" s="1328"/>
      <c r="X312" s="1328"/>
      <c r="AE312" s="1328"/>
      <c r="AF312" s="1328"/>
      <c r="AV312" s="1328"/>
      <c r="AW312" s="1328"/>
      <c r="AX312" s="1328"/>
      <c r="AY312" s="1328"/>
      <c r="AZ312" s="1328"/>
      <c r="BA312" s="1328"/>
      <c r="BC312" s="1328"/>
      <c r="BE312" s="1328"/>
      <c r="BF312" s="1328"/>
      <c r="BG312" s="1328"/>
    </row>
    <row r="313" spans="18:59" x14ac:dyDescent="0.35">
      <c r="R313" s="1328"/>
      <c r="S313" s="1328"/>
      <c r="W313" s="1328"/>
      <c r="X313" s="1328"/>
      <c r="AE313" s="1328"/>
      <c r="AF313" s="1328"/>
      <c r="AV313" s="1328"/>
      <c r="AW313" s="1328"/>
      <c r="AX313" s="1328"/>
      <c r="AY313" s="1328"/>
      <c r="AZ313" s="1328"/>
      <c r="BA313" s="1328"/>
      <c r="BC313" s="1328"/>
      <c r="BE313" s="1328"/>
      <c r="BF313" s="1328"/>
      <c r="BG313" s="1328"/>
    </row>
    <row r="314" spans="18:59" x14ac:dyDescent="0.35">
      <c r="R314" s="1328"/>
      <c r="S314" s="1328"/>
      <c r="W314" s="1328"/>
      <c r="X314" s="1328"/>
      <c r="AE314" s="1328"/>
      <c r="AF314" s="1328"/>
      <c r="AV314" s="1328"/>
      <c r="AW314" s="1328"/>
      <c r="AX314" s="1328"/>
      <c r="AY314" s="1328"/>
      <c r="AZ314" s="1328"/>
      <c r="BA314" s="1328"/>
      <c r="BC314" s="1328"/>
      <c r="BE314" s="1328"/>
      <c r="BF314" s="1328"/>
      <c r="BG314" s="1328"/>
    </row>
    <row r="315" spans="18:59" x14ac:dyDescent="0.35">
      <c r="R315" s="1328"/>
      <c r="S315" s="1328"/>
      <c r="W315" s="1328"/>
      <c r="X315" s="1328"/>
      <c r="AE315" s="1328"/>
      <c r="AF315" s="1328"/>
      <c r="AV315" s="1328"/>
      <c r="AW315" s="1328"/>
      <c r="AX315" s="1328"/>
      <c r="AY315" s="1328"/>
      <c r="AZ315" s="1328"/>
      <c r="BA315" s="1328"/>
      <c r="BC315" s="1328"/>
      <c r="BE315" s="1328"/>
      <c r="BF315" s="1328"/>
      <c r="BG315" s="1328"/>
    </row>
    <row r="316" spans="18:59" x14ac:dyDescent="0.35">
      <c r="R316" s="1328"/>
      <c r="S316" s="1328"/>
      <c r="W316" s="1328"/>
      <c r="X316" s="1328"/>
      <c r="AE316" s="1328"/>
      <c r="AF316" s="1328"/>
      <c r="AV316" s="1328"/>
      <c r="AW316" s="1328"/>
      <c r="AX316" s="1328"/>
      <c r="AY316" s="1328"/>
      <c r="AZ316" s="1328"/>
      <c r="BA316" s="1328"/>
      <c r="BC316" s="1328"/>
      <c r="BE316" s="1328"/>
      <c r="BF316" s="1328"/>
      <c r="BG316" s="1328"/>
    </row>
    <row r="317" spans="18:59" x14ac:dyDescent="0.35">
      <c r="R317" s="1328"/>
      <c r="S317" s="1328"/>
      <c r="W317" s="1328"/>
      <c r="X317" s="1328"/>
      <c r="AE317" s="1328"/>
      <c r="AF317" s="1328"/>
      <c r="AV317" s="1328"/>
      <c r="AW317" s="1328"/>
      <c r="AX317" s="1328"/>
      <c r="AY317" s="1328"/>
      <c r="AZ317" s="1328"/>
      <c r="BA317" s="1328"/>
      <c r="BC317" s="1328"/>
      <c r="BE317" s="1328"/>
      <c r="BF317" s="1328"/>
      <c r="BG317" s="1328"/>
    </row>
    <row r="318" spans="18:59" x14ac:dyDescent="0.35">
      <c r="R318" s="1328"/>
      <c r="S318" s="1328"/>
      <c r="W318" s="1328"/>
      <c r="X318" s="1328"/>
      <c r="AE318" s="1328"/>
      <c r="AF318" s="1328"/>
      <c r="AV318" s="1328"/>
      <c r="AW318" s="1328"/>
      <c r="AX318" s="1328"/>
      <c r="AY318" s="1328"/>
      <c r="AZ318" s="1328"/>
      <c r="BA318" s="1328"/>
      <c r="BC318" s="1328"/>
      <c r="BE318" s="1328"/>
      <c r="BF318" s="1328"/>
      <c r="BG318" s="1328"/>
    </row>
    <row r="319" spans="18:59" x14ac:dyDescent="0.35">
      <c r="R319" s="1328"/>
      <c r="S319" s="1328"/>
      <c r="W319" s="1328"/>
      <c r="X319" s="1328"/>
      <c r="AE319" s="1328"/>
      <c r="AF319" s="1328"/>
      <c r="AV319" s="1328"/>
      <c r="AW319" s="1328"/>
      <c r="AX319" s="1328"/>
      <c r="AY319" s="1328"/>
      <c r="AZ319" s="1328"/>
      <c r="BA319" s="1328"/>
      <c r="BC319" s="1328"/>
      <c r="BE319" s="1328"/>
      <c r="BF319" s="1328"/>
      <c r="BG319" s="1328"/>
    </row>
    <row r="320" spans="18:59" x14ac:dyDescent="0.35">
      <c r="R320" s="1328"/>
      <c r="S320" s="1328"/>
      <c r="W320" s="1328"/>
      <c r="X320" s="1328"/>
      <c r="AE320" s="1328"/>
      <c r="AF320" s="1328"/>
      <c r="AV320" s="1328"/>
      <c r="AW320" s="1328"/>
      <c r="AX320" s="1328"/>
      <c r="AY320" s="1328"/>
      <c r="AZ320" s="1328"/>
      <c r="BA320" s="1328"/>
      <c r="BC320" s="1328"/>
      <c r="BE320" s="1328"/>
      <c r="BF320" s="1328"/>
      <c r="BG320" s="1328"/>
    </row>
    <row r="321" spans="18:59" x14ac:dyDescent="0.35">
      <c r="R321" s="1328"/>
      <c r="S321" s="1328"/>
      <c r="W321" s="1328"/>
      <c r="X321" s="1328"/>
      <c r="AE321" s="1328"/>
      <c r="AF321" s="1328"/>
      <c r="AV321" s="1328"/>
      <c r="AW321" s="1328"/>
      <c r="AX321" s="1328"/>
      <c r="AY321" s="1328"/>
      <c r="AZ321" s="1328"/>
      <c r="BA321" s="1328"/>
      <c r="BC321" s="1328"/>
      <c r="BE321" s="1328"/>
      <c r="BF321" s="1328"/>
      <c r="BG321" s="1328"/>
    </row>
    <row r="322" spans="18:59" x14ac:dyDescent="0.35">
      <c r="R322" s="1328"/>
      <c r="S322" s="1328"/>
      <c r="W322" s="1328"/>
      <c r="X322" s="1328"/>
      <c r="AE322" s="1328"/>
      <c r="AF322" s="1328"/>
      <c r="AV322" s="1328"/>
      <c r="AW322" s="1328"/>
      <c r="AX322" s="1328"/>
      <c r="AY322" s="1328"/>
      <c r="AZ322" s="1328"/>
      <c r="BA322" s="1328"/>
      <c r="BC322" s="1328"/>
      <c r="BE322" s="1328"/>
      <c r="BF322" s="1328"/>
      <c r="BG322" s="1328"/>
    </row>
    <row r="323" spans="18:59" x14ac:dyDescent="0.35">
      <c r="R323" s="1328"/>
      <c r="S323" s="1328"/>
      <c r="W323" s="1328"/>
      <c r="X323" s="1328"/>
      <c r="AE323" s="1328"/>
      <c r="AF323" s="1328"/>
      <c r="AV323" s="1328"/>
      <c r="AW323" s="1328"/>
      <c r="AX323" s="1328"/>
      <c r="AY323" s="1328"/>
      <c r="AZ323" s="1328"/>
      <c r="BA323" s="1328"/>
      <c r="BC323" s="1328"/>
      <c r="BE323" s="1328"/>
      <c r="BF323" s="1328"/>
      <c r="BG323" s="1328"/>
    </row>
    <row r="324" spans="18:59" x14ac:dyDescent="0.35">
      <c r="R324" s="1328"/>
      <c r="S324" s="1328"/>
      <c r="W324" s="1328"/>
      <c r="X324" s="1328"/>
      <c r="AE324" s="1328"/>
      <c r="AF324" s="1328"/>
      <c r="AV324" s="1328"/>
      <c r="AW324" s="1328"/>
      <c r="AX324" s="1328"/>
      <c r="AY324" s="1328"/>
      <c r="AZ324" s="1328"/>
      <c r="BA324" s="1328"/>
      <c r="BC324" s="1328"/>
      <c r="BE324" s="1328"/>
      <c r="BF324" s="1328"/>
      <c r="BG324" s="1328"/>
    </row>
    <row r="325" spans="18:59" x14ac:dyDescent="0.35">
      <c r="R325" s="1328"/>
      <c r="S325" s="1328"/>
      <c r="W325" s="1328"/>
      <c r="X325" s="1328"/>
      <c r="AE325" s="1328"/>
      <c r="AF325" s="1328"/>
      <c r="AV325" s="1328"/>
      <c r="AW325" s="1328"/>
      <c r="AX325" s="1328"/>
      <c r="AY325" s="1328"/>
      <c r="AZ325" s="1328"/>
      <c r="BA325" s="1328"/>
      <c r="BC325" s="1328"/>
      <c r="BE325" s="1328"/>
      <c r="BF325" s="1328"/>
      <c r="BG325" s="1328"/>
    </row>
    <row r="326" spans="18:59" x14ac:dyDescent="0.35">
      <c r="R326" s="1328"/>
      <c r="S326" s="1328"/>
      <c r="W326" s="1328"/>
      <c r="X326" s="1328"/>
      <c r="AE326" s="1328"/>
      <c r="AF326" s="1328"/>
      <c r="AV326" s="1328"/>
      <c r="AW326" s="1328"/>
      <c r="AX326" s="1328"/>
      <c r="AY326" s="1328"/>
      <c r="AZ326" s="1328"/>
      <c r="BA326" s="1328"/>
      <c r="BC326" s="1328"/>
      <c r="BE326" s="1328"/>
      <c r="BF326" s="1328"/>
      <c r="BG326" s="1328"/>
    </row>
    <row r="327" spans="18:59" x14ac:dyDescent="0.35">
      <c r="R327" s="1328"/>
      <c r="S327" s="1328"/>
      <c r="W327" s="1328"/>
      <c r="X327" s="1328"/>
      <c r="AE327" s="1328"/>
      <c r="AF327" s="1328"/>
      <c r="AV327" s="1328"/>
      <c r="AW327" s="1328"/>
      <c r="AX327" s="1328"/>
      <c r="AY327" s="1328"/>
      <c r="AZ327" s="1328"/>
      <c r="BA327" s="1328"/>
      <c r="BC327" s="1328"/>
      <c r="BE327" s="1328"/>
      <c r="BF327" s="1328"/>
      <c r="BG327" s="1328"/>
    </row>
    <row r="328" spans="18:59" x14ac:dyDescent="0.35">
      <c r="R328" s="1328"/>
      <c r="S328" s="1328"/>
      <c r="W328" s="1328"/>
      <c r="X328" s="1328"/>
      <c r="AE328" s="1328"/>
      <c r="AF328" s="1328"/>
      <c r="AV328" s="1328"/>
      <c r="AW328" s="1328"/>
      <c r="AX328" s="1328"/>
      <c r="AY328" s="1328"/>
      <c r="AZ328" s="1328"/>
      <c r="BA328" s="1328"/>
      <c r="BC328" s="1328"/>
      <c r="BE328" s="1328"/>
      <c r="BF328" s="1328"/>
      <c r="BG328" s="1328"/>
    </row>
    <row r="329" spans="18:59" x14ac:dyDescent="0.35">
      <c r="R329" s="1328"/>
      <c r="S329" s="1328"/>
      <c r="W329" s="1328"/>
      <c r="X329" s="1328"/>
      <c r="AE329" s="1328"/>
      <c r="AF329" s="1328"/>
      <c r="AV329" s="1328"/>
      <c r="AW329" s="1328"/>
      <c r="AX329" s="1328"/>
      <c r="AY329" s="1328"/>
      <c r="AZ329" s="1328"/>
      <c r="BA329" s="1328"/>
      <c r="BC329" s="1328"/>
      <c r="BE329" s="1328"/>
      <c r="BF329" s="1328"/>
      <c r="BG329" s="1328"/>
    </row>
    <row r="330" spans="18:59" x14ac:dyDescent="0.35">
      <c r="R330" s="1328"/>
      <c r="S330" s="1328"/>
      <c r="W330" s="1328"/>
      <c r="X330" s="1328"/>
      <c r="AE330" s="1328"/>
      <c r="AF330" s="1328"/>
      <c r="AV330" s="1328"/>
      <c r="AW330" s="1328"/>
      <c r="AX330" s="1328"/>
      <c r="AY330" s="1328"/>
      <c r="AZ330" s="1328"/>
      <c r="BA330" s="1328"/>
      <c r="BC330" s="1328"/>
      <c r="BE330" s="1328"/>
      <c r="BF330" s="1328"/>
      <c r="BG330" s="1328"/>
    </row>
    <row r="331" spans="18:59" x14ac:dyDescent="0.35">
      <c r="R331" s="1328"/>
      <c r="S331" s="1328"/>
      <c r="W331" s="1328"/>
      <c r="X331" s="1328"/>
      <c r="AE331" s="1328"/>
      <c r="AF331" s="1328"/>
      <c r="AV331" s="1328"/>
      <c r="AW331" s="1328"/>
      <c r="AX331" s="1328"/>
      <c r="AY331" s="1328"/>
      <c r="AZ331" s="1328"/>
      <c r="BA331" s="1328"/>
      <c r="BC331" s="1328"/>
      <c r="BE331" s="1328"/>
      <c r="BF331" s="1328"/>
      <c r="BG331" s="1328"/>
    </row>
    <row r="332" spans="18:59" x14ac:dyDescent="0.35">
      <c r="R332" s="1328"/>
      <c r="S332" s="1328"/>
      <c r="W332" s="1328"/>
      <c r="X332" s="1328"/>
      <c r="AE332" s="1328"/>
      <c r="AF332" s="1328"/>
      <c r="AV332" s="1328"/>
      <c r="AW332" s="1328"/>
      <c r="AX332" s="1328"/>
      <c r="AY332" s="1328"/>
      <c r="AZ332" s="1328"/>
      <c r="BA332" s="1328"/>
      <c r="BC332" s="1328"/>
      <c r="BE332" s="1328"/>
      <c r="BF332" s="1328"/>
      <c r="BG332" s="1328"/>
    </row>
    <row r="333" spans="18:59" x14ac:dyDescent="0.35">
      <c r="R333" s="1328"/>
      <c r="S333" s="1328"/>
      <c r="W333" s="1328"/>
      <c r="X333" s="1328"/>
      <c r="AE333" s="1328"/>
      <c r="AF333" s="1328"/>
      <c r="AV333" s="1328"/>
      <c r="AW333" s="1328"/>
      <c r="AX333" s="1328"/>
      <c r="AY333" s="1328"/>
      <c r="AZ333" s="1328"/>
      <c r="BA333" s="1328"/>
      <c r="BC333" s="1328"/>
      <c r="BE333" s="1328"/>
      <c r="BF333" s="1328"/>
      <c r="BG333" s="1328"/>
    </row>
    <row r="334" spans="18:59" x14ac:dyDescent="0.35">
      <c r="R334" s="1328"/>
      <c r="S334" s="1328"/>
      <c r="W334" s="1328"/>
      <c r="X334" s="1328"/>
      <c r="AE334" s="1328"/>
      <c r="AF334" s="1328"/>
      <c r="AV334" s="1328"/>
      <c r="AW334" s="1328"/>
      <c r="AX334" s="1328"/>
      <c r="AY334" s="1328"/>
      <c r="AZ334" s="1328"/>
      <c r="BA334" s="1328"/>
      <c r="BC334" s="1328"/>
      <c r="BE334" s="1328"/>
      <c r="BF334" s="1328"/>
      <c r="BG334" s="1328"/>
    </row>
    <row r="335" spans="18:59" x14ac:dyDescent="0.35">
      <c r="R335" s="1328"/>
      <c r="S335" s="1328"/>
      <c r="W335" s="1328"/>
      <c r="X335" s="1328"/>
      <c r="AE335" s="1328"/>
      <c r="AF335" s="1328"/>
      <c r="AV335" s="1328"/>
      <c r="AW335" s="1328"/>
      <c r="AX335" s="1328"/>
      <c r="AY335" s="1328"/>
      <c r="AZ335" s="1328"/>
      <c r="BA335" s="1328"/>
      <c r="BC335" s="1328"/>
      <c r="BE335" s="1328"/>
      <c r="BF335" s="1328"/>
      <c r="BG335" s="1328"/>
    </row>
    <row r="336" spans="18:59" x14ac:dyDescent="0.35">
      <c r="R336" s="1328"/>
      <c r="S336" s="1328"/>
      <c r="W336" s="1328"/>
      <c r="X336" s="1328"/>
      <c r="AE336" s="1328"/>
      <c r="AF336" s="1328"/>
      <c r="AV336" s="1328"/>
      <c r="AW336" s="1328"/>
      <c r="AX336" s="1328"/>
      <c r="AY336" s="1328"/>
      <c r="AZ336" s="1328"/>
      <c r="BA336" s="1328"/>
      <c r="BC336" s="1328"/>
      <c r="BE336" s="1328"/>
      <c r="BF336" s="1328"/>
      <c r="BG336" s="1328"/>
    </row>
    <row r="337" spans="18:59" x14ac:dyDescent="0.35">
      <c r="R337" s="1328"/>
      <c r="S337" s="1328"/>
      <c r="W337" s="1328"/>
      <c r="X337" s="1328"/>
      <c r="AE337" s="1328"/>
      <c r="AF337" s="1328"/>
      <c r="AV337" s="1328"/>
      <c r="AW337" s="1328"/>
      <c r="AX337" s="1328"/>
      <c r="AY337" s="1328"/>
      <c r="AZ337" s="1328"/>
      <c r="BA337" s="1328"/>
      <c r="BC337" s="1328"/>
      <c r="BE337" s="1328"/>
      <c r="BF337" s="1328"/>
      <c r="BG337" s="1328"/>
    </row>
    <row r="338" spans="18:59" x14ac:dyDescent="0.35">
      <c r="R338" s="1328"/>
      <c r="S338" s="1328"/>
      <c r="W338" s="1328"/>
      <c r="X338" s="1328"/>
      <c r="AE338" s="1328"/>
      <c r="AF338" s="1328"/>
      <c r="AV338" s="1328"/>
      <c r="AW338" s="1328"/>
      <c r="AX338" s="1328"/>
      <c r="AY338" s="1328"/>
      <c r="AZ338" s="1328"/>
      <c r="BA338" s="1328"/>
      <c r="BC338" s="1328"/>
      <c r="BE338" s="1328"/>
      <c r="BF338" s="1328"/>
      <c r="BG338" s="1328"/>
    </row>
    <row r="339" spans="18:59" x14ac:dyDescent="0.35">
      <c r="R339" s="1328"/>
      <c r="S339" s="1328"/>
      <c r="W339" s="1328"/>
      <c r="X339" s="1328"/>
      <c r="AE339" s="1328"/>
      <c r="AF339" s="1328"/>
      <c r="AV339" s="1328"/>
      <c r="AW339" s="1328"/>
      <c r="AX339" s="1328"/>
      <c r="AY339" s="1328"/>
      <c r="AZ339" s="1328"/>
      <c r="BA339" s="1328"/>
      <c r="BC339" s="1328"/>
      <c r="BE339" s="1328"/>
      <c r="BF339" s="1328"/>
      <c r="BG339" s="1328"/>
    </row>
    <row r="340" spans="18:59" x14ac:dyDescent="0.35">
      <c r="R340" s="1328"/>
      <c r="S340" s="1328"/>
      <c r="W340" s="1328"/>
      <c r="X340" s="1328"/>
      <c r="AE340" s="1328"/>
      <c r="AF340" s="1328"/>
      <c r="AV340" s="1328"/>
      <c r="AW340" s="1328"/>
      <c r="AX340" s="1328"/>
      <c r="AY340" s="1328"/>
      <c r="AZ340" s="1328"/>
      <c r="BA340" s="1328"/>
      <c r="BC340" s="1328"/>
      <c r="BE340" s="1328"/>
      <c r="BF340" s="1328"/>
      <c r="BG340" s="1328"/>
    </row>
    <row r="341" spans="18:59" x14ac:dyDescent="0.35">
      <c r="R341" s="1328"/>
      <c r="S341" s="1328"/>
      <c r="W341" s="1328"/>
      <c r="X341" s="1328"/>
      <c r="AE341" s="1328"/>
      <c r="AF341" s="1328"/>
      <c r="AV341" s="1328"/>
      <c r="AW341" s="1328"/>
      <c r="AX341" s="1328"/>
      <c r="AY341" s="1328"/>
      <c r="AZ341" s="1328"/>
      <c r="BA341" s="1328"/>
      <c r="BC341" s="1328"/>
      <c r="BE341" s="1328"/>
      <c r="BF341" s="1328"/>
      <c r="BG341" s="1328"/>
    </row>
    <row r="342" spans="18:59" x14ac:dyDescent="0.35">
      <c r="R342" s="1328"/>
      <c r="S342" s="1328"/>
      <c r="W342" s="1328"/>
      <c r="X342" s="1328"/>
      <c r="AE342" s="1328"/>
      <c r="AF342" s="1328"/>
      <c r="AV342" s="1328"/>
      <c r="AW342" s="1328"/>
      <c r="AX342" s="1328"/>
      <c r="AY342" s="1328"/>
      <c r="AZ342" s="1328"/>
      <c r="BA342" s="1328"/>
      <c r="BC342" s="1328"/>
      <c r="BE342" s="1328"/>
      <c r="BF342" s="1328"/>
      <c r="BG342" s="1328"/>
    </row>
    <row r="343" spans="18:59" x14ac:dyDescent="0.35">
      <c r="R343" s="1328"/>
      <c r="S343" s="1328"/>
      <c r="W343" s="1328"/>
      <c r="X343" s="1328"/>
      <c r="AE343" s="1328"/>
      <c r="AF343" s="1328"/>
      <c r="AV343" s="1328"/>
      <c r="AW343" s="1328"/>
      <c r="AX343" s="1328"/>
      <c r="AY343" s="1328"/>
      <c r="AZ343" s="1328"/>
      <c r="BA343" s="1328"/>
      <c r="BC343" s="1328"/>
      <c r="BE343" s="1328"/>
      <c r="BF343" s="1328"/>
      <c r="BG343" s="1328"/>
    </row>
    <row r="344" spans="18:59" x14ac:dyDescent="0.35">
      <c r="R344" s="1328"/>
      <c r="S344" s="1328"/>
      <c r="W344" s="1328"/>
      <c r="X344" s="1328"/>
      <c r="AE344" s="1328"/>
      <c r="AF344" s="1328"/>
      <c r="AV344" s="1328"/>
      <c r="AW344" s="1328"/>
      <c r="AX344" s="1328"/>
      <c r="AY344" s="1328"/>
      <c r="AZ344" s="1328"/>
      <c r="BA344" s="1328"/>
      <c r="BC344" s="1328"/>
      <c r="BE344" s="1328"/>
      <c r="BF344" s="1328"/>
      <c r="BG344" s="1328"/>
    </row>
    <row r="345" spans="18:59" x14ac:dyDescent="0.35">
      <c r="R345" s="1328"/>
      <c r="S345" s="1328"/>
      <c r="W345" s="1328"/>
      <c r="X345" s="1328"/>
      <c r="AE345" s="1328"/>
      <c r="AF345" s="1328"/>
      <c r="AV345" s="1328"/>
      <c r="AW345" s="1328"/>
      <c r="AX345" s="1328"/>
      <c r="AY345" s="1328"/>
      <c r="AZ345" s="1328"/>
      <c r="BA345" s="1328"/>
      <c r="BC345" s="1328"/>
      <c r="BE345" s="1328"/>
      <c r="BF345" s="1328"/>
      <c r="BG345" s="1328"/>
    </row>
    <row r="346" spans="18:59" x14ac:dyDescent="0.35">
      <c r="R346" s="1328"/>
      <c r="S346" s="1328"/>
      <c r="W346" s="1328"/>
      <c r="X346" s="1328"/>
      <c r="AE346" s="1328"/>
      <c r="AF346" s="1328"/>
      <c r="AV346" s="1328"/>
      <c r="AW346" s="1328"/>
      <c r="AX346" s="1328"/>
      <c r="AY346" s="1328"/>
      <c r="AZ346" s="1328"/>
      <c r="BA346" s="1328"/>
      <c r="BC346" s="1328"/>
      <c r="BE346" s="1328"/>
      <c r="BF346" s="1328"/>
      <c r="BG346" s="1328"/>
    </row>
    <row r="347" spans="18:59" x14ac:dyDescent="0.35">
      <c r="R347" s="1328"/>
      <c r="S347" s="1328"/>
      <c r="W347" s="1328"/>
      <c r="X347" s="1328"/>
      <c r="AE347" s="1328"/>
      <c r="AF347" s="1328"/>
      <c r="AV347" s="1328"/>
      <c r="AW347" s="1328"/>
      <c r="AX347" s="1328"/>
      <c r="AY347" s="1328"/>
      <c r="AZ347" s="1328"/>
      <c r="BA347" s="1328"/>
      <c r="BC347" s="1328"/>
      <c r="BE347" s="1328"/>
      <c r="BF347" s="1328"/>
      <c r="BG347" s="1328"/>
    </row>
    <row r="348" spans="18:59" x14ac:dyDescent="0.35">
      <c r="R348" s="1328"/>
      <c r="S348" s="1328"/>
      <c r="W348" s="1328"/>
      <c r="X348" s="1328"/>
      <c r="AE348" s="1328"/>
      <c r="AF348" s="1328"/>
      <c r="AV348" s="1328"/>
      <c r="AW348" s="1328"/>
      <c r="AX348" s="1328"/>
      <c r="AY348" s="1328"/>
      <c r="AZ348" s="1328"/>
      <c r="BA348" s="1328"/>
      <c r="BC348" s="1328"/>
      <c r="BE348" s="1328"/>
      <c r="BF348" s="1328"/>
      <c r="BG348" s="1328"/>
    </row>
    <row r="349" spans="18:59" x14ac:dyDescent="0.35">
      <c r="R349" s="1328"/>
      <c r="S349" s="1328"/>
      <c r="W349" s="1328"/>
      <c r="X349" s="1328"/>
      <c r="AE349" s="1328"/>
      <c r="AF349" s="1328"/>
      <c r="AV349" s="1328"/>
      <c r="AW349" s="1328"/>
      <c r="AX349" s="1328"/>
      <c r="AY349" s="1328"/>
      <c r="AZ349" s="1328"/>
      <c r="BA349" s="1328"/>
      <c r="BC349" s="1328"/>
      <c r="BE349" s="1328"/>
      <c r="BF349" s="1328"/>
      <c r="BG349" s="1328"/>
    </row>
    <row r="350" spans="18:59" x14ac:dyDescent="0.35">
      <c r="R350" s="1328"/>
      <c r="S350" s="1328"/>
      <c r="W350" s="1328"/>
      <c r="X350" s="1328"/>
      <c r="AE350" s="1328"/>
      <c r="AF350" s="1328"/>
      <c r="AV350" s="1328"/>
      <c r="AW350" s="1328"/>
      <c r="AX350" s="1328"/>
      <c r="AY350" s="1328"/>
      <c r="AZ350" s="1328"/>
      <c r="BA350" s="1328"/>
      <c r="BC350" s="1328"/>
      <c r="BE350" s="1328"/>
      <c r="BF350" s="1328"/>
      <c r="BG350" s="1328"/>
    </row>
    <row r="351" spans="18:59" x14ac:dyDescent="0.35">
      <c r="R351" s="1328"/>
      <c r="S351" s="1328"/>
      <c r="W351" s="1328"/>
      <c r="X351" s="1328"/>
      <c r="AE351" s="1328"/>
      <c r="AF351" s="1328"/>
      <c r="AV351" s="1328"/>
      <c r="AW351" s="1328"/>
      <c r="AX351" s="1328"/>
      <c r="AY351" s="1328"/>
      <c r="AZ351" s="1328"/>
      <c r="BA351" s="1328"/>
      <c r="BC351" s="1328"/>
      <c r="BE351" s="1328"/>
      <c r="BF351" s="1328"/>
      <c r="BG351" s="1328"/>
    </row>
    <row r="352" spans="18:59" x14ac:dyDescent="0.35">
      <c r="R352" s="1328"/>
      <c r="S352" s="1328"/>
      <c r="W352" s="1328"/>
      <c r="X352" s="1328"/>
      <c r="AE352" s="1328"/>
      <c r="AF352" s="1328"/>
      <c r="AV352" s="1328"/>
      <c r="AW352" s="1328"/>
      <c r="AX352" s="1328"/>
      <c r="AY352" s="1328"/>
      <c r="AZ352" s="1328"/>
      <c r="BA352" s="1328"/>
      <c r="BC352" s="1328"/>
      <c r="BE352" s="1328"/>
      <c r="BF352" s="1328"/>
      <c r="BG352" s="1328"/>
    </row>
    <row r="353" spans="18:59" x14ac:dyDescent="0.35">
      <c r="R353" s="1328"/>
      <c r="S353" s="1328"/>
      <c r="W353" s="1328"/>
      <c r="X353" s="1328"/>
      <c r="AE353" s="1328"/>
      <c r="AF353" s="1328"/>
      <c r="AV353" s="1328"/>
      <c r="AW353" s="1328"/>
      <c r="AX353" s="1328"/>
      <c r="AY353" s="1328"/>
      <c r="AZ353" s="1328"/>
      <c r="BA353" s="1328"/>
      <c r="BC353" s="1328"/>
      <c r="BE353" s="1328"/>
      <c r="BF353" s="1328"/>
      <c r="BG353" s="1328"/>
    </row>
    <row r="354" spans="18:59" x14ac:dyDescent="0.35">
      <c r="R354" s="1328"/>
      <c r="S354" s="1328"/>
      <c r="W354" s="1328"/>
      <c r="X354" s="1328"/>
      <c r="AE354" s="1328"/>
      <c r="AF354" s="1328"/>
      <c r="AV354" s="1328"/>
      <c r="AW354" s="1328"/>
      <c r="AX354" s="1328"/>
      <c r="AY354" s="1328"/>
      <c r="AZ354" s="1328"/>
      <c r="BA354" s="1328"/>
      <c r="BC354" s="1328"/>
      <c r="BE354" s="1328"/>
      <c r="BF354" s="1328"/>
      <c r="BG354" s="1328"/>
    </row>
    <row r="355" spans="18:59" x14ac:dyDescent="0.35">
      <c r="R355" s="1328"/>
      <c r="S355" s="1328"/>
      <c r="W355" s="1328"/>
      <c r="X355" s="1328"/>
      <c r="AE355" s="1328"/>
      <c r="AF355" s="1328"/>
      <c r="AV355" s="1328"/>
      <c r="AW355" s="1328"/>
      <c r="AX355" s="1328"/>
      <c r="AY355" s="1328"/>
      <c r="AZ355" s="1328"/>
      <c r="BA355" s="1328"/>
      <c r="BC355" s="1328"/>
      <c r="BE355" s="1328"/>
      <c r="BF355" s="1328"/>
      <c r="BG355" s="1328"/>
    </row>
    <row r="356" spans="18:59" x14ac:dyDescent="0.35">
      <c r="R356" s="1328"/>
      <c r="S356" s="1328"/>
      <c r="W356" s="1328"/>
      <c r="X356" s="1328"/>
      <c r="AE356" s="1328"/>
      <c r="AF356" s="1328"/>
      <c r="AV356" s="1328"/>
      <c r="AW356" s="1328"/>
      <c r="AX356" s="1328"/>
      <c r="AY356" s="1328"/>
      <c r="AZ356" s="1328"/>
      <c r="BA356" s="1328"/>
      <c r="BC356" s="1328"/>
      <c r="BE356" s="1328"/>
      <c r="BF356" s="1328"/>
      <c r="BG356" s="1328"/>
    </row>
    <row r="357" spans="18:59" x14ac:dyDescent="0.35">
      <c r="R357" s="1328"/>
      <c r="S357" s="1328"/>
      <c r="W357" s="1328"/>
      <c r="X357" s="1328"/>
      <c r="AE357" s="1328"/>
      <c r="AF357" s="1328"/>
      <c r="AV357" s="1328"/>
      <c r="AW357" s="1328"/>
      <c r="AX357" s="1328"/>
      <c r="AY357" s="1328"/>
      <c r="AZ357" s="1328"/>
      <c r="BA357" s="1328"/>
      <c r="BC357" s="1328"/>
      <c r="BE357" s="1328"/>
      <c r="BF357" s="1328"/>
      <c r="BG357" s="1328"/>
    </row>
    <row r="358" spans="18:59" x14ac:dyDescent="0.35">
      <c r="R358" s="1328"/>
      <c r="S358" s="1328"/>
      <c r="W358" s="1328"/>
      <c r="X358" s="1328"/>
      <c r="AE358" s="1328"/>
      <c r="AF358" s="1328"/>
      <c r="AV358" s="1328"/>
      <c r="AW358" s="1328"/>
      <c r="AX358" s="1328"/>
      <c r="AY358" s="1328"/>
      <c r="AZ358" s="1328"/>
      <c r="BA358" s="1328"/>
      <c r="BC358" s="1328"/>
      <c r="BE358" s="1328"/>
      <c r="BF358" s="1328"/>
      <c r="BG358" s="1328"/>
    </row>
    <row r="359" spans="18:59" x14ac:dyDescent="0.35">
      <c r="R359" s="1328"/>
      <c r="S359" s="1328"/>
      <c r="W359" s="1328"/>
      <c r="X359" s="1328"/>
      <c r="AE359" s="1328"/>
      <c r="AF359" s="1328"/>
      <c r="AV359" s="1328"/>
      <c r="AW359" s="1328"/>
      <c r="AX359" s="1328"/>
      <c r="AY359" s="1328"/>
      <c r="AZ359" s="1328"/>
      <c r="BA359" s="1328"/>
      <c r="BC359" s="1328"/>
      <c r="BE359" s="1328"/>
      <c r="BF359" s="1328"/>
      <c r="BG359" s="1328"/>
    </row>
    <row r="360" spans="18:59" x14ac:dyDescent="0.35">
      <c r="R360" s="1328"/>
      <c r="S360" s="1328"/>
      <c r="W360" s="1328"/>
      <c r="X360" s="1328"/>
      <c r="AE360" s="1328"/>
      <c r="AF360" s="1328"/>
      <c r="AV360" s="1328"/>
      <c r="AW360" s="1328"/>
      <c r="AX360" s="1328"/>
      <c r="AY360" s="1328"/>
      <c r="AZ360" s="1328"/>
      <c r="BA360" s="1328"/>
      <c r="BC360" s="1328"/>
      <c r="BE360" s="1328"/>
      <c r="BF360" s="1328"/>
      <c r="BG360" s="1328"/>
    </row>
    <row r="361" spans="18:59" x14ac:dyDescent="0.35">
      <c r="R361" s="1328"/>
      <c r="S361" s="1328"/>
      <c r="W361" s="1328"/>
      <c r="X361" s="1328"/>
      <c r="AE361" s="1328"/>
      <c r="AF361" s="1328"/>
      <c r="AV361" s="1328"/>
      <c r="AW361" s="1328"/>
      <c r="AX361" s="1328"/>
      <c r="AY361" s="1328"/>
      <c r="AZ361" s="1328"/>
      <c r="BA361" s="1328"/>
      <c r="BC361" s="1328"/>
      <c r="BE361" s="1328"/>
      <c r="BF361" s="1328"/>
      <c r="BG361" s="1328"/>
    </row>
    <row r="362" spans="18:59" x14ac:dyDescent="0.35">
      <c r="R362" s="1328"/>
      <c r="S362" s="1328"/>
      <c r="W362" s="1328"/>
      <c r="X362" s="1328"/>
      <c r="AE362" s="1328"/>
      <c r="AF362" s="1328"/>
      <c r="AV362" s="1328"/>
      <c r="AW362" s="1328"/>
      <c r="AX362" s="1328"/>
      <c r="AY362" s="1328"/>
      <c r="AZ362" s="1328"/>
      <c r="BA362" s="1328"/>
      <c r="BC362" s="1328"/>
      <c r="BE362" s="1328"/>
      <c r="BF362" s="1328"/>
      <c r="BG362" s="1328"/>
    </row>
    <row r="363" spans="18:59" x14ac:dyDescent="0.35">
      <c r="R363" s="1328"/>
      <c r="S363" s="1328"/>
      <c r="W363" s="1328"/>
      <c r="X363" s="1328"/>
      <c r="AE363" s="1328"/>
      <c r="AF363" s="1328"/>
      <c r="AV363" s="1328"/>
      <c r="AW363" s="1328"/>
      <c r="AX363" s="1328"/>
      <c r="AY363" s="1328"/>
      <c r="AZ363" s="1328"/>
      <c r="BA363" s="1328"/>
      <c r="BC363" s="1328"/>
      <c r="BE363" s="1328"/>
      <c r="BF363" s="1328"/>
      <c r="BG363" s="1328"/>
    </row>
    <row r="364" spans="18:59" x14ac:dyDescent="0.35">
      <c r="R364" s="1328"/>
      <c r="S364" s="1328"/>
      <c r="W364" s="1328"/>
      <c r="X364" s="1328"/>
      <c r="AE364" s="1328"/>
      <c r="AF364" s="1328"/>
      <c r="AV364" s="1328"/>
      <c r="AW364" s="1328"/>
      <c r="AX364" s="1328"/>
      <c r="AY364" s="1328"/>
      <c r="AZ364" s="1328"/>
      <c r="BA364" s="1328"/>
      <c r="BC364" s="1328"/>
      <c r="BE364" s="1328"/>
      <c r="BF364" s="1328"/>
      <c r="BG364" s="1328"/>
    </row>
    <row r="365" spans="18:59" x14ac:dyDescent="0.35">
      <c r="R365" s="1328"/>
      <c r="S365" s="1328"/>
      <c r="W365" s="1328"/>
      <c r="X365" s="1328"/>
      <c r="AE365" s="1328"/>
      <c r="AF365" s="1328"/>
      <c r="AV365" s="1328"/>
      <c r="AW365" s="1328"/>
      <c r="AX365" s="1328"/>
      <c r="AY365" s="1328"/>
      <c r="AZ365" s="1328"/>
      <c r="BA365" s="1328"/>
      <c r="BC365" s="1328"/>
      <c r="BE365" s="1328"/>
      <c r="BF365" s="1328"/>
      <c r="BG365" s="1328"/>
    </row>
    <row r="366" spans="18:59" x14ac:dyDescent="0.35">
      <c r="R366" s="1328"/>
      <c r="S366" s="1328"/>
      <c r="W366" s="1328"/>
      <c r="X366" s="1328"/>
      <c r="AE366" s="1328"/>
      <c r="AF366" s="1328"/>
      <c r="AV366" s="1328"/>
      <c r="AW366" s="1328"/>
      <c r="AX366" s="1328"/>
      <c r="AY366" s="1328"/>
      <c r="AZ366" s="1328"/>
      <c r="BA366" s="1328"/>
      <c r="BC366" s="1328"/>
      <c r="BE366" s="1328"/>
      <c r="BF366" s="1328"/>
      <c r="BG366" s="1328"/>
    </row>
    <row r="367" spans="18:59" x14ac:dyDescent="0.35">
      <c r="R367" s="1328"/>
      <c r="S367" s="1328"/>
      <c r="W367" s="1328"/>
      <c r="X367" s="1328"/>
      <c r="AE367" s="1328"/>
      <c r="AF367" s="1328"/>
      <c r="AV367" s="1328"/>
      <c r="AW367" s="1328"/>
      <c r="AX367" s="1328"/>
      <c r="AY367" s="1328"/>
      <c r="AZ367" s="1328"/>
      <c r="BA367" s="1328"/>
      <c r="BC367" s="1328"/>
      <c r="BE367" s="1328"/>
      <c r="BF367" s="1328"/>
      <c r="BG367" s="1328"/>
    </row>
    <row r="368" spans="18:59" x14ac:dyDescent="0.35">
      <c r="R368" s="1328"/>
      <c r="S368" s="1328"/>
      <c r="W368" s="1328"/>
      <c r="X368" s="1328"/>
      <c r="AE368" s="1328"/>
      <c r="AF368" s="1328"/>
      <c r="AV368" s="1328"/>
      <c r="AW368" s="1328"/>
      <c r="AX368" s="1328"/>
      <c r="AY368" s="1328"/>
      <c r="AZ368" s="1328"/>
      <c r="BA368" s="1328"/>
      <c r="BC368" s="1328"/>
      <c r="BE368" s="1328"/>
      <c r="BF368" s="1328"/>
      <c r="BG368" s="1328"/>
    </row>
    <row r="369" spans="18:59" x14ac:dyDescent="0.35">
      <c r="R369" s="1328"/>
      <c r="S369" s="1328"/>
      <c r="W369" s="1328"/>
      <c r="X369" s="1328"/>
      <c r="AE369" s="1328"/>
      <c r="AF369" s="1328"/>
      <c r="AV369" s="1328"/>
      <c r="AW369" s="1328"/>
      <c r="AX369" s="1328"/>
      <c r="AY369" s="1328"/>
      <c r="AZ369" s="1328"/>
      <c r="BA369" s="1328"/>
      <c r="BC369" s="1328"/>
      <c r="BE369" s="1328"/>
      <c r="BF369" s="1328"/>
      <c r="BG369" s="1328"/>
    </row>
    <row r="370" spans="18:59" x14ac:dyDescent="0.35">
      <c r="R370" s="1328"/>
      <c r="S370" s="1328"/>
      <c r="W370" s="1328"/>
      <c r="X370" s="1328"/>
      <c r="AE370" s="1328"/>
      <c r="AF370" s="1328"/>
      <c r="AV370" s="1328"/>
      <c r="AW370" s="1328"/>
      <c r="AX370" s="1328"/>
      <c r="AY370" s="1328"/>
      <c r="AZ370" s="1328"/>
      <c r="BA370" s="1328"/>
      <c r="BC370" s="1328"/>
      <c r="BE370" s="1328"/>
      <c r="BF370" s="1328"/>
      <c r="BG370" s="1328"/>
    </row>
    <row r="371" spans="18:59" x14ac:dyDescent="0.35">
      <c r="R371" s="1328"/>
      <c r="S371" s="1328"/>
      <c r="W371" s="1328"/>
      <c r="X371" s="1328"/>
      <c r="AE371" s="1328"/>
      <c r="AF371" s="1328"/>
      <c r="AV371" s="1328"/>
      <c r="AW371" s="1328"/>
      <c r="AX371" s="1328"/>
      <c r="AY371" s="1328"/>
      <c r="AZ371" s="1328"/>
      <c r="BA371" s="1328"/>
      <c r="BC371" s="1328"/>
      <c r="BE371" s="1328"/>
      <c r="BF371" s="1328"/>
      <c r="BG371" s="1328"/>
    </row>
    <row r="372" spans="18:59" x14ac:dyDescent="0.35">
      <c r="R372" s="1328"/>
      <c r="S372" s="1328"/>
      <c r="W372" s="1328"/>
      <c r="X372" s="1328"/>
      <c r="AE372" s="1328"/>
      <c r="AF372" s="1328"/>
      <c r="AV372" s="1328"/>
      <c r="AW372" s="1328"/>
      <c r="AX372" s="1328"/>
      <c r="AY372" s="1328"/>
      <c r="AZ372" s="1328"/>
      <c r="BA372" s="1328"/>
      <c r="BC372" s="1328"/>
      <c r="BE372" s="1328"/>
      <c r="BF372" s="1328"/>
      <c r="BG372" s="1328"/>
    </row>
    <row r="373" spans="18:59" x14ac:dyDescent="0.35">
      <c r="R373" s="1328"/>
      <c r="S373" s="1328"/>
      <c r="W373" s="1328"/>
      <c r="X373" s="1328"/>
      <c r="AE373" s="1328"/>
      <c r="AF373" s="1328"/>
      <c r="AV373" s="1328"/>
      <c r="AW373" s="1328"/>
      <c r="AX373" s="1328"/>
      <c r="AY373" s="1328"/>
      <c r="AZ373" s="1328"/>
      <c r="BA373" s="1328"/>
      <c r="BC373" s="1328"/>
      <c r="BE373" s="1328"/>
      <c r="BF373" s="1328"/>
      <c r="BG373" s="1328"/>
    </row>
    <row r="374" spans="18:59" x14ac:dyDescent="0.35">
      <c r="R374" s="1328"/>
      <c r="S374" s="1328"/>
      <c r="W374" s="1328"/>
      <c r="X374" s="1328"/>
      <c r="AE374" s="1328"/>
      <c r="AF374" s="1328"/>
      <c r="AV374" s="1328"/>
      <c r="AW374" s="1328"/>
      <c r="AX374" s="1328"/>
      <c r="AY374" s="1328"/>
      <c r="AZ374" s="1328"/>
      <c r="BA374" s="1328"/>
      <c r="BC374" s="1328"/>
      <c r="BE374" s="1328"/>
      <c r="BF374" s="1328"/>
      <c r="BG374" s="1328"/>
    </row>
    <row r="375" spans="18:59" x14ac:dyDescent="0.35">
      <c r="R375" s="1328"/>
      <c r="S375" s="1328"/>
      <c r="W375" s="1328"/>
      <c r="X375" s="1328"/>
      <c r="AE375" s="1328"/>
      <c r="AF375" s="1328"/>
      <c r="AV375" s="1328"/>
      <c r="AW375" s="1328"/>
      <c r="AX375" s="1328"/>
      <c r="AY375" s="1328"/>
      <c r="AZ375" s="1328"/>
      <c r="BA375" s="1328"/>
      <c r="BC375" s="1328"/>
      <c r="BE375" s="1328"/>
      <c r="BF375" s="1328"/>
      <c r="BG375" s="1328"/>
    </row>
    <row r="376" spans="18:59" x14ac:dyDescent="0.35">
      <c r="R376" s="1328"/>
      <c r="S376" s="1328"/>
      <c r="W376" s="1328"/>
      <c r="X376" s="1328"/>
      <c r="AE376" s="1328"/>
      <c r="AF376" s="1328"/>
      <c r="AV376" s="1328"/>
      <c r="AW376" s="1328"/>
      <c r="AX376" s="1328"/>
      <c r="AY376" s="1328"/>
      <c r="AZ376" s="1328"/>
      <c r="BA376" s="1328"/>
      <c r="BC376" s="1328"/>
      <c r="BE376" s="1328"/>
      <c r="BF376" s="1328"/>
      <c r="BG376" s="1328"/>
    </row>
    <row r="377" spans="18:59" x14ac:dyDescent="0.35">
      <c r="R377" s="1328"/>
      <c r="S377" s="1328"/>
      <c r="W377" s="1328"/>
      <c r="X377" s="1328"/>
      <c r="AE377" s="1328"/>
      <c r="AF377" s="1328"/>
      <c r="AV377" s="1328"/>
      <c r="AW377" s="1328"/>
      <c r="AX377" s="1328"/>
      <c r="AY377" s="1328"/>
      <c r="AZ377" s="1328"/>
      <c r="BA377" s="1328"/>
      <c r="BC377" s="1328"/>
      <c r="BE377" s="1328"/>
      <c r="BF377" s="1328"/>
      <c r="BG377" s="1328"/>
    </row>
    <row r="378" spans="18:59" x14ac:dyDescent="0.35">
      <c r="R378" s="1328"/>
      <c r="S378" s="1328"/>
      <c r="W378" s="1328"/>
      <c r="X378" s="1328"/>
      <c r="AE378" s="1328"/>
      <c r="AF378" s="1328"/>
      <c r="AV378" s="1328"/>
      <c r="AW378" s="1328"/>
      <c r="AX378" s="1328"/>
      <c r="AY378" s="1328"/>
      <c r="AZ378" s="1328"/>
      <c r="BA378" s="1328"/>
      <c r="BC378" s="1328"/>
      <c r="BE378" s="1328"/>
      <c r="BF378" s="1328"/>
      <c r="BG378" s="1328"/>
    </row>
    <row r="379" spans="18:59" x14ac:dyDescent="0.35">
      <c r="R379" s="1328"/>
      <c r="S379" s="1328"/>
      <c r="W379" s="1328"/>
      <c r="X379" s="1328"/>
      <c r="AE379" s="1328"/>
      <c r="AF379" s="1328"/>
      <c r="AV379" s="1328"/>
      <c r="AW379" s="1328"/>
      <c r="AX379" s="1328"/>
      <c r="AY379" s="1328"/>
      <c r="AZ379" s="1328"/>
      <c r="BA379" s="1328"/>
      <c r="BC379" s="1328"/>
      <c r="BE379" s="1328"/>
      <c r="BF379" s="1328"/>
      <c r="BG379" s="1328"/>
    </row>
    <row r="380" spans="18:59" x14ac:dyDescent="0.35">
      <c r="R380" s="1328"/>
      <c r="S380" s="1328"/>
      <c r="W380" s="1328"/>
      <c r="X380" s="1328"/>
      <c r="AE380" s="1328"/>
      <c r="AF380" s="1328"/>
      <c r="AV380" s="1328"/>
      <c r="AW380" s="1328"/>
      <c r="AX380" s="1328"/>
      <c r="AY380" s="1328"/>
      <c r="AZ380" s="1328"/>
      <c r="BA380" s="1328"/>
      <c r="BC380" s="1328"/>
      <c r="BE380" s="1328"/>
      <c r="BF380" s="1328"/>
      <c r="BG380" s="1328"/>
    </row>
    <row r="381" spans="18:59" x14ac:dyDescent="0.35">
      <c r="R381" s="1328"/>
      <c r="S381" s="1328"/>
      <c r="W381" s="1328"/>
      <c r="X381" s="1328"/>
      <c r="AE381" s="1328"/>
      <c r="AF381" s="1328"/>
      <c r="AV381" s="1328"/>
      <c r="AW381" s="1328"/>
      <c r="AX381" s="1328"/>
      <c r="AY381" s="1328"/>
      <c r="AZ381" s="1328"/>
      <c r="BA381" s="1328"/>
      <c r="BC381" s="1328"/>
      <c r="BE381" s="1328"/>
      <c r="BF381" s="1328"/>
      <c r="BG381" s="1328"/>
    </row>
    <row r="382" spans="18:59" x14ac:dyDescent="0.35">
      <c r="R382" s="1328"/>
      <c r="S382" s="1328"/>
      <c r="W382" s="1328"/>
      <c r="X382" s="1328"/>
      <c r="AE382" s="1328"/>
      <c r="AF382" s="1328"/>
      <c r="AV382" s="1328"/>
      <c r="AW382" s="1328"/>
      <c r="AX382" s="1328"/>
      <c r="AY382" s="1328"/>
      <c r="AZ382" s="1328"/>
      <c r="BA382" s="1328"/>
      <c r="BC382" s="1328"/>
      <c r="BE382" s="1328"/>
      <c r="BF382" s="1328"/>
      <c r="BG382" s="1328"/>
    </row>
    <row r="383" spans="18:59" x14ac:dyDescent="0.35">
      <c r="R383" s="1328"/>
      <c r="S383" s="1328"/>
      <c r="W383" s="1328"/>
      <c r="X383" s="1328"/>
      <c r="AE383" s="1328"/>
      <c r="AF383" s="1328"/>
      <c r="AV383" s="1328"/>
      <c r="AW383" s="1328"/>
      <c r="AX383" s="1328"/>
      <c r="AY383" s="1328"/>
      <c r="AZ383" s="1328"/>
      <c r="BA383" s="1328"/>
      <c r="BC383" s="1328"/>
      <c r="BE383" s="1328"/>
      <c r="BF383" s="1328"/>
      <c r="BG383" s="1328"/>
    </row>
    <row r="384" spans="18:59" x14ac:dyDescent="0.35">
      <c r="R384" s="1328"/>
      <c r="S384" s="1328"/>
      <c r="W384" s="1328"/>
      <c r="X384" s="1328"/>
      <c r="AE384" s="1328"/>
      <c r="AF384" s="1328"/>
      <c r="AV384" s="1328"/>
      <c r="AW384" s="1328"/>
      <c r="AX384" s="1328"/>
      <c r="AY384" s="1328"/>
      <c r="AZ384" s="1328"/>
      <c r="BA384" s="1328"/>
      <c r="BC384" s="1328"/>
      <c r="BE384" s="1328"/>
      <c r="BF384" s="1328"/>
      <c r="BG384" s="1328"/>
    </row>
    <row r="385" spans="18:59" x14ac:dyDescent="0.35">
      <c r="R385" s="1328"/>
      <c r="S385" s="1328"/>
      <c r="W385" s="1328"/>
      <c r="X385" s="1328"/>
      <c r="AE385" s="1328"/>
      <c r="AF385" s="1328"/>
      <c r="AV385" s="1328"/>
      <c r="AW385" s="1328"/>
      <c r="AX385" s="1328"/>
      <c r="AY385" s="1328"/>
      <c r="AZ385" s="1328"/>
      <c r="BA385" s="1328"/>
      <c r="BC385" s="1328"/>
      <c r="BE385" s="1328"/>
      <c r="BF385" s="1328"/>
      <c r="BG385" s="1328"/>
    </row>
    <row r="386" spans="18:59" x14ac:dyDescent="0.35">
      <c r="R386" s="1328"/>
      <c r="S386" s="1328"/>
      <c r="W386" s="1328"/>
      <c r="X386" s="1328"/>
      <c r="AE386" s="1328"/>
      <c r="AF386" s="1328"/>
      <c r="AV386" s="1328"/>
      <c r="AW386" s="1328"/>
      <c r="AX386" s="1328"/>
      <c r="AY386" s="1328"/>
      <c r="AZ386" s="1328"/>
      <c r="BA386" s="1328"/>
      <c r="BC386" s="1328"/>
      <c r="BE386" s="1328"/>
      <c r="BF386" s="1328"/>
      <c r="BG386" s="1328"/>
    </row>
    <row r="387" spans="18:59" x14ac:dyDescent="0.35">
      <c r="R387" s="1328"/>
      <c r="S387" s="1328"/>
      <c r="W387" s="1328"/>
      <c r="X387" s="1328"/>
      <c r="AE387" s="1328"/>
      <c r="AF387" s="1328"/>
      <c r="AV387" s="1328"/>
      <c r="AW387" s="1328"/>
      <c r="AX387" s="1328"/>
      <c r="AY387" s="1328"/>
      <c r="AZ387" s="1328"/>
      <c r="BA387" s="1328"/>
      <c r="BC387" s="1328"/>
      <c r="BE387" s="1328"/>
      <c r="BF387" s="1328"/>
      <c r="BG387" s="1328"/>
    </row>
    <row r="388" spans="18:59" x14ac:dyDescent="0.35">
      <c r="R388" s="1328"/>
      <c r="S388" s="1328"/>
      <c r="W388" s="1328"/>
      <c r="X388" s="1328"/>
      <c r="AE388" s="1328"/>
      <c r="AF388" s="1328"/>
      <c r="AV388" s="1328"/>
      <c r="AW388" s="1328"/>
      <c r="AX388" s="1328"/>
      <c r="AY388" s="1328"/>
      <c r="AZ388" s="1328"/>
      <c r="BA388" s="1328"/>
      <c r="BC388" s="1328"/>
      <c r="BE388" s="1328"/>
      <c r="BF388" s="1328"/>
      <c r="BG388" s="1328"/>
    </row>
    <row r="389" spans="18:59" x14ac:dyDescent="0.35">
      <c r="R389" s="1328"/>
      <c r="S389" s="1328"/>
      <c r="W389" s="1328"/>
      <c r="X389" s="1328"/>
      <c r="AE389" s="1328"/>
      <c r="AF389" s="1328"/>
      <c r="AV389" s="1328"/>
      <c r="AW389" s="1328"/>
      <c r="AX389" s="1328"/>
      <c r="AY389" s="1328"/>
      <c r="AZ389" s="1328"/>
      <c r="BA389" s="1328"/>
      <c r="BC389" s="1328"/>
      <c r="BE389" s="1328"/>
      <c r="BF389" s="1328"/>
      <c r="BG389" s="1328"/>
    </row>
    <row r="390" spans="18:59" x14ac:dyDescent="0.35">
      <c r="R390" s="1328"/>
      <c r="S390" s="1328"/>
      <c r="W390" s="1328"/>
      <c r="X390" s="1328"/>
      <c r="AE390" s="1328"/>
      <c r="AF390" s="1328"/>
      <c r="AV390" s="1328"/>
      <c r="AW390" s="1328"/>
      <c r="AX390" s="1328"/>
      <c r="AY390" s="1328"/>
      <c r="AZ390" s="1328"/>
      <c r="BA390" s="1328"/>
      <c r="BC390" s="1328"/>
      <c r="BE390" s="1328"/>
      <c r="BF390" s="1328"/>
      <c r="BG390" s="1328"/>
    </row>
    <row r="391" spans="18:59" x14ac:dyDescent="0.35">
      <c r="R391" s="1328"/>
      <c r="S391" s="1328"/>
      <c r="W391" s="1328"/>
      <c r="X391" s="1328"/>
      <c r="AE391" s="1328"/>
      <c r="AF391" s="1328"/>
      <c r="AV391" s="1328"/>
      <c r="AW391" s="1328"/>
      <c r="AX391" s="1328"/>
      <c r="AY391" s="1328"/>
      <c r="AZ391" s="1328"/>
      <c r="BA391" s="1328"/>
      <c r="BC391" s="1328"/>
      <c r="BE391" s="1328"/>
      <c r="BF391" s="1328"/>
      <c r="BG391" s="1328"/>
    </row>
    <row r="392" spans="18:59" x14ac:dyDescent="0.35">
      <c r="R392" s="1328"/>
      <c r="S392" s="1328"/>
      <c r="W392" s="1328"/>
      <c r="X392" s="1328"/>
      <c r="AE392" s="1328"/>
      <c r="AF392" s="1328"/>
      <c r="AV392" s="1328"/>
      <c r="AW392" s="1328"/>
      <c r="AX392" s="1328"/>
      <c r="AY392" s="1328"/>
      <c r="AZ392" s="1328"/>
      <c r="BA392" s="1328"/>
      <c r="BC392" s="1328"/>
      <c r="BE392" s="1328"/>
      <c r="BF392" s="1328"/>
      <c r="BG392" s="1328"/>
    </row>
    <row r="393" spans="18:59" x14ac:dyDescent="0.35">
      <c r="R393" s="1328"/>
      <c r="S393" s="1328"/>
      <c r="W393" s="1328"/>
      <c r="X393" s="1328"/>
      <c r="AE393" s="1328"/>
      <c r="AF393" s="1328"/>
      <c r="AV393" s="1328"/>
      <c r="AW393" s="1328"/>
      <c r="AX393" s="1328"/>
      <c r="AY393" s="1328"/>
      <c r="AZ393" s="1328"/>
      <c r="BA393" s="1328"/>
      <c r="BC393" s="1328"/>
      <c r="BE393" s="1328"/>
      <c r="BF393" s="1328"/>
      <c r="BG393" s="1328"/>
    </row>
    <row r="394" spans="18:59" x14ac:dyDescent="0.35">
      <c r="R394" s="1328"/>
      <c r="S394" s="1328"/>
      <c r="W394" s="1328"/>
      <c r="X394" s="1328"/>
      <c r="AE394" s="1328"/>
      <c r="AF394" s="1328"/>
      <c r="AV394" s="1328"/>
      <c r="AW394" s="1328"/>
      <c r="AX394" s="1328"/>
      <c r="AY394" s="1328"/>
      <c r="AZ394" s="1328"/>
      <c r="BA394" s="1328"/>
      <c r="BC394" s="1328"/>
      <c r="BE394" s="1328"/>
      <c r="BF394" s="1328"/>
      <c r="BG394" s="1328"/>
    </row>
    <row r="395" spans="18:59" x14ac:dyDescent="0.35">
      <c r="R395" s="1328"/>
      <c r="S395" s="1328"/>
      <c r="W395" s="1328"/>
      <c r="X395" s="1328"/>
      <c r="AE395" s="1328"/>
      <c r="AF395" s="1328"/>
      <c r="AV395" s="1328"/>
      <c r="AW395" s="1328"/>
      <c r="AX395" s="1328"/>
      <c r="AY395" s="1328"/>
      <c r="AZ395" s="1328"/>
      <c r="BA395" s="1328"/>
      <c r="BC395" s="1328"/>
      <c r="BE395" s="1328"/>
      <c r="BF395" s="1328"/>
      <c r="BG395" s="1328"/>
    </row>
    <row r="396" spans="18:59" x14ac:dyDescent="0.35">
      <c r="R396" s="1328"/>
      <c r="S396" s="1328"/>
      <c r="W396" s="1328"/>
      <c r="X396" s="1328"/>
      <c r="AE396" s="1328"/>
      <c r="AF396" s="1328"/>
      <c r="AV396" s="1328"/>
      <c r="AW396" s="1328"/>
      <c r="AX396" s="1328"/>
      <c r="AY396" s="1328"/>
      <c r="AZ396" s="1328"/>
      <c r="BA396" s="1328"/>
      <c r="BC396" s="1328"/>
      <c r="BE396" s="1328"/>
      <c r="BF396" s="1328"/>
      <c r="BG396" s="1328"/>
    </row>
    <row r="397" spans="18:59" x14ac:dyDescent="0.35">
      <c r="R397" s="1328"/>
      <c r="S397" s="1328"/>
      <c r="W397" s="1328"/>
      <c r="X397" s="1328"/>
      <c r="AE397" s="1328"/>
      <c r="AF397" s="1328"/>
      <c r="AV397" s="1328"/>
      <c r="AW397" s="1328"/>
      <c r="AX397" s="1328"/>
      <c r="AY397" s="1328"/>
      <c r="AZ397" s="1328"/>
      <c r="BA397" s="1328"/>
      <c r="BC397" s="1328"/>
      <c r="BE397" s="1328"/>
      <c r="BF397" s="1328"/>
      <c r="BG397" s="1328"/>
    </row>
    <row r="398" spans="18:59" x14ac:dyDescent="0.35">
      <c r="R398" s="1328"/>
      <c r="S398" s="1328"/>
      <c r="W398" s="1328"/>
      <c r="X398" s="1328"/>
      <c r="AE398" s="1328"/>
      <c r="AF398" s="1328"/>
      <c r="AV398" s="1328"/>
      <c r="AW398" s="1328"/>
      <c r="AX398" s="1328"/>
      <c r="AY398" s="1328"/>
      <c r="AZ398" s="1328"/>
      <c r="BA398" s="1328"/>
      <c r="BC398" s="1328"/>
      <c r="BE398" s="1328"/>
      <c r="BF398" s="1328"/>
      <c r="BG398" s="1328"/>
    </row>
    <row r="399" spans="18:59" x14ac:dyDescent="0.35">
      <c r="R399" s="1328"/>
      <c r="S399" s="1328"/>
      <c r="W399" s="1328"/>
      <c r="X399" s="1328"/>
      <c r="AE399" s="1328"/>
      <c r="AF399" s="1328"/>
      <c r="AV399" s="1328"/>
      <c r="AW399" s="1328"/>
      <c r="AX399" s="1328"/>
      <c r="AY399" s="1328"/>
      <c r="AZ399" s="1328"/>
      <c r="BA399" s="1328"/>
      <c r="BC399" s="1328"/>
      <c r="BE399" s="1328"/>
      <c r="BF399" s="1328"/>
      <c r="BG399" s="1328"/>
    </row>
    <row r="400" spans="18:59" x14ac:dyDescent="0.35">
      <c r="R400" s="1328"/>
      <c r="S400" s="1328"/>
      <c r="W400" s="1328"/>
      <c r="X400" s="1328"/>
      <c r="AE400" s="1328"/>
      <c r="AF400" s="1328"/>
      <c r="AV400" s="1328"/>
      <c r="AW400" s="1328"/>
      <c r="AX400" s="1328"/>
      <c r="AY400" s="1328"/>
      <c r="AZ400" s="1328"/>
      <c r="BA400" s="1328"/>
      <c r="BC400" s="1328"/>
      <c r="BE400" s="1328"/>
      <c r="BF400" s="1328"/>
      <c r="BG400" s="1328"/>
    </row>
    <row r="401" spans="18:59" x14ac:dyDescent="0.35">
      <c r="R401" s="1328"/>
      <c r="S401" s="1328"/>
      <c r="W401" s="1328"/>
      <c r="X401" s="1328"/>
      <c r="AE401" s="1328"/>
      <c r="AF401" s="1328"/>
      <c r="AV401" s="1328"/>
      <c r="AW401" s="1328"/>
      <c r="AX401" s="1328"/>
      <c r="AY401" s="1328"/>
      <c r="AZ401" s="1328"/>
      <c r="BA401" s="1328"/>
      <c r="BC401" s="1328"/>
      <c r="BE401" s="1328"/>
      <c r="BF401" s="1328"/>
      <c r="BG401" s="1328"/>
    </row>
    <row r="402" spans="18:59" x14ac:dyDescent="0.35">
      <c r="R402" s="1328"/>
      <c r="S402" s="1328"/>
      <c r="W402" s="1328"/>
      <c r="X402" s="1328"/>
      <c r="AE402" s="1328"/>
      <c r="AF402" s="1328"/>
      <c r="AV402" s="1328"/>
      <c r="AW402" s="1328"/>
      <c r="AX402" s="1328"/>
      <c r="AY402" s="1328"/>
      <c r="AZ402" s="1328"/>
      <c r="BA402" s="1328"/>
      <c r="BC402" s="1328"/>
      <c r="BE402" s="1328"/>
      <c r="BF402" s="1328"/>
      <c r="BG402" s="1328"/>
    </row>
    <row r="403" spans="18:59" x14ac:dyDescent="0.35">
      <c r="R403" s="1328"/>
      <c r="S403" s="1328"/>
      <c r="W403" s="1328"/>
      <c r="X403" s="1328"/>
      <c r="AE403" s="1328"/>
      <c r="AF403" s="1328"/>
      <c r="AV403" s="1328"/>
      <c r="AW403" s="1328"/>
      <c r="AX403" s="1328"/>
      <c r="AY403" s="1328"/>
      <c r="AZ403" s="1328"/>
      <c r="BA403" s="1328"/>
      <c r="BC403" s="1328"/>
      <c r="BE403" s="1328"/>
      <c r="BF403" s="1328"/>
      <c r="BG403" s="1328"/>
    </row>
    <row r="404" spans="18:59" x14ac:dyDescent="0.35">
      <c r="R404" s="1328"/>
      <c r="S404" s="1328"/>
      <c r="W404" s="1328"/>
      <c r="X404" s="1328"/>
      <c r="AE404" s="1328"/>
      <c r="AF404" s="1328"/>
      <c r="AV404" s="1328"/>
      <c r="AW404" s="1328"/>
      <c r="AX404" s="1328"/>
      <c r="AY404" s="1328"/>
      <c r="AZ404" s="1328"/>
      <c r="BA404" s="1328"/>
      <c r="BC404" s="1328"/>
      <c r="BE404" s="1328"/>
      <c r="BF404" s="1328"/>
      <c r="BG404" s="1328"/>
    </row>
    <row r="405" spans="18:59" x14ac:dyDescent="0.35">
      <c r="R405" s="1328"/>
      <c r="S405" s="1328"/>
      <c r="W405" s="1328"/>
      <c r="X405" s="1328"/>
      <c r="AE405" s="1328"/>
      <c r="AF405" s="1328"/>
      <c r="AV405" s="1328"/>
      <c r="AW405" s="1328"/>
      <c r="AX405" s="1328"/>
      <c r="AY405" s="1328"/>
      <c r="AZ405" s="1328"/>
      <c r="BA405" s="1328"/>
      <c r="BC405" s="1328"/>
      <c r="BE405" s="1328"/>
      <c r="BF405" s="1328"/>
      <c r="BG405" s="1328"/>
    </row>
    <row r="406" spans="18:59" x14ac:dyDescent="0.35">
      <c r="R406" s="1328"/>
      <c r="S406" s="1328"/>
      <c r="W406" s="1328"/>
      <c r="X406" s="1328"/>
      <c r="AE406" s="1328"/>
      <c r="AF406" s="1328"/>
      <c r="AV406" s="1328"/>
      <c r="AW406" s="1328"/>
      <c r="AX406" s="1328"/>
      <c r="AY406" s="1328"/>
      <c r="AZ406" s="1328"/>
      <c r="BA406" s="1328"/>
      <c r="BC406" s="1328"/>
      <c r="BE406" s="1328"/>
      <c r="BF406" s="1328"/>
      <c r="BG406" s="1328"/>
    </row>
    <row r="407" spans="18:59" x14ac:dyDescent="0.35">
      <c r="R407" s="1328"/>
      <c r="S407" s="1328"/>
      <c r="W407" s="1328"/>
      <c r="X407" s="1328"/>
      <c r="AE407" s="1328"/>
      <c r="AF407" s="1328"/>
      <c r="AV407" s="1328"/>
      <c r="AW407" s="1328"/>
      <c r="AX407" s="1328"/>
      <c r="AY407" s="1328"/>
      <c r="AZ407" s="1328"/>
      <c r="BA407" s="1328"/>
      <c r="BC407" s="1328"/>
      <c r="BE407" s="1328"/>
      <c r="BF407" s="1328"/>
      <c r="BG407" s="1328"/>
    </row>
    <row r="408" spans="18:59" x14ac:dyDescent="0.35">
      <c r="R408" s="1328"/>
      <c r="S408" s="1328"/>
      <c r="W408" s="1328"/>
      <c r="X408" s="1328"/>
      <c r="AE408" s="1328"/>
      <c r="AF408" s="1328"/>
      <c r="AV408" s="1328"/>
      <c r="AW408" s="1328"/>
      <c r="AX408" s="1328"/>
      <c r="AY408" s="1328"/>
      <c r="AZ408" s="1328"/>
      <c r="BA408" s="1328"/>
      <c r="BC408" s="1328"/>
      <c r="BE408" s="1328"/>
      <c r="BF408" s="1328"/>
      <c r="BG408" s="1328"/>
    </row>
    <row r="409" spans="18:59" x14ac:dyDescent="0.35">
      <c r="R409" s="1328"/>
      <c r="S409" s="1328"/>
      <c r="W409" s="1328"/>
      <c r="X409" s="1328"/>
      <c r="AE409" s="1328"/>
      <c r="AF409" s="1328"/>
      <c r="AV409" s="1328"/>
      <c r="AW409" s="1328"/>
      <c r="AX409" s="1328"/>
      <c r="AY409" s="1328"/>
      <c r="AZ409" s="1328"/>
      <c r="BA409" s="1328"/>
      <c r="BC409" s="1328"/>
      <c r="BE409" s="1328"/>
      <c r="BF409" s="1328"/>
      <c r="BG409" s="1328"/>
    </row>
    <row r="410" spans="18:59" x14ac:dyDescent="0.35">
      <c r="R410" s="1328"/>
      <c r="S410" s="1328"/>
      <c r="W410" s="1328"/>
      <c r="X410" s="1328"/>
      <c r="AE410" s="1328"/>
      <c r="AF410" s="1328"/>
      <c r="AV410" s="1328"/>
      <c r="AW410" s="1328"/>
      <c r="AX410" s="1328"/>
      <c r="AY410" s="1328"/>
      <c r="AZ410" s="1328"/>
      <c r="BA410" s="1328"/>
      <c r="BC410" s="1328"/>
      <c r="BE410" s="1328"/>
      <c r="BF410" s="1328"/>
      <c r="BG410" s="1328"/>
    </row>
    <row r="411" spans="18:59" x14ac:dyDescent="0.35">
      <c r="R411" s="1328"/>
      <c r="S411" s="1328"/>
      <c r="W411" s="1328"/>
      <c r="X411" s="1328"/>
      <c r="AE411" s="1328"/>
      <c r="AF411" s="1328"/>
      <c r="AV411" s="1328"/>
      <c r="AW411" s="1328"/>
      <c r="AX411" s="1328"/>
      <c r="AY411" s="1328"/>
      <c r="AZ411" s="1328"/>
      <c r="BA411" s="1328"/>
      <c r="BC411" s="1328"/>
      <c r="BE411" s="1328"/>
      <c r="BF411" s="1328"/>
      <c r="BG411" s="1328"/>
    </row>
    <row r="412" spans="18:59" x14ac:dyDescent="0.35">
      <c r="R412" s="1328"/>
      <c r="S412" s="1328"/>
      <c r="W412" s="1328"/>
      <c r="X412" s="1328"/>
      <c r="AE412" s="1328"/>
      <c r="AF412" s="1328"/>
      <c r="AV412" s="1328"/>
      <c r="AW412" s="1328"/>
      <c r="AX412" s="1328"/>
      <c r="AY412" s="1328"/>
      <c r="AZ412" s="1328"/>
      <c r="BA412" s="1328"/>
      <c r="BC412" s="1328"/>
      <c r="BE412" s="1328"/>
      <c r="BF412" s="1328"/>
      <c r="BG412" s="1328"/>
    </row>
    <row r="413" spans="18:59" x14ac:dyDescent="0.35">
      <c r="R413" s="1328"/>
      <c r="S413" s="1328"/>
      <c r="W413" s="1328"/>
      <c r="X413" s="1328"/>
      <c r="AE413" s="1328"/>
      <c r="AF413" s="1328"/>
      <c r="AV413" s="1328"/>
      <c r="AW413" s="1328"/>
      <c r="AX413" s="1328"/>
      <c r="AY413" s="1328"/>
      <c r="AZ413" s="1328"/>
      <c r="BA413" s="1328"/>
      <c r="BC413" s="1328"/>
      <c r="BE413" s="1328"/>
      <c r="BF413" s="1328"/>
      <c r="BG413" s="1328"/>
    </row>
    <row r="414" spans="18:59" x14ac:dyDescent="0.35">
      <c r="R414" s="1328"/>
      <c r="S414" s="1328"/>
      <c r="W414" s="1328"/>
      <c r="X414" s="1328"/>
      <c r="AE414" s="1328"/>
      <c r="AF414" s="1328"/>
      <c r="AV414" s="1328"/>
      <c r="AW414" s="1328"/>
      <c r="AX414" s="1328"/>
      <c r="AY414" s="1328"/>
      <c r="AZ414" s="1328"/>
      <c r="BA414" s="1328"/>
      <c r="BC414" s="1328"/>
      <c r="BE414" s="1328"/>
      <c r="BF414" s="1328"/>
      <c r="BG414" s="1328"/>
    </row>
    <row r="415" spans="18:59" x14ac:dyDescent="0.35">
      <c r="R415" s="1328"/>
      <c r="S415" s="1328"/>
      <c r="W415" s="1328"/>
      <c r="X415" s="1328"/>
      <c r="AE415" s="1328"/>
      <c r="AF415" s="1328"/>
      <c r="AV415" s="1328"/>
      <c r="AW415" s="1328"/>
      <c r="AX415" s="1328"/>
      <c r="AY415" s="1328"/>
      <c r="AZ415" s="1328"/>
      <c r="BA415" s="1328"/>
      <c r="BC415" s="1328"/>
      <c r="BE415" s="1328"/>
      <c r="BF415" s="1328"/>
      <c r="BG415" s="1328"/>
    </row>
    <row r="416" spans="18:59" x14ac:dyDescent="0.35">
      <c r="R416" s="1328"/>
      <c r="S416" s="1328"/>
      <c r="W416" s="1328"/>
      <c r="X416" s="1328"/>
      <c r="AE416" s="1328"/>
      <c r="AF416" s="1328"/>
      <c r="AV416" s="1328"/>
      <c r="AW416" s="1328"/>
      <c r="AX416" s="1328"/>
      <c r="AY416" s="1328"/>
      <c r="AZ416" s="1328"/>
      <c r="BA416" s="1328"/>
      <c r="BC416" s="1328"/>
      <c r="BE416" s="1328"/>
      <c r="BF416" s="1328"/>
      <c r="BG416" s="1328"/>
    </row>
    <row r="417" spans="18:59" x14ac:dyDescent="0.35">
      <c r="R417" s="1328"/>
      <c r="S417" s="1328"/>
      <c r="W417" s="1328"/>
      <c r="X417" s="1328"/>
      <c r="AE417" s="1328"/>
      <c r="AF417" s="1328"/>
      <c r="AV417" s="1328"/>
      <c r="AW417" s="1328"/>
      <c r="AX417" s="1328"/>
      <c r="AY417" s="1328"/>
      <c r="AZ417" s="1328"/>
      <c r="BA417" s="1328"/>
      <c r="BC417" s="1328"/>
      <c r="BE417" s="1328"/>
      <c r="BF417" s="1328"/>
      <c r="BG417" s="1328"/>
    </row>
    <row r="418" spans="18:59" x14ac:dyDescent="0.35">
      <c r="R418" s="1328"/>
      <c r="S418" s="1328"/>
      <c r="W418" s="1328"/>
      <c r="X418" s="1328"/>
      <c r="AE418" s="1328"/>
      <c r="AF418" s="1328"/>
      <c r="AV418" s="1328"/>
      <c r="AW418" s="1328"/>
      <c r="AX418" s="1328"/>
      <c r="AY418" s="1328"/>
      <c r="AZ418" s="1328"/>
      <c r="BA418" s="1328"/>
      <c r="BC418" s="1328"/>
      <c r="BE418" s="1328"/>
      <c r="BF418" s="1328"/>
      <c r="BG418" s="1328"/>
    </row>
    <row r="419" spans="18:59" x14ac:dyDescent="0.35">
      <c r="R419" s="1328"/>
      <c r="S419" s="1328"/>
      <c r="W419" s="1328"/>
      <c r="X419" s="1328"/>
      <c r="AE419" s="1328"/>
      <c r="AF419" s="1328"/>
      <c r="AV419" s="1328"/>
      <c r="AW419" s="1328"/>
      <c r="AX419" s="1328"/>
      <c r="AY419" s="1328"/>
      <c r="AZ419" s="1328"/>
      <c r="BA419" s="1328"/>
      <c r="BC419" s="1328"/>
      <c r="BE419" s="1328"/>
      <c r="BF419" s="1328"/>
      <c r="BG419" s="1328"/>
    </row>
    <row r="420" spans="18:59" x14ac:dyDescent="0.35">
      <c r="R420" s="1328"/>
      <c r="S420" s="1328"/>
      <c r="W420" s="1328"/>
      <c r="X420" s="1328"/>
      <c r="AE420" s="1328"/>
      <c r="AF420" s="1328"/>
      <c r="AV420" s="1328"/>
      <c r="AW420" s="1328"/>
      <c r="AX420" s="1328"/>
      <c r="AY420" s="1328"/>
      <c r="AZ420" s="1328"/>
      <c r="BA420" s="1328"/>
      <c r="BC420" s="1328"/>
      <c r="BE420" s="1328"/>
      <c r="BF420" s="1328"/>
      <c r="BG420" s="1328"/>
    </row>
    <row r="421" spans="18:59" x14ac:dyDescent="0.35">
      <c r="R421" s="1328"/>
      <c r="S421" s="1328"/>
      <c r="W421" s="1328"/>
      <c r="X421" s="1328"/>
      <c r="AE421" s="1328"/>
      <c r="AF421" s="1328"/>
      <c r="AV421" s="1328"/>
      <c r="AW421" s="1328"/>
      <c r="AX421" s="1328"/>
      <c r="AY421" s="1328"/>
      <c r="AZ421" s="1328"/>
      <c r="BA421" s="1328"/>
      <c r="BC421" s="1328"/>
      <c r="BE421" s="1328"/>
      <c r="BF421" s="1328"/>
      <c r="BG421" s="1328"/>
    </row>
    <row r="422" spans="18:59" x14ac:dyDescent="0.35">
      <c r="R422" s="1328"/>
      <c r="S422" s="1328"/>
      <c r="W422" s="1328"/>
      <c r="X422" s="1328"/>
      <c r="AE422" s="1328"/>
      <c r="AF422" s="1328"/>
      <c r="AV422" s="1328"/>
      <c r="AW422" s="1328"/>
      <c r="AX422" s="1328"/>
      <c r="AY422" s="1328"/>
      <c r="AZ422" s="1328"/>
      <c r="BA422" s="1328"/>
      <c r="BC422" s="1328"/>
      <c r="BE422" s="1328"/>
      <c r="BF422" s="1328"/>
      <c r="BG422" s="1328"/>
    </row>
    <row r="423" spans="18:59" x14ac:dyDescent="0.35">
      <c r="R423" s="1328"/>
      <c r="S423" s="1328"/>
      <c r="W423" s="1328"/>
      <c r="X423" s="1328"/>
      <c r="AE423" s="1328"/>
      <c r="AF423" s="1328"/>
      <c r="AV423" s="1328"/>
      <c r="AW423" s="1328"/>
      <c r="AX423" s="1328"/>
      <c r="AY423" s="1328"/>
      <c r="AZ423" s="1328"/>
      <c r="BA423" s="1328"/>
      <c r="BC423" s="1328"/>
      <c r="BE423" s="1328"/>
      <c r="BF423" s="1328"/>
      <c r="BG423" s="1328"/>
    </row>
    <row r="424" spans="18:59" x14ac:dyDescent="0.35">
      <c r="R424" s="1328"/>
      <c r="S424" s="1328"/>
      <c r="W424" s="1328"/>
      <c r="X424" s="1328"/>
      <c r="AE424" s="1328"/>
      <c r="AF424" s="1328"/>
      <c r="AV424" s="1328"/>
      <c r="AW424" s="1328"/>
      <c r="AX424" s="1328"/>
      <c r="AY424" s="1328"/>
      <c r="AZ424" s="1328"/>
      <c r="BA424" s="1328"/>
      <c r="BC424" s="1328"/>
      <c r="BE424" s="1328"/>
      <c r="BF424" s="1328"/>
      <c r="BG424" s="1328"/>
    </row>
    <row r="425" spans="18:59" x14ac:dyDescent="0.35">
      <c r="R425" s="1328"/>
      <c r="S425" s="1328"/>
      <c r="W425" s="1328"/>
      <c r="X425" s="1328"/>
      <c r="AE425" s="1328"/>
      <c r="AF425" s="1328"/>
      <c r="AV425" s="1328"/>
      <c r="AW425" s="1328"/>
      <c r="AX425" s="1328"/>
      <c r="AY425" s="1328"/>
      <c r="AZ425" s="1328"/>
      <c r="BA425" s="1328"/>
      <c r="BC425" s="1328"/>
      <c r="BE425" s="1328"/>
      <c r="BF425" s="1328"/>
      <c r="BG425" s="1328"/>
    </row>
    <row r="426" spans="18:59" x14ac:dyDescent="0.35">
      <c r="R426" s="1328"/>
      <c r="S426" s="1328"/>
      <c r="W426" s="1328"/>
      <c r="X426" s="1328"/>
      <c r="AE426" s="1328"/>
      <c r="AF426" s="1328"/>
      <c r="AV426" s="1328"/>
      <c r="AW426" s="1328"/>
      <c r="AX426" s="1328"/>
      <c r="AY426" s="1328"/>
      <c r="AZ426" s="1328"/>
      <c r="BA426" s="1328"/>
      <c r="BC426" s="1328"/>
      <c r="BE426" s="1328"/>
      <c r="BF426" s="1328"/>
      <c r="BG426" s="1328"/>
    </row>
    <row r="427" spans="18:59" x14ac:dyDescent="0.35">
      <c r="R427" s="1328"/>
      <c r="S427" s="1328"/>
      <c r="W427" s="1328"/>
      <c r="X427" s="1328"/>
      <c r="AE427" s="1328"/>
      <c r="AF427" s="1328"/>
      <c r="AV427" s="1328"/>
      <c r="AW427" s="1328"/>
      <c r="AX427" s="1328"/>
      <c r="AY427" s="1328"/>
      <c r="AZ427" s="1328"/>
      <c r="BA427" s="1328"/>
      <c r="BC427" s="1328"/>
      <c r="BE427" s="1328"/>
      <c r="BF427" s="1328"/>
      <c r="BG427" s="1328"/>
    </row>
    <row r="428" spans="18:59" x14ac:dyDescent="0.35">
      <c r="R428" s="1328"/>
      <c r="S428" s="1328"/>
      <c r="W428" s="1328"/>
      <c r="X428" s="1328"/>
      <c r="AE428" s="1328"/>
      <c r="AF428" s="1328"/>
      <c r="AV428" s="1328"/>
      <c r="AW428" s="1328"/>
      <c r="AX428" s="1328"/>
      <c r="AY428" s="1328"/>
      <c r="AZ428" s="1328"/>
      <c r="BA428" s="1328"/>
      <c r="BC428" s="1328"/>
      <c r="BE428" s="1328"/>
      <c r="BF428" s="1328"/>
      <c r="BG428" s="1328"/>
    </row>
    <row r="429" spans="18:59" x14ac:dyDescent="0.35">
      <c r="R429" s="1328"/>
      <c r="S429" s="1328"/>
      <c r="W429" s="1328"/>
      <c r="X429" s="1328"/>
      <c r="AE429" s="1328"/>
      <c r="AF429" s="1328"/>
      <c r="AV429" s="1328"/>
      <c r="AW429" s="1328"/>
      <c r="AX429" s="1328"/>
      <c r="AY429" s="1328"/>
      <c r="AZ429" s="1328"/>
      <c r="BA429" s="1328"/>
      <c r="BC429" s="1328"/>
      <c r="BE429" s="1328"/>
      <c r="BF429" s="1328"/>
      <c r="BG429" s="1328"/>
    </row>
    <row r="430" spans="18:59" x14ac:dyDescent="0.35">
      <c r="R430" s="1328"/>
      <c r="S430" s="1328"/>
      <c r="W430" s="1328"/>
      <c r="X430" s="1328"/>
      <c r="AE430" s="1328"/>
      <c r="AF430" s="1328"/>
      <c r="AV430" s="1328"/>
      <c r="AW430" s="1328"/>
      <c r="AX430" s="1328"/>
      <c r="AY430" s="1328"/>
      <c r="AZ430" s="1328"/>
      <c r="BA430" s="1328"/>
      <c r="BC430" s="1328"/>
      <c r="BE430" s="1328"/>
      <c r="BF430" s="1328"/>
      <c r="BG430" s="1328"/>
    </row>
    <row r="431" spans="18:59" x14ac:dyDescent="0.35">
      <c r="R431" s="1328"/>
      <c r="S431" s="1328"/>
      <c r="W431" s="1328"/>
      <c r="X431" s="1328"/>
      <c r="AE431" s="1328"/>
      <c r="AF431" s="1328"/>
      <c r="AV431" s="1328"/>
      <c r="AW431" s="1328"/>
      <c r="AX431" s="1328"/>
      <c r="AY431" s="1328"/>
      <c r="AZ431" s="1328"/>
      <c r="BA431" s="1328"/>
      <c r="BC431" s="1328"/>
      <c r="BE431" s="1328"/>
      <c r="BF431" s="1328"/>
      <c r="BG431" s="1328"/>
    </row>
    <row r="432" spans="18:59" x14ac:dyDescent="0.35">
      <c r="R432" s="1328"/>
      <c r="S432" s="1328"/>
      <c r="W432" s="1328"/>
      <c r="X432" s="1328"/>
      <c r="AE432" s="1328"/>
      <c r="AF432" s="1328"/>
      <c r="AV432" s="1328"/>
      <c r="AW432" s="1328"/>
      <c r="AX432" s="1328"/>
      <c r="AY432" s="1328"/>
      <c r="AZ432" s="1328"/>
      <c r="BA432" s="1328"/>
      <c r="BC432" s="1328"/>
      <c r="BE432" s="1328"/>
      <c r="BF432" s="1328"/>
      <c r="BG432" s="1328"/>
    </row>
    <row r="433" spans="18:59" x14ac:dyDescent="0.35">
      <c r="R433" s="1328"/>
      <c r="S433" s="1328"/>
      <c r="W433" s="1328"/>
      <c r="X433" s="1328"/>
      <c r="AE433" s="1328"/>
      <c r="AF433" s="1328"/>
      <c r="AV433" s="1328"/>
      <c r="AW433" s="1328"/>
      <c r="AX433" s="1328"/>
      <c r="AY433" s="1328"/>
      <c r="AZ433" s="1328"/>
      <c r="BA433" s="1328"/>
      <c r="BC433" s="1328"/>
      <c r="BE433" s="1328"/>
      <c r="BF433" s="1328"/>
      <c r="BG433" s="1328"/>
    </row>
    <row r="434" spans="18:59" x14ac:dyDescent="0.35">
      <c r="R434" s="1328"/>
      <c r="S434" s="1328"/>
      <c r="W434" s="1328"/>
      <c r="X434" s="1328"/>
      <c r="AE434" s="1328"/>
      <c r="AF434" s="1328"/>
      <c r="AV434" s="1328"/>
      <c r="AW434" s="1328"/>
      <c r="AX434" s="1328"/>
      <c r="AY434" s="1328"/>
      <c r="AZ434" s="1328"/>
      <c r="BA434" s="1328"/>
      <c r="BC434" s="1328"/>
      <c r="BE434" s="1328"/>
      <c r="BF434" s="1328"/>
      <c r="BG434" s="1328"/>
    </row>
    <row r="435" spans="18:59" x14ac:dyDescent="0.35">
      <c r="R435" s="1328"/>
      <c r="S435" s="1328"/>
      <c r="W435" s="1328"/>
      <c r="X435" s="1328"/>
      <c r="AE435" s="1328"/>
      <c r="AF435" s="1328"/>
      <c r="AV435" s="1328"/>
      <c r="AW435" s="1328"/>
      <c r="AX435" s="1328"/>
      <c r="AY435" s="1328"/>
      <c r="AZ435" s="1328"/>
      <c r="BA435" s="1328"/>
      <c r="BC435" s="1328"/>
      <c r="BE435" s="1328"/>
      <c r="BF435" s="1328"/>
      <c r="BG435" s="1328"/>
    </row>
    <row r="436" spans="18:59" x14ac:dyDescent="0.35">
      <c r="R436" s="1328"/>
      <c r="S436" s="1328"/>
      <c r="W436" s="1328"/>
      <c r="X436" s="1328"/>
      <c r="AE436" s="1328"/>
      <c r="AF436" s="1328"/>
      <c r="AV436" s="1328"/>
      <c r="AW436" s="1328"/>
      <c r="AX436" s="1328"/>
      <c r="AY436" s="1328"/>
      <c r="AZ436" s="1328"/>
      <c r="BA436" s="1328"/>
      <c r="BC436" s="1328"/>
      <c r="BE436" s="1328"/>
      <c r="BF436" s="1328"/>
      <c r="BG436" s="1328"/>
    </row>
    <row r="437" spans="18:59" x14ac:dyDescent="0.35">
      <c r="R437" s="1328"/>
      <c r="S437" s="1328"/>
      <c r="W437" s="1328"/>
      <c r="X437" s="1328"/>
      <c r="AE437" s="1328"/>
      <c r="AF437" s="1328"/>
      <c r="AV437" s="1328"/>
      <c r="AW437" s="1328"/>
      <c r="AX437" s="1328"/>
      <c r="AY437" s="1328"/>
      <c r="AZ437" s="1328"/>
      <c r="BA437" s="1328"/>
      <c r="BC437" s="1328"/>
      <c r="BE437" s="1328"/>
      <c r="BF437" s="1328"/>
      <c r="BG437" s="1328"/>
    </row>
    <row r="438" spans="18:59" x14ac:dyDescent="0.35">
      <c r="R438" s="1328"/>
      <c r="S438" s="1328"/>
      <c r="W438" s="1328"/>
      <c r="X438" s="1328"/>
      <c r="AE438" s="1328"/>
      <c r="AF438" s="1328"/>
      <c r="AV438" s="1328"/>
      <c r="AW438" s="1328"/>
      <c r="AX438" s="1328"/>
      <c r="AY438" s="1328"/>
      <c r="AZ438" s="1328"/>
      <c r="BA438" s="1328"/>
      <c r="BC438" s="1328"/>
      <c r="BE438" s="1328"/>
      <c r="BF438" s="1328"/>
      <c r="BG438" s="1328"/>
    </row>
    <row r="439" spans="18:59" x14ac:dyDescent="0.35">
      <c r="R439" s="1328"/>
      <c r="S439" s="1328"/>
      <c r="W439" s="1328"/>
      <c r="X439" s="1328"/>
      <c r="AE439" s="1328"/>
      <c r="AF439" s="1328"/>
      <c r="AV439" s="1328"/>
      <c r="AW439" s="1328"/>
      <c r="AX439" s="1328"/>
      <c r="AY439" s="1328"/>
      <c r="AZ439" s="1328"/>
      <c r="BA439" s="1328"/>
      <c r="BC439" s="1328"/>
      <c r="BE439" s="1328"/>
      <c r="BF439" s="1328"/>
      <c r="BG439" s="1328"/>
    </row>
    <row r="440" spans="18:59" x14ac:dyDescent="0.35">
      <c r="R440" s="1328"/>
      <c r="S440" s="1328"/>
      <c r="W440" s="1328"/>
      <c r="X440" s="1328"/>
      <c r="AE440" s="1328"/>
      <c r="AF440" s="1328"/>
      <c r="AV440" s="1328"/>
      <c r="AW440" s="1328"/>
      <c r="AX440" s="1328"/>
      <c r="AY440" s="1328"/>
      <c r="AZ440" s="1328"/>
      <c r="BA440" s="1328"/>
      <c r="BC440" s="1328"/>
      <c r="BE440" s="1328"/>
      <c r="BF440" s="1328"/>
      <c r="BG440" s="1328"/>
    </row>
    <row r="441" spans="18:59" x14ac:dyDescent="0.35">
      <c r="R441" s="1328"/>
      <c r="S441" s="1328"/>
      <c r="W441" s="1328"/>
      <c r="X441" s="1328"/>
      <c r="AE441" s="1328"/>
      <c r="AF441" s="1328"/>
      <c r="AV441" s="1328"/>
      <c r="AW441" s="1328"/>
      <c r="AX441" s="1328"/>
      <c r="AY441" s="1328"/>
      <c r="AZ441" s="1328"/>
      <c r="BA441" s="1328"/>
      <c r="BC441" s="1328"/>
      <c r="BE441" s="1328"/>
      <c r="BF441" s="1328"/>
      <c r="BG441" s="1328"/>
    </row>
    <row r="442" spans="18:59" x14ac:dyDescent="0.35">
      <c r="R442" s="1328"/>
      <c r="S442" s="1328"/>
      <c r="W442" s="1328"/>
      <c r="X442" s="1328"/>
      <c r="AE442" s="1328"/>
      <c r="AF442" s="1328"/>
      <c r="AV442" s="1328"/>
      <c r="AW442" s="1328"/>
      <c r="AX442" s="1328"/>
      <c r="AY442" s="1328"/>
      <c r="AZ442" s="1328"/>
      <c r="BA442" s="1328"/>
      <c r="BC442" s="1328"/>
      <c r="BE442" s="1328"/>
      <c r="BF442" s="1328"/>
      <c r="BG442" s="1328"/>
    </row>
    <row r="443" spans="18:59" x14ac:dyDescent="0.35">
      <c r="R443" s="1328"/>
      <c r="S443" s="1328"/>
      <c r="W443" s="1328"/>
      <c r="X443" s="1328"/>
      <c r="AE443" s="1328"/>
      <c r="AF443" s="1328"/>
      <c r="AV443" s="1328"/>
      <c r="AW443" s="1328"/>
      <c r="AX443" s="1328"/>
      <c r="AY443" s="1328"/>
      <c r="AZ443" s="1328"/>
      <c r="BA443" s="1328"/>
      <c r="BC443" s="1328"/>
      <c r="BE443" s="1328"/>
      <c r="BF443" s="1328"/>
      <c r="BG443" s="1328"/>
    </row>
    <row r="444" spans="18:59" x14ac:dyDescent="0.35">
      <c r="R444" s="1328"/>
      <c r="S444" s="1328"/>
      <c r="W444" s="1328"/>
      <c r="X444" s="1328"/>
      <c r="AE444" s="1328"/>
      <c r="AF444" s="1328"/>
      <c r="AV444" s="1328"/>
      <c r="AW444" s="1328"/>
      <c r="AX444" s="1328"/>
      <c r="AY444" s="1328"/>
      <c r="AZ444" s="1328"/>
      <c r="BA444" s="1328"/>
      <c r="BC444" s="1328"/>
      <c r="BE444" s="1328"/>
      <c r="BF444" s="1328"/>
      <c r="BG444" s="1328"/>
    </row>
    <row r="445" spans="18:59" x14ac:dyDescent="0.35">
      <c r="R445" s="1328"/>
      <c r="S445" s="1328"/>
      <c r="W445" s="1328"/>
      <c r="X445" s="1328"/>
      <c r="AE445" s="1328"/>
      <c r="AF445" s="1328"/>
      <c r="AV445" s="1328"/>
      <c r="AW445" s="1328"/>
      <c r="AX445" s="1328"/>
      <c r="AY445" s="1328"/>
      <c r="AZ445" s="1328"/>
      <c r="BA445" s="1328"/>
      <c r="BC445" s="1328"/>
      <c r="BE445" s="1328"/>
      <c r="BF445" s="1328"/>
      <c r="BG445" s="1328"/>
    </row>
    <row r="446" spans="18:59" x14ac:dyDescent="0.35">
      <c r="R446" s="1328"/>
      <c r="S446" s="1328"/>
      <c r="W446" s="1328"/>
      <c r="X446" s="1328"/>
      <c r="AE446" s="1328"/>
      <c r="AF446" s="1328"/>
      <c r="AV446" s="1328"/>
      <c r="AW446" s="1328"/>
      <c r="AX446" s="1328"/>
      <c r="AY446" s="1328"/>
      <c r="AZ446" s="1328"/>
      <c r="BA446" s="1328"/>
      <c r="BC446" s="1328"/>
      <c r="BE446" s="1328"/>
      <c r="BF446" s="1328"/>
      <c r="BG446" s="1328"/>
    </row>
    <row r="447" spans="18:59" x14ac:dyDescent="0.35">
      <c r="R447" s="1328"/>
      <c r="S447" s="1328"/>
      <c r="W447" s="1328"/>
      <c r="X447" s="1328"/>
      <c r="AE447" s="1328"/>
      <c r="AF447" s="1328"/>
      <c r="AV447" s="1328"/>
      <c r="AW447" s="1328"/>
      <c r="AX447" s="1328"/>
      <c r="AY447" s="1328"/>
      <c r="AZ447" s="1328"/>
      <c r="BA447" s="1328"/>
      <c r="BC447" s="1328"/>
      <c r="BE447" s="1328"/>
      <c r="BF447" s="1328"/>
      <c r="BG447" s="1328"/>
    </row>
    <row r="448" spans="18:59" x14ac:dyDescent="0.35">
      <c r="R448" s="1328"/>
      <c r="S448" s="1328"/>
      <c r="W448" s="1328"/>
      <c r="X448" s="1328"/>
      <c r="AE448" s="1328"/>
      <c r="AF448" s="1328"/>
      <c r="AV448" s="1328"/>
      <c r="AW448" s="1328"/>
      <c r="AX448" s="1328"/>
      <c r="AY448" s="1328"/>
      <c r="AZ448" s="1328"/>
      <c r="BA448" s="1328"/>
      <c r="BC448" s="1328"/>
      <c r="BE448" s="1328"/>
      <c r="BF448" s="1328"/>
      <c r="BG448" s="1328"/>
    </row>
    <row r="449" spans="18:59" x14ac:dyDescent="0.35">
      <c r="R449" s="1328"/>
      <c r="S449" s="1328"/>
      <c r="W449" s="1328"/>
      <c r="X449" s="1328"/>
      <c r="AE449" s="1328"/>
      <c r="AF449" s="1328"/>
      <c r="AV449" s="1328"/>
      <c r="AW449" s="1328"/>
      <c r="AX449" s="1328"/>
      <c r="AY449" s="1328"/>
      <c r="AZ449" s="1328"/>
      <c r="BA449" s="1328"/>
      <c r="BC449" s="1328"/>
      <c r="BE449" s="1328"/>
      <c r="BF449" s="1328"/>
      <c r="BG449" s="1328"/>
    </row>
    <row r="450" spans="18:59" x14ac:dyDescent="0.35">
      <c r="R450" s="1328"/>
      <c r="S450" s="1328"/>
      <c r="W450" s="1328"/>
      <c r="X450" s="1328"/>
      <c r="AE450" s="1328"/>
      <c r="AF450" s="1328"/>
      <c r="AV450" s="1328"/>
      <c r="AW450" s="1328"/>
      <c r="AX450" s="1328"/>
      <c r="AY450" s="1328"/>
      <c r="AZ450" s="1328"/>
      <c r="BA450" s="1328"/>
      <c r="BC450" s="1328"/>
      <c r="BE450" s="1328"/>
      <c r="BF450" s="1328"/>
      <c r="BG450" s="1328"/>
    </row>
    <row r="451" spans="18:59" x14ac:dyDescent="0.35">
      <c r="R451" s="1328"/>
      <c r="S451" s="1328"/>
      <c r="W451" s="1328"/>
      <c r="X451" s="1328"/>
      <c r="AE451" s="1328"/>
      <c r="AF451" s="1328"/>
      <c r="AV451" s="1328"/>
      <c r="AW451" s="1328"/>
      <c r="AX451" s="1328"/>
      <c r="AY451" s="1328"/>
      <c r="AZ451" s="1328"/>
      <c r="BA451" s="1328"/>
      <c r="BC451" s="1328"/>
      <c r="BE451" s="1328"/>
      <c r="BF451" s="1328"/>
      <c r="BG451" s="1328"/>
    </row>
    <row r="452" spans="18:59" x14ac:dyDescent="0.35">
      <c r="R452" s="1328"/>
      <c r="S452" s="1328"/>
      <c r="W452" s="1328"/>
      <c r="X452" s="1328"/>
      <c r="AE452" s="1328"/>
      <c r="AF452" s="1328"/>
      <c r="AV452" s="1328"/>
      <c r="AW452" s="1328"/>
      <c r="AX452" s="1328"/>
      <c r="AY452" s="1328"/>
      <c r="AZ452" s="1328"/>
      <c r="BA452" s="1328"/>
      <c r="BC452" s="1328"/>
      <c r="BE452" s="1328"/>
      <c r="BF452" s="1328"/>
      <c r="BG452" s="1328"/>
    </row>
    <row r="453" spans="18:59" x14ac:dyDescent="0.35">
      <c r="R453" s="1328"/>
      <c r="S453" s="1328"/>
      <c r="W453" s="1328"/>
      <c r="X453" s="1328"/>
      <c r="AE453" s="1328"/>
      <c r="AF453" s="1328"/>
      <c r="AV453" s="1328"/>
      <c r="AW453" s="1328"/>
      <c r="AX453" s="1328"/>
      <c r="AY453" s="1328"/>
      <c r="AZ453" s="1328"/>
      <c r="BA453" s="1328"/>
      <c r="BC453" s="1328"/>
      <c r="BE453" s="1328"/>
      <c r="BF453" s="1328"/>
      <c r="BG453" s="1328"/>
    </row>
    <row r="454" spans="18:59" x14ac:dyDescent="0.35">
      <c r="R454" s="1328"/>
      <c r="S454" s="1328"/>
      <c r="W454" s="1328"/>
      <c r="X454" s="1328"/>
      <c r="AE454" s="1328"/>
      <c r="AF454" s="1328"/>
      <c r="AV454" s="1328"/>
      <c r="AW454" s="1328"/>
      <c r="AX454" s="1328"/>
      <c r="AY454" s="1328"/>
      <c r="AZ454" s="1328"/>
      <c r="BA454" s="1328"/>
      <c r="BC454" s="1328"/>
      <c r="BE454" s="1328"/>
      <c r="BF454" s="1328"/>
      <c r="BG454" s="1328"/>
    </row>
    <row r="455" spans="18:59" x14ac:dyDescent="0.35">
      <c r="R455" s="1328"/>
      <c r="S455" s="1328"/>
      <c r="W455" s="1328"/>
      <c r="X455" s="1328"/>
      <c r="AE455" s="1328"/>
      <c r="AF455" s="1328"/>
      <c r="AV455" s="1328"/>
      <c r="AW455" s="1328"/>
      <c r="AX455" s="1328"/>
      <c r="AY455" s="1328"/>
      <c r="AZ455" s="1328"/>
      <c r="BA455" s="1328"/>
      <c r="BC455" s="1328"/>
      <c r="BE455" s="1328"/>
      <c r="BF455" s="1328"/>
      <c r="BG455" s="1328"/>
    </row>
    <row r="456" spans="18:59" x14ac:dyDescent="0.35">
      <c r="R456" s="1328"/>
      <c r="S456" s="1328"/>
      <c r="W456" s="1328"/>
      <c r="X456" s="1328"/>
      <c r="AE456" s="1328"/>
      <c r="AF456" s="1328"/>
      <c r="AV456" s="1328"/>
      <c r="AW456" s="1328"/>
      <c r="AX456" s="1328"/>
      <c r="AY456" s="1328"/>
      <c r="AZ456" s="1328"/>
      <c r="BA456" s="1328"/>
      <c r="BC456" s="1328"/>
      <c r="BE456" s="1328"/>
      <c r="BF456" s="1328"/>
      <c r="BG456" s="1328"/>
    </row>
    <row r="457" spans="18:59" x14ac:dyDescent="0.35">
      <c r="R457" s="1328"/>
      <c r="S457" s="1328"/>
      <c r="W457" s="1328"/>
      <c r="X457" s="1328"/>
      <c r="AE457" s="1328"/>
      <c r="AF457" s="1328"/>
      <c r="AV457" s="1328"/>
      <c r="AW457" s="1328"/>
      <c r="AX457" s="1328"/>
      <c r="AY457" s="1328"/>
      <c r="AZ457" s="1328"/>
      <c r="BA457" s="1328"/>
      <c r="BC457" s="1328"/>
      <c r="BE457" s="1328"/>
      <c r="BF457" s="1328"/>
      <c r="BG457" s="1328"/>
    </row>
    <row r="458" spans="18:59" x14ac:dyDescent="0.35">
      <c r="R458" s="1328"/>
      <c r="S458" s="1328"/>
      <c r="W458" s="1328"/>
      <c r="X458" s="1328"/>
      <c r="AE458" s="1328"/>
      <c r="AF458" s="1328"/>
      <c r="AV458" s="1328"/>
      <c r="AW458" s="1328"/>
      <c r="AX458" s="1328"/>
      <c r="AY458" s="1328"/>
      <c r="AZ458" s="1328"/>
      <c r="BA458" s="1328"/>
      <c r="BC458" s="1328"/>
      <c r="BE458" s="1328"/>
      <c r="BF458" s="1328"/>
      <c r="BG458" s="1328"/>
    </row>
    <row r="459" spans="18:59" x14ac:dyDescent="0.35">
      <c r="R459" s="1328"/>
      <c r="S459" s="1328"/>
      <c r="W459" s="1328"/>
      <c r="X459" s="1328"/>
      <c r="AE459" s="1328"/>
      <c r="AF459" s="1328"/>
      <c r="AV459" s="1328"/>
      <c r="AW459" s="1328"/>
      <c r="AX459" s="1328"/>
      <c r="AY459" s="1328"/>
      <c r="AZ459" s="1328"/>
      <c r="BA459" s="1328"/>
      <c r="BC459" s="1328"/>
      <c r="BE459" s="1328"/>
      <c r="BF459" s="1328"/>
      <c r="BG459" s="1328"/>
    </row>
    <row r="460" spans="18:59" x14ac:dyDescent="0.35">
      <c r="R460" s="1328"/>
      <c r="S460" s="1328"/>
      <c r="W460" s="1328"/>
      <c r="X460" s="1328"/>
      <c r="AE460" s="1328"/>
      <c r="AF460" s="1328"/>
      <c r="AV460" s="1328"/>
      <c r="AW460" s="1328"/>
      <c r="AX460" s="1328"/>
      <c r="AY460" s="1328"/>
      <c r="AZ460" s="1328"/>
      <c r="BA460" s="1328"/>
      <c r="BC460" s="1328"/>
      <c r="BE460" s="1328"/>
      <c r="BF460" s="1328"/>
      <c r="BG460" s="1328"/>
    </row>
    <row r="461" spans="18:59" x14ac:dyDescent="0.35">
      <c r="R461" s="1328"/>
      <c r="S461" s="1328"/>
      <c r="W461" s="1328"/>
      <c r="X461" s="1328"/>
      <c r="AE461" s="1328"/>
      <c r="AF461" s="1328"/>
      <c r="AV461" s="1328"/>
      <c r="AW461" s="1328"/>
      <c r="AX461" s="1328"/>
      <c r="AY461" s="1328"/>
      <c r="AZ461" s="1328"/>
      <c r="BA461" s="1328"/>
      <c r="BC461" s="1328"/>
      <c r="BE461" s="1328"/>
      <c r="BF461" s="1328"/>
      <c r="BG461" s="1328"/>
    </row>
    <row r="462" spans="18:59" x14ac:dyDescent="0.35">
      <c r="R462" s="1328"/>
      <c r="S462" s="1328"/>
      <c r="W462" s="1328"/>
      <c r="X462" s="1328"/>
      <c r="AE462" s="1328"/>
      <c r="AF462" s="1328"/>
      <c r="AV462" s="1328"/>
      <c r="AW462" s="1328"/>
      <c r="AX462" s="1328"/>
      <c r="AY462" s="1328"/>
      <c r="AZ462" s="1328"/>
      <c r="BA462" s="1328"/>
      <c r="BC462" s="1328"/>
      <c r="BE462" s="1328"/>
      <c r="BF462" s="1328"/>
      <c r="BG462" s="1328"/>
    </row>
    <row r="463" spans="18:59" x14ac:dyDescent="0.35">
      <c r="R463" s="1328"/>
      <c r="S463" s="1328"/>
      <c r="W463" s="1328"/>
      <c r="X463" s="1328"/>
      <c r="AE463" s="1328"/>
      <c r="AF463" s="1328"/>
      <c r="AV463" s="1328"/>
      <c r="AW463" s="1328"/>
      <c r="AX463" s="1328"/>
      <c r="AY463" s="1328"/>
      <c r="AZ463" s="1328"/>
      <c r="BA463" s="1328"/>
      <c r="BC463" s="1328"/>
      <c r="BE463" s="1328"/>
      <c r="BF463" s="1328"/>
      <c r="BG463" s="1328"/>
    </row>
    <row r="464" spans="18:59" x14ac:dyDescent="0.35">
      <c r="R464" s="1328"/>
      <c r="S464" s="1328"/>
      <c r="W464" s="1328"/>
      <c r="X464" s="1328"/>
      <c r="AE464" s="1328"/>
      <c r="AF464" s="1328"/>
      <c r="AV464" s="1328"/>
      <c r="AW464" s="1328"/>
      <c r="AX464" s="1328"/>
      <c r="AY464" s="1328"/>
      <c r="AZ464" s="1328"/>
      <c r="BA464" s="1328"/>
      <c r="BC464" s="1328"/>
      <c r="BE464" s="1328"/>
      <c r="BF464" s="1328"/>
      <c r="BG464" s="1328"/>
    </row>
    <row r="465" spans="18:59" x14ac:dyDescent="0.35">
      <c r="R465" s="1328"/>
      <c r="S465" s="1328"/>
      <c r="W465" s="1328"/>
      <c r="X465" s="1328"/>
      <c r="AE465" s="1328"/>
      <c r="AF465" s="1328"/>
      <c r="AV465" s="1328"/>
      <c r="AW465" s="1328"/>
      <c r="AX465" s="1328"/>
      <c r="AY465" s="1328"/>
      <c r="AZ465" s="1328"/>
      <c r="BA465" s="1328"/>
      <c r="BC465" s="1328"/>
      <c r="BE465" s="1328"/>
      <c r="BF465" s="1328"/>
      <c r="BG465" s="1328"/>
    </row>
    <row r="466" spans="18:59" x14ac:dyDescent="0.35">
      <c r="R466" s="1328"/>
      <c r="S466" s="1328"/>
      <c r="W466" s="1328"/>
      <c r="X466" s="1328"/>
      <c r="AE466" s="1328"/>
      <c r="AF466" s="1328"/>
      <c r="AV466" s="1328"/>
      <c r="AW466" s="1328"/>
      <c r="AX466" s="1328"/>
      <c r="AY466" s="1328"/>
      <c r="AZ466" s="1328"/>
      <c r="BA466" s="1328"/>
      <c r="BC466" s="1328"/>
      <c r="BE466" s="1328"/>
      <c r="BF466" s="1328"/>
      <c r="BG466" s="1328"/>
    </row>
    <row r="467" spans="18:59" x14ac:dyDescent="0.35">
      <c r="R467" s="1328"/>
      <c r="S467" s="1328"/>
      <c r="W467" s="1328"/>
      <c r="X467" s="1328"/>
      <c r="AE467" s="1328"/>
      <c r="AF467" s="1328"/>
      <c r="AV467" s="1328"/>
      <c r="AW467" s="1328"/>
      <c r="AX467" s="1328"/>
      <c r="AY467" s="1328"/>
      <c r="AZ467" s="1328"/>
      <c r="BA467" s="1328"/>
      <c r="BC467" s="1328"/>
      <c r="BE467" s="1328"/>
      <c r="BF467" s="1328"/>
      <c r="BG467" s="1328"/>
    </row>
    <row r="468" spans="18:59" x14ac:dyDescent="0.35">
      <c r="R468" s="1328"/>
      <c r="S468" s="1328"/>
      <c r="W468" s="1328"/>
      <c r="X468" s="1328"/>
      <c r="AE468" s="1328"/>
      <c r="AF468" s="1328"/>
      <c r="AV468" s="1328"/>
      <c r="AW468" s="1328"/>
      <c r="AX468" s="1328"/>
      <c r="AY468" s="1328"/>
      <c r="AZ468" s="1328"/>
      <c r="BA468" s="1328"/>
      <c r="BC468" s="1328"/>
      <c r="BE468" s="1328"/>
      <c r="BF468" s="1328"/>
      <c r="BG468" s="1328"/>
    </row>
    <row r="469" spans="18:59" x14ac:dyDescent="0.35">
      <c r="R469" s="1328"/>
      <c r="S469" s="1328"/>
      <c r="W469" s="1328"/>
      <c r="X469" s="1328"/>
      <c r="AE469" s="1328"/>
      <c r="AF469" s="1328"/>
      <c r="AV469" s="1328"/>
      <c r="AW469" s="1328"/>
      <c r="AX469" s="1328"/>
      <c r="AY469" s="1328"/>
      <c r="AZ469" s="1328"/>
      <c r="BA469" s="1328"/>
      <c r="BC469" s="1328"/>
      <c r="BE469" s="1328"/>
      <c r="BF469" s="1328"/>
      <c r="BG469" s="1328"/>
    </row>
    <row r="470" spans="18:59" x14ac:dyDescent="0.35">
      <c r="R470" s="1328"/>
      <c r="S470" s="1328"/>
      <c r="W470" s="1328"/>
      <c r="X470" s="1328"/>
      <c r="AE470" s="1328"/>
      <c r="AF470" s="1328"/>
      <c r="AV470" s="1328"/>
      <c r="AW470" s="1328"/>
      <c r="AX470" s="1328"/>
      <c r="AY470" s="1328"/>
      <c r="AZ470" s="1328"/>
      <c r="BA470" s="1328"/>
      <c r="BC470" s="1328"/>
      <c r="BE470" s="1328"/>
      <c r="BF470" s="1328"/>
      <c r="BG470" s="1328"/>
    </row>
    <row r="471" spans="18:59" x14ac:dyDescent="0.35">
      <c r="R471" s="1328"/>
      <c r="S471" s="1328"/>
      <c r="W471" s="1328"/>
      <c r="X471" s="1328"/>
      <c r="AE471" s="1328"/>
      <c r="AF471" s="1328"/>
      <c r="AV471" s="1328"/>
      <c r="AW471" s="1328"/>
      <c r="AX471" s="1328"/>
      <c r="AY471" s="1328"/>
      <c r="AZ471" s="1328"/>
      <c r="BA471" s="1328"/>
      <c r="BC471" s="1328"/>
      <c r="BE471" s="1328"/>
      <c r="BF471" s="1328"/>
      <c r="BG471" s="1328"/>
    </row>
    <row r="472" spans="18:59" x14ac:dyDescent="0.35">
      <c r="R472" s="1328"/>
      <c r="S472" s="1328"/>
      <c r="W472" s="1328"/>
      <c r="X472" s="1328"/>
      <c r="AE472" s="1328"/>
      <c r="AF472" s="1328"/>
      <c r="AV472" s="1328"/>
      <c r="AW472" s="1328"/>
      <c r="AX472" s="1328"/>
      <c r="AY472" s="1328"/>
      <c r="AZ472" s="1328"/>
      <c r="BA472" s="1328"/>
      <c r="BC472" s="1328"/>
      <c r="BE472" s="1328"/>
      <c r="BF472" s="1328"/>
      <c r="BG472" s="1328"/>
    </row>
    <row r="473" spans="18:59" x14ac:dyDescent="0.35">
      <c r="R473" s="1328"/>
      <c r="S473" s="1328"/>
      <c r="W473" s="1328"/>
      <c r="X473" s="1328"/>
      <c r="AE473" s="1328"/>
      <c r="AF473" s="1328"/>
      <c r="AV473" s="1328"/>
      <c r="AW473" s="1328"/>
      <c r="AX473" s="1328"/>
      <c r="AY473" s="1328"/>
      <c r="AZ473" s="1328"/>
      <c r="BA473" s="1328"/>
      <c r="BC473" s="1328"/>
      <c r="BE473" s="1328"/>
      <c r="BF473" s="1328"/>
      <c r="BG473" s="1328"/>
    </row>
    <row r="474" spans="18:59" x14ac:dyDescent="0.35">
      <c r="R474" s="1328"/>
      <c r="S474" s="1328"/>
      <c r="W474" s="1328"/>
      <c r="X474" s="1328"/>
      <c r="AE474" s="1328"/>
      <c r="AF474" s="1328"/>
      <c r="AV474" s="1328"/>
      <c r="AW474" s="1328"/>
      <c r="AX474" s="1328"/>
      <c r="AY474" s="1328"/>
      <c r="AZ474" s="1328"/>
      <c r="BA474" s="1328"/>
      <c r="BC474" s="1328"/>
      <c r="BE474" s="1328"/>
      <c r="BF474" s="1328"/>
      <c r="BG474" s="1328"/>
    </row>
    <row r="475" spans="18:59" x14ac:dyDescent="0.35">
      <c r="R475" s="1328"/>
      <c r="S475" s="1328"/>
      <c r="W475" s="1328"/>
      <c r="X475" s="1328"/>
      <c r="AE475" s="1328"/>
      <c r="AF475" s="1328"/>
      <c r="AV475" s="1328"/>
      <c r="AW475" s="1328"/>
      <c r="AX475" s="1328"/>
      <c r="AY475" s="1328"/>
      <c r="AZ475" s="1328"/>
      <c r="BA475" s="1328"/>
      <c r="BC475" s="1328"/>
      <c r="BE475" s="1328"/>
      <c r="BF475" s="1328"/>
      <c r="BG475" s="1328"/>
    </row>
    <row r="476" spans="18:59" x14ac:dyDescent="0.35">
      <c r="R476" s="1328"/>
      <c r="S476" s="1328"/>
      <c r="W476" s="1328"/>
      <c r="X476" s="1328"/>
      <c r="AE476" s="1328"/>
      <c r="AF476" s="1328"/>
      <c r="AV476" s="1328"/>
      <c r="AW476" s="1328"/>
      <c r="AX476" s="1328"/>
      <c r="AY476" s="1328"/>
      <c r="AZ476" s="1328"/>
      <c r="BA476" s="1328"/>
      <c r="BC476" s="1328"/>
      <c r="BE476" s="1328"/>
      <c r="BF476" s="1328"/>
      <c r="BG476" s="1328"/>
    </row>
    <row r="477" spans="18:59" x14ac:dyDescent="0.35">
      <c r="R477" s="1328"/>
      <c r="S477" s="1328"/>
      <c r="W477" s="1328"/>
      <c r="X477" s="1328"/>
      <c r="AE477" s="1328"/>
      <c r="AF477" s="1328"/>
      <c r="AV477" s="1328"/>
      <c r="AW477" s="1328"/>
      <c r="AX477" s="1328"/>
      <c r="AY477" s="1328"/>
      <c r="AZ477" s="1328"/>
      <c r="BA477" s="1328"/>
      <c r="BC477" s="1328"/>
      <c r="BE477" s="1328"/>
      <c r="BF477" s="1328"/>
      <c r="BG477" s="1328"/>
    </row>
    <row r="478" spans="18:59" x14ac:dyDescent="0.35">
      <c r="R478" s="1328"/>
      <c r="S478" s="1328"/>
      <c r="W478" s="1328"/>
      <c r="X478" s="1328"/>
      <c r="AE478" s="1328"/>
      <c r="AF478" s="1328"/>
      <c r="AV478" s="1328"/>
      <c r="AW478" s="1328"/>
      <c r="AX478" s="1328"/>
      <c r="AY478" s="1328"/>
      <c r="AZ478" s="1328"/>
      <c r="BA478" s="1328"/>
      <c r="BC478" s="1328"/>
      <c r="BE478" s="1328"/>
      <c r="BF478" s="1328"/>
      <c r="BG478" s="1328"/>
    </row>
    <row r="479" spans="18:59" x14ac:dyDescent="0.35">
      <c r="R479" s="1328"/>
      <c r="S479" s="1328"/>
      <c r="W479" s="1328"/>
      <c r="X479" s="1328"/>
      <c r="AE479" s="1328"/>
      <c r="AF479" s="1328"/>
      <c r="AV479" s="1328"/>
      <c r="AW479" s="1328"/>
      <c r="AX479" s="1328"/>
      <c r="AY479" s="1328"/>
      <c r="AZ479" s="1328"/>
      <c r="BA479" s="1328"/>
      <c r="BC479" s="1328"/>
      <c r="BE479" s="1328"/>
      <c r="BF479" s="1328"/>
      <c r="BG479" s="1328"/>
    </row>
    <row r="480" spans="18:59" x14ac:dyDescent="0.35">
      <c r="R480" s="1328"/>
      <c r="S480" s="1328"/>
      <c r="W480" s="1328"/>
      <c r="X480" s="1328"/>
      <c r="AE480" s="1328"/>
      <c r="AF480" s="1328"/>
      <c r="AV480" s="1328"/>
      <c r="AW480" s="1328"/>
      <c r="AX480" s="1328"/>
      <c r="AY480" s="1328"/>
      <c r="AZ480" s="1328"/>
      <c r="BA480" s="1328"/>
      <c r="BC480" s="1328"/>
      <c r="BE480" s="1328"/>
      <c r="BF480" s="1328"/>
      <c r="BG480" s="1328"/>
    </row>
    <row r="481" spans="18:59" x14ac:dyDescent="0.35">
      <c r="R481" s="1328"/>
      <c r="S481" s="1328"/>
      <c r="W481" s="1328"/>
      <c r="X481" s="1328"/>
      <c r="AE481" s="1328"/>
      <c r="AF481" s="1328"/>
      <c r="AV481" s="1328"/>
      <c r="AW481" s="1328"/>
      <c r="AX481" s="1328"/>
      <c r="AY481" s="1328"/>
      <c r="AZ481" s="1328"/>
      <c r="BA481" s="1328"/>
      <c r="BC481" s="1328"/>
      <c r="BE481" s="1328"/>
      <c r="BF481" s="1328"/>
      <c r="BG481" s="1328"/>
    </row>
    <row r="482" spans="18:59" x14ac:dyDescent="0.35">
      <c r="R482" s="1328"/>
      <c r="S482" s="1328"/>
      <c r="W482" s="1328"/>
      <c r="X482" s="1328"/>
      <c r="AE482" s="1328"/>
      <c r="AF482" s="1328"/>
      <c r="AV482" s="1328"/>
      <c r="AW482" s="1328"/>
      <c r="AX482" s="1328"/>
      <c r="AY482" s="1328"/>
      <c r="AZ482" s="1328"/>
      <c r="BA482" s="1328"/>
      <c r="BC482" s="1328"/>
      <c r="BE482" s="1328"/>
      <c r="BF482" s="1328"/>
      <c r="BG482" s="1328"/>
    </row>
    <row r="483" spans="18:59" x14ac:dyDescent="0.35">
      <c r="R483" s="1328"/>
      <c r="S483" s="1328"/>
      <c r="W483" s="1328"/>
      <c r="X483" s="1328"/>
      <c r="AE483" s="1328"/>
      <c r="AF483" s="1328"/>
      <c r="AV483" s="1328"/>
      <c r="AW483" s="1328"/>
      <c r="AX483" s="1328"/>
      <c r="AY483" s="1328"/>
      <c r="AZ483" s="1328"/>
      <c r="BA483" s="1328"/>
      <c r="BC483" s="1328"/>
      <c r="BE483" s="1328"/>
      <c r="BF483" s="1328"/>
      <c r="BG483" s="1328"/>
    </row>
    <row r="484" spans="18:59" x14ac:dyDescent="0.35">
      <c r="R484" s="1328"/>
      <c r="S484" s="1328"/>
      <c r="W484" s="1328"/>
      <c r="X484" s="1328"/>
      <c r="AE484" s="1328"/>
      <c r="AF484" s="1328"/>
      <c r="AV484" s="1328"/>
      <c r="AW484" s="1328"/>
      <c r="AX484" s="1328"/>
      <c r="AY484" s="1328"/>
      <c r="AZ484" s="1328"/>
      <c r="BA484" s="1328"/>
      <c r="BC484" s="1328"/>
      <c r="BE484" s="1328"/>
      <c r="BF484" s="1328"/>
      <c r="BG484" s="1328"/>
    </row>
    <row r="485" spans="18:59" x14ac:dyDescent="0.35">
      <c r="R485" s="1328"/>
      <c r="S485" s="1328"/>
      <c r="W485" s="1328"/>
      <c r="X485" s="1328"/>
      <c r="AE485" s="1328"/>
      <c r="AF485" s="1328"/>
      <c r="AV485" s="1328"/>
      <c r="AW485" s="1328"/>
      <c r="AX485" s="1328"/>
      <c r="AY485" s="1328"/>
      <c r="AZ485" s="1328"/>
      <c r="BA485" s="1328"/>
      <c r="BC485" s="1328"/>
      <c r="BE485" s="1328"/>
      <c r="BF485" s="1328"/>
      <c r="BG485" s="1328"/>
    </row>
    <row r="486" spans="18:59" x14ac:dyDescent="0.35">
      <c r="R486" s="1328"/>
      <c r="S486" s="1328"/>
      <c r="W486" s="1328"/>
      <c r="X486" s="1328"/>
      <c r="AE486" s="1328"/>
      <c r="AF486" s="1328"/>
      <c r="AV486" s="1328"/>
      <c r="AW486" s="1328"/>
      <c r="AX486" s="1328"/>
      <c r="AY486" s="1328"/>
      <c r="AZ486" s="1328"/>
      <c r="BA486" s="1328"/>
      <c r="BC486" s="1328"/>
      <c r="BE486" s="1328"/>
      <c r="BF486" s="1328"/>
      <c r="BG486" s="1328"/>
    </row>
    <row r="487" spans="18:59" x14ac:dyDescent="0.35">
      <c r="R487" s="1328"/>
      <c r="S487" s="1328"/>
      <c r="W487" s="1328"/>
      <c r="X487" s="1328"/>
      <c r="AE487" s="1328"/>
      <c r="AF487" s="1328"/>
      <c r="AV487" s="1328"/>
      <c r="AW487" s="1328"/>
      <c r="AX487" s="1328"/>
      <c r="AY487" s="1328"/>
      <c r="AZ487" s="1328"/>
      <c r="BA487" s="1328"/>
      <c r="BC487" s="1328"/>
      <c r="BE487" s="1328"/>
      <c r="BF487" s="1328"/>
      <c r="BG487" s="1328"/>
    </row>
    <row r="488" spans="18:59" x14ac:dyDescent="0.35">
      <c r="R488" s="1328"/>
      <c r="S488" s="1328"/>
      <c r="W488" s="1328"/>
      <c r="X488" s="1328"/>
      <c r="AE488" s="1328"/>
      <c r="AF488" s="1328"/>
      <c r="AV488" s="1328"/>
      <c r="AW488" s="1328"/>
      <c r="AX488" s="1328"/>
      <c r="AY488" s="1328"/>
      <c r="AZ488" s="1328"/>
      <c r="BA488" s="1328"/>
      <c r="BC488" s="1328"/>
      <c r="BE488" s="1328"/>
      <c r="BF488" s="1328"/>
      <c r="BG488" s="1328"/>
    </row>
    <row r="489" spans="18:59" x14ac:dyDescent="0.35">
      <c r="R489" s="1328"/>
      <c r="S489" s="1328"/>
      <c r="W489" s="1328"/>
      <c r="X489" s="1328"/>
      <c r="AE489" s="1328"/>
      <c r="AF489" s="1328"/>
      <c r="AV489" s="1328"/>
      <c r="AW489" s="1328"/>
      <c r="AX489" s="1328"/>
      <c r="AY489" s="1328"/>
      <c r="AZ489" s="1328"/>
      <c r="BA489" s="1328"/>
      <c r="BC489" s="1328"/>
      <c r="BE489" s="1328"/>
      <c r="BF489" s="1328"/>
      <c r="BG489" s="1328"/>
    </row>
    <row r="490" spans="18:59" x14ac:dyDescent="0.35">
      <c r="R490" s="1328"/>
      <c r="S490" s="1328"/>
      <c r="W490" s="1328"/>
      <c r="X490" s="1328"/>
      <c r="AE490" s="1328"/>
      <c r="AF490" s="1328"/>
      <c r="AV490" s="1328"/>
      <c r="AW490" s="1328"/>
      <c r="AX490" s="1328"/>
      <c r="AY490" s="1328"/>
      <c r="AZ490" s="1328"/>
      <c r="BA490" s="1328"/>
      <c r="BC490" s="1328"/>
      <c r="BE490" s="1328"/>
      <c r="BF490" s="1328"/>
      <c r="BG490" s="1328"/>
    </row>
    <row r="491" spans="18:59" x14ac:dyDescent="0.35">
      <c r="R491" s="1328"/>
      <c r="S491" s="1328"/>
      <c r="W491" s="1328"/>
      <c r="X491" s="1328"/>
      <c r="AE491" s="1328"/>
      <c r="AF491" s="1328"/>
      <c r="AV491" s="1328"/>
      <c r="AW491" s="1328"/>
      <c r="AX491" s="1328"/>
      <c r="AY491" s="1328"/>
      <c r="AZ491" s="1328"/>
      <c r="BA491" s="1328"/>
      <c r="BC491" s="1328"/>
      <c r="BE491" s="1328"/>
      <c r="BF491" s="1328"/>
      <c r="BG491" s="1328"/>
    </row>
    <row r="492" spans="18:59" x14ac:dyDescent="0.35">
      <c r="R492" s="1328"/>
      <c r="S492" s="1328"/>
      <c r="W492" s="1328"/>
      <c r="X492" s="1328"/>
      <c r="AE492" s="1328"/>
      <c r="AF492" s="1328"/>
      <c r="AV492" s="1328"/>
      <c r="AW492" s="1328"/>
      <c r="AX492" s="1328"/>
      <c r="AY492" s="1328"/>
      <c r="AZ492" s="1328"/>
      <c r="BA492" s="1328"/>
      <c r="BC492" s="1328"/>
      <c r="BE492" s="1328"/>
      <c r="BF492" s="1328"/>
      <c r="BG492" s="1328"/>
    </row>
    <row r="493" spans="18:59" x14ac:dyDescent="0.35">
      <c r="R493" s="1328"/>
      <c r="S493" s="1328"/>
      <c r="W493" s="1328"/>
      <c r="X493" s="1328"/>
      <c r="AE493" s="1328"/>
      <c r="AF493" s="1328"/>
      <c r="AV493" s="1328"/>
      <c r="AW493" s="1328"/>
      <c r="AX493" s="1328"/>
      <c r="AY493" s="1328"/>
      <c r="AZ493" s="1328"/>
      <c r="BA493" s="1328"/>
      <c r="BC493" s="1328"/>
      <c r="BE493" s="1328"/>
      <c r="BF493" s="1328"/>
      <c r="BG493" s="1328"/>
    </row>
    <row r="494" spans="18:59" x14ac:dyDescent="0.35">
      <c r="R494" s="1328"/>
      <c r="S494" s="1328"/>
      <c r="W494" s="1328"/>
      <c r="X494" s="1328"/>
      <c r="AE494" s="1328"/>
      <c r="AF494" s="1328"/>
      <c r="AV494" s="1328"/>
      <c r="AW494" s="1328"/>
      <c r="AX494" s="1328"/>
      <c r="AY494" s="1328"/>
      <c r="AZ494" s="1328"/>
      <c r="BA494" s="1328"/>
      <c r="BC494" s="1328"/>
      <c r="BE494" s="1328"/>
      <c r="BF494" s="1328"/>
      <c r="BG494" s="1328"/>
    </row>
    <row r="495" spans="18:59" x14ac:dyDescent="0.35">
      <c r="R495" s="1328"/>
      <c r="S495" s="1328"/>
      <c r="W495" s="1328"/>
      <c r="X495" s="1328"/>
      <c r="AE495" s="1328"/>
      <c r="AF495" s="1328"/>
      <c r="AV495" s="1328"/>
      <c r="AW495" s="1328"/>
      <c r="AX495" s="1328"/>
      <c r="AY495" s="1328"/>
      <c r="AZ495" s="1328"/>
      <c r="BA495" s="1328"/>
      <c r="BC495" s="1328"/>
      <c r="BE495" s="1328"/>
      <c r="BF495" s="1328"/>
      <c r="BG495" s="1328"/>
    </row>
    <row r="496" spans="18:59" x14ac:dyDescent="0.35">
      <c r="R496" s="1328"/>
      <c r="S496" s="1328"/>
      <c r="W496" s="1328"/>
      <c r="X496" s="1328"/>
      <c r="AE496" s="1328"/>
      <c r="AF496" s="1328"/>
      <c r="AV496" s="1328"/>
      <c r="AW496" s="1328"/>
      <c r="AX496" s="1328"/>
      <c r="AY496" s="1328"/>
      <c r="AZ496" s="1328"/>
      <c r="BA496" s="1328"/>
      <c r="BC496" s="1328"/>
      <c r="BE496" s="1328"/>
      <c r="BF496" s="1328"/>
      <c r="BG496" s="1328"/>
    </row>
    <row r="497" spans="18:59" x14ac:dyDescent="0.35">
      <c r="R497" s="1328"/>
      <c r="S497" s="1328"/>
      <c r="W497" s="1328"/>
      <c r="X497" s="1328"/>
      <c r="AE497" s="1328"/>
      <c r="AF497" s="1328"/>
      <c r="AV497" s="1328"/>
      <c r="AW497" s="1328"/>
      <c r="AX497" s="1328"/>
      <c r="AY497" s="1328"/>
      <c r="AZ497" s="1328"/>
      <c r="BA497" s="1328"/>
      <c r="BC497" s="1328"/>
      <c r="BE497" s="1328"/>
      <c r="BF497" s="1328"/>
      <c r="BG497" s="1328"/>
    </row>
    <row r="498" spans="18:59" x14ac:dyDescent="0.35">
      <c r="R498" s="1328"/>
      <c r="S498" s="1328"/>
      <c r="W498" s="1328"/>
      <c r="X498" s="1328"/>
      <c r="AE498" s="1328"/>
      <c r="AF498" s="1328"/>
      <c r="AV498" s="1328"/>
      <c r="AW498" s="1328"/>
      <c r="AX498" s="1328"/>
      <c r="AY498" s="1328"/>
      <c r="AZ498" s="1328"/>
      <c r="BA498" s="1328"/>
      <c r="BC498" s="1328"/>
      <c r="BE498" s="1328"/>
      <c r="BF498" s="1328"/>
      <c r="BG498" s="1328"/>
    </row>
    <row r="499" spans="18:59" x14ac:dyDescent="0.35">
      <c r="R499" s="1328"/>
      <c r="S499" s="1328"/>
      <c r="W499" s="1328"/>
      <c r="X499" s="1328"/>
      <c r="AE499" s="1328"/>
      <c r="AF499" s="1328"/>
      <c r="AV499" s="1328"/>
      <c r="AW499" s="1328"/>
      <c r="AX499" s="1328"/>
      <c r="AY499" s="1328"/>
      <c r="AZ499" s="1328"/>
      <c r="BA499" s="1328"/>
      <c r="BC499" s="1328"/>
      <c r="BE499" s="1328"/>
      <c r="BF499" s="1328"/>
      <c r="BG499" s="1328"/>
    </row>
    <row r="500" spans="18:59" x14ac:dyDescent="0.35">
      <c r="R500" s="1328"/>
      <c r="S500" s="1328"/>
      <c r="W500" s="1328"/>
      <c r="X500" s="1328"/>
      <c r="AE500" s="1328"/>
      <c r="AF500" s="1328"/>
      <c r="AV500" s="1328"/>
      <c r="AW500" s="1328"/>
      <c r="AX500" s="1328"/>
      <c r="AY500" s="1328"/>
      <c r="AZ500" s="1328"/>
      <c r="BA500" s="1328"/>
      <c r="BC500" s="1328"/>
      <c r="BE500" s="1328"/>
      <c r="BF500" s="1328"/>
      <c r="BG500" s="1328"/>
    </row>
    <row r="501" spans="18:59" x14ac:dyDescent="0.35">
      <c r="R501" s="1328"/>
      <c r="S501" s="1328"/>
      <c r="W501" s="1328"/>
      <c r="X501" s="1328"/>
      <c r="AE501" s="1328"/>
      <c r="AF501" s="1328"/>
      <c r="AV501" s="1328"/>
      <c r="AW501" s="1328"/>
      <c r="AX501" s="1328"/>
      <c r="AY501" s="1328"/>
      <c r="AZ501" s="1328"/>
      <c r="BA501" s="1328"/>
      <c r="BC501" s="1328"/>
      <c r="BE501" s="1328"/>
      <c r="BF501" s="1328"/>
      <c r="BG501" s="1328"/>
    </row>
    <row r="502" spans="18:59" x14ac:dyDescent="0.35">
      <c r="R502" s="1328"/>
      <c r="S502" s="1328"/>
      <c r="W502" s="1328"/>
      <c r="X502" s="1328"/>
      <c r="AE502" s="1328"/>
      <c r="AF502" s="1328"/>
      <c r="AV502" s="1328"/>
      <c r="AW502" s="1328"/>
      <c r="AX502" s="1328"/>
      <c r="AY502" s="1328"/>
      <c r="AZ502" s="1328"/>
      <c r="BA502" s="1328"/>
      <c r="BC502" s="1328"/>
      <c r="BE502" s="1328"/>
      <c r="BF502" s="1328"/>
      <c r="BG502" s="1328"/>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33" t="s">
        <v>691</v>
      </c>
      <c r="B1" s="1333"/>
      <c r="C1" s="1333"/>
      <c r="D1" s="1333"/>
    </row>
    <row r="2" spans="1:22" x14ac:dyDescent="0.35">
      <c r="A2" t="s">
        <v>692</v>
      </c>
      <c r="B2" s="759">
        <v>2021</v>
      </c>
      <c r="C2" s="759">
        <v>2021</v>
      </c>
      <c r="D2" s="759">
        <v>2021</v>
      </c>
      <c r="E2" s="759">
        <v>2022</v>
      </c>
      <c r="F2" s="759">
        <v>2022</v>
      </c>
      <c r="G2" s="759">
        <v>2022</v>
      </c>
      <c r="H2" s="759">
        <v>2022</v>
      </c>
      <c r="I2" s="759">
        <v>2023</v>
      </c>
      <c r="J2" s="759">
        <v>2023</v>
      </c>
      <c r="K2" s="759">
        <v>2023</v>
      </c>
      <c r="L2" s="759">
        <v>2023</v>
      </c>
      <c r="M2" s="759">
        <v>2024</v>
      </c>
      <c r="N2" s="759">
        <v>2024</v>
      </c>
      <c r="O2" s="759">
        <v>2024</v>
      </c>
      <c r="P2" s="759">
        <v>2024</v>
      </c>
      <c r="Q2" s="759">
        <v>2025</v>
      </c>
      <c r="R2" s="759">
        <v>2025</v>
      </c>
      <c r="S2" s="759">
        <v>2025</v>
      </c>
      <c r="T2" s="759">
        <v>2025</v>
      </c>
      <c r="U2" s="759">
        <v>2026</v>
      </c>
    </row>
    <row r="3" spans="1:22" x14ac:dyDescent="0.35">
      <c r="A3" s="1331" t="s">
        <v>693</v>
      </c>
      <c r="B3" s="284" t="s">
        <v>694</v>
      </c>
      <c r="C3" s="284" t="s">
        <v>695</v>
      </c>
      <c r="D3" s="284" t="s">
        <v>696</v>
      </c>
      <c r="E3" s="284" t="s">
        <v>697</v>
      </c>
      <c r="F3" s="284" t="s">
        <v>698</v>
      </c>
      <c r="G3" s="284" t="s">
        <v>699</v>
      </c>
      <c r="H3" s="284" t="s">
        <v>700</v>
      </c>
      <c r="I3" s="284" t="s">
        <v>701</v>
      </c>
      <c r="J3" s="284" t="s">
        <v>702</v>
      </c>
      <c r="K3" s="284" t="s">
        <v>703</v>
      </c>
      <c r="L3" s="284" t="s">
        <v>704</v>
      </c>
      <c r="M3" s="284" t="s">
        <v>705</v>
      </c>
      <c r="N3" s="284" t="s">
        <v>706</v>
      </c>
      <c r="O3" s="284" t="s">
        <v>707</v>
      </c>
      <c r="P3" s="284" t="s">
        <v>708</v>
      </c>
      <c r="Q3" s="284" t="s">
        <v>709</v>
      </c>
      <c r="R3" s="284" t="s">
        <v>710</v>
      </c>
      <c r="S3" s="284" t="s">
        <v>711</v>
      </c>
      <c r="T3" s="284" t="s">
        <v>712</v>
      </c>
      <c r="U3" s="284" t="s">
        <v>713</v>
      </c>
    </row>
    <row r="4" spans="1:22" x14ac:dyDescent="0.35">
      <c r="A4" s="1331" t="s">
        <v>714</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31" t="s">
        <v>715</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31" t="s">
        <v>716</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31" t="s">
        <v>717</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31" t="s">
        <v>718</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31" t="s">
        <v>719</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31" t="s">
        <v>720</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31" t="s">
        <v>721</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31" t="s">
        <v>722</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31" t="s">
        <v>723</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31"/>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32" t="s">
        <v>724</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31" t="s">
        <v>725</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31"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727</v>
      </c>
    </row>
    <row r="19" spans="1:23" x14ac:dyDescent="0.35">
      <c r="B19" s="915" t="e">
        <f>'Federal and State Purchases'!#REF!</f>
        <v>#REF!</v>
      </c>
      <c r="C19" s="915"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91" t="s">
        <v>728</v>
      </c>
      <c r="B1" s="891" t="s">
        <v>638</v>
      </c>
      <c r="C1" s="1335">
        <v>2021</v>
      </c>
      <c r="D1" s="1335">
        <f>C1</f>
        <v>2021</v>
      </c>
      <c r="E1" s="1335">
        <f>D1</f>
        <v>2021</v>
      </c>
      <c r="F1" s="1335">
        <v>2022</v>
      </c>
      <c r="G1" s="1335">
        <v>2022</v>
      </c>
      <c r="H1" s="1335">
        <v>2022</v>
      </c>
      <c r="I1" s="1335">
        <v>2022</v>
      </c>
      <c r="J1" s="1335">
        <v>2023</v>
      </c>
      <c r="K1" s="1335">
        <v>2023</v>
      </c>
      <c r="L1" s="1335">
        <v>2023</v>
      </c>
      <c r="M1" s="1335">
        <v>2023</v>
      </c>
      <c r="N1" s="1335">
        <v>2024</v>
      </c>
      <c r="O1" s="1335">
        <v>2024</v>
      </c>
      <c r="P1" s="1335">
        <v>2024</v>
      </c>
      <c r="Q1" s="1335">
        <v>2024</v>
      </c>
      <c r="R1" s="1335">
        <v>2025</v>
      </c>
      <c r="S1" s="1335">
        <v>2025</v>
      </c>
      <c r="T1" s="1335">
        <v>2025</v>
      </c>
      <c r="U1" s="1335">
        <v>2025</v>
      </c>
      <c r="V1" s="1335">
        <v>2026</v>
      </c>
    </row>
    <row r="2" spans="1:23" x14ac:dyDescent="0.35">
      <c r="B2" s="891" t="s">
        <v>729</v>
      </c>
      <c r="C2" s="759" t="s">
        <v>237</v>
      </c>
      <c r="D2" s="759" t="s">
        <v>238</v>
      </c>
      <c r="E2" s="759" t="s">
        <v>168</v>
      </c>
      <c r="F2" s="759" t="s">
        <v>169</v>
      </c>
      <c r="G2" s="759" t="s">
        <v>170</v>
      </c>
      <c r="H2" s="759" t="s">
        <v>171</v>
      </c>
      <c r="I2" s="759" t="s">
        <v>172</v>
      </c>
      <c r="J2" s="759" t="s">
        <v>173</v>
      </c>
      <c r="K2" s="759" t="s">
        <v>174</v>
      </c>
      <c r="L2" s="759" t="s">
        <v>175</v>
      </c>
      <c r="M2" s="759" t="s">
        <v>176</v>
      </c>
      <c r="N2" s="759" t="s">
        <v>177</v>
      </c>
      <c r="O2" s="759" t="s">
        <v>178</v>
      </c>
      <c r="P2" s="759" t="s">
        <v>179</v>
      </c>
      <c r="Q2" s="759" t="s">
        <v>163</v>
      </c>
      <c r="R2" s="759" t="s">
        <v>164</v>
      </c>
      <c r="S2" s="759" t="s">
        <v>165</v>
      </c>
      <c r="T2" s="759" t="s">
        <v>730</v>
      </c>
      <c r="U2" s="759" t="s">
        <v>731</v>
      </c>
      <c r="V2" s="759" t="s">
        <v>732</v>
      </c>
    </row>
    <row r="3" spans="1:23" x14ac:dyDescent="0.35">
      <c r="A3" s="891">
        <v>3</v>
      </c>
      <c r="B3" s="891" t="s">
        <v>493</v>
      </c>
      <c r="C3" s="1336">
        <f>4*'ARP Timing'!B6*VLOOKUP(C$1,'ARP Score'!$A$5:$M14,$A3)</f>
        <v>0</v>
      </c>
      <c r="D3" s="1336">
        <f>4*'ARP Timing'!C6*VLOOKUP(D$1,'ARP Score'!$A$5:$M14,$A3)</f>
        <v>336.60399999999998</v>
      </c>
      <c r="E3" s="1336">
        <f>4*'ARP Timing'!D6*VLOOKUP(E$1,'ARP Score'!$A$5:$M14,$A3)</f>
        <v>446.19599999999991</v>
      </c>
      <c r="F3" s="1336">
        <f>4*'ARP Timing'!E6*VLOOKUP(F$1,'ARP Score'!$A$5:$M14,$A3)</f>
        <v>10.1</v>
      </c>
      <c r="G3" s="1336">
        <f>4*'ARP Timing'!F6*VLOOKUP(G$1,'ARP Score'!$A$5:$M14,$A3)</f>
        <v>10.1</v>
      </c>
      <c r="H3" s="1336">
        <f>4*'ARP Timing'!G6*VLOOKUP(H$1,'ARP Score'!$A$5:$M14,$A3)</f>
        <v>10.1</v>
      </c>
      <c r="I3" s="1336">
        <f>4*'ARP Timing'!H6*VLOOKUP(I$1,'ARP Score'!$A$5:$M14,$A3)</f>
        <v>10.1</v>
      </c>
      <c r="J3" s="1336">
        <f>4*'ARP Timing'!I6*VLOOKUP(J$1,'ARP Score'!$A$5:$M14,$A3)</f>
        <v>0</v>
      </c>
      <c r="K3" s="1336">
        <f>4*'ARP Timing'!J6*VLOOKUP(K$1,'ARP Score'!$A$5:$M14,$A3)</f>
        <v>0</v>
      </c>
      <c r="L3" s="1336">
        <f>4*'ARP Timing'!K6*VLOOKUP(L$1,'ARP Score'!$A$5:$M14,$A3)</f>
        <v>0</v>
      </c>
      <c r="M3" s="1336">
        <f>4*'ARP Timing'!L6*VLOOKUP(M$1,'ARP Score'!$A$5:$M14,$A3)</f>
        <v>0</v>
      </c>
      <c r="N3" s="1336">
        <f>4*'ARP Timing'!M6*VLOOKUP(N$1,'ARP Score'!$A$5:$M14,$A3)</f>
        <v>0</v>
      </c>
      <c r="O3" s="1336">
        <f>4*'ARP Timing'!N6*VLOOKUP(O$1,'ARP Score'!$A$5:$M14,$A3)</f>
        <v>0</v>
      </c>
      <c r="P3" s="1336">
        <f>4*'ARP Timing'!O6*VLOOKUP(P$1,'ARP Score'!$A$5:$M14,$A3)</f>
        <v>0</v>
      </c>
      <c r="Q3" s="1336">
        <f>4*'ARP Timing'!P6*VLOOKUP(Q$1,'ARP Score'!$A$5:$M14,$A3)</f>
        <v>0</v>
      </c>
      <c r="R3" s="1336">
        <f>4*'ARP Timing'!Q6*VLOOKUP(R$1,'ARP Score'!$A$5:$M14,$A3)</f>
        <v>0</v>
      </c>
      <c r="S3" s="1336">
        <f>4*'ARP Timing'!R6*VLOOKUP(S$1,'ARP Score'!$A$5:$M14,$A3)</f>
        <v>0</v>
      </c>
      <c r="T3" s="1336">
        <f>4*'ARP Timing'!S6*VLOOKUP(T$1,'ARP Score'!$A$5:$M14,$A3)</f>
        <v>0</v>
      </c>
      <c r="U3" s="1336">
        <f>4*'ARP Timing'!T6*VLOOKUP(U$1,'ARP Score'!$A$5:$M14,$A3)</f>
        <v>0</v>
      </c>
      <c r="V3" s="1336">
        <f>4*'ARP Timing'!U6*VLOOKUP(V$1,'ARP Score'!$A$5:$M14,$A3)</f>
        <v>0</v>
      </c>
      <c r="W3" s="1336">
        <f>SUM(C3:U3)/4</f>
        <v>205.8</v>
      </c>
    </row>
    <row r="4" spans="1:23" x14ac:dyDescent="0.35">
      <c r="A4" s="891">
        <v>5</v>
      </c>
      <c r="B4" s="41" t="s">
        <v>640</v>
      </c>
      <c r="C4" s="1336">
        <f>4*'ARP Timing'!B7*VLOOKUP(C$1,'ARP Score'!$A$5:$M15,$A4)</f>
        <v>0</v>
      </c>
      <c r="D4" s="1336">
        <f>4*'ARP Timing'!C7*VLOOKUP(D$1,'ARP Score'!$A$5:$M15,$A4)</f>
        <v>0</v>
      </c>
      <c r="E4" s="1336">
        <f>4*'ARP Timing'!D7*VLOOKUP(E$1,'ARP Score'!$A$5:$M15,$A4)</f>
        <v>3.1040000000000418</v>
      </c>
      <c r="F4" s="1336">
        <f>4*'ARP Timing'!E7*VLOOKUP(F$1,'ARP Score'!$A$5:$M15,$A4)</f>
        <v>19.719000000000005</v>
      </c>
      <c r="G4" s="1336">
        <f>4*'ARP Timing'!F7*VLOOKUP(G$1,'ARP Score'!$A$5:$M15,$A4)</f>
        <v>19.719000000000005</v>
      </c>
      <c r="H4" s="1336">
        <f>4*'ARP Timing'!G7*VLOOKUP(H$1,'ARP Score'!$A$5:$M15,$A4)</f>
        <v>19.719000000000005</v>
      </c>
      <c r="I4" s="1336">
        <f>4*'ARP Timing'!H7*VLOOKUP(I$1,'ARP Score'!$A$5:$M15,$A4)</f>
        <v>19.719000000000005</v>
      </c>
      <c r="J4" s="1336">
        <f>4*'ARP Timing'!I7*VLOOKUP(J$1,'ARP Score'!$A$5:$M15,$A4)</f>
        <v>1.4159999999999999</v>
      </c>
      <c r="K4" s="1336">
        <f>4*'ARP Timing'!J7*VLOOKUP(K$1,'ARP Score'!$A$5:$M15,$A4)</f>
        <v>1.4159999999999999</v>
      </c>
      <c r="L4" s="1336">
        <f>4*'ARP Timing'!K7*VLOOKUP(L$1,'ARP Score'!$A$5:$M15,$A4)</f>
        <v>1.4159999999999999</v>
      </c>
      <c r="M4" s="1336">
        <f>4*'ARP Timing'!L7*VLOOKUP(M$1,'ARP Score'!$A$5:$M15,$A4)</f>
        <v>1.4159999999999999</v>
      </c>
      <c r="N4" s="1336">
        <f>4*'ARP Timing'!M7*VLOOKUP(N$1,'ARP Score'!$A$5:$M15,$A4)</f>
        <v>1.4790000000000001</v>
      </c>
      <c r="O4" s="1336">
        <f>4*'ARP Timing'!N7*VLOOKUP(O$1,'ARP Score'!$A$5:$M15,$A4)</f>
        <v>1.4790000000000001</v>
      </c>
      <c r="P4" s="1336">
        <f>4*'ARP Timing'!O7*VLOOKUP(P$1,'ARP Score'!$A$5:$M15,$A4)</f>
        <v>1.4790000000000001</v>
      </c>
      <c r="Q4" s="1336">
        <f>4*'ARP Timing'!P7*VLOOKUP(Q$1,'ARP Score'!$A$5:$M15,$A4)</f>
        <v>1.4790000000000001</v>
      </c>
      <c r="R4" s="1336">
        <f>4*'ARP Timing'!Q7*VLOOKUP(R$1,'ARP Score'!$A$5:$M15,$A4)</f>
        <v>1.63</v>
      </c>
      <c r="S4" s="1336">
        <f>4*'ARP Timing'!R7*VLOOKUP(S$1,'ARP Score'!$A$5:$M15,$A4)</f>
        <v>1.63</v>
      </c>
      <c r="T4" s="1336">
        <f>4*'ARP Timing'!S7*VLOOKUP(T$1,'ARP Score'!$A$5:$M15,$A4)</f>
        <v>1.63</v>
      </c>
      <c r="U4" s="1336">
        <f>4*'ARP Timing'!T7*VLOOKUP(U$1,'ARP Score'!$A$5:$M15,$A4)</f>
        <v>1.63</v>
      </c>
      <c r="V4" s="1336">
        <f>4*'ARP Timing'!U7*VLOOKUP(V$1,'ARP Score'!$A$5:$M15,$A4)</f>
        <v>1.671</v>
      </c>
      <c r="W4" s="1336">
        <f>SUM(C4:U4)/4</f>
        <v>25.020000000000007</v>
      </c>
    </row>
    <row r="5" spans="1:23" x14ac:dyDescent="0.35">
      <c r="A5" s="891">
        <v>6</v>
      </c>
      <c r="B5" s="41" t="s">
        <v>641</v>
      </c>
      <c r="C5" s="1336">
        <f>4*'ARP Timing'!B8*VLOOKUP(C$1,'ARP Score'!$A$5:$M16,$A5)</f>
        <v>0</v>
      </c>
      <c r="D5" s="1336">
        <f>4*'ARP Timing'!C8*VLOOKUP(D$1,'ARP Score'!$A$5:$M16,$A5)</f>
        <v>33.921840000000024</v>
      </c>
      <c r="E5" s="1336">
        <f>4*'ARP Timing'!D8*VLOOKUP(E$1,'ARP Score'!$A$5:$M16,$A5)</f>
        <v>44.966160000000031</v>
      </c>
      <c r="F5" s="1336">
        <f>4*'ARP Timing'!E8*VLOOKUP(F$1,'ARP Score'!$A$5:$M16,$A5)</f>
        <v>52.756999999999998</v>
      </c>
      <c r="G5" s="1336">
        <f>4*'ARP Timing'!F8*VLOOKUP(G$1,'ARP Score'!$A$5:$M16,$A5)</f>
        <v>52.756999999999998</v>
      </c>
      <c r="H5" s="1336">
        <f>4*'ARP Timing'!G8*VLOOKUP(H$1,'ARP Score'!$A$5:$M16,$A5)</f>
        <v>52.756999999999998</v>
      </c>
      <c r="I5" s="1336">
        <f>4*'ARP Timing'!H8*VLOOKUP(I$1,'ARP Score'!$A$5:$M16,$A5)</f>
        <v>52.756999999999998</v>
      </c>
      <c r="J5" s="1336">
        <f>4*'ARP Timing'!I8*VLOOKUP(J$1,'ARP Score'!$A$5:$M16,$A5)</f>
        <v>12</v>
      </c>
      <c r="K5" s="1336">
        <f>4*'ARP Timing'!J8*VLOOKUP(K$1,'ARP Score'!$A$5:$M16,$A5)</f>
        <v>12</v>
      </c>
      <c r="L5" s="1336">
        <f>4*'ARP Timing'!K8*VLOOKUP(L$1,'ARP Score'!$A$5:$M16,$A5)</f>
        <v>12</v>
      </c>
      <c r="M5" s="1336">
        <f>4*'ARP Timing'!L8*VLOOKUP(M$1,'ARP Score'!$A$5:$M16,$A5)</f>
        <v>12</v>
      </c>
      <c r="N5" s="1336">
        <f>4*'ARP Timing'!M8*VLOOKUP(N$1,'ARP Score'!$A$5:$M16,$A5)</f>
        <v>4.2219999999999995</v>
      </c>
      <c r="O5" s="1336">
        <f>4*'ARP Timing'!N8*VLOOKUP(O$1,'ARP Score'!$A$5:$M16,$A5)</f>
        <v>4.2219999999999995</v>
      </c>
      <c r="P5" s="1336">
        <f>4*'ARP Timing'!O8*VLOOKUP(P$1,'ARP Score'!$A$5:$M16,$A5)</f>
        <v>4.2219999999999995</v>
      </c>
      <c r="Q5" s="1336">
        <f>4*'ARP Timing'!P8*VLOOKUP(Q$1,'ARP Score'!$A$5:$M16,$A5)</f>
        <v>4.2219999999999995</v>
      </c>
      <c r="R5" s="1336">
        <f>4*'ARP Timing'!Q8*VLOOKUP(R$1,'ARP Score'!$A$5:$M16,$A5)</f>
        <v>2.3719999999999999</v>
      </c>
      <c r="S5" s="1336">
        <f>4*'ARP Timing'!R8*VLOOKUP(S$1,'ARP Score'!$A$5:$M16,$A5)</f>
        <v>2.3719999999999999</v>
      </c>
      <c r="T5" s="1336">
        <f>4*'ARP Timing'!S8*VLOOKUP(T$1,'ARP Score'!$A$5:$M16,$A5)</f>
        <v>2.3719999999999999</v>
      </c>
      <c r="U5" s="1336">
        <f>4*'ARP Timing'!T8*VLOOKUP(U$1,'ARP Score'!$A$5:$M16,$A5)</f>
        <v>2.3719999999999999</v>
      </c>
      <c r="V5" s="1336">
        <f>4*'ARP Timing'!U8*VLOOKUP(V$1,'ARP Score'!$A$5:$M16,$A5)</f>
        <v>0.49</v>
      </c>
      <c r="W5" s="1336">
        <f t="shared" ref="W5:W15" si="0">SUM(C5:U5)/4</f>
        <v>91.073000000000008</v>
      </c>
    </row>
    <row r="6" spans="1:23" x14ac:dyDescent="0.35">
      <c r="A6" s="891">
        <v>7</v>
      </c>
      <c r="B6" s="41" t="s">
        <v>733</v>
      </c>
      <c r="C6" s="1336">
        <f>4*'ARP Timing'!B9*VLOOKUP(C$1,'ARP Score'!$A$5:$M17,$A6)</f>
        <v>0</v>
      </c>
      <c r="D6" s="1336">
        <f>4*'ARP Timing'!C9*VLOOKUP(D$1,'ARP Score'!$A$5:$M17,$A6)</f>
        <v>58.782959999999989</v>
      </c>
      <c r="E6" s="1336">
        <f>4*'ARP Timing'!D9*VLOOKUP(E$1,'ARP Score'!$A$5:$M17,$A6)</f>
        <v>267.78904</v>
      </c>
      <c r="F6" s="1336">
        <f>4*'ARP Timing'!E9*VLOOKUP(F$1,'ARP Score'!$A$5:$M17,$A6)</f>
        <v>110.24799999999999</v>
      </c>
      <c r="G6" s="1336">
        <f>4*'ARP Timing'!F9*VLOOKUP(G$1,'ARP Score'!$A$5:$M17,$A6)</f>
        <v>110.24799999999999</v>
      </c>
      <c r="H6" s="1336">
        <f>4*'ARP Timing'!G9*VLOOKUP(H$1,'ARP Score'!$A$5:$M17,$A6)</f>
        <v>110.24799999999999</v>
      </c>
      <c r="I6" s="1336">
        <f>4*'ARP Timing'!H9*VLOOKUP(I$1,'ARP Score'!$A$5:$M17,$A6)</f>
        <v>110.24799999999999</v>
      </c>
      <c r="J6" s="1336">
        <f>4*'ARP Timing'!I9*VLOOKUP(J$1,'ARP Score'!$A$5:$M17,$A6)</f>
        <v>12.726000000000001</v>
      </c>
      <c r="K6" s="1336">
        <f>4*'ARP Timing'!J9*VLOOKUP(K$1,'ARP Score'!$A$5:$M17,$A6)</f>
        <v>12.726000000000001</v>
      </c>
      <c r="L6" s="1336">
        <f>4*'ARP Timing'!K9*VLOOKUP(L$1,'ARP Score'!$A$5:$M17,$A6)</f>
        <v>12.726000000000001</v>
      </c>
      <c r="M6" s="1336">
        <f>4*'ARP Timing'!L9*VLOOKUP(M$1,'ARP Score'!$A$5:$M17,$A6)</f>
        <v>12.726000000000001</v>
      </c>
      <c r="N6" s="1336">
        <f>4*'ARP Timing'!M9*VLOOKUP(N$1,'ARP Score'!$A$5:$M17,$A6)</f>
        <v>1.365</v>
      </c>
      <c r="O6" s="1336">
        <f>4*'ARP Timing'!N9*VLOOKUP(O$1,'ARP Score'!$A$5:$M17,$A6)</f>
        <v>1.365</v>
      </c>
      <c r="P6" s="1336">
        <f>4*'ARP Timing'!O9*VLOOKUP(P$1,'ARP Score'!$A$5:$M17,$A6)</f>
        <v>1.365</v>
      </c>
      <c r="Q6" s="1336">
        <f>4*'ARP Timing'!P9*VLOOKUP(Q$1,'ARP Score'!$A$5:$M17,$A6)</f>
        <v>1.365</v>
      </c>
      <c r="R6" s="1336">
        <f>4*'ARP Timing'!Q9*VLOOKUP(R$1,'ARP Score'!$A$5:$M17,$A6)</f>
        <v>-0.90100000000000025</v>
      </c>
      <c r="S6" s="1336">
        <f>4*'ARP Timing'!R9*VLOOKUP(S$1,'ARP Score'!$A$5:$M17,$A6)</f>
        <v>-0.90100000000000025</v>
      </c>
      <c r="T6" s="1336">
        <f>4*'ARP Timing'!S9*VLOOKUP(T$1,'ARP Score'!$A$5:$M17,$A6)</f>
        <v>-0.90100000000000025</v>
      </c>
      <c r="U6" s="1336">
        <f>4*'ARP Timing'!T9*VLOOKUP(U$1,'ARP Score'!$A$5:$M17,$A6)</f>
        <v>-0.90100000000000025</v>
      </c>
      <c r="V6" s="1336">
        <f>4*'ARP Timing'!U9*VLOOKUP(V$1,'ARP Score'!$A$5:$M17,$A6)</f>
        <v>-2.1500000000000004</v>
      </c>
      <c r="W6" s="1336">
        <f t="shared" si="0"/>
        <v>205.08100000000007</v>
      </c>
    </row>
    <row r="7" spans="1:23" x14ac:dyDescent="0.35">
      <c r="A7" s="891">
        <v>8</v>
      </c>
      <c r="B7" s="41" t="s">
        <v>119</v>
      </c>
      <c r="C7" s="1336">
        <f>4*'ARP Timing'!B10*VLOOKUP(C$1,'ARP Score'!$A$5:$M18,$A7)</f>
        <v>0</v>
      </c>
      <c r="D7" s="1336">
        <f>4*'ARP Timing'!C10*VLOOKUP(D$1,'ARP Score'!$A$5:$M18,$A7)</f>
        <v>15.596</v>
      </c>
      <c r="E7" s="1336">
        <f>4*'ARP Timing'!D10*VLOOKUP(E$1,'ARP Score'!$A$5:$M18,$A7)</f>
        <v>15.596</v>
      </c>
      <c r="F7" s="1336">
        <f>4*'ARP Timing'!E10*VLOOKUP(F$1,'ARP Score'!$A$5:$M18,$A7)</f>
        <v>7.9489999999999998</v>
      </c>
      <c r="G7" s="1336">
        <f>4*'ARP Timing'!F10*VLOOKUP(G$1,'ARP Score'!$A$5:$M18,$A7)</f>
        <v>7.9489999999999998</v>
      </c>
      <c r="H7" s="1336">
        <f>4*'ARP Timing'!G10*VLOOKUP(H$1,'ARP Score'!$A$5:$M18,$A7)</f>
        <v>7.9489999999999998</v>
      </c>
      <c r="I7" s="1336">
        <f>4*'ARP Timing'!H10*VLOOKUP(I$1,'ARP Score'!$A$5:$M18,$A7)</f>
        <v>7.9489999999999998</v>
      </c>
      <c r="J7" s="1336">
        <f>4*'ARP Timing'!I10*VLOOKUP(J$1,'ARP Score'!$A$5:$M18,$A7)</f>
        <v>4.7519999999999998</v>
      </c>
      <c r="K7" s="1336">
        <f>4*'ARP Timing'!J10*VLOOKUP(K$1,'ARP Score'!$A$5:$M18,$A7)</f>
        <v>4.7519999999999998</v>
      </c>
      <c r="L7" s="1336">
        <f>4*'ARP Timing'!K10*VLOOKUP(L$1,'ARP Score'!$A$5:$M18,$A7)</f>
        <v>4.7519999999999998</v>
      </c>
      <c r="M7" s="1336">
        <f>4*'ARP Timing'!L10*VLOOKUP(M$1,'ARP Score'!$A$5:$M18,$A7)</f>
        <v>4.7519999999999998</v>
      </c>
      <c r="N7" s="1336">
        <f>4*'ARP Timing'!M10*VLOOKUP(N$1,'ARP Score'!$A$5:$M18,$A7)</f>
        <v>4.637999999999999</v>
      </c>
      <c r="O7" s="1336">
        <f>4*'ARP Timing'!N10*VLOOKUP(O$1,'ARP Score'!$A$5:$M18,$A7)</f>
        <v>4.637999999999999</v>
      </c>
      <c r="P7" s="1336">
        <f>4*'ARP Timing'!O10*VLOOKUP(P$1,'ARP Score'!$A$5:$M18,$A7)</f>
        <v>4.637999999999999</v>
      </c>
      <c r="Q7" s="1336">
        <f>4*'ARP Timing'!P10*VLOOKUP(Q$1,'ARP Score'!$A$5:$M18,$A7)</f>
        <v>4.637999999999999</v>
      </c>
      <c r="R7" s="1336">
        <f>4*'ARP Timing'!Q10*VLOOKUP(R$1,'ARP Score'!$A$5:$M18,$A7)</f>
        <v>1.8800000000000001</v>
      </c>
      <c r="S7" s="1336">
        <f>4*'ARP Timing'!R10*VLOOKUP(S$1,'ARP Score'!$A$5:$M18,$A7)</f>
        <v>1.8800000000000001</v>
      </c>
      <c r="T7" s="1336">
        <f>4*'ARP Timing'!S10*VLOOKUP(T$1,'ARP Score'!$A$5:$M18,$A7)</f>
        <v>1.8800000000000001</v>
      </c>
      <c r="U7" s="1336">
        <f>4*'ARP Timing'!T10*VLOOKUP(U$1,'ARP Score'!$A$5:$M18,$A7)</f>
        <v>1.8800000000000001</v>
      </c>
      <c r="V7" s="1336">
        <f>4*'ARP Timing'!U10*VLOOKUP(V$1,'ARP Score'!$A$5:$M18,$A7)</f>
        <v>1.446</v>
      </c>
      <c r="W7" s="1336">
        <f t="shared" si="0"/>
        <v>27.016999999999996</v>
      </c>
    </row>
    <row r="8" spans="1:23" x14ac:dyDescent="0.35">
      <c r="A8" s="891">
        <v>9</v>
      </c>
      <c r="B8" s="1337" t="s">
        <v>314</v>
      </c>
      <c r="C8" s="1336">
        <f>4*'ARP Timing'!B$11*VLOOKUP(C$1,'ARP Score'!$A$5:$M19,$A8)</f>
        <v>0</v>
      </c>
      <c r="D8" s="1336">
        <f>0.6*SUM('ARP Score'!B5:B7)*4</f>
        <v>989.16719999999987</v>
      </c>
      <c r="E8" s="1335">
        <v>0</v>
      </c>
      <c r="F8" s="1336">
        <v>0</v>
      </c>
      <c r="G8" s="1336">
        <v>0</v>
      </c>
      <c r="H8" s="1336">
        <f>D8*0.4/0.6</f>
        <v>659.44479999999999</v>
      </c>
      <c r="I8" s="1336">
        <v>0</v>
      </c>
      <c r="J8" s="891">
        <v>0</v>
      </c>
      <c r="K8" s="1336">
        <v>0</v>
      </c>
      <c r="L8" s="1336">
        <v>0</v>
      </c>
      <c r="M8" s="1336">
        <v>0</v>
      </c>
      <c r="N8" s="1336">
        <v>0</v>
      </c>
      <c r="O8" s="1336">
        <v>0</v>
      </c>
      <c r="P8" s="1336">
        <v>0</v>
      </c>
      <c r="Q8" s="1336">
        <v>0</v>
      </c>
      <c r="R8" s="1336">
        <v>0</v>
      </c>
      <c r="S8" s="1336">
        <v>0</v>
      </c>
      <c r="T8" s="1336">
        <v>0</v>
      </c>
      <c r="U8" s="1336">
        <v>0</v>
      </c>
      <c r="V8" s="1336">
        <v>0</v>
      </c>
      <c r="W8" s="1336">
        <f t="shared" si="0"/>
        <v>412.15299999999996</v>
      </c>
    </row>
    <row r="9" spans="1:23" x14ac:dyDescent="0.35">
      <c r="A9" s="891">
        <v>10</v>
      </c>
      <c r="B9" s="1337" t="s">
        <v>138</v>
      </c>
      <c r="C9" s="1336">
        <f>4*'ARP Timing'!B$11*VLOOKUP(C$1,'ARP Score'!$A$5:$M20,$A9)</f>
        <v>0</v>
      </c>
      <c r="D9" s="1336">
        <f>4*'ARP Timing'!C$11*VLOOKUP(D$1,'ARP Score'!$A$5:$M20,$A9)</f>
        <v>24.693999999999999</v>
      </c>
      <c r="E9" s="1336">
        <f>4*'ARP Timing'!D$11*VLOOKUP(E$1,'ARP Score'!$A$5:$M20,$A9)</f>
        <v>24.693999999999999</v>
      </c>
      <c r="F9" s="1336">
        <f>4*'ARP Timing'!E$11*VLOOKUP(F$1,'ARP Score'!$A$5:$M20,$A9)</f>
        <v>46.79</v>
      </c>
      <c r="G9" s="1336">
        <f>4*'ARP Timing'!F$11*VLOOKUP(G$1,'ARP Score'!$A$5:$M20,$A9)</f>
        <v>46.79</v>
      </c>
      <c r="H9" s="1336">
        <f>4*'ARP Timing'!G$11*VLOOKUP(H$1,'ARP Score'!$A$5:$M20,$A9)</f>
        <v>46.79</v>
      </c>
      <c r="I9" s="1336">
        <f>4*'ARP Timing'!H$11*VLOOKUP(I$1,'ARP Score'!$A$5:$M20,$A9)</f>
        <v>46.79</v>
      </c>
      <c r="J9" s="1336">
        <f>4*'ARP Timing'!I$11*VLOOKUP(J$1,'ARP Score'!$A$5:$M20,$A9)</f>
        <v>38.595999999999997</v>
      </c>
      <c r="K9" s="1336">
        <f>4*'ARP Timing'!J$11*VLOOKUP(K$1,'ARP Score'!$A$5:$M20,$A9)</f>
        <v>38.595999999999997</v>
      </c>
      <c r="L9" s="1336">
        <f>4*'ARP Timing'!K$11*VLOOKUP(L$1,'ARP Score'!$A$5:$M20,$A9)</f>
        <v>38.595999999999997</v>
      </c>
      <c r="M9" s="1336">
        <f>4*'ARP Timing'!L$11*VLOOKUP(M$1,'ARP Score'!$A$5:$M20,$A9)</f>
        <v>38.595999999999997</v>
      </c>
      <c r="N9" s="1336">
        <f>4*'ARP Timing'!M$11*VLOOKUP(N$1,'ARP Score'!$A$5:$M20,$A9)</f>
        <v>31.911000000000001</v>
      </c>
      <c r="O9" s="1336">
        <f>4*'ARP Timing'!N$11*VLOOKUP(O$1,'ARP Score'!$A$5:$M20,$A9)</f>
        <v>31.911000000000001</v>
      </c>
      <c r="P9" s="1336">
        <f>4*'ARP Timing'!O$11*VLOOKUP(P$1,'ARP Score'!$A$5:$M20,$A9)</f>
        <v>31.911000000000001</v>
      </c>
      <c r="Q9" s="1336">
        <f>4*'ARP Timing'!P$11*VLOOKUP(Q$1,'ARP Score'!$A$5:$M20,$A9)</f>
        <v>31.911000000000001</v>
      </c>
      <c r="R9" s="1336">
        <f>4*'ARP Timing'!Q$11*VLOOKUP(R$1,'ARP Score'!$A$5:$M20,$A9)</f>
        <v>23.099</v>
      </c>
      <c r="S9" s="1336">
        <f>4*'ARP Timing'!R$11*VLOOKUP(S$1,'ARP Score'!$A$5:$M20,$A9)</f>
        <v>23.099</v>
      </c>
      <c r="T9" s="1336">
        <f>4*'ARP Timing'!S$11*VLOOKUP(T$1,'ARP Score'!$A$5:$M20,$A9)</f>
        <v>23.099</v>
      </c>
      <c r="U9" s="1336">
        <f>4*'ARP Timing'!T$11*VLOOKUP(U$1,'ARP Score'!$A$5:$M20,$A9)</f>
        <v>23.099</v>
      </c>
      <c r="V9" s="1336">
        <f>4*'ARP Timing'!U$11*VLOOKUP(V$1,'ARP Score'!$A$5:$M20,$A9)</f>
        <v>10.766999999999999</v>
      </c>
      <c r="W9" s="1336">
        <f t="shared" si="0"/>
        <v>152.74300000000005</v>
      </c>
    </row>
    <row r="10" spans="1:23" x14ac:dyDescent="0.35">
      <c r="A10" s="1341">
        <v>11</v>
      </c>
      <c r="B10" s="1337" t="s">
        <v>330</v>
      </c>
      <c r="C10" s="1336">
        <f>4*'ARP Timing'!B$11*VLOOKUP(C$1,'ARP Score'!$A$5:$M22,$A10)</f>
        <v>0</v>
      </c>
      <c r="D10" s="1336">
        <f>4*'ARP Timing'!C$11*VLOOKUP(D$1,'ARP Score'!$A$5:$M22,$A10)</f>
        <v>59.256</v>
      </c>
      <c r="E10" s="1336">
        <f>4*'ARP Timing'!D$11*VLOOKUP(E$1,'ARP Score'!$A$5:$M22,$A10)</f>
        <v>59.256</v>
      </c>
      <c r="F10" s="1336">
        <f>4*'ARP Timing'!E$11*VLOOKUP(F$1,'ARP Score'!$A$5:$M22,$A10)</f>
        <v>35.671000000000006</v>
      </c>
      <c r="G10" s="1336">
        <f>4*'ARP Timing'!F$11*VLOOKUP(G$1,'ARP Score'!$A$5:$M22,$A10)</f>
        <v>35.671000000000006</v>
      </c>
      <c r="H10" s="1336">
        <f>4*'ARP Timing'!G$11*VLOOKUP(H$1,'ARP Score'!$A$5:$M22,$A10)</f>
        <v>35.671000000000006</v>
      </c>
      <c r="I10" s="1336">
        <f>4*'ARP Timing'!H$11*VLOOKUP(I$1,'ARP Score'!$A$5:$M22,$A10)</f>
        <v>35.671000000000006</v>
      </c>
      <c r="J10" s="1336">
        <f>4*'ARP Timing'!I$11*VLOOKUP(J$1,'ARP Score'!$A$5:$M22,$A10)</f>
        <v>24.216000000000001</v>
      </c>
      <c r="K10" s="1336">
        <f>4*'ARP Timing'!J$11*VLOOKUP(K$1,'ARP Score'!$A$5:$M22,$A10)</f>
        <v>24.216000000000001</v>
      </c>
      <c r="L10" s="1336">
        <f>4*'ARP Timing'!K$11*VLOOKUP(L$1,'ARP Score'!$A$5:$M22,$A10)</f>
        <v>24.216000000000001</v>
      </c>
      <c r="M10" s="1336">
        <f>4*'ARP Timing'!L$11*VLOOKUP(M$1,'ARP Score'!$A$5:$M22,$A10)</f>
        <v>24.216000000000001</v>
      </c>
      <c r="N10" s="1336">
        <f>4*'ARP Timing'!M$11*VLOOKUP(N$1,'ARP Score'!$A$5:$M22,$A10)</f>
        <v>9.6430000000000007</v>
      </c>
      <c r="O10" s="1336">
        <f>4*'ARP Timing'!N$11*VLOOKUP(O$1,'ARP Score'!$A$5:$M22,$A10)</f>
        <v>9.6430000000000007</v>
      </c>
      <c r="P10" s="1336">
        <f>4*'ARP Timing'!O$11*VLOOKUP(P$1,'ARP Score'!$A$5:$M22,$A10)</f>
        <v>9.6430000000000007</v>
      </c>
      <c r="Q10" s="1336">
        <f>4*'ARP Timing'!P$11*VLOOKUP(Q$1,'ARP Score'!$A$5:$M22,$A10)</f>
        <v>9.6430000000000007</v>
      </c>
      <c r="R10" s="1336">
        <f>4*'ARP Timing'!Q$11*VLOOKUP(R$1,'ARP Score'!$A$5:$M22,$A10)</f>
        <v>4.5789999999999997</v>
      </c>
      <c r="S10" s="1336">
        <f>4*'ARP Timing'!R$11*VLOOKUP(S$1,'ARP Score'!$A$5:$M22,$A10)</f>
        <v>4.5789999999999997</v>
      </c>
      <c r="T10" s="1336">
        <f>4*'ARP Timing'!S$11*VLOOKUP(T$1,'ARP Score'!$A$5:$M22,$A10)</f>
        <v>4.5789999999999997</v>
      </c>
      <c r="U10" s="1336">
        <f>4*'ARP Timing'!T$11*VLOOKUP(U$1,'ARP Score'!$A$5:$M22,$A10)</f>
        <v>4.5789999999999997</v>
      </c>
      <c r="V10" s="1336">
        <f>4*'ARP Timing'!U$11*VLOOKUP(V$1,'ARP Score'!$A$5:$M22,$A10)</f>
        <v>2.9130000000000003</v>
      </c>
      <c r="W10" s="1336">
        <f t="shared" si="0"/>
        <v>103.73700000000002</v>
      </c>
    </row>
    <row r="11" spans="1:23" x14ac:dyDescent="0.35">
      <c r="A11" s="891">
        <v>12</v>
      </c>
      <c r="B11" s="24" t="s">
        <v>147</v>
      </c>
      <c r="C11" s="1336">
        <f>4*'ARP Timing'!B12*VLOOKUP(C$1,'ARP Score'!$A$5:$M20,$A11)</f>
        <v>103</v>
      </c>
      <c r="D11" s="1336">
        <f>4*'ARP Timing'!C12*VLOOKUP(D$1,'ARP Score'!$A$5:$M20,$A11)</f>
        <v>0</v>
      </c>
      <c r="E11" s="1336">
        <f>4*'ARP Timing'!D12*VLOOKUP(E$1,'ARP Score'!$A$5:$M20,$A11)</f>
        <v>0</v>
      </c>
      <c r="F11" s="1336">
        <f>4*'ARP Timing'!E12*VLOOKUP(F$1,'ARP Score'!$A$5:$M20,$A11)</f>
        <v>0</v>
      </c>
      <c r="G11" s="1336">
        <f>4*'ARP Timing'!F12*VLOOKUP(G$1,'ARP Score'!$A$5:$M20,$A11)</f>
        <v>0</v>
      </c>
      <c r="H11" s="1336">
        <f>4*'ARP Timing'!G12*VLOOKUP(H$1,'ARP Score'!$A$5:$M20,$A11)</f>
        <v>0</v>
      </c>
      <c r="I11" s="1336">
        <f>4*'ARP Timing'!H12*VLOOKUP(I$1,'ARP Score'!$A$5:$M20,$A11)</f>
        <v>0</v>
      </c>
      <c r="J11" s="1336">
        <f>4*'ARP Timing'!I12*VLOOKUP(J$1,'ARP Score'!$A$5:$M20,$A11)</f>
        <v>0</v>
      </c>
      <c r="K11" s="1336">
        <f>4*'ARP Timing'!J12*VLOOKUP(K$1,'ARP Score'!$A$5:$M20,$A11)</f>
        <v>0</v>
      </c>
      <c r="L11" s="1336">
        <f>4*'ARP Timing'!K12*VLOOKUP(L$1,'ARP Score'!$A$5:$M20,$A11)</f>
        <v>0</v>
      </c>
      <c r="M11" s="1336">
        <f>4*'ARP Timing'!L12*VLOOKUP(M$1,'ARP Score'!$A$5:$M20,$A11)</f>
        <v>0</v>
      </c>
      <c r="N11" s="1336">
        <f>4*'ARP Timing'!M12*VLOOKUP(N$1,'ARP Score'!$A$5:$M20,$A11)</f>
        <v>0</v>
      </c>
      <c r="O11" s="1336">
        <f>4*'ARP Timing'!N12*VLOOKUP(O$1,'ARP Score'!$A$5:$M20,$A11)</f>
        <v>0</v>
      </c>
      <c r="P11" s="1336">
        <f>4*'ARP Timing'!O12*VLOOKUP(P$1,'ARP Score'!$A$5:$M20,$A11)</f>
        <v>0</v>
      </c>
      <c r="Q11" s="1336">
        <f>4*'ARP Timing'!P12*VLOOKUP(Q$1,'ARP Score'!$A$5:$M20,$A11)</f>
        <v>0</v>
      </c>
      <c r="R11" s="1336">
        <f>4*'ARP Timing'!Q12*VLOOKUP(R$1,'ARP Score'!$A$5:$M20,$A11)</f>
        <v>0</v>
      </c>
      <c r="S11" s="1336">
        <f>4*'ARP Timing'!R12*VLOOKUP(S$1,'ARP Score'!$A$5:$M20,$A11)</f>
        <v>0</v>
      </c>
      <c r="T11" s="1336">
        <f>4*'ARP Timing'!S12*VLOOKUP(T$1,'ARP Score'!$A$5:$M20,$A11)</f>
        <v>0</v>
      </c>
      <c r="U11" s="1336">
        <f>4*'ARP Timing'!T12*VLOOKUP(U$1,'ARP Score'!$A$5:$M20,$A11)</f>
        <v>0</v>
      </c>
      <c r="V11" s="1336">
        <f>4*'ARP Timing'!U12*VLOOKUP(V$1,'ARP Score'!$A$5:$M20,$A11)</f>
        <v>0</v>
      </c>
      <c r="W11" s="1336">
        <f t="shared" si="0"/>
        <v>25.75</v>
      </c>
    </row>
    <row r="12" spans="1:23" x14ac:dyDescent="0.35">
      <c r="A12" s="891">
        <v>13</v>
      </c>
      <c r="B12" s="41" t="s">
        <v>97</v>
      </c>
      <c r="C12" s="1336">
        <f>4*'ARP Timing'!B13*VLOOKUP(C$1,'ARP Score'!$A$5:$M21,$A12)</f>
        <v>0</v>
      </c>
      <c r="D12" s="1336">
        <f>4*'ARP Timing'!C13*VLOOKUP(D$1,'ARP Score'!$A$5:$M21,$A12)</f>
        <v>51.102400000000003</v>
      </c>
      <c r="E12" s="1336">
        <f>4*'ARP Timing'!D13*VLOOKUP(E$1,'ARP Score'!$A$5:$M21,$A12)</f>
        <v>76.653599999999997</v>
      </c>
      <c r="F12" s="1336">
        <f>4*'ARP Timing'!E13*VLOOKUP(F$1,'ARP Score'!$A$5:$M21,$A12)</f>
        <v>90.260800000000003</v>
      </c>
      <c r="G12" s="1336">
        <f>4*'ARP Timing'!F13*VLOOKUP(G$1,'ARP Score'!$A$5:$M21,$A12)</f>
        <v>67.695599999999999</v>
      </c>
      <c r="H12" s="1336">
        <f>4*'ARP Timing'!G13*VLOOKUP(H$1,'ARP Score'!$A$5:$M21,$A12)</f>
        <v>45.130400000000002</v>
      </c>
      <c r="I12" s="1336">
        <f>4*'ARP Timing'!H13*VLOOKUP(I$1,'ARP Score'!$A$5:$M21,$A12)</f>
        <v>22.565200000000001</v>
      </c>
      <c r="J12" s="1336">
        <f>4*'ARP Timing'!I13*VLOOKUP(J$1,'ARP Score'!$A$5:$M21,$A12)</f>
        <v>15.652999999999999</v>
      </c>
      <c r="K12" s="1336">
        <f>4*'ARP Timing'!J13*VLOOKUP(K$1,'ARP Score'!$A$5:$M21,$A12)</f>
        <v>15.652999999999999</v>
      </c>
      <c r="L12" s="1336">
        <f>4*'ARP Timing'!K13*VLOOKUP(L$1,'ARP Score'!$A$5:$M21,$A12)</f>
        <v>15.652999999999999</v>
      </c>
      <c r="M12" s="1336">
        <f>4*'ARP Timing'!L13*VLOOKUP(M$1,'ARP Score'!$A$5:$M21,$A12)</f>
        <v>15.652999999999999</v>
      </c>
      <c r="N12" s="1336">
        <f>4*'ARP Timing'!M13*VLOOKUP(N$1,'ARP Score'!$A$5:$M21,$A12)</f>
        <v>3.9320000000000004</v>
      </c>
      <c r="O12" s="1336">
        <f>4*'ARP Timing'!N13*VLOOKUP(O$1,'ARP Score'!$A$5:$M21,$A12)</f>
        <v>3.9320000000000004</v>
      </c>
      <c r="P12" s="1336">
        <f>4*'ARP Timing'!O13*VLOOKUP(P$1,'ARP Score'!$A$5:$M21,$A12)</f>
        <v>3.9320000000000004</v>
      </c>
      <c r="Q12" s="1336">
        <f>4*'ARP Timing'!P13*VLOOKUP(Q$1,'ARP Score'!$A$5:$M21,$A12)</f>
        <v>3.9320000000000004</v>
      </c>
      <c r="R12" s="1336">
        <f>4*'ARP Timing'!Q13*VLOOKUP(R$1,'ARP Score'!$A$5:$M21,$A12)</f>
        <v>-0.74299999999999988</v>
      </c>
      <c r="S12" s="1336">
        <f>4*'ARP Timing'!R13*VLOOKUP(S$1,'ARP Score'!$A$5:$M21,$A12)</f>
        <v>-0.74299999999999988</v>
      </c>
      <c r="T12" s="1336">
        <f>4*'ARP Timing'!S13*VLOOKUP(T$1,'ARP Score'!$A$5:$M21,$A12)</f>
        <v>-0.74299999999999988</v>
      </c>
      <c r="U12" s="1336">
        <f>4*'ARP Timing'!T13*VLOOKUP(U$1,'ARP Score'!$A$5:$M21,$A12)</f>
        <v>-0.74299999999999988</v>
      </c>
      <c r="V12" s="1336">
        <f>4*'ARP Timing'!U13*VLOOKUP(V$1,'ARP Score'!$A$5:$M21,$A12)</f>
        <v>-21.606000000000002</v>
      </c>
      <c r="W12" s="1336">
        <f t="shared" si="0"/>
        <v>107.19400000000005</v>
      </c>
    </row>
    <row r="13" spans="1:23" x14ac:dyDescent="0.35">
      <c r="A13" s="891">
        <v>15</v>
      </c>
      <c r="B13" s="891" t="s">
        <v>734</v>
      </c>
      <c r="C13" s="1336">
        <f>0.3*'ARP Score'!$N5*4*'ARP Timing'!B6</f>
        <v>0</v>
      </c>
      <c r="D13" s="1336">
        <f>0.3*'ARP Score'!$N5*4*'ARP Timing'!C6</f>
        <v>1.7544</v>
      </c>
      <c r="E13" s="1336">
        <f>0.3*'ARP Score'!$N5*4*'ARP Timing'!D6</f>
        <v>2.3255999999999997</v>
      </c>
      <c r="F13" s="1336">
        <f>0.3*'ARP Score'!$N6*4*'ARP Timing'!E6</f>
        <v>1.5299999999999998</v>
      </c>
      <c r="G13" s="1336">
        <f>0.3*'ARP Score'!$N6*4*'ARP Timing'!F6</f>
        <v>1.5299999999999998</v>
      </c>
      <c r="H13" s="1336">
        <f>0.3*'ARP Score'!$N6*4*'ARP Timing'!G6</f>
        <v>1.5299999999999998</v>
      </c>
      <c r="I13" s="1336">
        <f>0.3*'ARP Score'!$N6*4*'ARP Timing'!H6</f>
        <v>1.5299999999999998</v>
      </c>
      <c r="J13" s="1336">
        <f>0.3*'ARP Score'!$N7*4*'ARP Timing'!I6</f>
        <v>0</v>
      </c>
      <c r="K13" s="1336">
        <f>0.3*'ARP Score'!$N7*4*'ARP Timing'!J6</f>
        <v>0</v>
      </c>
      <c r="L13" s="1336">
        <f>0.3*'ARP Score'!$N7*4*'ARP Timing'!K6</f>
        <v>0</v>
      </c>
      <c r="M13" s="1336">
        <f>0.3*'ARP Score'!$N7*4*'ARP Timing'!L6</f>
        <v>0</v>
      </c>
      <c r="N13" s="1336">
        <f>0.3*'ARP Score'!$N7*4*'ARP Timing'!M6</f>
        <v>0</v>
      </c>
      <c r="O13" s="1336">
        <f>0.3*'ARP Score'!$N7*4*'ARP Timing'!N6</f>
        <v>0</v>
      </c>
      <c r="P13" s="1336">
        <f>0.3*'ARP Score'!$N7*4*'ARP Timing'!O6</f>
        <v>0</v>
      </c>
      <c r="Q13" s="1336">
        <f>0.3*'ARP Score'!$N7*4*'ARP Timing'!P6</f>
        <v>0</v>
      </c>
      <c r="R13" s="1336">
        <f>0.3*'ARP Score'!$N7*4*'ARP Timing'!Q6</f>
        <v>0</v>
      </c>
      <c r="S13" s="1336">
        <f>0.3*'ARP Score'!$N7*4*'ARP Timing'!R6</f>
        <v>0</v>
      </c>
      <c r="T13" s="1336">
        <f>0.3*'ARP Score'!$N7*4*'ARP Timing'!S6</f>
        <v>0</v>
      </c>
      <c r="U13" s="1336">
        <f>0.3*'ARP Score'!$N7*4*'ARP Timing'!T6</f>
        <v>0</v>
      </c>
      <c r="V13" s="1336">
        <f>0.3*'ARP Score'!$N7*4*'ARP Timing'!U6</f>
        <v>0</v>
      </c>
      <c r="W13" s="1336">
        <f t="shared" si="0"/>
        <v>2.5499999999999994</v>
      </c>
    </row>
    <row r="14" spans="1:23" x14ac:dyDescent="0.35">
      <c r="A14" s="891">
        <v>14</v>
      </c>
      <c r="B14" s="891" t="s">
        <v>735</v>
      </c>
      <c r="C14" s="1336">
        <f>C13/0.3*0.2</f>
        <v>0</v>
      </c>
      <c r="D14" s="1336">
        <f t="shared" ref="D14:F14" si="1">D13/0.3*0.2</f>
        <v>1.1696</v>
      </c>
      <c r="E14" s="1336">
        <f t="shared" si="1"/>
        <v>1.5503999999999998</v>
      </c>
      <c r="F14" s="1336">
        <f t="shared" si="1"/>
        <v>1.02</v>
      </c>
      <c r="G14" s="1336">
        <f t="shared" ref="G14" si="2">G13/0.3*0.2</f>
        <v>1.02</v>
      </c>
      <c r="H14" s="1336">
        <f t="shared" ref="H14" si="3">H13/0.3*0.2</f>
        <v>1.02</v>
      </c>
      <c r="I14" s="1336">
        <f t="shared" ref="I14" si="4">I13/0.3*0.2</f>
        <v>1.02</v>
      </c>
      <c r="J14" s="1336">
        <f t="shared" ref="J14" si="5">J13/0.3*0.2</f>
        <v>0</v>
      </c>
      <c r="K14" s="1336">
        <f t="shared" ref="K14" si="6">K13/0.3*0.2</f>
        <v>0</v>
      </c>
      <c r="L14" s="1336">
        <f t="shared" ref="L14" si="7">L13/0.3*0.2</f>
        <v>0</v>
      </c>
      <c r="M14" s="1336">
        <f t="shared" ref="M14" si="8">M13/0.3*0.2</f>
        <v>0</v>
      </c>
      <c r="N14" s="1336">
        <f t="shared" ref="N14" si="9">N13/0.3*0.2</f>
        <v>0</v>
      </c>
      <c r="O14" s="1336">
        <f t="shared" ref="O14" si="10">O13/0.3*0.2</f>
        <v>0</v>
      </c>
      <c r="P14" s="1336">
        <f t="shared" ref="P14" si="11">P13/0.3*0.2</f>
        <v>0</v>
      </c>
      <c r="Q14" s="1336">
        <f t="shared" ref="Q14" si="12">Q13/0.3*0.2</f>
        <v>0</v>
      </c>
      <c r="R14" s="1336">
        <f t="shared" ref="R14" si="13">R13/0.3*0.2</f>
        <v>0</v>
      </c>
      <c r="S14" s="1336">
        <f t="shared" ref="S14" si="14">S13/0.3*0.2</f>
        <v>0</v>
      </c>
      <c r="T14" s="1336">
        <f t="shared" ref="T14" si="15">T13/0.3*0.2</f>
        <v>0</v>
      </c>
      <c r="U14" s="1336">
        <f t="shared" ref="U14" si="16">U13/0.3*0.2</f>
        <v>0</v>
      </c>
      <c r="V14" s="1336">
        <f t="shared" ref="V14" si="17">V13/0.3*0.2</f>
        <v>0</v>
      </c>
      <c r="W14" s="1336">
        <f t="shared" si="0"/>
        <v>1.6999999999999997</v>
      </c>
    </row>
    <row r="15" spans="1:23" x14ac:dyDescent="0.35">
      <c r="A15" s="891">
        <v>14</v>
      </c>
      <c r="B15" s="891" t="s">
        <v>436</v>
      </c>
      <c r="C15" s="1336">
        <f>C14/0.2*0.5</f>
        <v>0</v>
      </c>
      <c r="D15" s="1336">
        <f t="shared" ref="D15:F15" si="18">D14/0.2*0.5</f>
        <v>2.9239999999999999</v>
      </c>
      <c r="E15" s="1336">
        <f t="shared" si="18"/>
        <v>3.8759999999999994</v>
      </c>
      <c r="F15" s="1336">
        <f t="shared" si="18"/>
        <v>2.5499999999999998</v>
      </c>
      <c r="G15" s="1336">
        <f t="shared" ref="G15" si="19">G14/0.2*0.5</f>
        <v>2.5499999999999998</v>
      </c>
      <c r="H15" s="1336">
        <f t="shared" ref="H15" si="20">H14/0.2*0.5</f>
        <v>2.5499999999999998</v>
      </c>
      <c r="I15" s="1336">
        <f t="shared" ref="I15" si="21">I14/0.2*0.5</f>
        <v>2.5499999999999998</v>
      </c>
      <c r="J15" s="1336">
        <f t="shared" ref="J15" si="22">J14/0.2*0.5</f>
        <v>0</v>
      </c>
      <c r="K15" s="1336">
        <f t="shared" ref="K15" si="23">K14/0.2*0.5</f>
        <v>0</v>
      </c>
      <c r="L15" s="1336">
        <f t="shared" ref="L15" si="24">L14/0.2*0.5</f>
        <v>0</v>
      </c>
      <c r="M15" s="1336">
        <f t="shared" ref="M15" si="25">M14/0.2*0.5</f>
        <v>0</v>
      </c>
      <c r="N15" s="1336">
        <f t="shared" ref="N15" si="26">N14/0.2*0.5</f>
        <v>0</v>
      </c>
      <c r="O15" s="1336">
        <f t="shared" ref="O15" si="27">O14/0.2*0.5</f>
        <v>0</v>
      </c>
      <c r="P15" s="1336">
        <f t="shared" ref="P15" si="28">P14/0.2*0.5</f>
        <v>0</v>
      </c>
      <c r="Q15" s="1336">
        <f t="shared" ref="Q15" si="29">Q14/0.2*0.5</f>
        <v>0</v>
      </c>
      <c r="R15" s="1336">
        <f t="shared" ref="R15" si="30">R14/0.2*0.5</f>
        <v>0</v>
      </c>
      <c r="S15" s="1336">
        <f t="shared" ref="S15" si="31">S14/0.2*0.5</f>
        <v>0</v>
      </c>
      <c r="T15" s="1336">
        <f t="shared" ref="T15" si="32">T14/0.2*0.5</f>
        <v>0</v>
      </c>
      <c r="U15" s="1336">
        <f t="shared" ref="U15" si="33">U14/0.2*0.5</f>
        <v>0</v>
      </c>
      <c r="V15" s="1336">
        <f t="shared" ref="V15" si="34">V14/0.2*0.5</f>
        <v>0</v>
      </c>
      <c r="W15" s="1336">
        <f t="shared" si="0"/>
        <v>4.25</v>
      </c>
    </row>
    <row r="16" spans="1:23" x14ac:dyDescent="0.35">
      <c r="C16" s="1336"/>
      <c r="D16" s="1336"/>
      <c r="E16" s="1336"/>
      <c r="F16" s="1336"/>
      <c r="G16" s="1336"/>
      <c r="H16" s="1336"/>
      <c r="I16" s="1336"/>
      <c r="J16" s="1336"/>
      <c r="K16" s="1336"/>
      <c r="L16" s="1336"/>
      <c r="M16" s="1336"/>
      <c r="N16" s="1336"/>
      <c r="O16" s="1336"/>
      <c r="P16" s="1336"/>
      <c r="Q16" s="1336"/>
      <c r="R16" s="1336"/>
      <c r="S16" s="1336"/>
      <c r="T16" s="1336"/>
      <c r="U16" s="1336"/>
      <c r="V16" s="1336"/>
      <c r="W16" s="1336"/>
    </row>
    <row r="17" spans="1:23" x14ac:dyDescent="0.35">
      <c r="A17" s="891" t="s">
        <v>736</v>
      </c>
      <c r="C17" s="1336"/>
      <c r="D17" s="1336"/>
      <c r="E17" s="1336"/>
      <c r="F17" s="1336"/>
      <c r="G17" s="1336"/>
      <c r="H17" s="1336"/>
      <c r="I17" s="1336"/>
      <c r="J17" s="1336"/>
      <c r="K17" s="1336"/>
      <c r="L17" s="1336"/>
      <c r="M17" s="1336"/>
      <c r="N17" s="1336"/>
      <c r="O17" s="1336"/>
      <c r="P17" s="1336"/>
      <c r="Q17" s="1336"/>
      <c r="R17" s="1336"/>
      <c r="S17" s="1336"/>
      <c r="T17" s="1336"/>
      <c r="U17" s="1336"/>
      <c r="V17" s="1336"/>
      <c r="W17" s="1336"/>
    </row>
    <row r="18" spans="1:23" x14ac:dyDescent="0.35">
      <c r="B18" s="649" t="s">
        <v>131</v>
      </c>
      <c r="C18" s="1336">
        <f>'ARP Score'!$BG5/'ARP Score'!$G5*C6</f>
        <v>0</v>
      </c>
      <c r="D18" s="1336">
        <f>'ARP Score'!$BG5/'ARP Score'!$G5*D6</f>
        <v>2.2132800000000001</v>
      </c>
      <c r="E18" s="1336">
        <f>'ARP Score'!$BG5/'ARP Score'!$G5*E6</f>
        <v>10.082720000000002</v>
      </c>
      <c r="F18" s="1336">
        <f>'ARP Score'!$BG6/'ARP Score'!$G6*F6</f>
        <v>7.1439999999999992</v>
      </c>
      <c r="G18" s="1336">
        <f>'ARP Score'!$BG6/'ARP Score'!$G6*G6</f>
        <v>7.1439999999999992</v>
      </c>
      <c r="H18" s="1336">
        <f>'ARP Score'!$BG6/'ARP Score'!$G6*H6</f>
        <v>7.1439999999999992</v>
      </c>
      <c r="I18" s="1336">
        <f>'ARP Score'!$BG6/'ARP Score'!$G6*I6</f>
        <v>7.1439999999999992</v>
      </c>
      <c r="J18" s="1336">
        <f>'ARP Score'!$BG7/'ARP Score'!$G7*J6</f>
        <v>0</v>
      </c>
      <c r="K18" s="1336">
        <f>'ARP Score'!$BG7/'ARP Score'!$G7*K6</f>
        <v>0</v>
      </c>
      <c r="L18" s="1336">
        <f>'ARP Score'!$BG7/'ARP Score'!$G7*L6</f>
        <v>0</v>
      </c>
      <c r="M18" s="1336">
        <f>'ARP Score'!$BG7/'ARP Score'!$G7*M6</f>
        <v>0</v>
      </c>
      <c r="N18" s="1336"/>
      <c r="O18" s="1336"/>
      <c r="P18" s="1336"/>
      <c r="Q18" s="1336"/>
      <c r="R18" s="1336"/>
      <c r="S18" s="1336"/>
      <c r="T18" s="1336"/>
      <c r="U18" s="1336"/>
      <c r="V18" s="1336"/>
      <c r="W18" s="1336"/>
    </row>
    <row r="19" spans="1:23" x14ac:dyDescent="0.35">
      <c r="B19" s="649" t="s">
        <v>737</v>
      </c>
      <c r="C19" s="1336">
        <f>'ARP Score'!$BI5/'ARP Score'!$G5*C6</f>
        <v>0</v>
      </c>
      <c r="D19" s="1336">
        <f>'ARP Score'!$BI5/'ARP Score'!$G5*D6</f>
        <v>15.128640000000001</v>
      </c>
      <c r="E19" s="1336">
        <f>'ARP Score'!$BI5/'ARP Score'!$G5*E6</f>
        <v>68.919360000000012</v>
      </c>
      <c r="F19" s="1336">
        <f>'ARP Score'!$BI6/'ARP Score'!$G6*F6</f>
        <v>5.6120000000000001</v>
      </c>
      <c r="G19" s="1336">
        <f>'ARP Score'!$BI6/'ARP Score'!$G6*G6</f>
        <v>5.6120000000000001</v>
      </c>
      <c r="H19" s="1336">
        <f>'ARP Score'!$BI6/'ARP Score'!$G6*H6</f>
        <v>5.6120000000000001</v>
      </c>
      <c r="I19" s="1336">
        <f>'ARP Score'!$BI6/'ARP Score'!$G6*I6</f>
        <v>5.6120000000000001</v>
      </c>
      <c r="J19" s="1336">
        <f>'ARP Score'!$B7/'ARP Score'!$G7*J6</f>
        <v>0.48599999999999993</v>
      </c>
      <c r="K19" s="1336">
        <f>'ARP Score'!$B7/'ARP Score'!$G7*K6</f>
        <v>0.48599999999999993</v>
      </c>
      <c r="L19" s="1336">
        <f>'ARP Score'!$B7/'ARP Score'!$G7*L6</f>
        <v>0.48599999999999993</v>
      </c>
      <c r="M19" s="1336">
        <f>'ARP Score'!$B7/'ARP Score'!$G7*M6</f>
        <v>0.48599999999999993</v>
      </c>
      <c r="N19" s="1336">
        <f>'ARP Score'!$B8/'ARP Score'!$G8*N6</f>
        <v>0</v>
      </c>
      <c r="O19" s="1336"/>
      <c r="P19" s="1336"/>
      <c r="Q19" s="1336"/>
      <c r="R19" s="1336"/>
      <c r="S19" s="1336"/>
      <c r="T19" s="1336"/>
      <c r="U19" s="1336"/>
      <c r="V19" s="1336"/>
      <c r="W19" s="1336"/>
    </row>
    <row r="20" spans="1:23" x14ac:dyDescent="0.35">
      <c r="B20" s="649" t="s">
        <v>136</v>
      </c>
      <c r="C20" s="1336">
        <f>'ARP Score'!$BF5/'ARP Score'!$G5*C6</f>
        <v>0</v>
      </c>
      <c r="D20" s="1336">
        <f>'ARP Score'!$BF5/'ARP Score'!$G5*D6</f>
        <v>3.2479199999999997</v>
      </c>
      <c r="E20" s="1336">
        <f>'ARP Score'!$BF5/'ARP Score'!$G5*E6</f>
        <v>14.796080000000002</v>
      </c>
      <c r="F20" s="1336">
        <f>'ARP Score'!$BF6/'ARP Score'!$G6*F6</f>
        <v>1.7329999999999999</v>
      </c>
      <c r="G20" s="1336">
        <f>'ARP Score'!$BF6/'ARP Score'!$G6*G6</f>
        <v>1.7329999999999999</v>
      </c>
      <c r="H20" s="1336">
        <f>'ARP Score'!$BF6/'ARP Score'!$G6*H6</f>
        <v>1.7329999999999999</v>
      </c>
      <c r="I20" s="1336">
        <f>'ARP Score'!$BF6/'ARP Score'!$G6*I6</f>
        <v>1.7329999999999999</v>
      </c>
      <c r="J20" s="1336">
        <f>'ARP Score'!$BF7/'ARP Score'!$G7*J6</f>
        <v>0</v>
      </c>
      <c r="K20" s="1336">
        <f>'ARP Score'!$BF7/'ARP Score'!$G7*K6</f>
        <v>0</v>
      </c>
      <c r="L20" s="1336">
        <f>'ARP Score'!$BF7/'ARP Score'!$G7*L6</f>
        <v>0</v>
      </c>
      <c r="M20" s="1336">
        <f>'ARP Score'!$BF7/'ARP Score'!$G7*M6</f>
        <v>0</v>
      </c>
      <c r="N20" s="1336"/>
      <c r="O20" s="1336"/>
      <c r="P20" s="1336"/>
      <c r="Q20" s="1336"/>
      <c r="R20" s="1336"/>
      <c r="S20" s="1336"/>
      <c r="T20" s="1336"/>
      <c r="U20" s="1336"/>
      <c r="V20" s="1336"/>
      <c r="W20" s="1336"/>
    </row>
    <row r="21" spans="1:23" x14ac:dyDescent="0.35">
      <c r="B21" s="1342" t="s">
        <v>379</v>
      </c>
      <c r="C21" s="1336">
        <f>15/40*(C6*'ARP Score'!$BD5/'ARP Score'!$G5)</f>
        <v>0</v>
      </c>
      <c r="D21" s="1336">
        <f>15/40*(D6*('ARP Score'!$BD5+'ARP Score'!$BE5)/'ARP Score'!$G5)</f>
        <v>13.2921</v>
      </c>
      <c r="E21" s="1336">
        <f>15/40*(E6*('ARP Score'!$BD5+'ARP Score'!$BE5)/'ARP Score'!$G5)</f>
        <v>60.552900000000008</v>
      </c>
      <c r="F21" s="1336">
        <f>15/40*(F6*('ARP Score'!$BD6+'ARP Score'!$BE6)/'ARP Score'!$G6)</f>
        <v>1.0687500000000001</v>
      </c>
      <c r="G21" s="1336">
        <f>15/40*(G6*('ARP Score'!$BD6+'ARP Score'!$BE6)/'ARP Score'!$G6)</f>
        <v>1.0687500000000001</v>
      </c>
      <c r="H21" s="1336">
        <f>15/40*(H6*('ARP Score'!$BD6+'ARP Score'!$BE6)/'ARP Score'!$G6)</f>
        <v>1.0687500000000001</v>
      </c>
      <c r="I21" s="1336">
        <f>15/40*(I6*('ARP Score'!$BD6+'ARP Score'!$BE6)/'ARP Score'!$G6)</f>
        <v>1.0687500000000001</v>
      </c>
      <c r="J21" s="1336">
        <f>15/40*(J6*('ARP Score'!$BD7+'ARP Score'!$BE7)/'ARP Score'!$G7)</f>
        <v>0.78750000000000009</v>
      </c>
      <c r="K21" s="1336">
        <f>15/40*(K6*('ARP Score'!$BD7+'ARP Score'!$BE7)/'ARP Score'!$G7)</f>
        <v>0.78750000000000009</v>
      </c>
      <c r="L21" s="1336">
        <f>15/40*(L6*('ARP Score'!$BD7+'ARP Score'!$BE7)/'ARP Score'!$G7)</f>
        <v>0.78750000000000009</v>
      </c>
      <c r="M21" s="1336">
        <f>15/40*(M6*('ARP Score'!$BD7+'ARP Score'!$BE7)/'ARP Score'!$G7)</f>
        <v>0.78750000000000009</v>
      </c>
      <c r="N21" s="1336"/>
      <c r="O21" s="1336"/>
      <c r="P21" s="1336"/>
      <c r="Q21" s="1336"/>
      <c r="R21" s="1336"/>
      <c r="S21" s="1336"/>
      <c r="T21" s="1336"/>
      <c r="U21" s="1336"/>
      <c r="V21" s="1336"/>
      <c r="W21" s="1336"/>
    </row>
    <row r="22" spans="1:23" x14ac:dyDescent="0.35">
      <c r="B22" s="1342" t="s">
        <v>738</v>
      </c>
      <c r="C22" s="1336"/>
      <c r="D22" s="1336">
        <f>D21/15*25</f>
        <v>22.153499999999998</v>
      </c>
      <c r="E22" s="1336">
        <f>E21/15*25</f>
        <v>100.92150000000002</v>
      </c>
      <c r="F22" s="1336">
        <f>F21/15*25</f>
        <v>1.7812500000000002</v>
      </c>
      <c r="G22" s="1336">
        <f>G21/15*25</f>
        <v>1.7812500000000002</v>
      </c>
      <c r="H22" s="1336">
        <f t="shared" ref="H22:J22" si="35">H21/15*25</f>
        <v>1.7812500000000002</v>
      </c>
      <c r="I22" s="1336">
        <f t="shared" si="35"/>
        <v>1.7812500000000002</v>
      </c>
      <c r="J22" s="1336">
        <f t="shared" si="35"/>
        <v>1.3125000000000002</v>
      </c>
      <c r="K22" s="1336">
        <f t="shared" ref="K22" si="36">K21/15*25</f>
        <v>1.3125000000000002</v>
      </c>
      <c r="L22" s="1336">
        <f t="shared" ref="L22" si="37">L21/15*25</f>
        <v>1.3125000000000002</v>
      </c>
      <c r="M22" s="1336">
        <f t="shared" ref="M22" si="38">M21/15*25</f>
        <v>1.3125000000000002</v>
      </c>
      <c r="N22" s="1336"/>
      <c r="O22" s="1336"/>
      <c r="P22" s="1336"/>
      <c r="Q22" s="1336"/>
      <c r="R22" s="1336"/>
      <c r="S22" s="1336"/>
      <c r="T22" s="1336"/>
      <c r="U22" s="1336"/>
      <c r="V22" s="1336"/>
      <c r="W22" s="1336"/>
    </row>
    <row r="23" spans="1:23" x14ac:dyDescent="0.35">
      <c r="B23" s="649" t="s">
        <v>391</v>
      </c>
      <c r="C23" s="1336">
        <f>'ARP Score'!$BB5/'ARP Score'!$G5*C6</f>
        <v>0</v>
      </c>
      <c r="D23" s="1336">
        <f>'ARP Score'!$BB5/'ARP Score'!$G5*D6</f>
        <v>2.9519999999999995</v>
      </c>
      <c r="E23" s="1336">
        <f>'ARP Score'!$BB5/'ARP Score'!$G5*E6</f>
        <v>13.448</v>
      </c>
      <c r="F23" s="1336">
        <f>'ARP Score'!$BB6/'ARP Score'!$G6*F6</f>
        <v>11.3</v>
      </c>
      <c r="G23" s="1336">
        <f>'ARP Score'!$BB6/'ARP Score'!$G6*G6</f>
        <v>11.3</v>
      </c>
      <c r="H23" s="1336">
        <f>'ARP Score'!$BB6/'ARP Score'!$G6*H6</f>
        <v>11.3</v>
      </c>
      <c r="I23" s="1336">
        <f>'ARP Score'!$BB6/'ARP Score'!$G6*I6</f>
        <v>11.3</v>
      </c>
      <c r="J23" s="1336">
        <f>'ARP Score'!$BB7/'ARP Score'!$G7*J6</f>
        <v>8.4</v>
      </c>
      <c r="K23" s="1336">
        <f>'ARP Score'!$BB7/'ARP Score'!$G7*K6</f>
        <v>8.4</v>
      </c>
      <c r="L23" s="1336">
        <f>'ARP Score'!$BB7/'ARP Score'!$G7*L6</f>
        <v>8.4</v>
      </c>
      <c r="M23" s="1336">
        <f>'ARP Score'!$BB7/'ARP Score'!$G7*M6</f>
        <v>8.4</v>
      </c>
      <c r="N23" s="1336">
        <f>'ARP Score'!$BB8/'ARP Score'!$G8*N6</f>
        <v>0.2</v>
      </c>
      <c r="O23" s="1336">
        <f>'ARP Score'!$BB8/'ARP Score'!$G8*O6</f>
        <v>0.2</v>
      </c>
      <c r="P23" s="1336">
        <f>'ARP Score'!$BB8/'ARP Score'!$G8*P6</f>
        <v>0.2</v>
      </c>
      <c r="Q23" s="1336">
        <f>'ARP Score'!$BB8/'ARP Score'!$G8*Q6</f>
        <v>0.2</v>
      </c>
      <c r="R23" s="1336"/>
      <c r="S23" s="1336"/>
      <c r="T23" s="1336"/>
      <c r="U23" s="1336"/>
      <c r="V23" s="1336"/>
      <c r="W23" s="1336"/>
    </row>
    <row r="24" spans="1:23" x14ac:dyDescent="0.35">
      <c r="B24" s="649" t="s">
        <v>392</v>
      </c>
      <c r="C24" s="1336">
        <f>'ARP Score'!$BH5/'ARP Score'!$G5*C6</f>
        <v>0</v>
      </c>
      <c r="D24" s="1336">
        <f>'ARP Score'!$BH5/'ARP Score'!$G5*D6</f>
        <v>-0.20447999999999997</v>
      </c>
      <c r="E24" s="1336">
        <f>'ARP Score'!$BH5/'ARP Score'!$G5*E6</f>
        <v>-0.93152000000000001</v>
      </c>
      <c r="F24" s="1336">
        <f>'ARP Score'!$BH6/'ARP Score'!$G6*F6</f>
        <v>81.608999999999995</v>
      </c>
      <c r="G24" s="1336">
        <f>'ARP Score'!$BH6/'ARP Score'!$G6*G6</f>
        <v>81.608999999999995</v>
      </c>
      <c r="H24" s="1336">
        <f>'ARP Score'!$BH6/'ARP Score'!$G6*H6</f>
        <v>81.608999999999995</v>
      </c>
      <c r="I24" s="1336">
        <f>'ARP Score'!$BH6/'ARP Score'!$G6*I6</f>
        <v>81.608999999999995</v>
      </c>
      <c r="J24" s="1336">
        <f>'ARP Score'!$BH7/'ARP Score'!$G7*J6</f>
        <v>1.3759999999999999</v>
      </c>
      <c r="K24" s="1336">
        <f>'ARP Score'!$BH7/'ARP Score'!$G7*K6</f>
        <v>1.3759999999999999</v>
      </c>
      <c r="L24" s="1336">
        <f>'ARP Score'!$BH7/'ARP Score'!$G7*L6</f>
        <v>1.3759999999999999</v>
      </c>
      <c r="M24" s="1336">
        <f>'ARP Score'!$BH7/'ARP Score'!$G7*M6</f>
        <v>1.3759999999999999</v>
      </c>
      <c r="N24" s="1336">
        <f>'ARP Score'!$BH8/'ARP Score'!$G8*N6</f>
        <v>-0.87500000000000011</v>
      </c>
      <c r="O24" s="1336">
        <f>'ARP Score'!$BH8/'ARP Score'!$G8*O6</f>
        <v>-0.87500000000000011</v>
      </c>
      <c r="P24" s="1336">
        <f>'ARP Score'!$BH8/'ARP Score'!$G8*P6</f>
        <v>-0.87500000000000011</v>
      </c>
      <c r="Q24" s="1336">
        <f>'ARP Score'!$BH8/'ARP Score'!$G8*Q6</f>
        <v>-0.87500000000000011</v>
      </c>
      <c r="R24" s="1336"/>
      <c r="S24" s="1336"/>
      <c r="T24" s="1336"/>
      <c r="U24" s="1336"/>
      <c r="V24" s="1336"/>
      <c r="W24" s="1336"/>
    </row>
    <row r="25" spans="1:23" x14ac:dyDescent="0.35">
      <c r="B25" s="649" t="s">
        <v>278</v>
      </c>
      <c r="C25" s="1336">
        <f>SUM(C18:C24)</f>
        <v>0</v>
      </c>
      <c r="D25" s="1336">
        <f t="shared" ref="D25:Q25" si="39">SUM(D18:D24)</f>
        <v>58.782959999999996</v>
      </c>
      <c r="E25" s="1336">
        <f t="shared" si="39"/>
        <v>267.78904000000006</v>
      </c>
      <c r="F25" s="1336">
        <f t="shared" si="39"/>
        <v>110.24799999999999</v>
      </c>
      <c r="G25" s="1336">
        <f t="shared" si="39"/>
        <v>110.24799999999999</v>
      </c>
      <c r="H25" s="1336">
        <f t="shared" si="39"/>
        <v>110.24799999999999</v>
      </c>
      <c r="I25" s="1336">
        <f t="shared" si="39"/>
        <v>110.24799999999999</v>
      </c>
      <c r="J25" s="1336">
        <f t="shared" si="39"/>
        <v>12.362</v>
      </c>
      <c r="K25" s="1336">
        <f t="shared" si="39"/>
        <v>12.362</v>
      </c>
      <c r="L25" s="1336">
        <f t="shared" si="39"/>
        <v>12.362</v>
      </c>
      <c r="M25" s="1336">
        <f t="shared" si="39"/>
        <v>12.362</v>
      </c>
      <c r="N25" s="1336">
        <f t="shared" si="39"/>
        <v>-0.67500000000000004</v>
      </c>
      <c r="O25" s="1336">
        <f t="shared" si="39"/>
        <v>-0.67500000000000004</v>
      </c>
      <c r="P25" s="1336">
        <f t="shared" si="39"/>
        <v>-0.67500000000000004</v>
      </c>
      <c r="Q25" s="1336">
        <f t="shared" si="39"/>
        <v>-0.67500000000000004</v>
      </c>
      <c r="R25" s="1336"/>
      <c r="S25" s="1336"/>
      <c r="T25" s="1336"/>
      <c r="U25" s="1336"/>
      <c r="V25" s="1336"/>
      <c r="W25" s="1336"/>
    </row>
    <row r="26" spans="1:23" x14ac:dyDescent="0.35">
      <c r="D26" s="1334">
        <f>D6-D25</f>
        <v>0</v>
      </c>
      <c r="E26" s="1334">
        <f t="shared" ref="E26:M26" si="40">E6-E25</f>
        <v>0</v>
      </c>
      <c r="F26" s="1334">
        <f t="shared" si="40"/>
        <v>0</v>
      </c>
      <c r="G26" s="1334">
        <f t="shared" si="40"/>
        <v>0</v>
      </c>
      <c r="H26" s="1334">
        <f t="shared" si="40"/>
        <v>0</v>
      </c>
      <c r="I26" s="1334">
        <f t="shared" si="40"/>
        <v>0</v>
      </c>
      <c r="J26" s="1334">
        <f t="shared" si="40"/>
        <v>0.36400000000000077</v>
      </c>
      <c r="K26" s="1334">
        <f t="shared" si="40"/>
        <v>0.36400000000000077</v>
      </c>
      <c r="L26" s="1334">
        <f t="shared" si="40"/>
        <v>0.36400000000000077</v>
      </c>
      <c r="M26" s="1334">
        <f t="shared" si="40"/>
        <v>0.36400000000000077</v>
      </c>
    </row>
    <row r="27" spans="1:23" x14ac:dyDescent="0.35">
      <c r="B27" s="891" t="s">
        <v>739</v>
      </c>
      <c r="D27" s="759" t="s">
        <v>238</v>
      </c>
      <c r="E27" s="759" t="s">
        <v>168</v>
      </c>
      <c r="F27" s="759" t="s">
        <v>169</v>
      </c>
      <c r="G27" s="759" t="s">
        <v>170</v>
      </c>
      <c r="H27" s="759" t="s">
        <v>171</v>
      </c>
      <c r="I27" s="759" t="s">
        <v>172</v>
      </c>
      <c r="J27" s="759" t="s">
        <v>173</v>
      </c>
      <c r="K27" s="759" t="s">
        <v>174</v>
      </c>
      <c r="L27" s="759" t="s">
        <v>175</v>
      </c>
      <c r="M27" s="759" t="s">
        <v>176</v>
      </c>
      <c r="N27" s="759" t="s">
        <v>177</v>
      </c>
      <c r="O27" s="759" t="s">
        <v>178</v>
      </c>
      <c r="P27" s="759" t="s">
        <v>179</v>
      </c>
      <c r="Q27" s="759" t="s">
        <v>163</v>
      </c>
      <c r="R27" s="759" t="s">
        <v>164</v>
      </c>
      <c r="S27" s="759" t="s">
        <v>165</v>
      </c>
      <c r="T27" s="759" t="s">
        <v>730</v>
      </c>
      <c r="U27" s="759" t="s">
        <v>731</v>
      </c>
      <c r="V27" s="759" t="s">
        <v>732</v>
      </c>
    </row>
    <row r="28" spans="1:23" x14ac:dyDescent="0.35">
      <c r="B28" s="41"/>
      <c r="C28" s="1334" t="s">
        <v>278</v>
      </c>
      <c r="D28" s="1338">
        <f>SUM(D29:D43)</f>
        <v>5.8765000000000009</v>
      </c>
      <c r="E28" s="1338">
        <f t="shared" ref="E28:V28" si="41">SUM(E29:E43)</f>
        <v>11.753000000000002</v>
      </c>
      <c r="F28" s="1338">
        <f t="shared" si="41"/>
        <v>15.762320000000003</v>
      </c>
      <c r="G28" s="1338">
        <f t="shared" si="41"/>
        <v>19.771640000000005</v>
      </c>
      <c r="H28" s="1338">
        <f t="shared" si="41"/>
        <v>23.812229000000006</v>
      </c>
      <c r="I28" s="1338">
        <f t="shared" si="41"/>
        <v>27.852818000000006</v>
      </c>
      <c r="J28" s="1338">
        <f t="shared" si="41"/>
        <v>30.517977000000005</v>
      </c>
      <c r="K28" s="1338">
        <f t="shared" si="41"/>
        <v>33.183136000000005</v>
      </c>
      <c r="L28" s="1338">
        <f t="shared" si="41"/>
        <v>36.260924000000003</v>
      </c>
      <c r="M28" s="1338">
        <f t="shared" si="41"/>
        <v>39.338711999999994</v>
      </c>
      <c r="N28" s="1338">
        <f t="shared" si="41"/>
        <v>40.928439999999995</v>
      </c>
      <c r="O28" s="1338">
        <f t="shared" si="41"/>
        <v>42.518167999999996</v>
      </c>
      <c r="P28" s="1338">
        <f t="shared" si="41"/>
        <v>44.428388999999996</v>
      </c>
      <c r="Q28" s="1338">
        <f t="shared" si="41"/>
        <v>46.338610000000003</v>
      </c>
      <c r="R28" s="1338">
        <f t="shared" si="41"/>
        <v>47.279744500000007</v>
      </c>
      <c r="S28" s="1338">
        <f t="shared" si="41"/>
        <v>46.283419000000009</v>
      </c>
      <c r="T28" s="1338">
        <f t="shared" si="41"/>
        <v>45.578489500000011</v>
      </c>
      <c r="U28" s="1338">
        <f t="shared" si="41"/>
        <v>45.454798000000011</v>
      </c>
      <c r="V28" s="1338">
        <f t="shared" si="41"/>
        <v>45.360580000000013</v>
      </c>
    </row>
    <row r="29" spans="1:23" x14ac:dyDescent="0.35">
      <c r="A29" s="891">
        <v>2021</v>
      </c>
      <c r="B29" s="41" t="s">
        <v>740</v>
      </c>
      <c r="C29" s="1334"/>
      <c r="D29" s="891">
        <f>($D$9+$D$10)*'ARP Timing'!B$16</f>
        <v>5.8765000000000009</v>
      </c>
      <c r="E29" s="891">
        <f>($D$9+$D$10)*'ARP Timing'!C$16</f>
        <v>5.8765000000000009</v>
      </c>
      <c r="F29" s="891">
        <f>($D$9+$D$10)*'ARP Timing'!D$16</f>
        <v>4.11355</v>
      </c>
      <c r="G29" s="891">
        <f>($D$9+$D$10)*'ARP Timing'!E$16</f>
        <v>4.11355</v>
      </c>
      <c r="H29" s="891">
        <f>($D$9+$D$10)*'ARP Timing'!F$16</f>
        <v>4.11355</v>
      </c>
      <c r="I29" s="891">
        <f>($D$9+$D$10)*'ARP Timing'!G$16</f>
        <v>4.11355</v>
      </c>
      <c r="J29" s="891">
        <f>($D$9+$D$10)*'ARP Timing'!H$16</f>
        <v>4.11355</v>
      </c>
      <c r="K29" s="891">
        <f>($D$9+$D$10)*'ARP Timing'!I$16</f>
        <v>4.11355</v>
      </c>
      <c r="L29" s="891">
        <f>($D$9+$D$10)*'ARP Timing'!J$16</f>
        <v>4.11355</v>
      </c>
      <c r="M29" s="891">
        <f>($D$9+$D$10)*'ARP Timing'!K$16</f>
        <v>4.11355</v>
      </c>
      <c r="N29" s="891">
        <f>($D$9+$D$10)*'ARP Timing'!L$16</f>
        <v>4.11355</v>
      </c>
      <c r="O29" s="891">
        <f>($D$9+$D$10)*'ARP Timing'!M$16</f>
        <v>4.11355</v>
      </c>
      <c r="P29" s="891">
        <f>($D$9+$D$10)*'ARP Timing'!N$16</f>
        <v>3.987625</v>
      </c>
      <c r="Q29" s="891">
        <f>($D$9+$D$10)*'ARP Timing'!O$16</f>
        <v>3.987625</v>
      </c>
      <c r="R29" s="891">
        <f>($D$9+$D$10)*'ARP Timing'!P$16</f>
        <v>3.987625</v>
      </c>
      <c r="S29" s="891">
        <f>($D$9+$D$10)*'ARP Timing'!Q$16</f>
        <v>3.987625</v>
      </c>
      <c r="T29" s="891">
        <f>($D$9+$D$10)*'ARP Timing'!R$16</f>
        <v>3.987625</v>
      </c>
      <c r="U29" s="891">
        <f>($D$9+$D$10)*'ARP Timing'!S$16</f>
        <v>3.987625</v>
      </c>
      <c r="V29" s="891">
        <f>($D$9+$D$10)*'ARP Timing'!T$16</f>
        <v>3.987625</v>
      </c>
    </row>
    <row r="30" spans="1:23" x14ac:dyDescent="0.35">
      <c r="B30" s="41" t="s">
        <v>297</v>
      </c>
      <c r="C30" s="1334"/>
      <c r="E30" s="891">
        <f>($E$9+$E$10)*'ARP Timing'!B$16</f>
        <v>5.8765000000000009</v>
      </c>
      <c r="F30" s="891">
        <f>($E$9+$E$10)*'ARP Timing'!C$16</f>
        <v>5.8765000000000009</v>
      </c>
      <c r="G30" s="891">
        <f>($E$9+$E$10)*'ARP Timing'!D$16</f>
        <v>4.11355</v>
      </c>
      <c r="H30" s="891">
        <f>($E$9+$E$10)*'ARP Timing'!E$16</f>
        <v>4.11355</v>
      </c>
      <c r="I30" s="891">
        <f>($E$9+$E$10)*'ARP Timing'!F$16</f>
        <v>4.11355</v>
      </c>
      <c r="J30" s="891">
        <f>($E$9+$E$10)*'ARP Timing'!G$16</f>
        <v>4.11355</v>
      </c>
      <c r="K30" s="891">
        <f>($E$9+$E$10)*'ARP Timing'!H$16</f>
        <v>4.11355</v>
      </c>
      <c r="L30" s="891">
        <f>($E$9+$E$10)*'ARP Timing'!I$16</f>
        <v>4.11355</v>
      </c>
      <c r="M30" s="891">
        <f>($E$9+$E$10)*'ARP Timing'!J$16</f>
        <v>4.11355</v>
      </c>
      <c r="N30" s="891">
        <f>($E$9+$E$10)*'ARP Timing'!K$16</f>
        <v>4.11355</v>
      </c>
      <c r="O30" s="891">
        <f>($E$9+$E$10)*'ARP Timing'!L$16</f>
        <v>4.11355</v>
      </c>
      <c r="P30" s="891">
        <f>($E$9+$E$10)*'ARP Timing'!M$16</f>
        <v>4.11355</v>
      </c>
      <c r="Q30" s="891">
        <f>($E$9+$E$10)*'ARP Timing'!N$16</f>
        <v>3.987625</v>
      </c>
      <c r="R30" s="891">
        <f>($E$9+$E$10)*'ARP Timing'!O$16</f>
        <v>3.987625</v>
      </c>
      <c r="S30" s="891">
        <f>($E$9+$E$10)*'ARP Timing'!P$16</f>
        <v>3.987625</v>
      </c>
      <c r="T30" s="891">
        <f>($E$9+$E$10)*'ARP Timing'!Q$16</f>
        <v>3.987625</v>
      </c>
      <c r="U30" s="891">
        <f>($E$9+$E$10)*'ARP Timing'!R$16</f>
        <v>3.987625</v>
      </c>
      <c r="V30" s="891">
        <f>($E$9+$E$10)*'ARP Timing'!S$16</f>
        <v>3.987625</v>
      </c>
    </row>
    <row r="31" spans="1:23" x14ac:dyDescent="0.35">
      <c r="B31" s="41" t="s">
        <v>741</v>
      </c>
      <c r="C31" s="1334"/>
      <c r="F31" s="891">
        <f>($F$9+$F$10)*'ARP Timing'!B$16</f>
        <v>5.7722700000000016</v>
      </c>
      <c r="G31" s="891">
        <f>($F$9+$F$10)*'ARP Timing'!C$16</f>
        <v>5.7722700000000016</v>
      </c>
      <c r="H31" s="891">
        <f>($F$9+$F$10)*'ARP Timing'!D$16</f>
        <v>4.0405890000000007</v>
      </c>
      <c r="I31" s="891">
        <f>($F$9+$F$10)*'ARP Timing'!E$16</f>
        <v>4.0405890000000007</v>
      </c>
      <c r="J31" s="891">
        <f>($F$9+$F$10)*'ARP Timing'!F$16</f>
        <v>4.0405890000000007</v>
      </c>
      <c r="K31" s="891">
        <f>($F$9+$F$10)*'ARP Timing'!G$16</f>
        <v>4.0405890000000007</v>
      </c>
      <c r="L31" s="891">
        <f>($F$9+$F$10)*'ARP Timing'!H$16</f>
        <v>4.0405890000000007</v>
      </c>
      <c r="M31" s="891">
        <f>($F$9+$F$10)*'ARP Timing'!I$16</f>
        <v>4.0405890000000007</v>
      </c>
      <c r="N31" s="891">
        <f>($F$9+$F$10)*'ARP Timing'!J$16</f>
        <v>4.0405890000000007</v>
      </c>
      <c r="O31" s="891">
        <f>($F$9+$F$10)*'ARP Timing'!K$16</f>
        <v>4.0405890000000007</v>
      </c>
      <c r="P31" s="891">
        <f>($F$9+$F$10)*'ARP Timing'!L$16</f>
        <v>4.0405890000000007</v>
      </c>
      <c r="Q31" s="891">
        <f>($F$9+$F$10)*'ARP Timing'!M$16</f>
        <v>4.0405890000000007</v>
      </c>
      <c r="R31" s="891">
        <f>($F$9+$F$10)*'ARP Timing'!N$16</f>
        <v>3.9168975000000006</v>
      </c>
      <c r="S31" s="891">
        <f>($F$9+$F$10)*'ARP Timing'!O$16</f>
        <v>3.9168975000000006</v>
      </c>
      <c r="T31" s="891">
        <f>($F$9+$F$10)*'ARP Timing'!P$16</f>
        <v>3.9168975000000006</v>
      </c>
      <c r="U31" s="891">
        <f>($F$9+$F$10)*'ARP Timing'!Q$16</f>
        <v>3.9168975000000006</v>
      </c>
      <c r="V31" s="891">
        <f>($F$9+$F$10)*'ARP Timing'!R$16</f>
        <v>3.9168975000000006</v>
      </c>
    </row>
    <row r="32" spans="1:23" x14ac:dyDescent="0.35">
      <c r="A32" s="891">
        <v>2022</v>
      </c>
      <c r="B32" s="41" t="s">
        <v>228</v>
      </c>
      <c r="C32" s="1334"/>
      <c r="G32" s="891">
        <f>($G$9+$G$10)*'ARP Timing'!B$16</f>
        <v>5.7722700000000016</v>
      </c>
      <c r="H32" s="891">
        <f>($G$9+$G$10)*'ARP Timing'!C$16</f>
        <v>5.7722700000000016</v>
      </c>
      <c r="I32" s="891">
        <f>($G$9+$G$10)*'ARP Timing'!D$16</f>
        <v>4.0405890000000007</v>
      </c>
      <c r="J32" s="891">
        <f>($G$9+$G$10)*'ARP Timing'!E$16</f>
        <v>4.0405890000000007</v>
      </c>
      <c r="K32" s="891">
        <f>($G$9+$G$10)*'ARP Timing'!F$16</f>
        <v>4.0405890000000007</v>
      </c>
      <c r="L32" s="891">
        <f>($G$9+$G$10)*'ARP Timing'!G$16</f>
        <v>4.0405890000000007</v>
      </c>
      <c r="M32" s="891">
        <f>($G$9+$G$10)*'ARP Timing'!H$16</f>
        <v>4.0405890000000007</v>
      </c>
      <c r="N32" s="891">
        <f>($G$9+$G$10)*'ARP Timing'!I$16</f>
        <v>4.0405890000000007</v>
      </c>
      <c r="O32" s="891">
        <f>($G$9+$G$10)*'ARP Timing'!J$16</f>
        <v>4.0405890000000007</v>
      </c>
      <c r="P32" s="891">
        <f>($G$9+$G$10)*'ARP Timing'!K$16</f>
        <v>4.0405890000000007</v>
      </c>
      <c r="Q32" s="891">
        <f>($G$9+$G$10)*'ARP Timing'!L$16</f>
        <v>4.0405890000000007</v>
      </c>
      <c r="R32" s="891">
        <f>($G$9+$G$10)*'ARP Timing'!M$16</f>
        <v>4.0405890000000007</v>
      </c>
      <c r="S32" s="891">
        <f>($G$9+$G$10)*'ARP Timing'!N$16</f>
        <v>3.9168975000000006</v>
      </c>
      <c r="T32" s="891">
        <f>($G$9+$G$10)*'ARP Timing'!O$16</f>
        <v>3.9168975000000006</v>
      </c>
      <c r="U32" s="891">
        <f>($G$9+$G$10)*'ARP Timing'!P$16</f>
        <v>3.9168975000000006</v>
      </c>
      <c r="V32" s="891">
        <f>($G$9+$G$10)*'ARP Timing'!Q$16</f>
        <v>3.9168975000000006</v>
      </c>
    </row>
    <row r="33" spans="1:23" x14ac:dyDescent="0.35">
      <c r="B33" s="41" t="s">
        <v>229</v>
      </c>
      <c r="C33" s="1334"/>
      <c r="H33" s="891">
        <f>($H$9+$H$10)*'ARP Timing'!B$16</f>
        <v>5.7722700000000016</v>
      </c>
      <c r="I33" s="891">
        <f>($H$9+$H$10)*'ARP Timing'!C$16</f>
        <v>5.7722700000000016</v>
      </c>
      <c r="J33" s="891">
        <f>($H$9+$H$10)*'ARP Timing'!D$16</f>
        <v>4.0405890000000007</v>
      </c>
      <c r="K33" s="891">
        <f>($H$9+$H$10)*'ARP Timing'!E$16</f>
        <v>4.0405890000000007</v>
      </c>
      <c r="L33" s="891">
        <f>($H$9+$H$10)*'ARP Timing'!F$16</f>
        <v>4.0405890000000007</v>
      </c>
      <c r="M33" s="891">
        <f>($H$9+$H$10)*'ARP Timing'!G$16</f>
        <v>4.0405890000000007</v>
      </c>
      <c r="N33" s="891">
        <f>($H$9+$H$10)*'ARP Timing'!H$16</f>
        <v>4.0405890000000007</v>
      </c>
      <c r="O33" s="891">
        <f>($H$9+$H$10)*'ARP Timing'!I$16</f>
        <v>4.0405890000000007</v>
      </c>
      <c r="P33" s="891">
        <f>($H$9+$H$10)*'ARP Timing'!J$16</f>
        <v>4.0405890000000007</v>
      </c>
      <c r="Q33" s="891">
        <f>($H$9+$H$10)*'ARP Timing'!K$16</f>
        <v>4.0405890000000007</v>
      </c>
      <c r="R33" s="891">
        <f>($H$9+$H$10)*'ARP Timing'!L$16</f>
        <v>4.0405890000000007</v>
      </c>
      <c r="S33" s="891">
        <f>($H$9+$H$10)*'ARP Timing'!M$16</f>
        <v>4.0405890000000007</v>
      </c>
      <c r="T33" s="891">
        <f>($H$9+$H$10)*'ARP Timing'!N$16</f>
        <v>3.9168975000000006</v>
      </c>
      <c r="U33" s="891">
        <f>($H$9+$H$10)*'ARP Timing'!O$16</f>
        <v>3.9168975000000006</v>
      </c>
      <c r="V33" s="891">
        <f>($H$9+$H$10)*'ARP Timing'!P$16</f>
        <v>3.9168975000000006</v>
      </c>
    </row>
    <row r="34" spans="1:23" x14ac:dyDescent="0.35">
      <c r="B34" s="41" t="s">
        <v>297</v>
      </c>
      <c r="C34" s="1334"/>
      <c r="H34" s="1334"/>
      <c r="I34" s="891">
        <f>($I$9+$I10)*'ARP Timing'!B$16</f>
        <v>5.7722700000000016</v>
      </c>
      <c r="J34" s="891">
        <f>($I$9+$I10)*'ARP Timing'!C$16</f>
        <v>5.7722700000000016</v>
      </c>
      <c r="K34" s="891">
        <f>($I$9+$I10)*'ARP Timing'!D$16</f>
        <v>4.0405890000000007</v>
      </c>
      <c r="L34" s="891">
        <f>($I$9+$I10)*'ARP Timing'!E$16</f>
        <v>4.0405890000000007</v>
      </c>
      <c r="M34" s="891">
        <f>($I$9+$I10)*'ARP Timing'!F$16</f>
        <v>4.0405890000000007</v>
      </c>
      <c r="N34" s="891">
        <f>($I$9+$I10)*'ARP Timing'!G$16</f>
        <v>4.0405890000000007</v>
      </c>
      <c r="O34" s="891">
        <f>($I$9+$I10)*'ARP Timing'!H$16</f>
        <v>4.0405890000000007</v>
      </c>
      <c r="P34" s="891">
        <f>($I$9+$I10)*'ARP Timing'!I$16</f>
        <v>4.0405890000000007</v>
      </c>
      <c r="Q34" s="891">
        <f>($I$9+$I10)*'ARP Timing'!J$16</f>
        <v>4.0405890000000007</v>
      </c>
      <c r="R34" s="891">
        <f>($I$9+$I10)*'ARP Timing'!K$16</f>
        <v>4.0405890000000007</v>
      </c>
      <c r="S34" s="891">
        <f>($I$9+$I10)*'ARP Timing'!L$16</f>
        <v>4.0405890000000007</v>
      </c>
      <c r="T34" s="891">
        <f>($I$9+$I10)*'ARP Timing'!M$16</f>
        <v>4.0405890000000007</v>
      </c>
      <c r="U34" s="891">
        <f>($I$9+$I10)*'ARP Timing'!N$16</f>
        <v>3.9168975000000006</v>
      </c>
      <c r="V34" s="891">
        <f>($I$9+$I10)*'ARP Timing'!O$16</f>
        <v>3.9168975000000006</v>
      </c>
    </row>
    <row r="35" spans="1:23" x14ac:dyDescent="0.35">
      <c r="B35" s="41" t="s">
        <v>741</v>
      </c>
      <c r="C35" s="1334"/>
      <c r="H35" s="1334"/>
      <c r="J35" s="891">
        <f>($J$9+$J$10)*'ARP Timing'!B$16</f>
        <v>4.3968400000000001</v>
      </c>
      <c r="K35" s="891">
        <f>($J$9+$J$10)*'ARP Timing'!C$16</f>
        <v>4.3968400000000001</v>
      </c>
      <c r="L35" s="891">
        <f>($J$9+$J$10)*'ARP Timing'!D$16</f>
        <v>3.077788</v>
      </c>
      <c r="M35" s="891">
        <f>($J$9+$J$10)*'ARP Timing'!E$16</f>
        <v>3.077788</v>
      </c>
      <c r="N35" s="891">
        <f>($J$9+$J$10)*'ARP Timing'!F$16</f>
        <v>3.077788</v>
      </c>
      <c r="O35" s="891">
        <f>($J$9+$J$10)*'ARP Timing'!G$16</f>
        <v>3.077788</v>
      </c>
      <c r="P35" s="891">
        <f>($J$9+$J$10)*'ARP Timing'!H$16</f>
        <v>3.077788</v>
      </c>
      <c r="Q35" s="891">
        <f>($J$9+$J$10)*'ARP Timing'!I$16</f>
        <v>3.077788</v>
      </c>
      <c r="R35" s="891">
        <f>($J$9+$J$10)*'ARP Timing'!J$16</f>
        <v>3.077788</v>
      </c>
      <c r="S35" s="891">
        <f>($J$9+$J$10)*'ARP Timing'!K$16</f>
        <v>3.077788</v>
      </c>
      <c r="T35" s="891">
        <f>($J$9+$J$10)*'ARP Timing'!L$16</f>
        <v>3.077788</v>
      </c>
      <c r="U35" s="891">
        <f>($J$9+$J$10)*'ARP Timing'!M$16</f>
        <v>3.077788</v>
      </c>
      <c r="V35" s="891">
        <f>($J$9+$J$10)*'ARP Timing'!N$16</f>
        <v>2.9835699999999998</v>
      </c>
    </row>
    <row r="36" spans="1:23" x14ac:dyDescent="0.35">
      <c r="A36" s="891">
        <v>2023</v>
      </c>
      <c r="B36" s="41" t="s">
        <v>228</v>
      </c>
      <c r="C36" s="1334"/>
      <c r="H36" s="1334"/>
      <c r="K36" s="891">
        <f>($K$9+$K$10)*'ARP Timing'!B$16</f>
        <v>4.3968400000000001</v>
      </c>
      <c r="L36" s="891">
        <f>($K$9+$K$10)*'ARP Timing'!C$16</f>
        <v>4.3968400000000001</v>
      </c>
      <c r="M36" s="891">
        <f>($K$9+$K$10)*'ARP Timing'!D$16</f>
        <v>3.077788</v>
      </c>
      <c r="N36" s="891">
        <f>($K$9+$K$10)*'ARP Timing'!E$16</f>
        <v>3.077788</v>
      </c>
      <c r="O36" s="891">
        <f>($K$9+$K$10)*'ARP Timing'!F$16</f>
        <v>3.077788</v>
      </c>
      <c r="P36" s="891">
        <f>($K$9+$K$10)*'ARP Timing'!G$16</f>
        <v>3.077788</v>
      </c>
      <c r="Q36" s="891">
        <f>($K$9+$K$10)*'ARP Timing'!H$16</f>
        <v>3.077788</v>
      </c>
      <c r="R36" s="891">
        <f>($K$9+$K$10)*'ARP Timing'!I$16</f>
        <v>3.077788</v>
      </c>
      <c r="S36" s="891">
        <f>($K$9+$K$10)*'ARP Timing'!J$16</f>
        <v>3.077788</v>
      </c>
      <c r="T36" s="891">
        <f>($K$9+$K$10)*'ARP Timing'!K$16</f>
        <v>3.077788</v>
      </c>
      <c r="U36" s="891">
        <f>($K$9+$K$10)*'ARP Timing'!L$16</f>
        <v>3.077788</v>
      </c>
      <c r="V36" s="891">
        <f>($K$9+$K$10)*'ARP Timing'!M$16</f>
        <v>3.077788</v>
      </c>
    </row>
    <row r="37" spans="1:23" x14ac:dyDescent="0.35">
      <c r="B37" s="41" t="s">
        <v>229</v>
      </c>
      <c r="C37" s="1334"/>
      <c r="H37" s="1334"/>
      <c r="L37" s="891">
        <f>($L$9+$L$10)*'ARP Timing'!B$16</f>
        <v>4.3968400000000001</v>
      </c>
      <c r="M37" s="891">
        <f>($L$9+$L$10)*'ARP Timing'!C$16</f>
        <v>4.3968400000000001</v>
      </c>
      <c r="N37" s="891">
        <f>($L$9+$L$10)*'ARP Timing'!D$16</f>
        <v>3.077788</v>
      </c>
      <c r="O37" s="891">
        <f>($L$9+$L$10)*'ARP Timing'!E$16</f>
        <v>3.077788</v>
      </c>
      <c r="P37" s="891">
        <f>($L$9+$L$10)*'ARP Timing'!F$16</f>
        <v>3.077788</v>
      </c>
      <c r="Q37" s="891">
        <f>($L$9+$L$10)*'ARP Timing'!G$16</f>
        <v>3.077788</v>
      </c>
      <c r="R37" s="891">
        <f>($L$9+$L$10)*'ARP Timing'!H$16</f>
        <v>3.077788</v>
      </c>
      <c r="S37" s="891">
        <f>($L$9+$L$10)*'ARP Timing'!I$16</f>
        <v>3.077788</v>
      </c>
      <c r="T37" s="891">
        <f>($L$9+$L$10)*'ARP Timing'!J$16</f>
        <v>3.077788</v>
      </c>
      <c r="U37" s="891">
        <f>($L$9+$L$10)*'ARP Timing'!K$16</f>
        <v>3.077788</v>
      </c>
      <c r="V37" s="891">
        <f>($L$9+$L$10)*'ARP Timing'!L$16</f>
        <v>3.077788</v>
      </c>
    </row>
    <row r="38" spans="1:23" x14ac:dyDescent="0.35">
      <c r="B38" s="41" t="s">
        <v>297</v>
      </c>
      <c r="C38" s="1334"/>
      <c r="H38" s="1334"/>
      <c r="M38" s="891">
        <f>($M$9+$M$10)*'ARP Timing'!B$16</f>
        <v>4.3968400000000001</v>
      </c>
      <c r="N38" s="891">
        <f>($M$9+$M$10)*'ARP Timing'!C$16</f>
        <v>4.3968400000000001</v>
      </c>
      <c r="O38" s="891">
        <f>($M$9+$M$10)*'ARP Timing'!D$16</f>
        <v>3.077788</v>
      </c>
      <c r="P38" s="891">
        <f>($M$9+$M$10)*'ARP Timing'!E$16</f>
        <v>3.077788</v>
      </c>
      <c r="Q38" s="891">
        <f>($M$9+$M$10)*'ARP Timing'!F$16</f>
        <v>3.077788</v>
      </c>
      <c r="R38" s="891">
        <f>($M$9+$M$10)*'ARP Timing'!G$16</f>
        <v>3.077788</v>
      </c>
      <c r="S38" s="891">
        <f>($M$9+$M$10)*'ARP Timing'!H$16</f>
        <v>3.077788</v>
      </c>
      <c r="T38" s="891">
        <f>($M$9+$M$10)*'ARP Timing'!I$16</f>
        <v>3.077788</v>
      </c>
      <c r="U38" s="891">
        <f>($M$9+$M$10)*'ARP Timing'!J$16</f>
        <v>3.077788</v>
      </c>
      <c r="V38" s="891">
        <f>($M$9+$M$10)*'ARP Timing'!K$16</f>
        <v>3.077788</v>
      </c>
    </row>
    <row r="39" spans="1:23" x14ac:dyDescent="0.35">
      <c r="B39" s="41" t="s">
        <v>741</v>
      </c>
      <c r="C39" s="1334"/>
      <c r="H39" s="1334"/>
      <c r="N39" s="891">
        <f>($N$9+$N$10)*'ARP Timing'!B$16</f>
        <v>2.9087800000000006</v>
      </c>
      <c r="O39" s="891">
        <f>($N$9+$N$10)*'ARP Timing'!C$16</f>
        <v>2.9087800000000006</v>
      </c>
      <c r="P39" s="891">
        <f>($N$9+$N$10)*'ARP Timing'!D$16</f>
        <v>2.036146</v>
      </c>
      <c r="Q39" s="891">
        <f>($N$9+$N$10)*'ARP Timing'!E$16</f>
        <v>2.036146</v>
      </c>
      <c r="R39" s="891">
        <f>($N$9+$N$10)*'ARP Timing'!F$16</f>
        <v>2.036146</v>
      </c>
      <c r="S39" s="891">
        <f>($N$9+$N$10)*'ARP Timing'!G$16</f>
        <v>2.036146</v>
      </c>
      <c r="T39" s="891">
        <f>($N$9+$N$10)*'ARP Timing'!H$16</f>
        <v>2.036146</v>
      </c>
      <c r="U39" s="891">
        <f>($N$9+$N$10)*'ARP Timing'!I$16</f>
        <v>2.036146</v>
      </c>
      <c r="V39" s="891">
        <f>($N$9+$N$10)*'ARP Timing'!J$16</f>
        <v>2.036146</v>
      </c>
    </row>
    <row r="40" spans="1:23" x14ac:dyDescent="0.35">
      <c r="A40" s="891">
        <v>2024</v>
      </c>
      <c r="B40" s="41" t="s">
        <v>228</v>
      </c>
      <c r="C40" s="1334"/>
      <c r="H40" s="1334"/>
      <c r="O40" s="891">
        <f>($O$9+$O$10)*'ARP Timing'!B$16</f>
        <v>2.9087800000000006</v>
      </c>
      <c r="P40" s="891">
        <f>($O$9+$O$10)*'ARP Timing'!C$16</f>
        <v>2.9087800000000006</v>
      </c>
      <c r="Q40" s="891">
        <f>($O$9+$O$10)*'ARP Timing'!D$16</f>
        <v>2.036146</v>
      </c>
      <c r="R40" s="891">
        <f>($O$9+$O$10)*'ARP Timing'!E$16</f>
        <v>2.036146</v>
      </c>
      <c r="S40" s="891">
        <f>($O$9+$O$10)*'ARP Timing'!F$16</f>
        <v>2.036146</v>
      </c>
      <c r="T40" s="891">
        <f>($O$9+$O$10)*'ARP Timing'!G$16</f>
        <v>2.036146</v>
      </c>
      <c r="U40" s="891">
        <f>($O$9+$O$10)*'ARP Timing'!H$16</f>
        <v>2.036146</v>
      </c>
      <c r="V40" s="891">
        <f>($O$9+$O$10)*'ARP Timing'!I$16</f>
        <v>2.036146</v>
      </c>
    </row>
    <row r="41" spans="1:23" x14ac:dyDescent="0.35">
      <c r="B41" s="41" t="s">
        <v>229</v>
      </c>
      <c r="C41" s="1334"/>
      <c r="H41" s="1334"/>
      <c r="P41" s="891">
        <f>($P$9+$P$10)*'ARP Timing'!B$16</f>
        <v>2.9087800000000006</v>
      </c>
      <c r="Q41" s="891">
        <f>($P$9+$P$10)*'ARP Timing'!C$16</f>
        <v>2.9087800000000006</v>
      </c>
      <c r="R41" s="891">
        <f>($P$9+$P$10)*'ARP Timing'!D$16</f>
        <v>2.036146</v>
      </c>
      <c r="S41" s="891">
        <f>($P$9+$P$10)*'ARP Timing'!E$16</f>
        <v>2.036146</v>
      </c>
      <c r="T41" s="891">
        <f>($P$9+$P$10)*'ARP Timing'!F$16</f>
        <v>2.036146</v>
      </c>
      <c r="U41" s="891">
        <f>($P$9+$P$10)*'ARP Timing'!G$16</f>
        <v>2.036146</v>
      </c>
      <c r="V41" s="891">
        <f>($P$9+$P$10)*'ARP Timing'!H$16</f>
        <v>2.036146</v>
      </c>
    </row>
    <row r="42" spans="1:23" x14ac:dyDescent="0.35">
      <c r="B42" s="41" t="s">
        <v>297</v>
      </c>
      <c r="C42" s="1334"/>
      <c r="H42" s="1334"/>
      <c r="Q42" s="891">
        <f>($Q$9+$Q$10)*'ARP Timing'!B$16</f>
        <v>2.9087800000000006</v>
      </c>
      <c r="R42" s="891">
        <f>($Q$9+$Q$10)*'ARP Timing'!C$16</f>
        <v>2.9087800000000006</v>
      </c>
      <c r="S42" s="891">
        <f>($Q$9+$Q$10)*'ARP Timing'!D$16</f>
        <v>2.036146</v>
      </c>
      <c r="T42" s="891">
        <f>($Q$9+$Q$10)*'ARP Timing'!E$16</f>
        <v>2.036146</v>
      </c>
      <c r="U42" s="891">
        <f>($Q$9+$Q$10)*'ARP Timing'!F$16</f>
        <v>2.036146</v>
      </c>
      <c r="V42" s="891">
        <f>($Q$9+$Q$10)*'ARP Timing'!G$16</f>
        <v>2.036146</v>
      </c>
    </row>
    <row r="43" spans="1:23" x14ac:dyDescent="0.35">
      <c r="B43" s="41" t="s">
        <v>741</v>
      </c>
      <c r="C43" s="1334"/>
      <c r="H43" s="1334"/>
      <c r="R43" s="891">
        <f>($R$9+$R$10)*'ARP Timing'!B$16</f>
        <v>1.9374600000000002</v>
      </c>
      <c r="S43" s="891">
        <f>($R$9+$R$10)*'ARP Timing'!C$16</f>
        <v>1.9374600000000002</v>
      </c>
      <c r="T43" s="891">
        <f>($R$9+$R$10)*'ARP Timing'!D$16</f>
        <v>1.356222</v>
      </c>
      <c r="U43" s="891">
        <f>($R$9+$R$10)*'ARP Timing'!E$16</f>
        <v>1.356222</v>
      </c>
      <c r="V43" s="891">
        <f>($R$9+$R$10)*'ARP Timing'!F$16</f>
        <v>1.356222</v>
      </c>
    </row>
    <row r="44" spans="1:23" x14ac:dyDescent="0.35">
      <c r="S44" s="891">
        <f>($S$9+$S$10)*'ARP Timing'!B$16</f>
        <v>1.9374600000000002</v>
      </c>
      <c r="T44" s="891">
        <f>($S$9+$S$10)*'ARP Timing'!C$16</f>
        <v>1.9374600000000002</v>
      </c>
      <c r="U44" s="891">
        <f>($S$9+$S$10)*'ARP Timing'!D$16</f>
        <v>1.356222</v>
      </c>
      <c r="V44" s="891">
        <f>($S$9+$S$10)*'ARP Timing'!E$16</f>
        <v>1.356222</v>
      </c>
    </row>
    <row r="46" spans="1:23" x14ac:dyDescent="0.35">
      <c r="B46" s="891" t="s">
        <v>742</v>
      </c>
      <c r="D46" s="759" t="s">
        <v>238</v>
      </c>
      <c r="E46" s="759" t="s">
        <v>168</v>
      </c>
      <c r="F46" s="759" t="s">
        <v>169</v>
      </c>
      <c r="G46" s="759" t="s">
        <v>170</v>
      </c>
      <c r="H46" s="759" t="s">
        <v>171</v>
      </c>
      <c r="I46" s="759" t="s">
        <v>172</v>
      </c>
      <c r="J46" s="759" t="s">
        <v>173</v>
      </c>
      <c r="K46" s="759" t="s">
        <v>174</v>
      </c>
      <c r="L46" s="759" t="s">
        <v>175</v>
      </c>
      <c r="M46" s="759" t="s">
        <v>176</v>
      </c>
      <c r="N46" s="759" t="s">
        <v>177</v>
      </c>
      <c r="O46" s="759" t="s">
        <v>178</v>
      </c>
      <c r="P46" s="759" t="s">
        <v>179</v>
      </c>
      <c r="Q46" s="759" t="s">
        <v>163</v>
      </c>
      <c r="R46" s="759" t="s">
        <v>164</v>
      </c>
      <c r="S46" s="759" t="s">
        <v>165</v>
      </c>
      <c r="T46" s="759" t="s">
        <v>730</v>
      </c>
      <c r="U46" s="759" t="s">
        <v>731</v>
      </c>
      <c r="V46" s="759" t="s">
        <v>732</v>
      </c>
    </row>
    <row r="47" spans="1:23" x14ac:dyDescent="0.35">
      <c r="B47" s="41"/>
      <c r="C47" s="1334" t="s">
        <v>278</v>
      </c>
      <c r="D47" s="1338">
        <f t="shared" ref="D47:U47" si="42">SUM(D48:D66)</f>
        <v>0</v>
      </c>
      <c r="E47" s="1338">
        <f t="shared" si="42"/>
        <v>0</v>
      </c>
      <c r="F47" s="1338">
        <f t="shared" si="42"/>
        <v>34.620851999999999</v>
      </c>
      <c r="G47" s="1338">
        <f t="shared" si="42"/>
        <v>50.996274799999995</v>
      </c>
      <c r="H47" s="1338">
        <f t="shared" si="42"/>
        <v>69.350031999999999</v>
      </c>
      <c r="I47" s="1338">
        <f t="shared" si="42"/>
        <v>79.295867999999999</v>
      </c>
      <c r="J47" s="1338">
        <f t="shared" si="42"/>
        <v>80.538927999999999</v>
      </c>
      <c r="K47" s="1338">
        <f t="shared" si="42"/>
        <v>80.122543199999996</v>
      </c>
      <c r="L47" s="1338">
        <f t="shared" si="42"/>
        <v>88.916719999999998</v>
      </c>
      <c r="M47" s="1338">
        <f t="shared" si="42"/>
        <v>92.213943999999998</v>
      </c>
      <c r="N47" s="1338">
        <f t="shared" si="42"/>
        <v>92.213943999999998</v>
      </c>
      <c r="O47" s="1338">
        <f t="shared" si="42"/>
        <v>94.213943999999998</v>
      </c>
      <c r="P47" s="1338">
        <f t="shared" si="42"/>
        <v>98.916719999999998</v>
      </c>
      <c r="Q47" s="1338">
        <f t="shared" si="42"/>
        <v>98.916719999999998</v>
      </c>
      <c r="R47" s="1338">
        <f t="shared" si="42"/>
        <v>99.081581199999988</v>
      </c>
      <c r="S47" s="1338">
        <f t="shared" si="42"/>
        <v>93.146578000000005</v>
      </c>
      <c r="T47" s="1338">
        <f t="shared" si="42"/>
        <v>86.552129999999991</v>
      </c>
      <c r="U47" s="1338">
        <f t="shared" si="42"/>
        <v>86.552129999999991</v>
      </c>
      <c r="V47" s="1338">
        <f>SUM(V48:V66)</f>
        <v>82.265738799999994</v>
      </c>
      <c r="W47" s="891">
        <f>SUM(G47:V47)/4</f>
        <v>343.32344900000004</v>
      </c>
    </row>
    <row r="48" spans="1:23" x14ac:dyDescent="0.35">
      <c r="A48" s="891">
        <v>2021</v>
      </c>
      <c r="B48" s="41" t="s">
        <v>740</v>
      </c>
      <c r="C48" s="1334"/>
      <c r="D48" s="891">
        <f>($D$8)*'ARP Timing'!B17</f>
        <v>0</v>
      </c>
      <c r="E48" s="891">
        <f>($D$8)*'ARP Timing'!C17</f>
        <v>0</v>
      </c>
      <c r="F48" s="891">
        <f>($D$8)*'ARP Timing'!D17</f>
        <v>34.620851999999999</v>
      </c>
      <c r="G48" s="891">
        <f>($D$8)*'ARP Timing'!E17</f>
        <v>45.996274799999995</v>
      </c>
      <c r="H48" s="891">
        <f>($D$8)*'ARP Timing'!F17</f>
        <v>59.350031999999992</v>
      </c>
      <c r="I48" s="891">
        <f>($D$8)*'ARP Timing'!G17</f>
        <v>64.295867999999999</v>
      </c>
      <c r="J48" s="891">
        <f>($D$8)*'ARP Timing'!H17</f>
        <v>49.458359999999999</v>
      </c>
      <c r="K48" s="891">
        <f>($D$8)*'ARP Timing'!I17</f>
        <v>49.458359999999999</v>
      </c>
      <c r="L48" s="891">
        <f>($D$8)*'ARP Timing'!J17</f>
        <v>59.350031999999992</v>
      </c>
      <c r="M48" s="891">
        <f>($D$8)*'ARP Timing'!K17</f>
        <v>59.350031999999992</v>
      </c>
      <c r="N48" s="891">
        <f>($D$8)*'ARP Timing'!L17</f>
        <v>69.241703999999999</v>
      </c>
      <c r="O48" s="891">
        <f>($D$8)*'ARP Timing'!M17</f>
        <v>69.241703999999999</v>
      </c>
      <c r="P48" s="891">
        <f>($D$8)*'ARP Timing'!N17</f>
        <v>59.350031999999992</v>
      </c>
      <c r="Q48" s="891">
        <f>($D$8)*'ARP Timing'!O17</f>
        <v>59.350031999999992</v>
      </c>
      <c r="R48" s="891">
        <f>($D$8)*'ARP Timing'!P17</f>
        <v>52.920445199999989</v>
      </c>
      <c r="S48" s="891">
        <f>($D$8)*'ARP Timing'!Q17</f>
        <v>46.985441999999992</v>
      </c>
      <c r="T48" s="891">
        <f>($D$8)*'ARP Timing'!R17</f>
        <v>46.985441999999992</v>
      </c>
      <c r="U48" s="891">
        <f>($D$8)*'ARP Timing'!S17</f>
        <v>46.985441999999992</v>
      </c>
      <c r="V48" s="891">
        <f>($D$8)*'ARP Timing'!T17</f>
        <v>46.985441999999992</v>
      </c>
    </row>
    <row r="49" spans="1:22" x14ac:dyDescent="0.35">
      <c r="B49" s="41" t="s">
        <v>297</v>
      </c>
      <c r="C49" s="1334"/>
      <c r="E49" s="891">
        <f>($E$8)*'ARP Timing'!B$17</f>
        <v>0</v>
      </c>
      <c r="F49" s="891">
        <f>($E$8)*'ARP Timing'!C$16</f>
        <v>0</v>
      </c>
      <c r="G49" s="891">
        <f>($E$8)*'ARP Timing'!D$16</f>
        <v>0</v>
      </c>
      <c r="H49" s="891">
        <f>($E$8)*'ARP Timing'!E$16</f>
        <v>0</v>
      </c>
      <c r="I49" s="891">
        <f>($E$8)*'ARP Timing'!F$16</f>
        <v>0</v>
      </c>
      <c r="J49" s="891">
        <f>($E$8)*'ARP Timing'!G$16</f>
        <v>0</v>
      </c>
      <c r="K49" s="891">
        <f>($E$8)*'ARP Timing'!H$16</f>
        <v>0</v>
      </c>
      <c r="L49" s="891">
        <f>($E$8)*'ARP Timing'!I$16</f>
        <v>0</v>
      </c>
      <c r="M49" s="891">
        <f>($E$8)*'ARP Timing'!J$16</f>
        <v>0</v>
      </c>
      <c r="N49" s="891">
        <f>($E$8)*'ARP Timing'!K$16</f>
        <v>0</v>
      </c>
      <c r="O49" s="891">
        <f>($E$8)*'ARP Timing'!L$16</f>
        <v>0</v>
      </c>
      <c r="P49" s="891">
        <f>($E$8)*'ARP Timing'!M$16</f>
        <v>0</v>
      </c>
      <c r="Q49" s="891">
        <f>($E$8)*'ARP Timing'!N$16</f>
        <v>0</v>
      </c>
      <c r="R49" s="891">
        <f>($E$8)*'ARP Timing'!O$16</f>
        <v>0</v>
      </c>
      <c r="S49" s="891">
        <f>($E$8)*'ARP Timing'!P$16</f>
        <v>0</v>
      </c>
      <c r="T49" s="891">
        <f>($E$8)*'ARP Timing'!Q$16</f>
        <v>0</v>
      </c>
      <c r="U49" s="891">
        <f>($E$8)*'ARP Timing'!R$16</f>
        <v>0</v>
      </c>
      <c r="V49" s="891">
        <f>($E$8)*'ARP Timing'!S$16</f>
        <v>0</v>
      </c>
    </row>
    <row r="50" spans="1:22" x14ac:dyDescent="0.35">
      <c r="B50" s="41" t="s">
        <v>741</v>
      </c>
      <c r="C50" s="1334"/>
      <c r="F50" s="891">
        <f>($F$8)*'ARP Timing'!C$17</f>
        <v>0</v>
      </c>
      <c r="G50" s="891">
        <f>($F$8)*'ARP Timing'!D$17</f>
        <v>0</v>
      </c>
      <c r="H50" s="891">
        <f>($F$8)*'ARP Timing'!E$17</f>
        <v>0</v>
      </c>
      <c r="I50" s="891">
        <f>($F$8)*'ARP Timing'!F$17</f>
        <v>0</v>
      </c>
      <c r="J50" s="891">
        <f>($F$8)*'ARP Timing'!G$17</f>
        <v>0</v>
      </c>
      <c r="K50" s="891">
        <f>($F$8)*'ARP Timing'!H$17</f>
        <v>0</v>
      </c>
      <c r="L50" s="891">
        <f>($F$8)*'ARP Timing'!I$17</f>
        <v>0</v>
      </c>
      <c r="M50" s="891">
        <f>($F$8)*'ARP Timing'!J$17</f>
        <v>0</v>
      </c>
      <c r="N50" s="891">
        <f>($F$8)*'ARP Timing'!K$17</f>
        <v>0</v>
      </c>
      <c r="O50" s="891">
        <f>($F$8)*'ARP Timing'!L$17</f>
        <v>0</v>
      </c>
      <c r="P50" s="891">
        <f>($F$8)*'ARP Timing'!M$17</f>
        <v>0</v>
      </c>
      <c r="Q50" s="891">
        <f>($F$8)*'ARP Timing'!N$17</f>
        <v>0</v>
      </c>
      <c r="R50" s="891">
        <f>($F$8)*'ARP Timing'!O$17</f>
        <v>0</v>
      </c>
      <c r="S50" s="891">
        <f>($F$8)*'ARP Timing'!P$17</f>
        <v>0</v>
      </c>
      <c r="T50" s="891">
        <f>($F$8)*'ARP Timing'!Q$17</f>
        <v>0</v>
      </c>
      <c r="U50" s="891">
        <f>($F$8)*'ARP Timing'!R$17</f>
        <v>0</v>
      </c>
      <c r="V50" s="891">
        <f>($F$8)*'ARP Timing'!S$17</f>
        <v>0</v>
      </c>
    </row>
    <row r="51" spans="1:22" x14ac:dyDescent="0.35">
      <c r="A51" s="891">
        <v>2022</v>
      </c>
      <c r="B51" s="41" t="s">
        <v>228</v>
      </c>
      <c r="C51" s="1334"/>
      <c r="G51" s="891">
        <f>($G$8)*'ARP Timing'!D$17</f>
        <v>0</v>
      </c>
      <c r="H51" s="891">
        <f>($G$8)*'ARP Timing'!E$17</f>
        <v>0</v>
      </c>
      <c r="I51" s="891">
        <f>($G$8)*'ARP Timing'!F$17</f>
        <v>0</v>
      </c>
      <c r="J51" s="891">
        <f>($G$8)*'ARP Timing'!G$17</f>
        <v>0</v>
      </c>
      <c r="K51" s="891">
        <f>($G$8)*'ARP Timing'!H$17</f>
        <v>0</v>
      </c>
      <c r="L51" s="891">
        <f>($G$8)*'ARP Timing'!I$17</f>
        <v>0</v>
      </c>
      <c r="M51" s="891">
        <f>($G$8)*'ARP Timing'!J$17</f>
        <v>0</v>
      </c>
      <c r="N51" s="891">
        <f>($G$8)*'ARP Timing'!K$17</f>
        <v>0</v>
      </c>
      <c r="O51" s="891">
        <f>($G$8)*'ARP Timing'!L$17</f>
        <v>0</v>
      </c>
      <c r="P51" s="891">
        <f>($G$8)*'ARP Timing'!M$17</f>
        <v>0</v>
      </c>
      <c r="Q51" s="891">
        <f>($G$8)*'ARP Timing'!N$17</f>
        <v>0</v>
      </c>
      <c r="R51" s="891">
        <f>($G$8)*'ARP Timing'!O$17</f>
        <v>0</v>
      </c>
      <c r="S51" s="891">
        <f>($G$8)*'ARP Timing'!P$17</f>
        <v>0</v>
      </c>
      <c r="T51" s="891">
        <f>($G$8)*'ARP Timing'!Q$17</f>
        <v>0</v>
      </c>
      <c r="U51" s="891">
        <f>($G$8)*'ARP Timing'!R$17</f>
        <v>0</v>
      </c>
      <c r="V51" s="891">
        <f>($G$8)*'ARP Timing'!S$17</f>
        <v>0</v>
      </c>
    </row>
    <row r="52" spans="1:22" x14ac:dyDescent="0.35">
      <c r="B52" s="41" t="s">
        <v>229</v>
      </c>
      <c r="C52" s="1334"/>
      <c r="H52" s="891">
        <f>($H$8)*'ARP Timing'!B$17</f>
        <v>0</v>
      </c>
      <c r="I52" s="891">
        <f>($H$8)*'ARP Timing'!C$17</f>
        <v>0</v>
      </c>
      <c r="J52" s="891">
        <f>($H$8)*'ARP Timing'!D$17</f>
        <v>23.080568000000003</v>
      </c>
      <c r="K52" s="891">
        <f>($H$8)*'ARP Timing'!E$17</f>
        <v>30.6641832</v>
      </c>
      <c r="L52" s="891">
        <f>($H$8)*'ARP Timing'!F$17</f>
        <v>39.566687999999999</v>
      </c>
      <c r="M52" s="891">
        <f>($H$8)*'ARP Timing'!G$17</f>
        <v>42.863911999999999</v>
      </c>
      <c r="N52" s="891">
        <f>($H$8)*'ARP Timing'!H$17</f>
        <v>32.972239999999999</v>
      </c>
      <c r="O52" s="891">
        <f>($H$8)*'ARP Timing'!I$17</f>
        <v>32.972239999999999</v>
      </c>
      <c r="P52" s="891">
        <f>($H$8)*'ARP Timing'!J$17</f>
        <v>39.566687999999999</v>
      </c>
      <c r="Q52" s="891">
        <f>($H$8)*'ARP Timing'!K$17</f>
        <v>39.566687999999999</v>
      </c>
      <c r="R52" s="891">
        <f>($H$8)*'ARP Timing'!L$17</f>
        <v>46.161136000000006</v>
      </c>
      <c r="S52" s="891">
        <f>($H$8)*'ARP Timing'!M$17</f>
        <v>46.161136000000006</v>
      </c>
      <c r="T52" s="891">
        <f>($H$8)*'ARP Timing'!N$17</f>
        <v>39.566687999999999</v>
      </c>
      <c r="U52" s="891">
        <f>($H$8)*'ARP Timing'!O$17</f>
        <v>39.566687999999999</v>
      </c>
      <c r="V52" s="891">
        <f>($H$8)*'ARP Timing'!P$17</f>
        <v>35.280296800000002</v>
      </c>
    </row>
    <row r="53" spans="1:22" x14ac:dyDescent="0.35">
      <c r="B53" s="41" t="s">
        <v>297</v>
      </c>
      <c r="C53" s="1334"/>
      <c r="H53" s="1334"/>
      <c r="I53" s="891">
        <f>($I$8)*'ARP Timing'!B$17</f>
        <v>0</v>
      </c>
      <c r="J53" s="891">
        <f>($I$8)*'ARP Timing'!C$17</f>
        <v>0</v>
      </c>
      <c r="K53" s="891">
        <f>($I$8)*'ARP Timing'!D$17</f>
        <v>0</v>
      </c>
      <c r="L53" s="891">
        <f>($I$8)*'ARP Timing'!E$17</f>
        <v>0</v>
      </c>
      <c r="M53" s="891">
        <f>($I$8)*'ARP Timing'!F$17</f>
        <v>0</v>
      </c>
      <c r="N53" s="891">
        <f>($I$8)*'ARP Timing'!G$17</f>
        <v>0</v>
      </c>
      <c r="O53" s="891">
        <f>($I$8)*'ARP Timing'!H$17</f>
        <v>0</v>
      </c>
      <c r="P53" s="891">
        <f>($I$8)*'ARP Timing'!I$17</f>
        <v>0</v>
      </c>
      <c r="Q53" s="891">
        <f>($I$8)*'ARP Timing'!J$17</f>
        <v>0</v>
      </c>
      <c r="R53" s="891">
        <f>($I$8)*'ARP Timing'!K$17</f>
        <v>0</v>
      </c>
      <c r="S53" s="891">
        <f>($I$8)*'ARP Timing'!L$17</f>
        <v>0</v>
      </c>
      <c r="T53" s="891">
        <f>($I$8)*'ARP Timing'!M$17</f>
        <v>0</v>
      </c>
      <c r="U53" s="891">
        <f>($I$8)*'ARP Timing'!N$17</f>
        <v>0</v>
      </c>
      <c r="V53" s="891">
        <f>($I$8)*'ARP Timing'!O$17</f>
        <v>0</v>
      </c>
    </row>
    <row r="54" spans="1:22" x14ac:dyDescent="0.35">
      <c r="B54" s="41" t="s">
        <v>741</v>
      </c>
      <c r="C54" s="1334"/>
      <c r="H54" s="1334"/>
    </row>
    <row r="55" spans="1:22" x14ac:dyDescent="0.35">
      <c r="A55" s="891">
        <v>2023</v>
      </c>
      <c r="B55" s="41" t="s">
        <v>228</v>
      </c>
      <c r="C55" s="1334"/>
      <c r="H55" s="1334"/>
    </row>
    <row r="56" spans="1:22" x14ac:dyDescent="0.35">
      <c r="B56" s="41" t="s">
        <v>229</v>
      </c>
      <c r="C56" s="1334"/>
      <c r="H56" s="1334"/>
    </row>
    <row r="57" spans="1:22" x14ac:dyDescent="0.35">
      <c r="B57" s="41" t="s">
        <v>297</v>
      </c>
      <c r="C57" s="1334"/>
      <c r="H57" s="1334"/>
    </row>
    <row r="58" spans="1:22" x14ac:dyDescent="0.35">
      <c r="B58" s="41" t="s">
        <v>741</v>
      </c>
      <c r="C58" s="1334"/>
      <c r="H58" s="1334"/>
    </row>
    <row r="59" spans="1:22" x14ac:dyDescent="0.35">
      <c r="A59" s="891">
        <v>2024</v>
      </c>
      <c r="B59" s="41" t="s">
        <v>228</v>
      </c>
      <c r="C59" s="1334"/>
      <c r="H59" s="1334"/>
    </row>
    <row r="60" spans="1:22" x14ac:dyDescent="0.35">
      <c r="B60" s="41" t="s">
        <v>229</v>
      </c>
      <c r="C60" s="1334"/>
      <c r="H60" s="1334"/>
    </row>
    <row r="61" spans="1:22" x14ac:dyDescent="0.35">
      <c r="B61" s="41" t="s">
        <v>297</v>
      </c>
      <c r="C61" s="1334"/>
      <c r="H61" s="1334"/>
    </row>
    <row r="62" spans="1:22" x14ac:dyDescent="0.35">
      <c r="B62" s="41" t="s">
        <v>741</v>
      </c>
      <c r="C62" s="1334"/>
      <c r="H62" s="1334"/>
    </row>
    <row r="63" spans="1:22" x14ac:dyDescent="0.35">
      <c r="A63" t="s">
        <v>848</v>
      </c>
      <c r="B63" s="41"/>
      <c r="C63" s="1334"/>
      <c r="G63">
        <v>5</v>
      </c>
      <c r="H63" s="1334">
        <v>10</v>
      </c>
      <c r="I63">
        <v>15</v>
      </c>
      <c r="J63">
        <v>8</v>
      </c>
      <c r="K63">
        <v>0</v>
      </c>
      <c r="L63">
        <v>-10</v>
      </c>
      <c r="M63">
        <v>-10</v>
      </c>
      <c r="N63">
        <v>-10</v>
      </c>
      <c r="O63">
        <v>-8</v>
      </c>
    </row>
    <row r="64" spans="1:22" x14ac:dyDescent="0.35">
      <c r="B64" s="41"/>
      <c r="C64" s="1334"/>
      <c r="H64" s="1334"/>
    </row>
    <row r="65" spans="2:24" x14ac:dyDescent="0.35">
      <c r="B65" s="41"/>
      <c r="C65" s="1334"/>
      <c r="H65" s="1334"/>
    </row>
    <row r="66" spans="2:24" x14ac:dyDescent="0.35">
      <c r="B66" s="41"/>
      <c r="C66" s="1334"/>
      <c r="H66" s="1334"/>
    </row>
    <row r="67" spans="2:24" x14ac:dyDescent="0.35">
      <c r="B67" s="41"/>
      <c r="C67" s="1334"/>
      <c r="H67" s="1334"/>
    </row>
    <row r="68" spans="2:24" x14ac:dyDescent="0.35">
      <c r="B68" s="41"/>
      <c r="C68" s="1334"/>
      <c r="H68" s="1334"/>
    </row>
    <row r="69" spans="2:24" x14ac:dyDescent="0.35">
      <c r="B69" s="41"/>
      <c r="C69" s="1334"/>
      <c r="H69" s="1334"/>
    </row>
    <row r="70" spans="2:24" x14ac:dyDescent="0.35">
      <c r="B70" s="41"/>
      <c r="C70" s="1334"/>
      <c r="H70" s="1334"/>
    </row>
    <row r="71" spans="2:24" x14ac:dyDescent="0.35">
      <c r="B71" s="41"/>
      <c r="C71" s="1334"/>
      <c r="H71" s="1334"/>
    </row>
    <row r="72" spans="2:24" x14ac:dyDescent="0.35">
      <c r="B72" s="41"/>
      <c r="C72" s="1334"/>
      <c r="H72" s="1334"/>
    </row>
    <row r="73" spans="2:24" x14ac:dyDescent="0.35">
      <c r="B73" s="41" t="s">
        <v>743</v>
      </c>
      <c r="C73" s="1335">
        <v>2021</v>
      </c>
      <c r="D73" s="1335">
        <v>2022</v>
      </c>
      <c r="E73" s="1335">
        <v>2023</v>
      </c>
      <c r="F73" s="1335">
        <v>2024</v>
      </c>
      <c r="G73" s="1335">
        <v>2025</v>
      </c>
      <c r="H73" s="1334"/>
    </row>
    <row r="74" spans="2:24" x14ac:dyDescent="0.35">
      <c r="B74" s="41" t="s">
        <v>640</v>
      </c>
      <c r="C74" s="1339">
        <f t="shared" ref="C74:C85" si="43">SUM(C4:E4)/4</f>
        <v>0.77600000000001046</v>
      </c>
      <c r="D74" s="1339">
        <f t="shared" ref="D74:D85" si="44">SUM(F4:I4)/4</f>
        <v>19.719000000000005</v>
      </c>
      <c r="E74" s="1339">
        <f t="shared" ref="E74:E85" si="45">SUM(J4:M4)/4</f>
        <v>1.4159999999999999</v>
      </c>
      <c r="F74" s="1339">
        <f t="shared" ref="F74:F85" si="46">SUM(N4:Q4)/4</f>
        <v>1.4790000000000001</v>
      </c>
      <c r="G74" s="1339">
        <f t="shared" ref="G74:G85" si="47">SUM(R4:U4)/4</f>
        <v>1.63</v>
      </c>
    </row>
    <row r="75" spans="2:24" x14ac:dyDescent="0.35">
      <c r="B75" s="41" t="s">
        <v>641</v>
      </c>
      <c r="C75" s="1339">
        <f t="shared" si="43"/>
        <v>19.722000000000016</v>
      </c>
      <c r="D75" s="1339">
        <f t="shared" si="44"/>
        <v>52.756999999999998</v>
      </c>
      <c r="E75" s="1339">
        <f t="shared" si="45"/>
        <v>12</v>
      </c>
      <c r="F75" s="1339">
        <f t="shared" si="46"/>
        <v>4.2219999999999995</v>
      </c>
      <c r="G75" s="1339">
        <f t="shared" si="47"/>
        <v>2.3719999999999999</v>
      </c>
      <c r="H75" s="1334"/>
    </row>
    <row r="76" spans="2:24" x14ac:dyDescent="0.35">
      <c r="B76" s="41" t="s">
        <v>43</v>
      </c>
      <c r="C76" s="1339">
        <f t="shared" si="43"/>
        <v>81.643000000000001</v>
      </c>
      <c r="D76" s="1339">
        <f t="shared" si="44"/>
        <v>110.24799999999999</v>
      </c>
      <c r="E76" s="1339">
        <f t="shared" si="45"/>
        <v>12.726000000000001</v>
      </c>
      <c r="F76" s="1339">
        <f t="shared" si="46"/>
        <v>1.365</v>
      </c>
      <c r="G76" s="1339">
        <f t="shared" si="47"/>
        <v>-0.90100000000000025</v>
      </c>
      <c r="H76" s="1334"/>
      <c r="O76" s="41"/>
      <c r="P76" s="41"/>
      <c r="Q76" s="41"/>
      <c r="R76" s="41"/>
      <c r="S76" s="1340"/>
      <c r="T76" s="1340"/>
      <c r="U76" s="1340"/>
      <c r="V76" s="24"/>
      <c r="W76" s="41"/>
      <c r="X76" s="41"/>
    </row>
    <row r="77" spans="2:24" x14ac:dyDescent="0.35">
      <c r="B77" s="41" t="s">
        <v>119</v>
      </c>
      <c r="C77" s="1339">
        <f t="shared" si="43"/>
        <v>7.798</v>
      </c>
      <c r="D77" s="1339">
        <f t="shared" si="44"/>
        <v>7.9489999999999998</v>
      </c>
      <c r="E77" s="1339">
        <f t="shared" si="45"/>
        <v>4.7519999999999998</v>
      </c>
      <c r="F77" s="1339">
        <f t="shared" si="46"/>
        <v>4.637999999999999</v>
      </c>
      <c r="G77" s="1339">
        <f t="shared" si="47"/>
        <v>1.8800000000000001</v>
      </c>
      <c r="H77" s="1334"/>
    </row>
    <row r="78" spans="2:24" x14ac:dyDescent="0.35">
      <c r="B78" s="1337" t="s">
        <v>314</v>
      </c>
      <c r="C78" s="1339">
        <f t="shared" si="43"/>
        <v>247.29179999999997</v>
      </c>
      <c r="D78" s="1339">
        <f t="shared" si="44"/>
        <v>164.8612</v>
      </c>
      <c r="E78" s="1339">
        <f t="shared" si="45"/>
        <v>0</v>
      </c>
      <c r="F78" s="1339">
        <f t="shared" si="46"/>
        <v>0</v>
      </c>
      <c r="G78" s="1339">
        <f t="shared" si="47"/>
        <v>0</v>
      </c>
      <c r="H78" s="1334"/>
      <c r="R78" s="1305"/>
      <c r="S78" s="1305"/>
    </row>
    <row r="79" spans="2:24" x14ac:dyDescent="0.35">
      <c r="B79" s="1337" t="s">
        <v>138</v>
      </c>
      <c r="C79" s="1339">
        <f t="shared" si="43"/>
        <v>12.347</v>
      </c>
      <c r="D79" s="1339">
        <f t="shared" si="44"/>
        <v>46.79</v>
      </c>
      <c r="E79" s="1339">
        <f t="shared" si="45"/>
        <v>38.595999999999997</v>
      </c>
      <c r="F79" s="1339">
        <f t="shared" si="46"/>
        <v>31.911000000000001</v>
      </c>
      <c r="G79" s="1339">
        <f t="shared" si="47"/>
        <v>23.099</v>
      </c>
      <c r="H79" s="1334"/>
      <c r="R79" s="1305"/>
      <c r="S79" s="1305"/>
    </row>
    <row r="80" spans="2:24" x14ac:dyDescent="0.35">
      <c r="B80" s="1337" t="s">
        <v>330</v>
      </c>
      <c r="C80" s="1339">
        <f t="shared" si="43"/>
        <v>29.628</v>
      </c>
      <c r="D80" s="1339">
        <f t="shared" si="44"/>
        <v>35.671000000000006</v>
      </c>
      <c r="E80" s="1339">
        <f t="shared" si="45"/>
        <v>24.216000000000001</v>
      </c>
      <c r="F80" s="1339">
        <f t="shared" si="46"/>
        <v>9.6430000000000007</v>
      </c>
      <c r="G80" s="1339">
        <f t="shared" si="47"/>
        <v>4.5789999999999997</v>
      </c>
      <c r="H80" s="1334"/>
      <c r="R80" s="1305"/>
      <c r="S80" s="1305"/>
    </row>
    <row r="81" spans="2:19" x14ac:dyDescent="0.35">
      <c r="B81" s="24" t="s">
        <v>147</v>
      </c>
      <c r="C81" s="1339">
        <f t="shared" si="43"/>
        <v>25.75</v>
      </c>
      <c r="D81" s="1339">
        <f t="shared" si="44"/>
        <v>0</v>
      </c>
      <c r="E81" s="1339">
        <f t="shared" si="45"/>
        <v>0</v>
      </c>
      <c r="F81" s="1339">
        <f t="shared" si="46"/>
        <v>0</v>
      </c>
      <c r="G81" s="1339">
        <f t="shared" si="47"/>
        <v>0</v>
      </c>
      <c r="H81" s="1334"/>
      <c r="R81" s="1305"/>
      <c r="S81" s="1305"/>
    </row>
    <row r="82" spans="2:19" x14ac:dyDescent="0.35">
      <c r="B82" s="41" t="s">
        <v>97</v>
      </c>
      <c r="C82" s="1339">
        <f t="shared" si="43"/>
        <v>31.939</v>
      </c>
      <c r="D82" s="1339">
        <f t="shared" si="44"/>
        <v>56.413000000000004</v>
      </c>
      <c r="E82" s="1339">
        <f t="shared" si="45"/>
        <v>15.652999999999999</v>
      </c>
      <c r="F82" s="1339">
        <f t="shared" si="46"/>
        <v>3.9320000000000004</v>
      </c>
      <c r="G82" s="1339">
        <f t="shared" si="47"/>
        <v>-0.74299999999999988</v>
      </c>
      <c r="R82" s="1305"/>
      <c r="S82" s="1305"/>
    </row>
    <row r="83" spans="2:19" x14ac:dyDescent="0.35">
      <c r="B83" s="891" t="s">
        <v>734</v>
      </c>
      <c r="C83" s="1339">
        <f t="shared" si="43"/>
        <v>1.02</v>
      </c>
      <c r="D83" s="1339">
        <f t="shared" si="44"/>
        <v>1.5299999999999998</v>
      </c>
      <c r="E83" s="1339">
        <f t="shared" si="45"/>
        <v>0</v>
      </c>
      <c r="F83" s="1339">
        <f t="shared" si="46"/>
        <v>0</v>
      </c>
      <c r="G83" s="1339">
        <f t="shared" si="47"/>
        <v>0</v>
      </c>
      <c r="R83" s="1305"/>
      <c r="S83" s="1305"/>
    </row>
    <row r="84" spans="2:19" x14ac:dyDescent="0.35">
      <c r="B84" s="891" t="s">
        <v>735</v>
      </c>
      <c r="C84" s="1339">
        <f t="shared" si="43"/>
        <v>0.67999999999999994</v>
      </c>
      <c r="D84" s="1339">
        <f t="shared" si="44"/>
        <v>1.02</v>
      </c>
      <c r="E84" s="1339">
        <f t="shared" si="45"/>
        <v>0</v>
      </c>
      <c r="F84" s="1339">
        <f t="shared" si="46"/>
        <v>0</v>
      </c>
      <c r="G84" s="1339">
        <f t="shared" si="47"/>
        <v>0</v>
      </c>
      <c r="R84" s="1305"/>
      <c r="S84" s="1305"/>
    </row>
    <row r="85" spans="2:19" x14ac:dyDescent="0.35">
      <c r="B85" s="891" t="s">
        <v>436</v>
      </c>
      <c r="C85" s="1339">
        <f t="shared" si="43"/>
        <v>1.6999999999999997</v>
      </c>
      <c r="D85" s="1339">
        <f t="shared" si="44"/>
        <v>2.5499999999999998</v>
      </c>
      <c r="E85" s="1339">
        <f t="shared" si="45"/>
        <v>0</v>
      </c>
      <c r="F85" s="1339">
        <f t="shared" si="46"/>
        <v>0</v>
      </c>
      <c r="G85" s="1339">
        <f t="shared" si="47"/>
        <v>0</v>
      </c>
      <c r="R85" s="1305"/>
      <c r="S85" s="1305"/>
    </row>
    <row r="86" spans="2:19" x14ac:dyDescent="0.35">
      <c r="C86" s="1335">
        <v>2021</v>
      </c>
      <c r="D86" s="1335">
        <v>2022</v>
      </c>
      <c r="E86" s="1335">
        <v>2023</v>
      </c>
      <c r="F86" s="1335">
        <v>2024</v>
      </c>
      <c r="G86" s="1335">
        <v>2025</v>
      </c>
      <c r="R86" s="1305"/>
      <c r="S86" s="1305"/>
    </row>
    <row r="87" spans="2:19" x14ac:dyDescent="0.35">
      <c r="B87" s="891" t="s">
        <v>744</v>
      </c>
      <c r="C87" s="1338">
        <f>SUM(C83:C85)</f>
        <v>3.3999999999999995</v>
      </c>
      <c r="D87" s="1338">
        <f t="shared" ref="D87:G87" si="48">SUM(D83:D85)</f>
        <v>5.0999999999999996</v>
      </c>
      <c r="E87" s="1338">
        <f t="shared" si="48"/>
        <v>0</v>
      </c>
      <c r="F87" s="1338">
        <f t="shared" si="48"/>
        <v>0</v>
      </c>
      <c r="G87" s="1338">
        <f t="shared" si="48"/>
        <v>0</v>
      </c>
      <c r="R87" s="1305"/>
      <c r="S87" s="1305"/>
    </row>
    <row r="90" spans="2:19" x14ac:dyDescent="0.35">
      <c r="B90" s="891" t="s">
        <v>640</v>
      </c>
      <c r="C90" s="1339">
        <v>26.636000000000024</v>
      </c>
      <c r="D90" s="1339">
        <v>98.978999999999999</v>
      </c>
      <c r="E90" s="1339">
        <v>2.1159999999999997</v>
      </c>
      <c r="F90" s="1339">
        <v>2.1789999999999998</v>
      </c>
      <c r="G90" s="1339">
        <v>2.33</v>
      </c>
      <c r="H90" s="1339"/>
      <c r="I90" s="1339"/>
      <c r="J90" s="1339"/>
      <c r="K90" s="1339"/>
      <c r="L90" s="1339"/>
      <c r="M90" s="1339"/>
    </row>
    <row r="91" spans="2:19" x14ac:dyDescent="0.35">
      <c r="B91" s="891" t="s">
        <v>641</v>
      </c>
      <c r="C91" s="1339">
        <v>47.722000000000016</v>
      </c>
      <c r="D91" s="1339">
        <v>52.756999999999998</v>
      </c>
      <c r="E91" s="1339">
        <v>12</v>
      </c>
      <c r="F91" s="1339">
        <v>4.2219999999999995</v>
      </c>
      <c r="G91" s="1339">
        <v>2.3719999999999999</v>
      </c>
      <c r="H91" s="1339"/>
      <c r="I91" s="1339"/>
      <c r="J91" s="1339"/>
      <c r="K91" s="1339"/>
      <c r="L91" s="1339"/>
      <c r="M91" s="1339"/>
    </row>
    <row r="92" spans="2:19" x14ac:dyDescent="0.35">
      <c r="B92" s="891" t="s">
        <v>43</v>
      </c>
      <c r="C92" s="1339">
        <v>81.842999999999989</v>
      </c>
      <c r="D92" s="1339">
        <v>110.24799999999999</v>
      </c>
      <c r="E92" s="1339">
        <v>12.726000000000001</v>
      </c>
      <c r="F92" s="1339">
        <v>1.365</v>
      </c>
      <c r="G92" s="1339">
        <v>-0.90100000000000025</v>
      </c>
      <c r="H92" s="1339"/>
      <c r="I92" s="1339"/>
      <c r="J92" s="1339"/>
      <c r="K92" s="1339"/>
      <c r="L92" s="1339"/>
      <c r="M92" s="1339"/>
    </row>
    <row r="93" spans="2:19" x14ac:dyDescent="0.35">
      <c r="B93" s="891" t="s">
        <v>119</v>
      </c>
      <c r="C93" s="1339">
        <v>7.798</v>
      </c>
      <c r="D93" s="1339">
        <v>7.9489999999999998</v>
      </c>
      <c r="E93" s="1339">
        <v>4.7519999999999998</v>
      </c>
      <c r="F93" s="1339">
        <v>4.637999999999999</v>
      </c>
      <c r="G93" s="1339">
        <v>1.8800000000000001</v>
      </c>
      <c r="H93" s="1339"/>
      <c r="I93" s="1339"/>
      <c r="J93" s="1339"/>
      <c r="K93" s="1339"/>
      <c r="L93" s="1339"/>
      <c r="M93" s="1339"/>
    </row>
    <row r="94" spans="2:19" x14ac:dyDescent="0.35">
      <c r="B94" s="891" t="s">
        <v>314</v>
      </c>
      <c r="C94" s="1339">
        <v>283.95749999999998</v>
      </c>
      <c r="D94" s="1339">
        <v>77.092500000000001</v>
      </c>
      <c r="E94" s="1339">
        <v>1</v>
      </c>
      <c r="F94" s="1339">
        <v>0</v>
      </c>
      <c r="G94" s="1339">
        <v>0</v>
      </c>
      <c r="H94" s="1339"/>
      <c r="I94" s="1339"/>
      <c r="J94" s="1339"/>
      <c r="K94" s="1339"/>
      <c r="L94" s="1339"/>
      <c r="M94" s="1339"/>
    </row>
    <row r="95" spans="2:19" x14ac:dyDescent="0.35">
      <c r="B95" s="891" t="s">
        <v>138</v>
      </c>
      <c r="C95" s="1339">
        <v>12.347</v>
      </c>
      <c r="D95" s="1339">
        <v>46.79</v>
      </c>
      <c r="E95" s="1339">
        <v>38.595999999999997</v>
      </c>
      <c r="F95" s="1339">
        <v>31.911000000000001</v>
      </c>
      <c r="G95" s="1339">
        <v>23.099</v>
      </c>
      <c r="H95" s="1339"/>
      <c r="I95" s="1339"/>
      <c r="J95" s="1339"/>
      <c r="K95" s="1339"/>
      <c r="L95" s="1339"/>
      <c r="M95" s="1339"/>
    </row>
    <row r="96" spans="2:19" x14ac:dyDescent="0.35">
      <c r="B96" s="891" t="s">
        <v>330</v>
      </c>
      <c r="C96" s="1339">
        <v>2.286</v>
      </c>
      <c r="D96" s="1339">
        <v>4.6049999999999995</v>
      </c>
      <c r="E96" s="1339">
        <v>1.349</v>
      </c>
      <c r="F96" s="1339">
        <v>0.441</v>
      </c>
      <c r="G96" s="1339">
        <v>0.313</v>
      </c>
      <c r="H96" s="1339"/>
      <c r="I96" s="1339"/>
      <c r="J96" s="1339"/>
      <c r="K96" s="1339"/>
      <c r="L96" s="1339"/>
      <c r="M96" s="1339"/>
    </row>
    <row r="97" spans="2:13" x14ac:dyDescent="0.35">
      <c r="B97" s="891" t="s">
        <v>147</v>
      </c>
      <c r="C97" s="1339">
        <v>25.75</v>
      </c>
      <c r="D97" s="1339">
        <v>0</v>
      </c>
      <c r="E97" s="1339">
        <v>0</v>
      </c>
      <c r="F97" s="1339">
        <v>0</v>
      </c>
      <c r="G97" s="1339">
        <v>0</v>
      </c>
      <c r="H97" s="1339"/>
      <c r="I97" s="1339"/>
      <c r="J97" s="1339"/>
      <c r="K97" s="1339"/>
      <c r="L97" s="1339"/>
      <c r="M97" s="1339"/>
    </row>
    <row r="98" spans="2:13" x14ac:dyDescent="0.35">
      <c r="B98" s="891" t="s">
        <v>97</v>
      </c>
      <c r="C98" s="1339">
        <v>60.441000000000003</v>
      </c>
      <c r="D98" s="1339">
        <v>91.678999999999988</v>
      </c>
      <c r="E98" s="1339">
        <v>41.220000000000006</v>
      </c>
      <c r="F98" s="1339">
        <v>14.004000000000003</v>
      </c>
      <c r="G98" s="1339">
        <v>3.8530000000000006</v>
      </c>
      <c r="H98" s="1339"/>
      <c r="I98" s="1339"/>
      <c r="J98" s="1339"/>
      <c r="K98" s="1339"/>
      <c r="L98" s="1339"/>
      <c r="M98" s="1339"/>
    </row>
    <row r="99" spans="2:13" x14ac:dyDescent="0.35">
      <c r="C99" s="1335">
        <v>3.4</v>
      </c>
      <c r="D99" s="1335">
        <v>5.0999999999999996</v>
      </c>
      <c r="E99" s="1335">
        <v>0</v>
      </c>
      <c r="F99" s="1335">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1387</v>
      </c>
      <c r="B1" s="83" t="s">
        <v>1388</v>
      </c>
      <c r="C1" s="83" t="s">
        <v>1389</v>
      </c>
      <c r="D1" s="83" t="s">
        <v>1390</v>
      </c>
      <c r="E1" s="83" t="s">
        <v>1391</v>
      </c>
      <c r="F1" s="83" t="s">
        <v>1392</v>
      </c>
      <c r="G1" s="83" t="s">
        <v>878</v>
      </c>
      <c r="H1" s="83" t="s">
        <v>879</v>
      </c>
      <c r="I1" s="83" t="s">
        <v>880</v>
      </c>
      <c r="J1" s="83" t="s">
        <v>881</v>
      </c>
      <c r="K1" s="83" t="s">
        <v>882</v>
      </c>
      <c r="L1" s="83"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2026-02-20T21:27:19Z</dcterms:modified>
  <cp:category/>
  <cp:contentStatus/>
</cp:coreProperties>
</file>