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ivotTables/pivotTable2.xml" ContentType="application/vnd.openxmlformats-officedocument.spreadsheetml.pivotTable+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7.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10.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11.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drawings/drawing12.xml" ContentType="application/vnd.openxmlformats-officedocument.drawing+xml"/>
  <Override PartName="/xl/comments11.xml" ContentType="application/vnd.openxmlformats-officedocument.spreadsheetml.comments+xml"/>
  <Override PartName="/xl/threadedComments/threadedComment1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3.xml" ContentType="application/vnd.openxmlformats-officedocument.drawing+xml"/>
  <Override PartName="/xl/comments12.xml" ContentType="application/vnd.openxmlformats-officedocument.spreadsheetml.comments+xml"/>
  <Override PartName="/xl/threadedComments/threadedComment12.xml" ContentType="application/vnd.ms-excel.threadedcomments+xml"/>
  <Override PartName="/xl/drawings/drawing14.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drawings/drawing15.xml" ContentType="application/vnd.openxmlformats-officedocument.drawing+xml"/>
  <Override PartName="/xl/drawings/drawing16.xml" ContentType="application/vnd.openxmlformats-officedocument.drawing+xml"/>
  <Override PartName="/xl/comments14.xml" ContentType="application/vnd.openxmlformats-officedocument.spreadsheetml.comments+xml"/>
  <Override PartName="/xl/threadedComments/threadedComment14.xml" ContentType="application/vnd.ms-excel.threadedcomments+xml"/>
  <Override PartName="/xl/drawings/drawing17.xml" ContentType="application/vnd.openxmlformats-officedocument.drawing+xml"/>
  <Override PartName="/xl/tables/table1.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drawings/drawing18.xml" ContentType="application/vnd.openxmlformats-officedocument.drawing+xml"/>
  <Override PartName="/xl/comments16.xml" ContentType="application/vnd.openxmlformats-officedocument.spreadsheetml.comments+xml"/>
  <Override PartName="/xl/threadedComments/threadedComment16.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166925"/>
  <mc:AlternateContent xmlns:mc="http://schemas.openxmlformats.org/markup-compatibility/2006">
    <mc:Choice Requires="x15">
      <x15ac:absPath xmlns:x15ac="http://schemas.microsoft.com/office/spreadsheetml/2010/11/ac" url="C:\Users\stoja\dev\FIM\data\"/>
    </mc:Choice>
  </mc:AlternateContent>
  <xr:revisionPtr revIDLastSave="0" documentId="13_ncr:1_{3ECCB3B7-DDA3-4DDF-91DD-4F55DE39C388}" xr6:coauthVersionLast="47" xr6:coauthVersionMax="47" xr10:uidLastSave="{00000000-0000-0000-0000-000000000000}"/>
  <bookViews>
    <workbookView xWindow="-120" yWindow="-120" windowWidth="29040" windowHeight="15720" firstSheet="29" activeTab="35" xr2:uid="{00000000-000D-0000-FFFF-FFFF00000000}"/>
  </bookViews>
  <sheets>
    <sheet name="Guide to the FIM Spreadsheet" sheetId="54" r:id="rId1"/>
    <sheet name="Checklist (New Quarter Release)" sheetId="53" r:id="rId2"/>
    <sheet name="Checklist (Monthly Revision)" sheetId="51" r:id="rId3"/>
    <sheet name="Revisions" sheetId="46" r:id="rId4"/>
    <sheet name="Checklist (CBO Budget Release)" sheetId="19" r:id="rId5"/>
    <sheet name="Haver Pivoted" sheetId="24" r:id="rId6"/>
    <sheet name="forecast comparison" sheetId="55" r:id="rId7"/>
    <sheet name="forecast" sheetId="35" r:id="rId8"/>
    <sheet name="April - MPI" sheetId="80" r:id="rId9"/>
    <sheet name="historical overrides" sheetId="50" r:id="rId10"/>
    <sheet name="deflators_override" sheetId="71" r:id="rId11"/>
    <sheet name="mpc" sheetId="56" r:id="rId12"/>
    <sheet name="Unemployment Insurance" sheetId="25" r:id="rId13"/>
    <sheet name="Unemployment Insurance - lorae" sheetId="74" state="hidden" r:id="rId14"/>
    <sheet name="Grants" sheetId="26" r:id="rId15"/>
    <sheet name="Federal and State Purchases" sheetId="20" r:id="rId16"/>
    <sheet name="Subsidies" sheetId="30" r:id="rId17"/>
    <sheet name="Medicaid" sheetId="49" r:id="rId18"/>
    <sheet name="Medicare" sheetId="33" r:id="rId19"/>
    <sheet name="Student loans" sheetId="67" r:id="rId20"/>
    <sheet name="Social Benefits" sheetId="59" r:id="rId21"/>
    <sheet name="Social Benefits (BETA VERSION)" sheetId="75" r:id="rId22"/>
    <sheet name="Social Benefits (EXPLANATION)" sheetId="77" r:id="rId23"/>
    <sheet name="Supply Side IRA" sheetId="78" r:id="rId24"/>
    <sheet name="Taxes" sheetId="48" r:id="rId25"/>
    <sheet name="Deflators" sheetId="70" r:id="rId26"/>
    <sheet name="PPP (expired)" sheetId="38" r:id="rId27"/>
    <sheet name="Provider Relief (expired)" sheetId="40" r:id="rId28"/>
    <sheet name="Rebate Checks (expired)" sheetId="29" r:id="rId29"/>
    <sheet name="IRA and CHIPS supply side" sheetId="76" r:id="rId30"/>
    <sheet name="Cares Act Scores" sheetId="36" r:id="rId31"/>
    <sheet name="IRA and CHIPS" sheetId="65" r:id="rId32"/>
    <sheet name="Response and Relief Act Score" sheetId="27" r:id="rId33"/>
    <sheet name="ARP Score" sheetId="5" r:id="rId34"/>
    <sheet name="ARP Timing" sheetId="6" r:id="rId35"/>
    <sheet name="ARP Quarterly" sheetId="21" r:id="rId36"/>
    <sheet name="Deflators_original" sheetId="63" state="hidden" r:id="rId37"/>
  </sheets>
  <calcPr calcId="191029"/>
  <pivotCaches>
    <pivotCache cacheId="2" r:id="rId3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86" i="48" l="1"/>
  <c r="G86" i="48"/>
  <c r="J72" i="55" l="1"/>
  <c r="K72" i="55"/>
  <c r="J73" i="55"/>
  <c r="K73" i="55"/>
  <c r="J74" i="55"/>
  <c r="K74" i="55"/>
  <c r="J75" i="55"/>
  <c r="K75" i="55"/>
  <c r="J79" i="55"/>
  <c r="K79" i="55"/>
  <c r="J80" i="55"/>
  <c r="K80" i="55"/>
  <c r="J89" i="55"/>
  <c r="K89" i="55"/>
  <c r="J94" i="55"/>
  <c r="K94" i="55"/>
  <c r="M100" i="55"/>
  <c r="M101" i="55"/>
  <c r="M102" i="55"/>
  <c r="M103" i="55"/>
  <c r="J104" i="55"/>
  <c r="K104" i="55"/>
  <c r="L104" i="55"/>
  <c r="M104" i="55"/>
  <c r="J105" i="55"/>
  <c r="K105" i="55"/>
  <c r="L105" i="55"/>
  <c r="M105" i="55"/>
  <c r="J106" i="55"/>
  <c r="K106" i="55"/>
  <c r="L106" i="55"/>
  <c r="M106" i="55"/>
  <c r="J107" i="55"/>
  <c r="K107" i="55"/>
  <c r="L107" i="55"/>
  <c r="M107" i="55"/>
  <c r="M108" i="55"/>
  <c r="M109" i="55"/>
  <c r="M110" i="55"/>
  <c r="J111" i="55"/>
  <c r="K111" i="55"/>
  <c r="L111" i="55"/>
  <c r="M111" i="55"/>
  <c r="J112" i="55"/>
  <c r="K112" i="55"/>
  <c r="L112" i="55"/>
  <c r="M112" i="55"/>
  <c r="M113" i="55"/>
  <c r="M114" i="55"/>
  <c r="M115" i="55"/>
  <c r="M116" i="55"/>
  <c r="M117" i="55"/>
  <c r="M118" i="55"/>
  <c r="M119" i="55"/>
  <c r="M120" i="55"/>
  <c r="J121" i="55"/>
  <c r="K121" i="55"/>
  <c r="L121" i="55"/>
  <c r="M121" i="55"/>
  <c r="M124" i="55"/>
  <c r="M125" i="55"/>
  <c r="J126" i="55"/>
  <c r="K126" i="55"/>
  <c r="L126" i="55"/>
  <c r="M126" i="55"/>
  <c r="M127" i="55"/>
  <c r="M128" i="55"/>
  <c r="M29" i="55"/>
  <c r="K30" i="55"/>
  <c r="L30" i="55"/>
  <c r="M30" i="55"/>
  <c r="M31" i="55"/>
  <c r="M32" i="55"/>
  <c r="M28" i="55"/>
  <c r="M5" i="55"/>
  <c r="M6" i="55"/>
  <c r="M7" i="55"/>
  <c r="L8" i="55"/>
  <c r="M8" i="55"/>
  <c r="L9" i="55"/>
  <c r="M9" i="55"/>
  <c r="L10" i="55"/>
  <c r="M10" i="55"/>
  <c r="L11" i="55"/>
  <c r="M11" i="55"/>
  <c r="M12" i="55"/>
  <c r="M13" i="55"/>
  <c r="M14" i="55"/>
  <c r="L15" i="55"/>
  <c r="M15" i="55"/>
  <c r="L16" i="55"/>
  <c r="M16" i="55"/>
  <c r="M17" i="55"/>
  <c r="L18" i="55"/>
  <c r="L114" i="55" s="1"/>
  <c r="M18" i="55"/>
  <c r="M19" i="55"/>
  <c r="M20" i="55"/>
  <c r="M21" i="55"/>
  <c r="M22" i="55"/>
  <c r="M23" i="55"/>
  <c r="M24" i="55"/>
  <c r="L25" i="55"/>
  <c r="M25" i="55"/>
  <c r="M4" i="55"/>
  <c r="I30" i="55"/>
  <c r="J30" i="55"/>
  <c r="I8" i="55"/>
  <c r="J8" i="55"/>
  <c r="K8" i="55"/>
  <c r="I9" i="55"/>
  <c r="J9" i="55"/>
  <c r="K9" i="55"/>
  <c r="J10" i="55"/>
  <c r="K10" i="55"/>
  <c r="I11" i="55"/>
  <c r="J11" i="55"/>
  <c r="K11" i="55"/>
  <c r="I15" i="55"/>
  <c r="J15" i="55"/>
  <c r="K15" i="55"/>
  <c r="I16" i="55"/>
  <c r="J16" i="55"/>
  <c r="K16" i="55"/>
  <c r="I25" i="55"/>
  <c r="J25" i="55"/>
  <c r="K25" i="55"/>
  <c r="Z50" i="70"/>
  <c r="AB50" i="70"/>
  <c r="AA50" i="70"/>
  <c r="X94" i="80"/>
  <c r="X92" i="80"/>
  <c r="Y89" i="80"/>
  <c r="AE11" i="25"/>
  <c r="AF11" i="25"/>
  <c r="AG11" i="25"/>
  <c r="AQ35" i="20"/>
  <c r="X85" i="80" s="1"/>
  <c r="X86" i="80"/>
  <c r="X84" i="80"/>
  <c r="X83" i="80"/>
  <c r="W83" i="80"/>
  <c r="AG72" i="70"/>
  <c r="AG71" i="70"/>
  <c r="AG73" i="70"/>
  <c r="M86" i="48"/>
  <c r="M57" i="48"/>
  <c r="M87" i="48" s="1"/>
  <c r="M88" i="48"/>
  <c r="M85" i="48"/>
  <c r="Y12" i="49"/>
  <c r="K24" i="33"/>
  <c r="E24" i="33"/>
  <c r="AE26" i="20"/>
  <c r="Y27" i="49"/>
  <c r="Y29" i="49"/>
  <c r="G78" i="21"/>
  <c r="F78" i="21"/>
  <c r="E78" i="21"/>
  <c r="V53" i="21"/>
  <c r="U53" i="21"/>
  <c r="T53" i="21"/>
  <c r="S53" i="21"/>
  <c r="R53" i="21"/>
  <c r="Q53" i="21"/>
  <c r="P53" i="21"/>
  <c r="O53" i="21"/>
  <c r="N53" i="21"/>
  <c r="M53" i="21"/>
  <c r="L53" i="21"/>
  <c r="K53" i="21"/>
  <c r="J53" i="21"/>
  <c r="I53" i="21"/>
  <c r="S51" i="21"/>
  <c r="R51" i="21"/>
  <c r="Q51" i="21"/>
  <c r="P51" i="21"/>
  <c r="O51" i="21"/>
  <c r="N51" i="21"/>
  <c r="M51" i="21"/>
  <c r="L51" i="21"/>
  <c r="K51" i="21"/>
  <c r="J51" i="21"/>
  <c r="I51" i="21"/>
  <c r="H51" i="21"/>
  <c r="G51" i="21"/>
  <c r="S50" i="21"/>
  <c r="R50" i="21"/>
  <c r="Q50" i="21"/>
  <c r="P50" i="21"/>
  <c r="O50" i="21"/>
  <c r="N50" i="21"/>
  <c r="M50" i="21"/>
  <c r="L50" i="21"/>
  <c r="K50" i="21"/>
  <c r="J50" i="21"/>
  <c r="I50" i="21"/>
  <c r="H50" i="21"/>
  <c r="G50" i="21"/>
  <c r="F50" i="21"/>
  <c r="P49" i="21"/>
  <c r="O49" i="21"/>
  <c r="N49" i="21"/>
  <c r="M49" i="21"/>
  <c r="L49" i="21"/>
  <c r="K49" i="21"/>
  <c r="J49" i="21"/>
  <c r="I49" i="21"/>
  <c r="H49" i="21"/>
  <c r="G49" i="21"/>
  <c r="F49" i="21"/>
  <c r="E49" i="21"/>
  <c r="V11" i="21"/>
  <c r="U11" i="21"/>
  <c r="T11" i="21"/>
  <c r="S11" i="21"/>
  <c r="R11" i="21"/>
  <c r="G81" i="21" s="1"/>
  <c r="Q11" i="21"/>
  <c r="P11" i="21"/>
  <c r="O11" i="21"/>
  <c r="N11" i="21"/>
  <c r="F81" i="21" s="1"/>
  <c r="M11" i="21"/>
  <c r="L11" i="21"/>
  <c r="K11" i="21"/>
  <c r="J11" i="21"/>
  <c r="E81" i="21" s="1"/>
  <c r="I11" i="21"/>
  <c r="H11" i="21"/>
  <c r="G11" i="21"/>
  <c r="F11" i="21"/>
  <c r="D81" i="21" s="1"/>
  <c r="R10" i="21"/>
  <c r="U6" i="21"/>
  <c r="E6" i="21"/>
  <c r="E4" i="21"/>
  <c r="J3" i="21"/>
  <c r="E3" i="21"/>
  <c r="E1" i="21"/>
  <c r="E11" i="21" s="1"/>
  <c r="D1" i="21"/>
  <c r="C19" i="6"/>
  <c r="B19" i="6"/>
  <c r="U16" i="6"/>
  <c r="T16" i="6"/>
  <c r="T17" i="6" s="1"/>
  <c r="S16" i="6"/>
  <c r="V49" i="21" s="1"/>
  <c r="R16" i="6"/>
  <c r="U49" i="21" s="1"/>
  <c r="Q16" i="6"/>
  <c r="P16" i="6"/>
  <c r="S49" i="21" s="1"/>
  <c r="O16" i="6"/>
  <c r="R49" i="21" s="1"/>
  <c r="N16" i="6"/>
  <c r="Q49" i="21" s="1"/>
  <c r="D9" i="6"/>
  <c r="C9" i="6"/>
  <c r="U6" i="6"/>
  <c r="V3" i="21" s="1"/>
  <c r="T6" i="6"/>
  <c r="U3" i="21" s="1"/>
  <c r="S6" i="6"/>
  <c r="T3" i="21" s="1"/>
  <c r="R6" i="6"/>
  <c r="Q6" i="6"/>
  <c r="P6" i="6"/>
  <c r="O6" i="6"/>
  <c r="P3" i="21" s="1"/>
  <c r="N6" i="6"/>
  <c r="M6" i="6"/>
  <c r="N3" i="21" s="1"/>
  <c r="L6" i="6"/>
  <c r="M3" i="21" s="1"/>
  <c r="K6" i="6"/>
  <c r="J6" i="6"/>
  <c r="I6" i="6"/>
  <c r="H6" i="6"/>
  <c r="G6" i="6"/>
  <c r="H3" i="21" s="1"/>
  <c r="F6" i="6"/>
  <c r="E6" i="6"/>
  <c r="F3" i="21" s="1"/>
  <c r="D6" i="6"/>
  <c r="C6" i="6"/>
  <c r="D3" i="21" s="1"/>
  <c r="B6" i="6"/>
  <c r="C3" i="21" s="1"/>
  <c r="BJ16" i="5"/>
  <c r="BI16" i="5"/>
  <c r="BH16" i="5"/>
  <c r="BG16" i="5"/>
  <c r="BF16" i="5"/>
  <c r="G16" i="5" s="1"/>
  <c r="BE16" i="5"/>
  <c r="BD16" i="5"/>
  <c r="BC16" i="5"/>
  <c r="BB16" i="5"/>
  <c r="AZ16" i="5"/>
  <c r="AY16" i="5"/>
  <c r="AX16" i="5"/>
  <c r="AW16" i="5"/>
  <c r="AV16" i="5"/>
  <c r="AU16" i="5"/>
  <c r="AT16" i="5"/>
  <c r="AS16" i="5"/>
  <c r="AR16" i="5"/>
  <c r="AQ16" i="5"/>
  <c r="AP16" i="5"/>
  <c r="AO16" i="5"/>
  <c r="AN16" i="5"/>
  <c r="AM16" i="5"/>
  <c r="AL16" i="5"/>
  <c r="AK16" i="5"/>
  <c r="N16" i="5" s="1"/>
  <c r="AJ16" i="5"/>
  <c r="AI16" i="5"/>
  <c r="AH16" i="5"/>
  <c r="AG16" i="5"/>
  <c r="AF16" i="5"/>
  <c r="AE16" i="5"/>
  <c r="AD16" i="5"/>
  <c r="AC16" i="5"/>
  <c r="AB16" i="5"/>
  <c r="AA16" i="5"/>
  <c r="Z16" i="5"/>
  <c r="Y16" i="5"/>
  <c r="X16" i="5"/>
  <c r="W16" i="5"/>
  <c r="V16" i="5"/>
  <c r="U16" i="5"/>
  <c r="T16" i="5"/>
  <c r="S16" i="5"/>
  <c r="R16" i="5"/>
  <c r="Q16" i="5"/>
  <c r="P16" i="5"/>
  <c r="O16" i="5"/>
  <c r="N15" i="5"/>
  <c r="M15" i="5"/>
  <c r="K15" i="5"/>
  <c r="J15" i="5"/>
  <c r="I15" i="5"/>
  <c r="H15" i="5"/>
  <c r="G15" i="5"/>
  <c r="E15" i="5"/>
  <c r="D15" i="5"/>
  <c r="C15" i="5"/>
  <c r="F15" i="5" s="1"/>
  <c r="B15" i="5"/>
  <c r="N14" i="5"/>
  <c r="M14" i="5"/>
  <c r="K14" i="5"/>
  <c r="J14" i="5"/>
  <c r="I14" i="5"/>
  <c r="H14" i="5"/>
  <c r="G14" i="5"/>
  <c r="D14" i="5"/>
  <c r="C14" i="5"/>
  <c r="F14" i="5" s="1"/>
  <c r="B14" i="5"/>
  <c r="E14" i="5" s="1"/>
  <c r="N13" i="5"/>
  <c r="M13" i="5"/>
  <c r="K13" i="5"/>
  <c r="J13" i="5"/>
  <c r="I13" i="5"/>
  <c r="H13" i="5"/>
  <c r="G13" i="5"/>
  <c r="E13" i="5"/>
  <c r="D13" i="5"/>
  <c r="C13" i="5"/>
  <c r="F13" i="5" s="1"/>
  <c r="B13" i="5"/>
  <c r="N12" i="5"/>
  <c r="M12" i="5"/>
  <c r="K12" i="5"/>
  <c r="J12" i="5"/>
  <c r="I12" i="5"/>
  <c r="H12" i="5"/>
  <c r="G12" i="5"/>
  <c r="D12" i="5"/>
  <c r="C12" i="5"/>
  <c r="F12" i="5" s="1"/>
  <c r="B12" i="5"/>
  <c r="E12" i="5" s="1"/>
  <c r="N11" i="5"/>
  <c r="M11" i="5"/>
  <c r="K11" i="5"/>
  <c r="J11" i="5"/>
  <c r="I11" i="5"/>
  <c r="H11" i="5"/>
  <c r="G11" i="5"/>
  <c r="E11" i="5"/>
  <c r="D11" i="5"/>
  <c r="C11" i="5"/>
  <c r="F11" i="5" s="1"/>
  <c r="B11" i="5"/>
  <c r="N10" i="5"/>
  <c r="M10" i="5"/>
  <c r="V12" i="21" s="1"/>
  <c r="K10" i="5"/>
  <c r="V10" i="21" s="1"/>
  <c r="J10" i="5"/>
  <c r="V9" i="21" s="1"/>
  <c r="I10" i="5"/>
  <c r="H10" i="5"/>
  <c r="V7" i="21" s="1"/>
  <c r="G10" i="5"/>
  <c r="V6" i="21" s="1"/>
  <c r="D10" i="5"/>
  <c r="C10" i="5"/>
  <c r="F10" i="5" s="1"/>
  <c r="V5" i="21" s="1"/>
  <c r="B10" i="5"/>
  <c r="E10" i="5" s="1"/>
  <c r="V4" i="21" s="1"/>
  <c r="N9" i="5"/>
  <c r="M9" i="5"/>
  <c r="K9" i="5"/>
  <c r="J9" i="5"/>
  <c r="I9" i="5"/>
  <c r="H9" i="5"/>
  <c r="G9" i="5"/>
  <c r="E9" i="5"/>
  <c r="D9" i="5"/>
  <c r="C9" i="5"/>
  <c r="F9" i="5" s="1"/>
  <c r="B9" i="5"/>
  <c r="N8" i="5"/>
  <c r="M8" i="5"/>
  <c r="K8" i="5"/>
  <c r="J8" i="5"/>
  <c r="I8" i="5"/>
  <c r="H8" i="5"/>
  <c r="G8" i="5"/>
  <c r="D8" i="5"/>
  <c r="C8" i="5"/>
  <c r="F8" i="5" s="1"/>
  <c r="B8" i="5"/>
  <c r="N7" i="5"/>
  <c r="M7" i="5"/>
  <c r="K7" i="5"/>
  <c r="J7" i="5"/>
  <c r="I7" i="5"/>
  <c r="H7" i="5"/>
  <c r="G7" i="5"/>
  <c r="E7" i="5"/>
  <c r="D7" i="5"/>
  <c r="C7" i="5"/>
  <c r="F7" i="5" s="1"/>
  <c r="B7" i="5"/>
  <c r="N6" i="5"/>
  <c r="M6" i="5"/>
  <c r="K6" i="5"/>
  <c r="J6" i="5"/>
  <c r="I6" i="5"/>
  <c r="H6" i="5"/>
  <c r="G6" i="5"/>
  <c r="D6" i="5"/>
  <c r="C6" i="5"/>
  <c r="F6" i="5" s="1"/>
  <c r="B6" i="5"/>
  <c r="E6" i="5" s="1"/>
  <c r="N5" i="5"/>
  <c r="M5" i="5"/>
  <c r="C12" i="21" s="1"/>
  <c r="L5" i="5"/>
  <c r="K5" i="5"/>
  <c r="C10" i="21" s="1"/>
  <c r="J5" i="5"/>
  <c r="C9" i="21" s="1"/>
  <c r="I5" i="5"/>
  <c r="C8" i="21" s="1"/>
  <c r="H5" i="5"/>
  <c r="C7" i="21" s="1"/>
  <c r="G5" i="5"/>
  <c r="E5" i="5"/>
  <c r="C4" i="21" s="1"/>
  <c r="D5" i="5"/>
  <c r="D16" i="5" s="1"/>
  <c r="C5" i="5"/>
  <c r="C16" i="5" s="1"/>
  <c r="B5" i="5"/>
  <c r="B16" i="5" s="1"/>
  <c r="F17" i="27"/>
  <c r="F16" i="27"/>
  <c r="F15" i="27"/>
  <c r="F14" i="27"/>
  <c r="F13" i="27"/>
  <c r="F12" i="27"/>
  <c r="F11" i="27"/>
  <c r="F9" i="27"/>
  <c r="F8" i="27"/>
  <c r="F7" i="27"/>
  <c r="F6" i="27"/>
  <c r="F5" i="27"/>
  <c r="B3" i="27"/>
  <c r="M194" i="65"/>
  <c r="E193" i="65"/>
  <c r="S192" i="65"/>
  <c r="E191" i="65"/>
  <c r="S190" i="65"/>
  <c r="E189" i="65"/>
  <c r="S188" i="65"/>
  <c r="R188" i="65"/>
  <c r="O188" i="65"/>
  <c r="P188" i="65" s="1"/>
  <c r="Q188" i="65" s="1"/>
  <c r="N188" i="65"/>
  <c r="K188" i="65"/>
  <c r="L188" i="65" s="1"/>
  <c r="M188" i="65" s="1"/>
  <c r="J188" i="65"/>
  <c r="G188" i="65"/>
  <c r="H188" i="65" s="1"/>
  <c r="I188" i="65" s="1"/>
  <c r="F188" i="65"/>
  <c r="E188" i="65"/>
  <c r="D188" i="65"/>
  <c r="K186" i="65"/>
  <c r="L186" i="65" s="1"/>
  <c r="M186" i="65" s="1"/>
  <c r="S184" i="65"/>
  <c r="M178" i="65"/>
  <c r="K178" i="65"/>
  <c r="E178" i="65"/>
  <c r="F193" i="65" s="1"/>
  <c r="G193" i="65" s="1"/>
  <c r="H193" i="65" s="1"/>
  <c r="I193" i="65" s="1"/>
  <c r="O177" i="65"/>
  <c r="I177" i="65"/>
  <c r="G177" i="65"/>
  <c r="N192" i="65" s="1"/>
  <c r="O192" i="65" s="1"/>
  <c r="P192" i="65" s="1"/>
  <c r="Q192" i="65" s="1"/>
  <c r="M176" i="65"/>
  <c r="K176" i="65"/>
  <c r="E176" i="65"/>
  <c r="F191" i="65" s="1"/>
  <c r="G191" i="65" s="1"/>
  <c r="H191" i="65" s="1"/>
  <c r="I191" i="65" s="1"/>
  <c r="O175" i="65"/>
  <c r="I175" i="65"/>
  <c r="G175" i="65"/>
  <c r="N190" i="65" s="1"/>
  <c r="O190" i="65" s="1"/>
  <c r="P190" i="65" s="1"/>
  <c r="Q190" i="65" s="1"/>
  <c r="M174" i="65"/>
  <c r="K174" i="65"/>
  <c r="E174" i="65"/>
  <c r="F189" i="65" s="1"/>
  <c r="G189" i="65" s="1"/>
  <c r="H189" i="65" s="1"/>
  <c r="I189" i="65" s="1"/>
  <c r="O172" i="65"/>
  <c r="I172" i="65"/>
  <c r="G172" i="65"/>
  <c r="N187" i="65" s="1"/>
  <c r="O187" i="65" s="1"/>
  <c r="P187" i="65" s="1"/>
  <c r="Q187" i="65" s="1"/>
  <c r="M171" i="65"/>
  <c r="K171" i="65"/>
  <c r="E171" i="65"/>
  <c r="F186" i="65" s="1"/>
  <c r="G186" i="65" s="1"/>
  <c r="H186" i="65" s="1"/>
  <c r="I186" i="65" s="1"/>
  <c r="O170" i="65"/>
  <c r="I170" i="65"/>
  <c r="G170" i="65"/>
  <c r="N185" i="65" s="1"/>
  <c r="O185" i="65" s="1"/>
  <c r="P185" i="65" s="1"/>
  <c r="Q185" i="65" s="1"/>
  <c r="O169" i="65"/>
  <c r="N169" i="65"/>
  <c r="M169" i="65"/>
  <c r="L169" i="65"/>
  <c r="K169" i="65"/>
  <c r="J169" i="65"/>
  <c r="I169" i="65"/>
  <c r="H169" i="65"/>
  <c r="R184" i="65" s="1"/>
  <c r="G169" i="65"/>
  <c r="N184" i="65" s="1"/>
  <c r="O184" i="65" s="1"/>
  <c r="P184" i="65" s="1"/>
  <c r="Q184" i="65" s="1"/>
  <c r="F169" i="65"/>
  <c r="J184" i="65" s="1"/>
  <c r="K184" i="65" s="1"/>
  <c r="L184" i="65" s="1"/>
  <c r="M184" i="65" s="1"/>
  <c r="E169" i="65"/>
  <c r="F184" i="65" s="1"/>
  <c r="G184" i="65" s="1"/>
  <c r="H184" i="65" s="1"/>
  <c r="I184" i="65" s="1"/>
  <c r="D169" i="65"/>
  <c r="D184" i="65" s="1"/>
  <c r="E184" i="65" s="1"/>
  <c r="O85" i="65"/>
  <c r="O178" i="65" s="1"/>
  <c r="N85" i="65"/>
  <c r="N178" i="65" s="1"/>
  <c r="M85" i="65"/>
  <c r="L85" i="65"/>
  <c r="L178" i="65" s="1"/>
  <c r="K85" i="65"/>
  <c r="J85" i="65"/>
  <c r="J178" i="65" s="1"/>
  <c r="I85" i="65"/>
  <c r="I178" i="65" s="1"/>
  <c r="H85" i="65"/>
  <c r="H178" i="65" s="1"/>
  <c r="R193" i="65" s="1"/>
  <c r="S193" i="65" s="1"/>
  <c r="G85" i="65"/>
  <c r="G178" i="65" s="1"/>
  <c r="N193" i="65" s="1"/>
  <c r="O193" i="65" s="1"/>
  <c r="P193" i="65" s="1"/>
  <c r="Q193" i="65" s="1"/>
  <c r="F85" i="65"/>
  <c r="F178" i="65" s="1"/>
  <c r="J193" i="65" s="1"/>
  <c r="K193" i="65" s="1"/>
  <c r="L193" i="65" s="1"/>
  <c r="M193" i="65" s="1"/>
  <c r="E85" i="65"/>
  <c r="D85" i="65"/>
  <c r="D178" i="65" s="1"/>
  <c r="D193" i="65" s="1"/>
  <c r="O84" i="65"/>
  <c r="N84" i="65"/>
  <c r="N177" i="65" s="1"/>
  <c r="M84" i="65"/>
  <c r="M177" i="65" s="1"/>
  <c r="L84" i="65"/>
  <c r="L177" i="65" s="1"/>
  <c r="K84" i="65"/>
  <c r="K177" i="65" s="1"/>
  <c r="J84" i="65"/>
  <c r="J177" i="65" s="1"/>
  <c r="I84" i="65"/>
  <c r="H84" i="65"/>
  <c r="H177" i="65" s="1"/>
  <c r="R192" i="65" s="1"/>
  <c r="G84" i="65"/>
  <c r="F84" i="65"/>
  <c r="F177" i="65" s="1"/>
  <c r="J192" i="65" s="1"/>
  <c r="K192" i="65" s="1"/>
  <c r="L192" i="65" s="1"/>
  <c r="M192" i="65" s="1"/>
  <c r="E84" i="65"/>
  <c r="E177" i="65" s="1"/>
  <c r="F192" i="65" s="1"/>
  <c r="G192" i="65" s="1"/>
  <c r="H192" i="65" s="1"/>
  <c r="I192" i="65" s="1"/>
  <c r="D84" i="65"/>
  <c r="D177" i="65" s="1"/>
  <c r="D192" i="65" s="1"/>
  <c r="E192" i="65" s="1"/>
  <c r="O83" i="65"/>
  <c r="O179" i="65" s="1"/>
  <c r="N83" i="65"/>
  <c r="N179" i="65" s="1"/>
  <c r="M83" i="65"/>
  <c r="M179" i="65" s="1"/>
  <c r="L83" i="65"/>
  <c r="L179" i="65" s="1"/>
  <c r="K83" i="65"/>
  <c r="K179" i="65" s="1"/>
  <c r="J83" i="65"/>
  <c r="J179" i="65" s="1"/>
  <c r="I83" i="65"/>
  <c r="I179" i="65" s="1"/>
  <c r="H83" i="65"/>
  <c r="H179" i="65" s="1"/>
  <c r="R194" i="65" s="1"/>
  <c r="S194" i="65" s="1"/>
  <c r="G83" i="65"/>
  <c r="G179" i="65" s="1"/>
  <c r="N194" i="65" s="1"/>
  <c r="O194" i="65" s="1"/>
  <c r="P194" i="65" s="1"/>
  <c r="Q194" i="65" s="1"/>
  <c r="F83" i="65"/>
  <c r="F179" i="65" s="1"/>
  <c r="J194" i="65" s="1"/>
  <c r="K194" i="65" s="1"/>
  <c r="L194" i="65" s="1"/>
  <c r="E83" i="65"/>
  <c r="E179" i="65" s="1"/>
  <c r="F194" i="65" s="1"/>
  <c r="G194" i="65" s="1"/>
  <c r="H194" i="65" s="1"/>
  <c r="I194" i="65" s="1"/>
  <c r="D83" i="65"/>
  <c r="D179" i="65" s="1"/>
  <c r="D194" i="65" s="1"/>
  <c r="E194" i="65" s="1"/>
  <c r="O74" i="65"/>
  <c r="N74" i="65"/>
  <c r="N172" i="65" s="1"/>
  <c r="M74" i="65"/>
  <c r="M172" i="65" s="1"/>
  <c r="L74" i="65"/>
  <c r="L172" i="65" s="1"/>
  <c r="K74" i="65"/>
  <c r="K172" i="65" s="1"/>
  <c r="J74" i="65"/>
  <c r="J172" i="65" s="1"/>
  <c r="I74" i="65"/>
  <c r="H74" i="65"/>
  <c r="H172" i="65" s="1"/>
  <c r="R187" i="65" s="1"/>
  <c r="S187" i="65" s="1"/>
  <c r="G74" i="65"/>
  <c r="F74" i="65"/>
  <c r="F172" i="65" s="1"/>
  <c r="J187" i="65" s="1"/>
  <c r="K187" i="65" s="1"/>
  <c r="L187" i="65" s="1"/>
  <c r="M187" i="65" s="1"/>
  <c r="E74" i="65"/>
  <c r="E172" i="65" s="1"/>
  <c r="F187" i="65" s="1"/>
  <c r="G187" i="65" s="1"/>
  <c r="H187" i="65" s="1"/>
  <c r="I187" i="65" s="1"/>
  <c r="D74" i="65"/>
  <c r="D172" i="65" s="1"/>
  <c r="D187" i="65" s="1"/>
  <c r="E187" i="65" s="1"/>
  <c r="O73" i="65"/>
  <c r="O176" i="65" s="1"/>
  <c r="N73" i="65"/>
  <c r="N176" i="65" s="1"/>
  <c r="M73" i="65"/>
  <c r="L73" i="65"/>
  <c r="L176" i="65" s="1"/>
  <c r="K73" i="65"/>
  <c r="J73" i="65"/>
  <c r="J176" i="65" s="1"/>
  <c r="I73" i="65"/>
  <c r="I176" i="65" s="1"/>
  <c r="H73" i="65"/>
  <c r="H176" i="65" s="1"/>
  <c r="R191" i="65" s="1"/>
  <c r="S191" i="65" s="1"/>
  <c r="G73" i="65"/>
  <c r="G176" i="65" s="1"/>
  <c r="N191" i="65" s="1"/>
  <c r="O191" i="65" s="1"/>
  <c r="P191" i="65" s="1"/>
  <c r="Q191" i="65" s="1"/>
  <c r="F73" i="65"/>
  <c r="F176" i="65" s="1"/>
  <c r="J191" i="65" s="1"/>
  <c r="K191" i="65" s="1"/>
  <c r="L191" i="65" s="1"/>
  <c r="M191" i="65" s="1"/>
  <c r="E73" i="65"/>
  <c r="D73" i="65"/>
  <c r="D176" i="65" s="1"/>
  <c r="D191" i="65" s="1"/>
  <c r="O72" i="65"/>
  <c r="N72" i="65"/>
  <c r="N175" i="65" s="1"/>
  <c r="M72" i="65"/>
  <c r="M175" i="65" s="1"/>
  <c r="L72" i="65"/>
  <c r="L175" i="65" s="1"/>
  <c r="K72" i="65"/>
  <c r="K175" i="65" s="1"/>
  <c r="J72" i="65"/>
  <c r="J175" i="65" s="1"/>
  <c r="I72" i="65"/>
  <c r="H72" i="65"/>
  <c r="H175" i="65" s="1"/>
  <c r="R190" i="65" s="1"/>
  <c r="G72" i="65"/>
  <c r="F72" i="65"/>
  <c r="F175" i="65" s="1"/>
  <c r="J190" i="65" s="1"/>
  <c r="K190" i="65" s="1"/>
  <c r="L190" i="65" s="1"/>
  <c r="M190" i="65" s="1"/>
  <c r="E72" i="65"/>
  <c r="E175" i="65" s="1"/>
  <c r="F190" i="65" s="1"/>
  <c r="G190" i="65" s="1"/>
  <c r="H190" i="65" s="1"/>
  <c r="I190" i="65" s="1"/>
  <c r="D72" i="65"/>
  <c r="D175" i="65" s="1"/>
  <c r="D190" i="65" s="1"/>
  <c r="E190" i="65" s="1"/>
  <c r="O71" i="65"/>
  <c r="O174" i="65" s="1"/>
  <c r="N71" i="65"/>
  <c r="N174" i="65" s="1"/>
  <c r="M71" i="65"/>
  <c r="L71" i="65"/>
  <c r="L174" i="65" s="1"/>
  <c r="K71" i="65"/>
  <c r="J71" i="65"/>
  <c r="J174" i="65" s="1"/>
  <c r="I71" i="65"/>
  <c r="I174" i="65" s="1"/>
  <c r="H71" i="65"/>
  <c r="H174" i="65" s="1"/>
  <c r="R189" i="65" s="1"/>
  <c r="S189" i="65" s="1"/>
  <c r="G71" i="65"/>
  <c r="G174" i="65" s="1"/>
  <c r="N189" i="65" s="1"/>
  <c r="O189" i="65" s="1"/>
  <c r="P189" i="65" s="1"/>
  <c r="Q189" i="65" s="1"/>
  <c r="F71" i="65"/>
  <c r="F174" i="65" s="1"/>
  <c r="J189" i="65" s="1"/>
  <c r="K189" i="65" s="1"/>
  <c r="L189" i="65" s="1"/>
  <c r="M189" i="65" s="1"/>
  <c r="E71" i="65"/>
  <c r="D71" i="65"/>
  <c r="D174" i="65" s="1"/>
  <c r="D189" i="65" s="1"/>
  <c r="O70" i="65"/>
  <c r="N70" i="65"/>
  <c r="N170" i="65" s="1"/>
  <c r="M70" i="65"/>
  <c r="M170" i="65" s="1"/>
  <c r="L70" i="65"/>
  <c r="L170" i="65" s="1"/>
  <c r="K70" i="65"/>
  <c r="K170" i="65" s="1"/>
  <c r="J70" i="65"/>
  <c r="J170" i="65" s="1"/>
  <c r="I70" i="65"/>
  <c r="H70" i="65"/>
  <c r="H170" i="65" s="1"/>
  <c r="R185" i="65" s="1"/>
  <c r="S185" i="65" s="1"/>
  <c r="G70" i="65"/>
  <c r="F70" i="65"/>
  <c r="F170" i="65" s="1"/>
  <c r="J185" i="65" s="1"/>
  <c r="K185" i="65" s="1"/>
  <c r="L185" i="65" s="1"/>
  <c r="M185" i="65" s="1"/>
  <c r="E70" i="65"/>
  <c r="E170" i="65" s="1"/>
  <c r="F185" i="65" s="1"/>
  <c r="G185" i="65" s="1"/>
  <c r="H185" i="65" s="1"/>
  <c r="I185" i="65" s="1"/>
  <c r="D70" i="65"/>
  <c r="D170" i="65" s="1"/>
  <c r="D185" i="65" s="1"/>
  <c r="E185" i="65" s="1"/>
  <c r="O69" i="65"/>
  <c r="O171" i="65" s="1"/>
  <c r="N69" i="65"/>
  <c r="N171" i="65" s="1"/>
  <c r="M69" i="65"/>
  <c r="L69" i="65"/>
  <c r="L171" i="65" s="1"/>
  <c r="K69" i="65"/>
  <c r="J69" i="65"/>
  <c r="J171" i="65" s="1"/>
  <c r="I69" i="65"/>
  <c r="I171" i="65" s="1"/>
  <c r="H69" i="65"/>
  <c r="H171" i="65" s="1"/>
  <c r="R186" i="65" s="1"/>
  <c r="S186" i="65" s="1"/>
  <c r="G69" i="65"/>
  <c r="G171" i="65" s="1"/>
  <c r="N186" i="65" s="1"/>
  <c r="O186" i="65" s="1"/>
  <c r="P186" i="65" s="1"/>
  <c r="Q186" i="65" s="1"/>
  <c r="F69" i="65"/>
  <c r="F171" i="65" s="1"/>
  <c r="J186" i="65" s="1"/>
  <c r="E69" i="65"/>
  <c r="D69" i="65"/>
  <c r="D171" i="65" s="1"/>
  <c r="D186" i="65" s="1"/>
  <c r="E186" i="65" s="1"/>
  <c r="D75" i="76"/>
  <c r="D74" i="76"/>
  <c r="D73" i="76"/>
  <c r="D72" i="76"/>
  <c r="D71" i="76"/>
  <c r="D70" i="76"/>
  <c r="D61" i="76"/>
  <c r="D60" i="76"/>
  <c r="D59" i="76"/>
  <c r="D58" i="76"/>
  <c r="D57" i="76"/>
  <c r="D56" i="76"/>
  <c r="D55" i="76"/>
  <c r="D54" i="76"/>
  <c r="D53" i="76"/>
  <c r="D52" i="76"/>
  <c r="D51" i="76"/>
  <c r="A48" i="76"/>
  <c r="A49" i="76" s="1"/>
  <c r="A50" i="76" s="1"/>
  <c r="A51" i="76" s="1"/>
  <c r="A52" i="76" s="1"/>
  <c r="A53" i="76" s="1"/>
  <c r="A54" i="76" s="1"/>
  <c r="A55" i="76" s="1"/>
  <c r="A56" i="76" s="1"/>
  <c r="A57" i="76" s="1"/>
  <c r="A58" i="76" s="1"/>
  <c r="A59" i="76" s="1"/>
  <c r="A60" i="76" s="1"/>
  <c r="A61" i="76" s="1"/>
  <c r="B47" i="76"/>
  <c r="B46" i="76"/>
  <c r="D46" i="76" s="1"/>
  <c r="G33" i="76" s="1"/>
  <c r="D45" i="76"/>
  <c r="D44" i="76"/>
  <c r="D43" i="76"/>
  <c r="D42" i="76"/>
  <c r="G41" i="76"/>
  <c r="G42" i="76" s="1"/>
  <c r="D41" i="76"/>
  <c r="H40" i="76"/>
  <c r="G40" i="76"/>
  <c r="D40" i="76"/>
  <c r="I39" i="76"/>
  <c r="H39" i="76"/>
  <c r="J39" i="76" s="1"/>
  <c r="D39" i="76"/>
  <c r="I38" i="76"/>
  <c r="H38" i="76"/>
  <c r="J38" i="76" s="1"/>
  <c r="D38" i="76"/>
  <c r="G31" i="76" s="1"/>
  <c r="H31" i="76" s="1"/>
  <c r="H37" i="76"/>
  <c r="D37" i="76"/>
  <c r="D36" i="76"/>
  <c r="D35" i="76"/>
  <c r="D34" i="76"/>
  <c r="M33" i="76"/>
  <c r="H33" i="76"/>
  <c r="D33" i="76"/>
  <c r="M32" i="76"/>
  <c r="H32" i="76"/>
  <c r="G32" i="76"/>
  <c r="D32" i="76"/>
  <c r="D31" i="76"/>
  <c r="G28" i="76" s="1"/>
  <c r="H28" i="76" s="1"/>
  <c r="G30" i="76"/>
  <c r="H30" i="76" s="1"/>
  <c r="D30" i="76"/>
  <c r="D29" i="76"/>
  <c r="I28" i="76"/>
  <c r="D28" i="76"/>
  <c r="A28" i="76"/>
  <c r="A29" i="76" s="1"/>
  <c r="A30" i="76" s="1"/>
  <c r="A31" i="76" s="1"/>
  <c r="A32" i="76" s="1"/>
  <c r="A33" i="76" s="1"/>
  <c r="A34" i="76" s="1"/>
  <c r="A35" i="76" s="1"/>
  <c r="A36" i="76" s="1"/>
  <c r="A37" i="76" s="1"/>
  <c r="A38" i="76" s="1"/>
  <c r="A39" i="76" s="1"/>
  <c r="A40" i="76" s="1"/>
  <c r="A41" i="76" s="1"/>
  <c r="A42" i="76" s="1"/>
  <c r="A43" i="76" s="1"/>
  <c r="A44" i="76" s="1"/>
  <c r="A45" i="76" s="1"/>
  <c r="A46" i="76" s="1"/>
  <c r="A47" i="76" s="1"/>
  <c r="J27" i="76"/>
  <c r="H27" i="76"/>
  <c r="I27" i="76" s="1"/>
  <c r="D27" i="76"/>
  <c r="G27" i="76" s="1"/>
  <c r="Q14" i="76"/>
  <c r="P14" i="76"/>
  <c r="B14" i="76"/>
  <c r="M11" i="29"/>
  <c r="L11" i="29"/>
  <c r="T10" i="29"/>
  <c r="T9" i="29"/>
  <c r="S9" i="29"/>
  <c r="S10" i="29" s="1"/>
  <c r="R9" i="29"/>
  <c r="R10" i="29" s="1"/>
  <c r="Q9" i="29"/>
  <c r="Q10" i="29" s="1"/>
  <c r="P9" i="29"/>
  <c r="P10" i="29" s="1"/>
  <c r="O9" i="29"/>
  <c r="O10" i="29" s="1"/>
  <c r="N9" i="29"/>
  <c r="N10" i="29" s="1"/>
  <c r="M9" i="29"/>
  <c r="M10" i="29" s="1"/>
  <c r="L9" i="29"/>
  <c r="K9" i="29"/>
  <c r="K11" i="29" s="1"/>
  <c r="J9" i="29"/>
  <c r="J11" i="29" s="1"/>
  <c r="R14" i="40"/>
  <c r="R16" i="40" s="1"/>
  <c r="J14" i="40"/>
  <c r="T13" i="40"/>
  <c r="S13" i="40"/>
  <c r="R13" i="40"/>
  <c r="Q13" i="40"/>
  <c r="P13" i="40"/>
  <c r="O13" i="40"/>
  <c r="O14" i="40" s="1"/>
  <c r="O17" i="40" s="1"/>
  <c r="N13" i="40"/>
  <c r="M13" i="40"/>
  <c r="L13" i="40"/>
  <c r="K13" i="40"/>
  <c r="J13" i="40"/>
  <c r="T12" i="40"/>
  <c r="S12" i="40"/>
  <c r="R12" i="40"/>
  <c r="Q12" i="40"/>
  <c r="P12" i="40"/>
  <c r="O12" i="40"/>
  <c r="O16" i="40" s="1"/>
  <c r="N12" i="40"/>
  <c r="M12" i="40"/>
  <c r="L12" i="40"/>
  <c r="K12" i="40"/>
  <c r="J12" i="40"/>
  <c r="T11" i="40"/>
  <c r="S11" i="40"/>
  <c r="R11" i="40"/>
  <c r="R15" i="40" s="1"/>
  <c r="Q11" i="40"/>
  <c r="P11" i="40"/>
  <c r="O11" i="40"/>
  <c r="O15" i="40" s="1"/>
  <c r="N11" i="40"/>
  <c r="M11" i="40"/>
  <c r="L11" i="40"/>
  <c r="K11" i="40"/>
  <c r="J11" i="40"/>
  <c r="J15" i="40" s="1"/>
  <c r="L67" i="38"/>
  <c r="L65" i="38"/>
  <c r="L70" i="38" s="1"/>
  <c r="K65" i="38"/>
  <c r="L64" i="38"/>
  <c r="L69" i="38" s="1"/>
  <c r="M55" i="38"/>
  <c r="P54" i="38"/>
  <c r="O54" i="38"/>
  <c r="O55" i="38" s="1"/>
  <c r="K67" i="38" s="1"/>
  <c r="N54" i="38"/>
  <c r="N55" i="38" s="1"/>
  <c r="J67" i="38" s="1"/>
  <c r="M54" i="38"/>
  <c r="L54" i="38"/>
  <c r="L55" i="38" s="1"/>
  <c r="N48" i="38" s="1"/>
  <c r="K54" i="38"/>
  <c r="J54" i="38"/>
  <c r="J55" i="38" s="1"/>
  <c r="P53" i="38"/>
  <c r="P55" i="38" s="1"/>
  <c r="O53" i="38"/>
  <c r="O56" i="38" s="1"/>
  <c r="N53" i="38"/>
  <c r="J65" i="38" s="1"/>
  <c r="J70" i="38" s="1"/>
  <c r="M53" i="38"/>
  <c r="I65" i="38" s="1"/>
  <c r="L53" i="38"/>
  <c r="K53" i="38"/>
  <c r="K55" i="38" s="1"/>
  <c r="M48" i="38" s="1"/>
  <c r="J53" i="38"/>
  <c r="J45" i="38"/>
  <c r="J44" i="38"/>
  <c r="J43" i="38"/>
  <c r="Q43" i="38" s="1"/>
  <c r="Q42" i="38"/>
  <c r="J42" i="38"/>
  <c r="J41" i="38"/>
  <c r="T40" i="38"/>
  <c r="J40" i="38"/>
  <c r="T39" i="38"/>
  <c r="P39" i="38" s="1"/>
  <c r="R39" i="38" s="1"/>
  <c r="S39" i="38"/>
  <c r="S40" i="38" s="1"/>
  <c r="S41" i="38" s="1"/>
  <c r="S42" i="38" s="1"/>
  <c r="S43" i="38" s="1"/>
  <c r="S44" i="38" s="1"/>
  <c r="S45" i="38" s="1"/>
  <c r="J39" i="38"/>
  <c r="Q39" i="38" s="1"/>
  <c r="T38" i="38"/>
  <c r="S38" i="38"/>
  <c r="R38" i="38"/>
  <c r="Q38" i="38"/>
  <c r="P38" i="38"/>
  <c r="J38" i="38"/>
  <c r="J37" i="38"/>
  <c r="J36" i="38"/>
  <c r="P36" i="38" s="1"/>
  <c r="P35" i="38"/>
  <c r="J35" i="38"/>
  <c r="J34" i="38"/>
  <c r="J33" i="38"/>
  <c r="T32" i="38"/>
  <c r="T33" i="38" s="1"/>
  <c r="T34" i="38" s="1"/>
  <c r="T35" i="38" s="1"/>
  <c r="T36" i="38" s="1"/>
  <c r="J32" i="38"/>
  <c r="P32" i="38" s="1"/>
  <c r="P31" i="38"/>
  <c r="J31" i="38"/>
  <c r="J30" i="38"/>
  <c r="T29" i="38"/>
  <c r="T30" i="38" s="1"/>
  <c r="T31" i="38" s="1"/>
  <c r="J29" i="38"/>
  <c r="T28" i="38"/>
  <c r="S28" i="38"/>
  <c r="S29" i="38" s="1"/>
  <c r="J28" i="38"/>
  <c r="P28" i="38" s="1"/>
  <c r="O27" i="38"/>
  <c r="J27" i="38"/>
  <c r="J26" i="38"/>
  <c r="N25" i="38"/>
  <c r="J25" i="38"/>
  <c r="J24" i="38"/>
  <c r="S23" i="38"/>
  <c r="S24" i="38" s="1"/>
  <c r="J23" i="38"/>
  <c r="N23" i="38" s="1"/>
  <c r="J22" i="38"/>
  <c r="M21" i="38"/>
  <c r="N21" i="38" s="1"/>
  <c r="J21" i="38"/>
  <c r="J20" i="38"/>
  <c r="M19" i="38"/>
  <c r="J19" i="38"/>
  <c r="M18" i="38"/>
  <c r="J18" i="38"/>
  <c r="J17" i="38"/>
  <c r="M16" i="38"/>
  <c r="J16" i="38"/>
  <c r="J15" i="38"/>
  <c r="S14" i="38"/>
  <c r="J14" i="38"/>
  <c r="M13" i="38"/>
  <c r="J13" i="38"/>
  <c r="J12" i="38"/>
  <c r="J11" i="38"/>
  <c r="AF73" i="70"/>
  <c r="AE73" i="70"/>
  <c r="AD73" i="70"/>
  <c r="AC73" i="70"/>
  <c r="AB73" i="70"/>
  <c r="AA73" i="70"/>
  <c r="AA49" i="70" s="1"/>
  <c r="Z73" i="70"/>
  <c r="Y73" i="70"/>
  <c r="X73" i="70"/>
  <c r="W73" i="70"/>
  <c r="V73" i="70"/>
  <c r="U73" i="70"/>
  <c r="T73" i="70"/>
  <c r="S73" i="70"/>
  <c r="AF72" i="70"/>
  <c r="AE72" i="70"/>
  <c r="AE48" i="70" s="1"/>
  <c r="J31" i="55" s="1"/>
  <c r="AD72" i="70"/>
  <c r="AD48" i="70" s="1"/>
  <c r="AC72" i="70"/>
  <c r="AB72" i="70"/>
  <c r="AB48" i="70" s="1"/>
  <c r="AA72" i="70"/>
  <c r="AA48" i="70" s="1"/>
  <c r="Z72" i="70"/>
  <c r="Y72" i="70"/>
  <c r="Z48" i="70" s="1"/>
  <c r="Z14" i="70" s="1"/>
  <c r="Z24" i="70" s="1"/>
  <c r="C3" i="71" s="1"/>
  <c r="X72" i="70"/>
  <c r="W72" i="70"/>
  <c r="V72" i="70"/>
  <c r="U72" i="70"/>
  <c r="T72" i="70"/>
  <c r="S72" i="70"/>
  <c r="AF71" i="70"/>
  <c r="AE71" i="70"/>
  <c r="AE13" i="78" s="1"/>
  <c r="AE14" i="78" s="1"/>
  <c r="I24" i="35" s="1"/>
  <c r="AD71" i="70"/>
  <c r="AD13" i="78" s="1"/>
  <c r="AD14" i="78" s="1"/>
  <c r="H24" i="35" s="1"/>
  <c r="AC71" i="70"/>
  <c r="AB71" i="70"/>
  <c r="AB13" i="78" s="1"/>
  <c r="AB14" i="78" s="1"/>
  <c r="F24" i="35" s="1"/>
  <c r="AA71" i="70"/>
  <c r="AB46" i="70" s="1"/>
  <c r="AB45" i="70" s="1"/>
  <c r="AB12" i="70" s="1"/>
  <c r="AB23" i="70" s="1"/>
  <c r="E2" i="71" s="1"/>
  <c r="Z71" i="70"/>
  <c r="Z13" i="78" s="1"/>
  <c r="Z14" i="78" s="1"/>
  <c r="D24" i="35" s="1"/>
  <c r="Y71" i="70"/>
  <c r="Y13" i="78" s="1"/>
  <c r="Y14" i="78" s="1"/>
  <c r="C24" i="35" s="1"/>
  <c r="X71" i="70"/>
  <c r="X13" i="78" s="1"/>
  <c r="X21" i="78" s="1"/>
  <c r="W71" i="70"/>
  <c r="W13" i="78" s="1"/>
  <c r="W21" i="78" s="1"/>
  <c r="V71" i="70"/>
  <c r="V13" i="78" s="1"/>
  <c r="U71" i="70"/>
  <c r="T71" i="70"/>
  <c r="S71" i="70"/>
  <c r="S13" i="78" s="1"/>
  <c r="Y52" i="70"/>
  <c r="Y20" i="70" s="1"/>
  <c r="Y27" i="70" s="1"/>
  <c r="X52" i="70"/>
  <c r="W52" i="70"/>
  <c r="W20" i="70" s="1"/>
  <c r="V52" i="70"/>
  <c r="U52" i="70"/>
  <c r="T52" i="70"/>
  <c r="S52" i="70"/>
  <c r="R52" i="70"/>
  <c r="Q52" i="70"/>
  <c r="Q20" i="70" s="1"/>
  <c r="Q27" i="70" s="1"/>
  <c r="P52" i="70"/>
  <c r="O52" i="70"/>
  <c r="O20" i="70" s="1"/>
  <c r="O27" i="70" s="1"/>
  <c r="N52" i="70"/>
  <c r="M52" i="70"/>
  <c r="L52" i="70"/>
  <c r="K52" i="70"/>
  <c r="J52" i="70"/>
  <c r="I52" i="70"/>
  <c r="I20" i="70" s="1"/>
  <c r="I27" i="70" s="1"/>
  <c r="H52" i="70"/>
  <c r="G52" i="70"/>
  <c r="G20" i="70" s="1"/>
  <c r="F52" i="70"/>
  <c r="E52" i="70"/>
  <c r="D52" i="70"/>
  <c r="Y51" i="70"/>
  <c r="X51" i="70"/>
  <c r="W51" i="70"/>
  <c r="V51" i="70"/>
  <c r="U51" i="70"/>
  <c r="T51" i="70"/>
  <c r="T18" i="70" s="1"/>
  <c r="S51" i="70"/>
  <c r="R51" i="70"/>
  <c r="Q51" i="70"/>
  <c r="P51" i="70"/>
  <c r="O51" i="70"/>
  <c r="N51" i="70"/>
  <c r="M51" i="70"/>
  <c r="L51" i="70"/>
  <c r="L18" i="70" s="1"/>
  <c r="K51" i="70"/>
  <c r="J51" i="70"/>
  <c r="I51" i="70"/>
  <c r="H51" i="70"/>
  <c r="G51" i="70"/>
  <c r="F51" i="70"/>
  <c r="E51" i="70"/>
  <c r="D51" i="70"/>
  <c r="D18" i="70" s="1"/>
  <c r="Y49" i="70"/>
  <c r="Y16" i="70" s="1"/>
  <c r="X49" i="70"/>
  <c r="W49" i="70"/>
  <c r="V49" i="70"/>
  <c r="U49" i="70"/>
  <c r="T49" i="70"/>
  <c r="S49" i="70"/>
  <c r="S16" i="70" s="1"/>
  <c r="S25" i="70" s="1"/>
  <c r="R49" i="70"/>
  <c r="Q49" i="70"/>
  <c r="Q16" i="70" s="1"/>
  <c r="P49" i="70"/>
  <c r="O49" i="70"/>
  <c r="N49" i="70"/>
  <c r="M49" i="70"/>
  <c r="L49" i="70"/>
  <c r="K49" i="70"/>
  <c r="K16" i="70" s="1"/>
  <c r="K25" i="70" s="1"/>
  <c r="J49" i="70"/>
  <c r="I49" i="70"/>
  <c r="I16" i="70" s="1"/>
  <c r="H49" i="70"/>
  <c r="G49" i="70"/>
  <c r="F49" i="70"/>
  <c r="E49" i="70"/>
  <c r="D49" i="70"/>
  <c r="Y48" i="70"/>
  <c r="X48" i="70"/>
  <c r="W48" i="70"/>
  <c r="V48" i="70"/>
  <c r="V14" i="70" s="1"/>
  <c r="V24" i="70" s="1"/>
  <c r="U48" i="70"/>
  <c r="T48" i="70"/>
  <c r="S48" i="70"/>
  <c r="R48" i="70"/>
  <c r="Q48" i="70"/>
  <c r="P48" i="70"/>
  <c r="O48" i="70"/>
  <c r="N48" i="70"/>
  <c r="N14" i="70" s="1"/>
  <c r="N24" i="70" s="1"/>
  <c r="M48" i="70"/>
  <c r="L48" i="70"/>
  <c r="K48" i="70"/>
  <c r="J48" i="70"/>
  <c r="I48" i="70"/>
  <c r="H48" i="70"/>
  <c r="G48" i="70"/>
  <c r="F48" i="70"/>
  <c r="F14" i="70" s="1"/>
  <c r="F24" i="70" s="1"/>
  <c r="E48" i="70"/>
  <c r="D48" i="70"/>
  <c r="AC46" i="70"/>
  <c r="AC45" i="70" s="1"/>
  <c r="AC12" i="70" s="1"/>
  <c r="AC23" i="70" s="1"/>
  <c r="F2" i="71" s="1"/>
  <c r="X46" i="70"/>
  <c r="W46" i="70"/>
  <c r="V46" i="70"/>
  <c r="U46" i="70"/>
  <c r="T46" i="70"/>
  <c r="S46" i="70"/>
  <c r="R46" i="70"/>
  <c r="Q46" i="70"/>
  <c r="P46" i="70"/>
  <c r="O46" i="70"/>
  <c r="N46" i="70"/>
  <c r="M46" i="70"/>
  <c r="L46" i="70"/>
  <c r="K46" i="70"/>
  <c r="J46" i="70"/>
  <c r="I46" i="70"/>
  <c r="H46" i="70"/>
  <c r="G46" i="70"/>
  <c r="F46" i="70"/>
  <c r="E46" i="70"/>
  <c r="D46" i="70"/>
  <c r="Y45" i="70"/>
  <c r="X45" i="70"/>
  <c r="X12" i="70" s="1"/>
  <c r="X23" i="70" s="1"/>
  <c r="W45" i="70"/>
  <c r="V45" i="70"/>
  <c r="U45" i="70"/>
  <c r="T45" i="70"/>
  <c r="C13" i="76" s="1"/>
  <c r="S45" i="70"/>
  <c r="R45" i="70"/>
  <c r="R12" i="70" s="1"/>
  <c r="R23" i="70" s="1"/>
  <c r="Q45" i="70"/>
  <c r="P45" i="70"/>
  <c r="P12" i="70" s="1"/>
  <c r="P23" i="70" s="1"/>
  <c r="O45" i="70"/>
  <c r="N45" i="70"/>
  <c r="M45" i="70"/>
  <c r="L45" i="70"/>
  <c r="K45" i="70"/>
  <c r="J45" i="70"/>
  <c r="J12" i="70" s="1"/>
  <c r="J23" i="70" s="1"/>
  <c r="I45" i="70"/>
  <c r="H45" i="70"/>
  <c r="H12" i="70" s="1"/>
  <c r="H23" i="70" s="1"/>
  <c r="G45" i="70"/>
  <c r="F45" i="70"/>
  <c r="E45" i="70"/>
  <c r="D45" i="70"/>
  <c r="W27" i="70"/>
  <c r="U27" i="70"/>
  <c r="M27" i="70"/>
  <c r="G27" i="70"/>
  <c r="E27" i="70"/>
  <c r="T26" i="70"/>
  <c r="R26" i="70"/>
  <c r="L26" i="70"/>
  <c r="J26" i="70"/>
  <c r="D26" i="70"/>
  <c r="Y25" i="70"/>
  <c r="W25" i="70"/>
  <c r="Q25" i="70"/>
  <c r="O25" i="70"/>
  <c r="I25" i="70"/>
  <c r="G25" i="70"/>
  <c r="T24" i="70"/>
  <c r="L24" i="70"/>
  <c r="D24" i="70"/>
  <c r="Y23" i="70"/>
  <c r="S23" i="70"/>
  <c r="Q23" i="70"/>
  <c r="K23" i="70"/>
  <c r="I23" i="70"/>
  <c r="X20" i="70"/>
  <c r="X27" i="70" s="1"/>
  <c r="V20" i="70"/>
  <c r="V27" i="70" s="1"/>
  <c r="U20" i="70"/>
  <c r="T20" i="70"/>
  <c r="T27" i="70" s="1"/>
  <c r="S20" i="70"/>
  <c r="S27" i="70" s="1"/>
  <c r="R20" i="70"/>
  <c r="R27" i="70" s="1"/>
  <c r="P20" i="70"/>
  <c r="P27" i="70" s="1"/>
  <c r="N20" i="70"/>
  <c r="N27" i="70" s="1"/>
  <c r="M20" i="70"/>
  <c r="L20" i="70"/>
  <c r="L27" i="70" s="1"/>
  <c r="K20" i="70"/>
  <c r="K27" i="70" s="1"/>
  <c r="J20" i="70"/>
  <c r="J27" i="70" s="1"/>
  <c r="H20" i="70"/>
  <c r="H27" i="70" s="1"/>
  <c r="F20" i="70"/>
  <c r="F27" i="70" s="1"/>
  <c r="E20" i="70"/>
  <c r="D20" i="70"/>
  <c r="D27" i="70" s="1"/>
  <c r="Y18" i="70"/>
  <c r="Y26" i="70" s="1"/>
  <c r="X18" i="70"/>
  <c r="X26" i="70" s="1"/>
  <c r="W18" i="70"/>
  <c r="W26" i="70" s="1"/>
  <c r="V18" i="70"/>
  <c r="V26" i="70" s="1"/>
  <c r="U18" i="70"/>
  <c r="U26" i="70" s="1"/>
  <c r="S18" i="70"/>
  <c r="S26" i="70" s="1"/>
  <c r="R18" i="70"/>
  <c r="Q18" i="70"/>
  <c r="Q26" i="70" s="1"/>
  <c r="P18" i="70"/>
  <c r="P26" i="70" s="1"/>
  <c r="O18" i="70"/>
  <c r="O26" i="70" s="1"/>
  <c r="N18" i="70"/>
  <c r="N26" i="70" s="1"/>
  <c r="M18" i="70"/>
  <c r="M26" i="70" s="1"/>
  <c r="K18" i="70"/>
  <c r="K26" i="70" s="1"/>
  <c r="J18" i="70"/>
  <c r="I18" i="70"/>
  <c r="I26" i="70" s="1"/>
  <c r="H18" i="70"/>
  <c r="H26" i="70" s="1"/>
  <c r="G18" i="70"/>
  <c r="G26" i="70" s="1"/>
  <c r="F18" i="70"/>
  <c r="F26" i="70" s="1"/>
  <c r="E18" i="70"/>
  <c r="E26" i="70" s="1"/>
  <c r="X16" i="70"/>
  <c r="X25" i="70" s="1"/>
  <c r="W16" i="70"/>
  <c r="V16" i="70"/>
  <c r="V25" i="70" s="1"/>
  <c r="U16" i="70"/>
  <c r="U25" i="70" s="1"/>
  <c r="T16" i="70"/>
  <c r="T25" i="70" s="1"/>
  <c r="R16" i="70"/>
  <c r="R25" i="70" s="1"/>
  <c r="P16" i="70"/>
  <c r="P25" i="70" s="1"/>
  <c r="O16" i="70"/>
  <c r="N16" i="70"/>
  <c r="N25" i="70" s="1"/>
  <c r="M16" i="70"/>
  <c r="M25" i="70" s="1"/>
  <c r="L16" i="70"/>
  <c r="L25" i="70" s="1"/>
  <c r="J16" i="70"/>
  <c r="J25" i="70" s="1"/>
  <c r="H16" i="70"/>
  <c r="H25" i="70" s="1"/>
  <c r="G16" i="70"/>
  <c r="F16" i="70"/>
  <c r="F25" i="70" s="1"/>
  <c r="E16" i="70"/>
  <c r="E25" i="70" s="1"/>
  <c r="D16" i="70"/>
  <c r="D25" i="70" s="1"/>
  <c r="Y14" i="70"/>
  <c r="Y24" i="70" s="1"/>
  <c r="X14" i="70"/>
  <c r="X24" i="70" s="1"/>
  <c r="W14" i="70"/>
  <c r="W24" i="70" s="1"/>
  <c r="U14" i="70"/>
  <c r="U24" i="70" s="1"/>
  <c r="T14" i="70"/>
  <c r="S14" i="70"/>
  <c r="S24" i="70" s="1"/>
  <c r="R14" i="70"/>
  <c r="R24" i="70" s="1"/>
  <c r="Q14" i="70"/>
  <c r="Q24" i="70" s="1"/>
  <c r="P14" i="70"/>
  <c r="P24" i="70" s="1"/>
  <c r="O14" i="70"/>
  <c r="O24" i="70" s="1"/>
  <c r="M14" i="70"/>
  <c r="M24" i="70" s="1"/>
  <c r="L14" i="70"/>
  <c r="K14" i="70"/>
  <c r="K24" i="70" s="1"/>
  <c r="J14" i="70"/>
  <c r="J24" i="70" s="1"/>
  <c r="I14" i="70"/>
  <c r="I24" i="70" s="1"/>
  <c r="H14" i="70"/>
  <c r="H24" i="70" s="1"/>
  <c r="G14" i="70"/>
  <c r="G24" i="70" s="1"/>
  <c r="E14" i="70"/>
  <c r="E24" i="70" s="1"/>
  <c r="D14" i="70"/>
  <c r="Y12" i="70"/>
  <c r="W12" i="70"/>
  <c r="W23" i="70" s="1"/>
  <c r="V12" i="70"/>
  <c r="V23" i="70" s="1"/>
  <c r="U12" i="70"/>
  <c r="U23" i="70" s="1"/>
  <c r="T12" i="70"/>
  <c r="T23" i="70" s="1"/>
  <c r="S12" i="70"/>
  <c r="Q12" i="70"/>
  <c r="O12" i="70"/>
  <c r="O23" i="70" s="1"/>
  <c r="N12" i="70"/>
  <c r="N23" i="70" s="1"/>
  <c r="M12" i="70"/>
  <c r="M23" i="70" s="1"/>
  <c r="L12" i="70"/>
  <c r="L23" i="70" s="1"/>
  <c r="K12" i="70"/>
  <c r="I12" i="70"/>
  <c r="G12" i="70"/>
  <c r="G23" i="70" s="1"/>
  <c r="F12" i="70"/>
  <c r="F23" i="70" s="1"/>
  <c r="E12" i="70"/>
  <c r="E23" i="70" s="1"/>
  <c r="D12" i="70"/>
  <c r="D23" i="70" s="1"/>
  <c r="Y126" i="48"/>
  <c r="X126" i="48"/>
  <c r="W126" i="48"/>
  <c r="V126" i="48"/>
  <c r="U126" i="48"/>
  <c r="T126" i="48"/>
  <c r="S126" i="48"/>
  <c r="R126" i="48"/>
  <c r="Q126" i="48"/>
  <c r="P126" i="48"/>
  <c r="P144" i="48" s="1"/>
  <c r="O126" i="48"/>
  <c r="N126" i="48"/>
  <c r="M126" i="48"/>
  <c r="L126" i="48"/>
  <c r="K126" i="48"/>
  <c r="J126" i="48"/>
  <c r="I126" i="48"/>
  <c r="H126" i="48"/>
  <c r="H144" i="48" s="1"/>
  <c r="G126" i="48"/>
  <c r="F126" i="48"/>
  <c r="Y125" i="48"/>
  <c r="X125" i="48"/>
  <c r="W125" i="48"/>
  <c r="V125" i="48"/>
  <c r="U125" i="48"/>
  <c r="T125" i="48"/>
  <c r="S125" i="48"/>
  <c r="R125" i="48"/>
  <c r="Q125" i="48"/>
  <c r="P125" i="48"/>
  <c r="O125" i="48"/>
  <c r="N125" i="48"/>
  <c r="M125" i="48"/>
  <c r="L125" i="48"/>
  <c r="L143" i="48" s="1"/>
  <c r="K125" i="48"/>
  <c r="J125" i="48"/>
  <c r="I125" i="48"/>
  <c r="H125" i="48"/>
  <c r="G125" i="48"/>
  <c r="F125" i="48"/>
  <c r="Y123" i="48"/>
  <c r="X123" i="48"/>
  <c r="W123" i="48"/>
  <c r="V123" i="48"/>
  <c r="U123" i="48"/>
  <c r="T123" i="48"/>
  <c r="S123" i="48"/>
  <c r="R123" i="48"/>
  <c r="Q123" i="48"/>
  <c r="P123" i="48"/>
  <c r="O123" i="48"/>
  <c r="N123" i="48"/>
  <c r="M123" i="48"/>
  <c r="L123" i="48"/>
  <c r="K123" i="48"/>
  <c r="J123" i="48"/>
  <c r="I123" i="48"/>
  <c r="H123" i="48"/>
  <c r="G123" i="48"/>
  <c r="F123" i="48"/>
  <c r="Y122" i="48"/>
  <c r="X122" i="48"/>
  <c r="W122" i="48"/>
  <c r="V122" i="48"/>
  <c r="U122" i="48"/>
  <c r="T122" i="48"/>
  <c r="S122" i="48"/>
  <c r="R122" i="48"/>
  <c r="Q122" i="48"/>
  <c r="P122" i="48"/>
  <c r="O122" i="48"/>
  <c r="N122" i="48"/>
  <c r="M122" i="48"/>
  <c r="L122" i="48"/>
  <c r="K122" i="48"/>
  <c r="J122" i="48"/>
  <c r="I122" i="48"/>
  <c r="H122" i="48"/>
  <c r="G122" i="48"/>
  <c r="F122" i="48"/>
  <c r="Y121" i="48"/>
  <c r="X121" i="48"/>
  <c r="W121" i="48"/>
  <c r="V121" i="48"/>
  <c r="U121" i="48"/>
  <c r="T121" i="48"/>
  <c r="S121" i="48"/>
  <c r="R121" i="48"/>
  <c r="Q121" i="48"/>
  <c r="P121" i="48"/>
  <c r="O121" i="48"/>
  <c r="N121" i="48"/>
  <c r="M121" i="48"/>
  <c r="L121" i="48"/>
  <c r="K121" i="48"/>
  <c r="J121" i="48"/>
  <c r="I121" i="48"/>
  <c r="H121" i="48"/>
  <c r="G121" i="48"/>
  <c r="F121" i="48"/>
  <c r="Y120" i="48"/>
  <c r="Y124" i="48" s="1"/>
  <c r="X120" i="48"/>
  <c r="W120" i="48"/>
  <c r="W124" i="48" s="1"/>
  <c r="V120" i="48"/>
  <c r="V124" i="48" s="1"/>
  <c r="U120" i="48"/>
  <c r="U124" i="48" s="1"/>
  <c r="T120" i="48"/>
  <c r="T124" i="48" s="1"/>
  <c r="S120" i="48"/>
  <c r="R120" i="48"/>
  <c r="R124" i="48" s="1"/>
  <c r="Q120" i="48"/>
  <c r="P120" i="48"/>
  <c r="O120" i="48"/>
  <c r="N120" i="48"/>
  <c r="M120" i="48"/>
  <c r="L120" i="48"/>
  <c r="K120" i="48"/>
  <c r="J120" i="48"/>
  <c r="J124" i="48" s="1"/>
  <c r="I120" i="48"/>
  <c r="H120" i="48"/>
  <c r="G120" i="48"/>
  <c r="F120" i="48"/>
  <c r="F124" i="48" s="1"/>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L88" i="48"/>
  <c r="K88" i="48"/>
  <c r="J88" i="48"/>
  <c r="I88" i="48"/>
  <c r="H88" i="48"/>
  <c r="G88" i="48"/>
  <c r="F88" i="48"/>
  <c r="E88" i="48"/>
  <c r="L86" i="48"/>
  <c r="K86" i="48"/>
  <c r="J86" i="48"/>
  <c r="I86" i="48"/>
  <c r="H86" i="48"/>
  <c r="E86" i="48"/>
  <c r="L85" i="48"/>
  <c r="K85" i="48"/>
  <c r="J85" i="48"/>
  <c r="I85" i="48"/>
  <c r="H85" i="48"/>
  <c r="G85" i="48"/>
  <c r="F85" i="48"/>
  <c r="E85" i="48"/>
  <c r="F73" i="48"/>
  <c r="E73" i="48"/>
  <c r="F71" i="48"/>
  <c r="E71" i="48"/>
  <c r="F70" i="48"/>
  <c r="E70" i="48"/>
  <c r="L57" i="48"/>
  <c r="L87" i="48" s="1"/>
  <c r="K57" i="48"/>
  <c r="K87" i="48" s="1"/>
  <c r="J57" i="48"/>
  <c r="J87" i="48" s="1"/>
  <c r="I57" i="48"/>
  <c r="I87" i="48" s="1"/>
  <c r="H57" i="48"/>
  <c r="H87" i="48" s="1"/>
  <c r="G57" i="48"/>
  <c r="G87" i="48" s="1"/>
  <c r="F57" i="48"/>
  <c r="E57" i="48"/>
  <c r="AG47" i="48"/>
  <c r="AF47" i="48"/>
  <c r="AE47" i="48"/>
  <c r="AD47" i="48"/>
  <c r="AC47" i="48"/>
  <c r="AB47" i="48"/>
  <c r="AA47" i="48"/>
  <c r="Z47" i="48"/>
  <c r="Y47" i="48"/>
  <c r="Y25" i="48"/>
  <c r="C22" i="35" s="1"/>
  <c r="D24" i="55" s="1"/>
  <c r="X25" i="48"/>
  <c r="W25" i="48"/>
  <c r="V25" i="48"/>
  <c r="U25" i="48"/>
  <c r="T25" i="48"/>
  <c r="S25" i="48"/>
  <c r="R25" i="48"/>
  <c r="Q25" i="48"/>
  <c r="P25" i="48"/>
  <c r="O25" i="48"/>
  <c r="N25" i="48"/>
  <c r="M25" i="48"/>
  <c r="L25" i="48"/>
  <c r="K25" i="48"/>
  <c r="J25" i="48"/>
  <c r="I25" i="48"/>
  <c r="H25" i="48"/>
  <c r="G25" i="48"/>
  <c r="F25" i="48"/>
  <c r="Y24" i="48"/>
  <c r="X24" i="48"/>
  <c r="W24" i="48"/>
  <c r="V24" i="48"/>
  <c r="U24" i="48"/>
  <c r="T24" i="48"/>
  <c r="S24" i="48"/>
  <c r="R24" i="48"/>
  <c r="Q24" i="48"/>
  <c r="P24" i="48"/>
  <c r="O24" i="48"/>
  <c r="N24" i="48"/>
  <c r="M24" i="48"/>
  <c r="L24" i="48"/>
  <c r="K24" i="48"/>
  <c r="J24" i="48"/>
  <c r="I24" i="48"/>
  <c r="H24" i="48"/>
  <c r="G24" i="48"/>
  <c r="F24" i="48"/>
  <c r="Y23" i="48"/>
  <c r="X23" i="48"/>
  <c r="W23" i="48"/>
  <c r="V23" i="48"/>
  <c r="U23" i="48"/>
  <c r="T23" i="48"/>
  <c r="S23" i="48"/>
  <c r="R23" i="48"/>
  <c r="Q23" i="48"/>
  <c r="P23" i="48"/>
  <c r="O23" i="48"/>
  <c r="N23" i="48"/>
  <c r="M23" i="48"/>
  <c r="L23" i="48"/>
  <c r="K23" i="48"/>
  <c r="J23" i="48"/>
  <c r="I23" i="48"/>
  <c r="H23" i="48"/>
  <c r="G23" i="48"/>
  <c r="F23" i="48"/>
  <c r="Y21" i="48"/>
  <c r="X21" i="48"/>
  <c r="W21" i="48"/>
  <c r="V21" i="48"/>
  <c r="U21" i="48"/>
  <c r="T21" i="48"/>
  <c r="S21" i="48"/>
  <c r="R21" i="48"/>
  <c r="Q21" i="48"/>
  <c r="P21" i="48"/>
  <c r="O21" i="48"/>
  <c r="N21" i="48"/>
  <c r="M21" i="48"/>
  <c r="L21" i="48"/>
  <c r="K21" i="48"/>
  <c r="J21" i="48"/>
  <c r="I21" i="48"/>
  <c r="H21" i="48"/>
  <c r="G21" i="48"/>
  <c r="F21" i="48"/>
  <c r="Y16" i="48"/>
  <c r="C21" i="35" s="1"/>
  <c r="D23" i="55" s="1"/>
  <c r="D87" i="55" s="1"/>
  <c r="X16" i="48"/>
  <c r="W16" i="48"/>
  <c r="V16" i="48"/>
  <c r="U16" i="48"/>
  <c r="T16" i="48"/>
  <c r="S16" i="48"/>
  <c r="R16" i="48"/>
  <c r="Q16" i="48"/>
  <c r="P16" i="48"/>
  <c r="O16" i="48"/>
  <c r="N16" i="48"/>
  <c r="M16" i="48"/>
  <c r="L16" i="48"/>
  <c r="K16" i="48"/>
  <c r="J16" i="48"/>
  <c r="I16" i="48"/>
  <c r="H16" i="48"/>
  <c r="G16" i="48"/>
  <c r="F16" i="48"/>
  <c r="Y14" i="48"/>
  <c r="X14" i="48"/>
  <c r="W14" i="48"/>
  <c r="V14" i="48"/>
  <c r="U14" i="48"/>
  <c r="T14" i="48"/>
  <c r="S14" i="48"/>
  <c r="R14" i="48"/>
  <c r="Q14" i="48"/>
  <c r="P14" i="48"/>
  <c r="O14" i="48"/>
  <c r="N14" i="48"/>
  <c r="M14" i="48"/>
  <c r="L14" i="48"/>
  <c r="K14" i="48"/>
  <c r="J14" i="48"/>
  <c r="I14" i="48"/>
  <c r="H14" i="48"/>
  <c r="G14" i="48"/>
  <c r="F14" i="48"/>
  <c r="Y12" i="48"/>
  <c r="X12" i="48"/>
  <c r="W12" i="48"/>
  <c r="V12" i="48"/>
  <c r="U12" i="48"/>
  <c r="T12" i="48"/>
  <c r="S12" i="48"/>
  <c r="R12" i="48"/>
  <c r="Q12" i="48"/>
  <c r="P12" i="48"/>
  <c r="O12" i="48"/>
  <c r="N12" i="48"/>
  <c r="M12" i="48"/>
  <c r="L12" i="48"/>
  <c r="K12" i="48"/>
  <c r="J12" i="48"/>
  <c r="I12" i="48"/>
  <c r="H12" i="48"/>
  <c r="G12" i="48"/>
  <c r="F12" i="48"/>
  <c r="Y10" i="48"/>
  <c r="Y27" i="48" s="1"/>
  <c r="X10" i="48"/>
  <c r="X27" i="48" s="1"/>
  <c r="W10" i="48"/>
  <c r="V10" i="48"/>
  <c r="U10" i="48"/>
  <c r="T10" i="48"/>
  <c r="S10" i="48"/>
  <c r="R10" i="48"/>
  <c r="Q10" i="48"/>
  <c r="Q27" i="48" s="1"/>
  <c r="P10" i="48"/>
  <c r="O10" i="48"/>
  <c r="N10" i="48"/>
  <c r="M10" i="48"/>
  <c r="L10" i="48"/>
  <c r="K10" i="48"/>
  <c r="J10" i="48"/>
  <c r="I10" i="48"/>
  <c r="I27" i="48" s="1"/>
  <c r="H10" i="48"/>
  <c r="H27" i="48" s="1"/>
  <c r="G10" i="48"/>
  <c r="F10" i="48"/>
  <c r="Y23" i="78"/>
  <c r="X23" i="78"/>
  <c r="W23" i="78"/>
  <c r="V23" i="78"/>
  <c r="U23" i="78"/>
  <c r="T23" i="78"/>
  <c r="S23" i="78"/>
  <c r="AG22" i="78"/>
  <c r="AE22" i="78"/>
  <c r="AC22" i="78"/>
  <c r="AA22" i="78"/>
  <c r="AG16" i="78"/>
  <c r="AF16" i="78"/>
  <c r="AF22" i="78" s="1"/>
  <c r="AE16" i="78"/>
  <c r="AD16" i="78"/>
  <c r="AD22" i="78" s="1"/>
  <c r="AC16" i="78"/>
  <c r="AB16" i="78"/>
  <c r="AB22" i="78" s="1"/>
  <c r="AA16" i="78"/>
  <c r="Z16" i="78"/>
  <c r="Z22" i="78" s="1"/>
  <c r="AJ14" i="78"/>
  <c r="AI14" i="78"/>
  <c r="AH13" i="78"/>
  <c r="AH14" i="78" s="1"/>
  <c r="AF13" i="78"/>
  <c r="AF14" i="78" s="1"/>
  <c r="J24" i="35" s="1"/>
  <c r="AC13" i="78"/>
  <c r="AC14" i="78" s="1"/>
  <c r="G24" i="35" s="1"/>
  <c r="U13" i="78"/>
  <c r="U21" i="78" s="1"/>
  <c r="T13" i="78"/>
  <c r="T21" i="78" s="1"/>
  <c r="Z19" i="77"/>
  <c r="X16" i="77"/>
  <c r="X19" i="77" s="1"/>
  <c r="X15" i="77"/>
  <c r="AA7" i="77"/>
  <c r="AA19" i="77" s="1"/>
  <c r="Z7" i="77"/>
  <c r="X7" i="77"/>
  <c r="Q7" i="77"/>
  <c r="G130" i="75"/>
  <c r="F130" i="75"/>
  <c r="W106" i="75"/>
  <c r="U106" i="75"/>
  <c r="W105" i="75"/>
  <c r="V105" i="75"/>
  <c r="U105" i="75"/>
  <c r="T105" i="75"/>
  <c r="S105" i="75"/>
  <c r="R105" i="75"/>
  <c r="Q105" i="75"/>
  <c r="P105" i="75"/>
  <c r="O105" i="75"/>
  <c r="N105" i="75"/>
  <c r="M105" i="75"/>
  <c r="L105" i="75"/>
  <c r="K105" i="75"/>
  <c r="J105" i="75"/>
  <c r="I105" i="75"/>
  <c r="H105" i="75"/>
  <c r="G105" i="75"/>
  <c r="F105" i="75"/>
  <c r="E105" i="75"/>
  <c r="D105" i="75"/>
  <c r="X104" i="75"/>
  <c r="X106" i="75" s="1"/>
  <c r="W104" i="75"/>
  <c r="V104" i="75"/>
  <c r="V106" i="75" s="1"/>
  <c r="U104" i="75"/>
  <c r="AG99" i="75"/>
  <c r="AF99" i="75"/>
  <c r="AE99" i="75"/>
  <c r="AD99" i="75"/>
  <c r="V96" i="75"/>
  <c r="U96" i="75"/>
  <c r="T96" i="75"/>
  <c r="S96" i="75"/>
  <c r="R96" i="75"/>
  <c r="Q96" i="75"/>
  <c r="P96" i="75"/>
  <c r="O96" i="75"/>
  <c r="N96" i="75"/>
  <c r="M96" i="75"/>
  <c r="L96" i="75"/>
  <c r="K96" i="75"/>
  <c r="J96" i="75"/>
  <c r="I96" i="75"/>
  <c r="H96" i="75"/>
  <c r="G96" i="75"/>
  <c r="F96" i="75"/>
  <c r="E96" i="75"/>
  <c r="D96" i="75"/>
  <c r="V87" i="75"/>
  <c r="R87" i="75"/>
  <c r="Q87" i="75"/>
  <c r="P87" i="75"/>
  <c r="N87" i="75"/>
  <c r="J87" i="75"/>
  <c r="V86" i="75"/>
  <c r="V85" i="75" s="1"/>
  <c r="U86" i="75"/>
  <c r="U87" i="75" s="1"/>
  <c r="T86" i="75"/>
  <c r="T87" i="75" s="1"/>
  <c r="S86" i="75"/>
  <c r="S87" i="75" s="1"/>
  <c r="R86" i="75"/>
  <c r="R85" i="75" s="1"/>
  <c r="Q86" i="75"/>
  <c r="P86" i="75"/>
  <c r="O86" i="75"/>
  <c r="N86" i="75"/>
  <c r="N85" i="75" s="1"/>
  <c r="M86" i="75"/>
  <c r="M87" i="75" s="1"/>
  <c r="L86" i="75"/>
  <c r="L87" i="75" s="1"/>
  <c r="K86" i="75"/>
  <c r="K87" i="75" s="1"/>
  <c r="J86" i="75"/>
  <c r="J85" i="75" s="1"/>
  <c r="I86" i="75"/>
  <c r="H86" i="75"/>
  <c r="G86" i="75"/>
  <c r="F86" i="75"/>
  <c r="E86" i="75"/>
  <c r="T85" i="75" s="1"/>
  <c r="D86" i="75"/>
  <c r="U85" i="75"/>
  <c r="M85" i="75"/>
  <c r="V44" i="75"/>
  <c r="U44" i="75"/>
  <c r="T44" i="75"/>
  <c r="S44" i="75"/>
  <c r="R44" i="75"/>
  <c r="Q44" i="75"/>
  <c r="P44" i="75"/>
  <c r="O44" i="75"/>
  <c r="N44" i="75"/>
  <c r="M44" i="75"/>
  <c r="L44" i="75"/>
  <c r="K44" i="75"/>
  <c r="J44" i="75"/>
  <c r="I44" i="75"/>
  <c r="H44" i="75"/>
  <c r="G44" i="75"/>
  <c r="F44" i="75"/>
  <c r="E44" i="75"/>
  <c r="D44" i="75"/>
  <c r="AC40" i="75"/>
  <c r="AB40" i="75"/>
  <c r="AA40" i="75"/>
  <c r="Z40" i="75"/>
  <c r="Y40" i="75"/>
  <c r="X40" i="75"/>
  <c r="W40" i="75"/>
  <c r="V40" i="75"/>
  <c r="U40" i="75"/>
  <c r="T40" i="75"/>
  <c r="S40" i="75"/>
  <c r="J38" i="75"/>
  <c r="AC36" i="75"/>
  <c r="AB36" i="75"/>
  <c r="AA36" i="75"/>
  <c r="Z36" i="75"/>
  <c r="Y36" i="75"/>
  <c r="X36" i="75"/>
  <c r="W36" i="75"/>
  <c r="V36" i="75"/>
  <c r="U36" i="75"/>
  <c r="T36" i="75"/>
  <c r="S36" i="75"/>
  <c r="R36" i="75"/>
  <c r="Q36" i="75"/>
  <c r="P36" i="75"/>
  <c r="O36" i="75"/>
  <c r="N36" i="75"/>
  <c r="M36" i="75"/>
  <c r="L36" i="75"/>
  <c r="K36" i="75"/>
  <c r="J36" i="75"/>
  <c r="T35" i="75"/>
  <c r="S35" i="75"/>
  <c r="R35" i="75"/>
  <c r="Q35" i="75"/>
  <c r="P35" i="75"/>
  <c r="O35" i="75"/>
  <c r="N35" i="75"/>
  <c r="M35" i="75"/>
  <c r="H34" i="75"/>
  <c r="G34" i="75"/>
  <c r="F34" i="75"/>
  <c r="E34" i="75"/>
  <c r="D34" i="75"/>
  <c r="O33" i="75"/>
  <c r="O38" i="75" s="1"/>
  <c r="M33" i="75"/>
  <c r="H28" i="75"/>
  <c r="D28" i="75"/>
  <c r="V25" i="75"/>
  <c r="U25" i="75"/>
  <c r="T25" i="75"/>
  <c r="S25" i="75"/>
  <c r="R25" i="75"/>
  <c r="Q25" i="75"/>
  <c r="P25" i="75"/>
  <c r="O25" i="75"/>
  <c r="N25" i="75"/>
  <c r="M25" i="75"/>
  <c r="L25" i="75"/>
  <c r="K25" i="75"/>
  <c r="J25" i="75"/>
  <c r="I25" i="75"/>
  <c r="H25" i="75"/>
  <c r="G25" i="75"/>
  <c r="F25" i="75"/>
  <c r="E25" i="75"/>
  <c r="D25" i="75"/>
  <c r="H24" i="75"/>
  <c r="G24" i="75"/>
  <c r="G28" i="75" s="1"/>
  <c r="F24" i="75"/>
  <c r="F28" i="75" s="1"/>
  <c r="E24" i="75"/>
  <c r="E28" i="75" s="1"/>
  <c r="D24" i="75"/>
  <c r="O23" i="75"/>
  <c r="M23" i="75"/>
  <c r="AC22" i="75"/>
  <c r="AB22" i="75"/>
  <c r="AA22" i="75"/>
  <c r="Z22" i="75"/>
  <c r="Y22" i="75"/>
  <c r="X22" i="75"/>
  <c r="W22" i="75"/>
  <c r="V22" i="75"/>
  <c r="U22" i="75"/>
  <c r="T22" i="75"/>
  <c r="S22" i="75"/>
  <c r="R22" i="75"/>
  <c r="Q22" i="75"/>
  <c r="P22" i="75"/>
  <c r="O22" i="75"/>
  <c r="N22" i="75"/>
  <c r="M22" i="75"/>
  <c r="L22" i="75"/>
  <c r="K22" i="75"/>
  <c r="J22" i="75"/>
  <c r="T21" i="75"/>
  <c r="S21" i="75"/>
  <c r="R21" i="75"/>
  <c r="Q21" i="75"/>
  <c r="P21" i="75"/>
  <c r="O21" i="75"/>
  <c r="N21" i="75"/>
  <c r="M21" i="75"/>
  <c r="M38" i="75" s="1"/>
  <c r="L21" i="75"/>
  <c r="L38" i="75" s="1"/>
  <c r="K21" i="75"/>
  <c r="K38" i="75" s="1"/>
  <c r="J21" i="75"/>
  <c r="I21" i="75"/>
  <c r="I38" i="75" s="1"/>
  <c r="H21" i="75"/>
  <c r="H38" i="75" s="1"/>
  <c r="G21" i="75"/>
  <c r="G99" i="75" s="1"/>
  <c r="F21" i="75"/>
  <c r="F99" i="75" s="1"/>
  <c r="E21" i="75"/>
  <c r="E38" i="75" s="1"/>
  <c r="D21" i="75"/>
  <c r="D99" i="75" s="1"/>
  <c r="AC18" i="75"/>
  <c r="AB18" i="75"/>
  <c r="AA18" i="75"/>
  <c r="Z18" i="75"/>
  <c r="Y18" i="75"/>
  <c r="X18" i="75"/>
  <c r="W18" i="75"/>
  <c r="V18" i="75"/>
  <c r="U18" i="75"/>
  <c r="T18" i="75"/>
  <c r="S18" i="75"/>
  <c r="R18" i="75"/>
  <c r="Q18" i="75"/>
  <c r="P18" i="75"/>
  <c r="O18" i="75"/>
  <c r="N18" i="75"/>
  <c r="M18" i="75"/>
  <c r="L18" i="75"/>
  <c r="K18" i="75"/>
  <c r="J18" i="75"/>
  <c r="I18" i="75"/>
  <c r="H18" i="75"/>
  <c r="V15" i="75"/>
  <c r="T13" i="75"/>
  <c r="S13" i="75"/>
  <c r="R13" i="75"/>
  <c r="Q13" i="75"/>
  <c r="P13" i="75"/>
  <c r="O13" i="75"/>
  <c r="N13" i="75"/>
  <c r="M13" i="75"/>
  <c r="V12" i="75"/>
  <c r="U12" i="75"/>
  <c r="T12" i="75"/>
  <c r="S12" i="75"/>
  <c r="R12" i="75"/>
  <c r="Q12" i="75"/>
  <c r="P12" i="75"/>
  <c r="O12" i="75"/>
  <c r="N12" i="75"/>
  <c r="M12" i="75"/>
  <c r="L12" i="75"/>
  <c r="K12" i="75"/>
  <c r="J12" i="75"/>
  <c r="I12" i="75"/>
  <c r="H12" i="75"/>
  <c r="G12" i="75"/>
  <c r="F12" i="75"/>
  <c r="E12" i="75"/>
  <c r="D12" i="75"/>
  <c r="F95" i="59"/>
  <c r="G95" i="59" s="1"/>
  <c r="D84" i="59"/>
  <c r="Y70" i="59"/>
  <c r="Z69" i="59" s="1"/>
  <c r="Z71" i="59" s="1"/>
  <c r="X70" i="59"/>
  <c r="W70" i="59"/>
  <c r="X69" i="59" s="1"/>
  <c r="X71" i="59" s="1"/>
  <c r="V70" i="59"/>
  <c r="U70" i="59"/>
  <c r="T70" i="59"/>
  <c r="U69" i="59" s="1"/>
  <c r="U71" i="59" s="1"/>
  <c r="S70" i="59"/>
  <c r="R70" i="59"/>
  <c r="Q70" i="59"/>
  <c r="P70" i="59"/>
  <c r="O70" i="59"/>
  <c r="N70" i="59"/>
  <c r="M70" i="59"/>
  <c r="L70" i="59"/>
  <c r="K70" i="59"/>
  <c r="J70" i="59"/>
  <c r="I70" i="59"/>
  <c r="H70" i="59"/>
  <c r="G70" i="59"/>
  <c r="F70" i="59"/>
  <c r="E70" i="59"/>
  <c r="D70" i="59"/>
  <c r="W69" i="59"/>
  <c r="W71" i="59" s="1"/>
  <c r="Y61" i="59"/>
  <c r="X61" i="59"/>
  <c r="W61" i="59"/>
  <c r="V61" i="59"/>
  <c r="U61" i="59"/>
  <c r="T61" i="59"/>
  <c r="S61" i="59"/>
  <c r="R61" i="59"/>
  <c r="Q61" i="59"/>
  <c r="P61" i="59"/>
  <c r="O61" i="59"/>
  <c r="N61" i="59"/>
  <c r="M61" i="59"/>
  <c r="L61" i="59"/>
  <c r="K61" i="59"/>
  <c r="J61" i="59"/>
  <c r="I61" i="59"/>
  <c r="H61" i="59"/>
  <c r="G61" i="59"/>
  <c r="F61" i="59"/>
  <c r="E61" i="59"/>
  <c r="D61" i="59"/>
  <c r="Y51" i="59"/>
  <c r="X51" i="59"/>
  <c r="W51" i="59"/>
  <c r="V51" i="59"/>
  <c r="V52" i="59" s="1"/>
  <c r="U51" i="59"/>
  <c r="U52" i="59" s="1"/>
  <c r="T51" i="59"/>
  <c r="S51" i="59"/>
  <c r="R51" i="59"/>
  <c r="Q51" i="59"/>
  <c r="P51" i="59"/>
  <c r="O51" i="59"/>
  <c r="N51" i="59"/>
  <c r="N52" i="59" s="1"/>
  <c r="M51" i="59"/>
  <c r="M52" i="59" s="1"/>
  <c r="L51" i="59"/>
  <c r="K51" i="59"/>
  <c r="J51" i="59"/>
  <c r="I51" i="59"/>
  <c r="H51" i="59"/>
  <c r="G51" i="59"/>
  <c r="F51" i="59"/>
  <c r="E51" i="59"/>
  <c r="W50" i="59" s="1"/>
  <c r="W26" i="59" s="1"/>
  <c r="D51" i="59"/>
  <c r="Y36" i="59"/>
  <c r="X36" i="59"/>
  <c r="W36" i="59"/>
  <c r="V36" i="59"/>
  <c r="U36" i="59"/>
  <c r="T36" i="59"/>
  <c r="S36" i="59"/>
  <c r="R36" i="59"/>
  <c r="Q36" i="59"/>
  <c r="P36" i="59"/>
  <c r="O36" i="59"/>
  <c r="N36" i="59"/>
  <c r="M36" i="59"/>
  <c r="L36" i="59"/>
  <c r="K36" i="59"/>
  <c r="J36" i="59"/>
  <c r="I36" i="59"/>
  <c r="H36" i="59"/>
  <c r="G36" i="59"/>
  <c r="F36" i="59"/>
  <c r="E36" i="59"/>
  <c r="D36" i="59"/>
  <c r="AG32" i="59"/>
  <c r="AF32" i="59"/>
  <c r="AE32" i="59"/>
  <c r="AD32" i="59"/>
  <c r="AC32" i="59"/>
  <c r="AB32" i="59"/>
  <c r="AA32" i="59"/>
  <c r="Z32" i="59"/>
  <c r="Y32" i="59"/>
  <c r="X32" i="59"/>
  <c r="W32" i="59"/>
  <c r="V32" i="59"/>
  <c r="U32" i="59"/>
  <c r="T32" i="59"/>
  <c r="S32" i="59"/>
  <c r="AG30" i="59"/>
  <c r="AG28" i="59"/>
  <c r="AF28" i="59"/>
  <c r="AE28" i="59"/>
  <c r="AD28" i="59"/>
  <c r="AC28" i="59"/>
  <c r="AB28" i="59"/>
  <c r="AA28" i="59"/>
  <c r="Z28" i="59"/>
  <c r="Y28" i="59"/>
  <c r="X28" i="59"/>
  <c r="W28" i="59"/>
  <c r="V28" i="59"/>
  <c r="U28" i="59"/>
  <c r="T28" i="59"/>
  <c r="S28" i="59"/>
  <c r="R28" i="59"/>
  <c r="Q28" i="59"/>
  <c r="P28" i="59"/>
  <c r="O28" i="59"/>
  <c r="N28" i="59"/>
  <c r="M28" i="59"/>
  <c r="L28" i="59"/>
  <c r="K28" i="59"/>
  <c r="J28" i="59"/>
  <c r="T27" i="59"/>
  <c r="S27" i="59"/>
  <c r="R27" i="59"/>
  <c r="Q27" i="59"/>
  <c r="P27" i="59"/>
  <c r="O27" i="59"/>
  <c r="N27" i="59"/>
  <c r="M27" i="59"/>
  <c r="H26" i="59"/>
  <c r="G26" i="59"/>
  <c r="F26" i="59"/>
  <c r="E26" i="59"/>
  <c r="D26" i="59"/>
  <c r="AF25" i="59"/>
  <c r="AF30" i="59" s="1"/>
  <c r="J16" i="35" s="1"/>
  <c r="K18" i="55" s="1"/>
  <c r="O25" i="59"/>
  <c r="M25" i="59"/>
  <c r="M30" i="59" s="1"/>
  <c r="F5" i="50" s="1"/>
  <c r="AF24" i="59"/>
  <c r="J15" i="35" s="1"/>
  <c r="K17" i="55" s="1"/>
  <c r="T21" i="59"/>
  <c r="S21" i="59"/>
  <c r="R21" i="59"/>
  <c r="Q21" i="59"/>
  <c r="P21" i="59"/>
  <c r="O21" i="59"/>
  <c r="N21" i="59"/>
  <c r="M21" i="59"/>
  <c r="L21" i="59"/>
  <c r="L30" i="59" s="1"/>
  <c r="E5" i="50" s="1"/>
  <c r="K21" i="59"/>
  <c r="K30" i="59" s="1"/>
  <c r="J21" i="59"/>
  <c r="J30" i="59" s="1"/>
  <c r="I21" i="59"/>
  <c r="I30" i="59" s="1"/>
  <c r="H21" i="59"/>
  <c r="H30" i="59" s="1"/>
  <c r="G21" i="59"/>
  <c r="F21" i="59"/>
  <c r="F64" i="59" s="1"/>
  <c r="E21" i="59"/>
  <c r="E30" i="59" s="1"/>
  <c r="D21" i="59"/>
  <c r="AC18" i="59"/>
  <c r="AB18" i="59"/>
  <c r="AA18" i="59"/>
  <c r="Z18" i="59"/>
  <c r="Y18" i="59"/>
  <c r="X18" i="59"/>
  <c r="W18" i="59"/>
  <c r="V18" i="59"/>
  <c r="U18" i="59"/>
  <c r="T18" i="59"/>
  <c r="S18" i="59"/>
  <c r="R18" i="59"/>
  <c r="Q18" i="59"/>
  <c r="P18" i="59"/>
  <c r="O18" i="59"/>
  <c r="N18" i="59"/>
  <c r="M18" i="59"/>
  <c r="L18" i="59"/>
  <c r="K18" i="59"/>
  <c r="J18" i="59"/>
  <c r="I18" i="59"/>
  <c r="H18" i="59"/>
  <c r="H64" i="59" s="1"/>
  <c r="W15" i="59"/>
  <c r="V15" i="59"/>
  <c r="Y12" i="59"/>
  <c r="X12" i="59"/>
  <c r="W12" i="59"/>
  <c r="V12" i="59"/>
  <c r="U12" i="59"/>
  <c r="T12" i="59"/>
  <c r="F98" i="59" s="1"/>
  <c r="S12" i="59"/>
  <c r="R12" i="59"/>
  <c r="Q12" i="59"/>
  <c r="P12" i="59"/>
  <c r="O12" i="59"/>
  <c r="N12" i="59"/>
  <c r="M12" i="59"/>
  <c r="L12" i="59"/>
  <c r="K12" i="59"/>
  <c r="J12" i="59"/>
  <c r="I12" i="59"/>
  <c r="H12" i="59"/>
  <c r="G12" i="59"/>
  <c r="F12" i="59"/>
  <c r="E12" i="59"/>
  <c r="D12" i="59"/>
  <c r="AG20" i="67"/>
  <c r="AF20" i="67"/>
  <c r="AE20" i="67"/>
  <c r="AD20" i="67"/>
  <c r="AC20" i="67"/>
  <c r="AB20" i="67"/>
  <c r="AA20" i="67"/>
  <c r="Z20" i="67"/>
  <c r="Y20" i="67"/>
  <c r="X20" i="67"/>
  <c r="W20" i="67"/>
  <c r="V20" i="67"/>
  <c r="U20" i="67"/>
  <c r="T20" i="67"/>
  <c r="S20" i="67"/>
  <c r="R20" i="67"/>
  <c r="AG11" i="67"/>
  <c r="AF11" i="67"/>
  <c r="AE11" i="67"/>
  <c r="AD11" i="67"/>
  <c r="AC11" i="67"/>
  <c r="AB11" i="67"/>
  <c r="AA11" i="67"/>
  <c r="Z11" i="67"/>
  <c r="Y11" i="67"/>
  <c r="X11" i="67"/>
  <c r="W11" i="67"/>
  <c r="I24" i="33"/>
  <c r="H24" i="33"/>
  <c r="G24" i="33"/>
  <c r="F24" i="33"/>
  <c r="J23" i="33"/>
  <c r="J24" i="33" s="1"/>
  <c r="O13" i="33"/>
  <c r="N13" i="33"/>
  <c r="Y11" i="33"/>
  <c r="Z11" i="33" s="1"/>
  <c r="X11" i="33"/>
  <c r="W11" i="33"/>
  <c r="V11" i="33"/>
  <c r="U11" i="33"/>
  <c r="T11" i="33"/>
  <c r="S11" i="33"/>
  <c r="R11" i="33"/>
  <c r="Q11" i="33"/>
  <c r="P11" i="33"/>
  <c r="O11" i="33"/>
  <c r="N11" i="33"/>
  <c r="M11" i="33"/>
  <c r="L11" i="33"/>
  <c r="K11" i="33"/>
  <c r="J11" i="33"/>
  <c r="Y10" i="33"/>
  <c r="X10" i="33"/>
  <c r="X17" i="75" s="1"/>
  <c r="W10" i="33"/>
  <c r="W15" i="33" s="1"/>
  <c r="V10" i="33"/>
  <c r="V17" i="75" s="1"/>
  <c r="U10" i="33"/>
  <c r="U17" i="75" s="1"/>
  <c r="T10" i="33"/>
  <c r="T15" i="33" s="1"/>
  <c r="S10" i="33"/>
  <c r="S17" i="75" s="1"/>
  <c r="R10" i="33"/>
  <c r="R17" i="75" s="1"/>
  <c r="Q10" i="33"/>
  <c r="P10" i="33"/>
  <c r="P15" i="33" s="1"/>
  <c r="O10" i="33"/>
  <c r="N10" i="33"/>
  <c r="N17" i="75" s="1"/>
  <c r="M10" i="33"/>
  <c r="M17" i="75" s="1"/>
  <c r="L10" i="33"/>
  <c r="L17" i="59" s="1"/>
  <c r="K10" i="33"/>
  <c r="K17" i="75" s="1"/>
  <c r="J10" i="33"/>
  <c r="J17" i="75" s="1"/>
  <c r="I10" i="33"/>
  <c r="H10" i="33"/>
  <c r="H17" i="59" s="1"/>
  <c r="G10" i="33"/>
  <c r="F10" i="33"/>
  <c r="F17" i="75" s="1"/>
  <c r="E10" i="33"/>
  <c r="E17" i="75" s="1"/>
  <c r="D10" i="33"/>
  <c r="D17" i="75" s="1"/>
  <c r="L47" i="49"/>
  <c r="K47" i="49"/>
  <c r="J47" i="49"/>
  <c r="P46" i="49"/>
  <c r="O46" i="49"/>
  <c r="N46" i="49"/>
  <c r="M46" i="49"/>
  <c r="L46" i="49"/>
  <c r="K46" i="49"/>
  <c r="J46" i="49"/>
  <c r="I46" i="49"/>
  <c r="H46" i="49"/>
  <c r="G46" i="49"/>
  <c r="F46" i="49"/>
  <c r="F47" i="49" s="1"/>
  <c r="G47" i="49" s="1"/>
  <c r="H47" i="49" s="1"/>
  <c r="P45" i="49"/>
  <c r="O45" i="49"/>
  <c r="N45" i="49"/>
  <c r="M45" i="49"/>
  <c r="L45" i="49"/>
  <c r="K45" i="49"/>
  <c r="J45" i="49"/>
  <c r="I45" i="49"/>
  <c r="H45" i="49"/>
  <c r="G45" i="49"/>
  <c r="F45" i="49"/>
  <c r="R29" i="49"/>
  <c r="P29" i="49"/>
  <c r="J29" i="49"/>
  <c r="H29" i="49"/>
  <c r="X27" i="49"/>
  <c r="X29" i="49" s="1"/>
  <c r="V27" i="49"/>
  <c r="U27" i="49"/>
  <c r="U45" i="75" s="1"/>
  <c r="P27" i="49"/>
  <c r="N27" i="49"/>
  <c r="M27" i="49"/>
  <c r="M45" i="75" s="1"/>
  <c r="H27" i="49"/>
  <c r="F27" i="49"/>
  <c r="E27" i="49"/>
  <c r="E45" i="75" s="1"/>
  <c r="U12" i="49"/>
  <c r="R12" i="49"/>
  <c r="M12" i="49"/>
  <c r="J12" i="49"/>
  <c r="E12" i="49"/>
  <c r="Y11" i="49"/>
  <c r="X11" i="49"/>
  <c r="X12" i="49" s="1"/>
  <c r="W11" i="49"/>
  <c r="V11" i="49"/>
  <c r="U11" i="49"/>
  <c r="T11" i="49"/>
  <c r="T12" i="49" s="1"/>
  <c r="S11" i="49"/>
  <c r="S12" i="49" s="1"/>
  <c r="R11" i="49"/>
  <c r="Q11" i="49"/>
  <c r="P11" i="49"/>
  <c r="P12" i="49" s="1"/>
  <c r="O11" i="49"/>
  <c r="N11" i="49"/>
  <c r="M11" i="49"/>
  <c r="L11" i="49"/>
  <c r="L12" i="49" s="1"/>
  <c r="K11" i="49"/>
  <c r="K12" i="49" s="1"/>
  <c r="J11" i="49"/>
  <c r="I11" i="49"/>
  <c r="H11" i="49"/>
  <c r="H12" i="49" s="1"/>
  <c r="G11" i="49"/>
  <c r="F11" i="49"/>
  <c r="E11" i="49"/>
  <c r="D11" i="49"/>
  <c r="D12" i="49" s="1"/>
  <c r="Y10" i="49"/>
  <c r="X10" i="49"/>
  <c r="W10" i="49"/>
  <c r="V10" i="49"/>
  <c r="V12" i="49" s="1"/>
  <c r="U10" i="49"/>
  <c r="T10" i="49"/>
  <c r="T27" i="49" s="1"/>
  <c r="S10" i="49"/>
  <c r="S27" i="49" s="1"/>
  <c r="R10" i="49"/>
  <c r="R27" i="49" s="1"/>
  <c r="Q10" i="49"/>
  <c r="P10" i="49"/>
  <c r="O10" i="49"/>
  <c r="N10" i="49"/>
  <c r="M10" i="49"/>
  <c r="M29" i="49" s="1"/>
  <c r="L10" i="49"/>
  <c r="L27" i="49" s="1"/>
  <c r="K10" i="49"/>
  <c r="K27" i="49" s="1"/>
  <c r="J10" i="49"/>
  <c r="J27" i="49" s="1"/>
  <c r="I10" i="49"/>
  <c r="H10" i="49"/>
  <c r="G10" i="49"/>
  <c r="F10" i="49"/>
  <c r="E10" i="49"/>
  <c r="E29" i="49" s="1"/>
  <c r="D10" i="49"/>
  <c r="D27" i="49" s="1"/>
  <c r="AD81" i="30"/>
  <c r="AD79" i="30"/>
  <c r="AD72" i="30"/>
  <c r="AD71" i="30"/>
  <c r="AD70" i="30"/>
  <c r="AD69" i="30"/>
  <c r="AD68" i="30"/>
  <c r="AD67" i="30"/>
  <c r="AD66" i="30"/>
  <c r="AD65" i="30"/>
  <c r="AD63" i="30"/>
  <c r="AD62" i="30"/>
  <c r="AD55" i="30"/>
  <c r="K46" i="30"/>
  <c r="I46" i="30"/>
  <c r="G46" i="30"/>
  <c r="F46" i="30"/>
  <c r="AF45" i="30"/>
  <c r="AE45" i="30"/>
  <c r="O45" i="30"/>
  <c r="AC43" i="30"/>
  <c r="AB43" i="30"/>
  <c r="AC41" i="30"/>
  <c r="AB41" i="30"/>
  <c r="AC40" i="30"/>
  <c r="AB40" i="30"/>
  <c r="AA40" i="30"/>
  <c r="Z40" i="30"/>
  <c r="Y40" i="30"/>
  <c r="X40" i="30"/>
  <c r="M40" i="30"/>
  <c r="AC39" i="30"/>
  <c r="AB39" i="30"/>
  <c r="AA39" i="30"/>
  <c r="Z39" i="30"/>
  <c r="Y39" i="30"/>
  <c r="X39" i="30"/>
  <c r="AC38" i="30"/>
  <c r="AB38" i="30"/>
  <c r="AA38" i="30"/>
  <c r="Z38" i="30"/>
  <c r="Y38" i="30"/>
  <c r="X38" i="30"/>
  <c r="AC37" i="30"/>
  <c r="AC20" i="30" s="1"/>
  <c r="AB37" i="30"/>
  <c r="AA37" i="30"/>
  <c r="Z37" i="30"/>
  <c r="Y37" i="30"/>
  <c r="AC36" i="30"/>
  <c r="AB36" i="30"/>
  <c r="AA36" i="30"/>
  <c r="Z36" i="30"/>
  <c r="Y36" i="30"/>
  <c r="X36" i="30"/>
  <c r="O34" i="30"/>
  <c r="N34" i="30"/>
  <c r="O33" i="30"/>
  <c r="N30" i="30"/>
  <c r="N29" i="30"/>
  <c r="AG27" i="30"/>
  <c r="AF27" i="30"/>
  <c r="AE27" i="30"/>
  <c r="AD27" i="30"/>
  <c r="AC27" i="30"/>
  <c r="AB27" i="30"/>
  <c r="AA27" i="30"/>
  <c r="Z27" i="30"/>
  <c r="Y27" i="30"/>
  <c r="X27" i="30"/>
  <c r="W27" i="30"/>
  <c r="V27" i="30"/>
  <c r="U27" i="30"/>
  <c r="AD64" i="30" s="1"/>
  <c r="T27" i="30"/>
  <c r="S27" i="30"/>
  <c r="AG26" i="30"/>
  <c r="AF26" i="30"/>
  <c r="AE26" i="30"/>
  <c r="AD26" i="30"/>
  <c r="AC26" i="30"/>
  <c r="AB26" i="30"/>
  <c r="AA26" i="30"/>
  <c r="Z26" i="30"/>
  <c r="Y26" i="30"/>
  <c r="X26" i="30"/>
  <c r="W26" i="30"/>
  <c r="V26" i="30"/>
  <c r="U26" i="30"/>
  <c r="T26" i="30"/>
  <c r="S26" i="30"/>
  <c r="AG25" i="30"/>
  <c r="AF25" i="30"/>
  <c r="AE25" i="30"/>
  <c r="AD25" i="30"/>
  <c r="AC25" i="30"/>
  <c r="AB25" i="30"/>
  <c r="AA25" i="30"/>
  <c r="Z25" i="30"/>
  <c r="Y25" i="30"/>
  <c r="X25" i="30"/>
  <c r="W25" i="30"/>
  <c r="V25" i="30"/>
  <c r="U25" i="30"/>
  <c r="T25" i="30"/>
  <c r="O25" i="30"/>
  <c r="AG24" i="30"/>
  <c r="AF24" i="30"/>
  <c r="AE24" i="30"/>
  <c r="AD24" i="30"/>
  <c r="AC24" i="30"/>
  <c r="AB24" i="30"/>
  <c r="AB23" i="30"/>
  <c r="AC23" i="30" s="1"/>
  <c r="AD23" i="30" s="1"/>
  <c r="AE23" i="30" s="1"/>
  <c r="AF23" i="30" s="1"/>
  <c r="AG23" i="30" s="1"/>
  <c r="Z23" i="30"/>
  <c r="AA23" i="30" s="1"/>
  <c r="Y23" i="30"/>
  <c r="X23" i="30"/>
  <c r="W23" i="30"/>
  <c r="V23" i="30"/>
  <c r="U23" i="30"/>
  <c r="AD60" i="30" s="1"/>
  <c r="T23" i="30"/>
  <c r="S23" i="30"/>
  <c r="R23" i="30"/>
  <c r="Q23" i="30"/>
  <c r="P23" i="30"/>
  <c r="O23" i="30"/>
  <c r="N23" i="30"/>
  <c r="Y22" i="30"/>
  <c r="X22" i="30"/>
  <c r="W22" i="30"/>
  <c r="V22" i="30"/>
  <c r="U22" i="30"/>
  <c r="AD59" i="30" s="1"/>
  <c r="T22" i="30"/>
  <c r="S22" i="30"/>
  <c r="R22" i="30"/>
  <c r="Q22" i="30"/>
  <c r="P22" i="30"/>
  <c r="O22" i="30"/>
  <c r="N22" i="30"/>
  <c r="AB21" i="30"/>
  <c r="AC21" i="30" s="1"/>
  <c r="AD21" i="30" s="1"/>
  <c r="AE21" i="30" s="1"/>
  <c r="AF21" i="30" s="1"/>
  <c r="AG21" i="30" s="1"/>
  <c r="Z21" i="30"/>
  <c r="AA21" i="30" s="1"/>
  <c r="Y21" i="30"/>
  <c r="X21" i="30"/>
  <c r="W21" i="30"/>
  <c r="V21" i="30"/>
  <c r="U21" i="30"/>
  <c r="AD58" i="30" s="1"/>
  <c r="T21" i="30"/>
  <c r="S21" i="30"/>
  <c r="R21" i="30"/>
  <c r="Q21" i="30"/>
  <c r="P21" i="30"/>
  <c r="O21" i="30"/>
  <c r="N21" i="30"/>
  <c r="M21" i="30"/>
  <c r="L21" i="30"/>
  <c r="K21" i="30"/>
  <c r="J21" i="30"/>
  <c r="I21" i="30"/>
  <c r="H21" i="30"/>
  <c r="AG20" i="30"/>
  <c r="AF20" i="30"/>
  <c r="AE20" i="30"/>
  <c r="AD20" i="30"/>
  <c r="AB20" i="30"/>
  <c r="AA20" i="30"/>
  <c r="Z20" i="30"/>
  <c r="Y20" i="30"/>
  <c r="T20" i="30"/>
  <c r="S20" i="30"/>
  <c r="R20" i="30"/>
  <c r="Q20" i="30"/>
  <c r="P20" i="30"/>
  <c r="O20" i="30"/>
  <c r="N20" i="30"/>
  <c r="M20" i="30"/>
  <c r="L20" i="30"/>
  <c r="K20" i="30"/>
  <c r="J20" i="30"/>
  <c r="I20" i="30"/>
  <c r="H20" i="30"/>
  <c r="Y19" i="30"/>
  <c r="X19" i="30"/>
  <c r="W19" i="30"/>
  <c r="V19" i="30"/>
  <c r="U19" i="30"/>
  <c r="T19" i="30"/>
  <c r="S19" i="30"/>
  <c r="R19" i="30"/>
  <c r="Q19" i="30"/>
  <c r="P19" i="30"/>
  <c r="O19" i="30"/>
  <c r="N19" i="30"/>
  <c r="M19" i="30"/>
  <c r="M13" i="30" s="1"/>
  <c r="L19" i="30"/>
  <c r="K19" i="30"/>
  <c r="J19" i="30"/>
  <c r="I19" i="30"/>
  <c r="H19" i="30"/>
  <c r="AG18" i="30"/>
  <c r="AF18" i="30"/>
  <c r="AE18" i="30"/>
  <c r="AD18" i="30"/>
  <c r="AC18" i="30"/>
  <c r="AB18" i="30"/>
  <c r="AA18" i="30"/>
  <c r="Z18" i="30"/>
  <c r="Y18" i="30"/>
  <c r="X18" i="30"/>
  <c r="W18" i="30"/>
  <c r="V18" i="30"/>
  <c r="U18" i="30"/>
  <c r="T18" i="30"/>
  <c r="S18" i="30"/>
  <c r="R18" i="30"/>
  <c r="Q18" i="30"/>
  <c r="P18" i="30"/>
  <c r="O18" i="30"/>
  <c r="N18" i="30"/>
  <c r="M18" i="30"/>
  <c r="O30" i="30" s="1"/>
  <c r="O29" i="30" s="1"/>
  <c r="L18" i="30"/>
  <c r="K18" i="30"/>
  <c r="J18" i="30"/>
  <c r="I18" i="30"/>
  <c r="H18" i="30"/>
  <c r="H13" i="30" s="1"/>
  <c r="Z17" i="30"/>
  <c r="Y17" i="30"/>
  <c r="X17" i="30"/>
  <c r="W17" i="30"/>
  <c r="V17" i="30"/>
  <c r="U17" i="30"/>
  <c r="AD54" i="30" s="1"/>
  <c r="T17" i="30"/>
  <c r="S17" i="30"/>
  <c r="R17" i="30"/>
  <c r="Q17" i="30"/>
  <c r="P17" i="30"/>
  <c r="O17" i="30"/>
  <c r="N17" i="30"/>
  <c r="M17" i="30"/>
  <c r="L17" i="30"/>
  <c r="K17" i="30"/>
  <c r="J17" i="30"/>
  <c r="J15" i="30" s="1"/>
  <c r="I17" i="30"/>
  <c r="I15" i="30" s="1"/>
  <c r="H17" i="30"/>
  <c r="Y16" i="30"/>
  <c r="X16" i="30"/>
  <c r="W16" i="30"/>
  <c r="V16" i="30"/>
  <c r="U16" i="30"/>
  <c r="AD53" i="30" s="1"/>
  <c r="T16" i="30"/>
  <c r="S16" i="30"/>
  <c r="R16" i="30"/>
  <c r="Q16" i="30"/>
  <c r="P16" i="30"/>
  <c r="O16" i="30"/>
  <c r="N16" i="30"/>
  <c r="N13" i="30" s="1"/>
  <c r="M16" i="30"/>
  <c r="L16" i="30"/>
  <c r="L15" i="30" s="1"/>
  <c r="K16" i="30"/>
  <c r="K15" i="30" s="1"/>
  <c r="J16" i="30"/>
  <c r="I16" i="30"/>
  <c r="H16" i="30"/>
  <c r="N15" i="30"/>
  <c r="M15" i="30"/>
  <c r="H15" i="30"/>
  <c r="Y14" i="30"/>
  <c r="X14" i="30"/>
  <c r="W14" i="30"/>
  <c r="V14" i="30"/>
  <c r="U14" i="30"/>
  <c r="AD51" i="30" s="1"/>
  <c r="T14" i="30"/>
  <c r="S14" i="30"/>
  <c r="R14" i="30"/>
  <c r="Q14" i="30"/>
  <c r="P14" i="30"/>
  <c r="O14" i="30"/>
  <c r="N14" i="30"/>
  <c r="M14" i="30"/>
  <c r="L14" i="30"/>
  <c r="K14" i="30"/>
  <c r="J14" i="30"/>
  <c r="I14" i="30"/>
  <c r="H14" i="30"/>
  <c r="L13" i="30"/>
  <c r="J13" i="30"/>
  <c r="I13" i="30"/>
  <c r="N12" i="30"/>
  <c r="L12" i="30"/>
  <c r="G12" i="30"/>
  <c r="F12" i="30"/>
  <c r="Y11" i="30"/>
  <c r="X11" i="30"/>
  <c r="W11" i="30"/>
  <c r="V11" i="30"/>
  <c r="U11" i="30"/>
  <c r="T11" i="30"/>
  <c r="S11" i="30"/>
  <c r="R11" i="30"/>
  <c r="Q11" i="30"/>
  <c r="P11" i="30"/>
  <c r="O11" i="30"/>
  <c r="O46" i="30" s="1"/>
  <c r="N11" i="30"/>
  <c r="M11" i="30"/>
  <c r="L11" i="30"/>
  <c r="L46" i="30" s="1"/>
  <c r="K11" i="30"/>
  <c r="J11" i="30"/>
  <c r="I11" i="30"/>
  <c r="I12" i="30" s="1"/>
  <c r="H11" i="30"/>
  <c r="N48" i="20"/>
  <c r="AH39" i="20"/>
  <c r="AH41" i="20" s="1"/>
  <c r="AE39" i="20"/>
  <c r="AK38" i="20"/>
  <c r="AM37" i="20"/>
  <c r="AJ37" i="20"/>
  <c r="AI37" i="20"/>
  <c r="AH37" i="20"/>
  <c r="AG37" i="20"/>
  <c r="AF37" i="20"/>
  <c r="AE37" i="20"/>
  <c r="AD37" i="20"/>
  <c r="AC37" i="20"/>
  <c r="AB37" i="20"/>
  <c r="AA37" i="20"/>
  <c r="Z37" i="20"/>
  <c r="Y37" i="20"/>
  <c r="X37" i="20"/>
  <c r="W37" i="20"/>
  <c r="V37" i="20"/>
  <c r="U37" i="20"/>
  <c r="T37" i="20"/>
  <c r="S37" i="20"/>
  <c r="R37" i="20"/>
  <c r="Q37" i="20"/>
  <c r="P37" i="20"/>
  <c r="O37" i="20"/>
  <c r="N37" i="20"/>
  <c r="M37" i="20"/>
  <c r="L37" i="20"/>
  <c r="K37" i="20"/>
  <c r="J37" i="20"/>
  <c r="I37" i="20"/>
  <c r="H37" i="20"/>
  <c r="G37" i="20"/>
  <c r="F37" i="20"/>
  <c r="E37" i="20"/>
  <c r="D37" i="20"/>
  <c r="AP35" i="20"/>
  <c r="W85" i="80" s="1"/>
  <c r="AO35" i="20"/>
  <c r="AN35" i="20"/>
  <c r="AN37" i="20" s="1"/>
  <c r="AM35" i="20"/>
  <c r="AL35" i="20"/>
  <c r="AK35" i="20"/>
  <c r="AK37" i="20" s="1"/>
  <c r="AJ35" i="20"/>
  <c r="AI35" i="20"/>
  <c r="AH35" i="20"/>
  <c r="AG35" i="20"/>
  <c r="AF35" i="20"/>
  <c r="AE35" i="20"/>
  <c r="AE38" i="20" s="1"/>
  <c r="AD35" i="20"/>
  <c r="AC35" i="20"/>
  <c r="AB35" i="20"/>
  <c r="AA35" i="20"/>
  <c r="Z35" i="20"/>
  <c r="Y35" i="20"/>
  <c r="X35" i="20"/>
  <c r="W35" i="20"/>
  <c r="V35" i="20"/>
  <c r="W27" i="20"/>
  <c r="R27" i="20"/>
  <c r="J27" i="20"/>
  <c r="H27" i="20"/>
  <c r="W26" i="20"/>
  <c r="R26" i="20"/>
  <c r="M26" i="20"/>
  <c r="AG26" i="20"/>
  <c r="AF26" i="20"/>
  <c r="AD26" i="20"/>
  <c r="AC26" i="20"/>
  <c r="AB26" i="20"/>
  <c r="AA26" i="20"/>
  <c r="Z26" i="20"/>
  <c r="Y23" i="20"/>
  <c r="Y27" i="20" s="1"/>
  <c r="X23" i="20"/>
  <c r="X27" i="20" s="1"/>
  <c r="W23" i="20"/>
  <c r="V23" i="20"/>
  <c r="V27" i="20" s="1"/>
  <c r="U23" i="20"/>
  <c r="U27" i="20" s="1"/>
  <c r="T23" i="20"/>
  <c r="T27" i="20" s="1"/>
  <c r="S23" i="20"/>
  <c r="R23" i="20"/>
  <c r="Q23" i="20"/>
  <c r="Q27" i="20" s="1"/>
  <c r="P23" i="20"/>
  <c r="O23" i="20"/>
  <c r="O26" i="20" s="1"/>
  <c r="N23" i="20"/>
  <c r="N27" i="20" s="1"/>
  <c r="M23" i="20"/>
  <c r="M27" i="20" s="1"/>
  <c r="L23" i="20"/>
  <c r="K23" i="20"/>
  <c r="J23" i="20"/>
  <c r="I23" i="20"/>
  <c r="H23" i="20"/>
  <c r="Y11" i="20"/>
  <c r="Z11" i="20" s="1"/>
  <c r="D4" i="35" s="1"/>
  <c r="E6" i="55" s="1"/>
  <c r="E102" i="55" s="1"/>
  <c r="X11" i="20"/>
  <c r="W11" i="20"/>
  <c r="V11" i="20"/>
  <c r="U11" i="20"/>
  <c r="T11" i="20"/>
  <c r="S11" i="20"/>
  <c r="R11" i="20"/>
  <c r="Q11" i="20"/>
  <c r="P11" i="20"/>
  <c r="O11" i="20"/>
  <c r="N11" i="20"/>
  <c r="M11" i="20"/>
  <c r="L11" i="20"/>
  <c r="K11" i="20"/>
  <c r="J11" i="20"/>
  <c r="I11" i="20"/>
  <c r="H11" i="20"/>
  <c r="AD97" i="26"/>
  <c r="AC97" i="26"/>
  <c r="AB97" i="26"/>
  <c r="AA97" i="26"/>
  <c r="Z97" i="26"/>
  <c r="Y97" i="26"/>
  <c r="X97" i="26"/>
  <c r="W97" i="26"/>
  <c r="V97" i="26"/>
  <c r="U97" i="26"/>
  <c r="T97" i="26"/>
  <c r="S97" i="26"/>
  <c r="Q96" i="26"/>
  <c r="Q48" i="20" s="1"/>
  <c r="P96" i="26"/>
  <c r="P48" i="20" s="1"/>
  <c r="O96" i="26"/>
  <c r="O48" i="20" s="1"/>
  <c r="N96" i="26"/>
  <c r="M96" i="26"/>
  <c r="M48" i="20" s="1"/>
  <c r="L96" i="26"/>
  <c r="L48" i="20" s="1"/>
  <c r="K96" i="26"/>
  <c r="K48" i="20" s="1"/>
  <c r="J96" i="26"/>
  <c r="J48" i="20" s="1"/>
  <c r="I96" i="26"/>
  <c r="H96" i="26"/>
  <c r="AG81" i="26"/>
  <c r="AF81" i="26"/>
  <c r="AE81" i="26"/>
  <c r="AD81" i="26"/>
  <c r="AC81" i="26"/>
  <c r="AB81" i="26"/>
  <c r="AA81" i="26"/>
  <c r="Z81" i="26"/>
  <c r="Y81" i="26"/>
  <c r="X81" i="26"/>
  <c r="W81" i="26"/>
  <c r="V81" i="26"/>
  <c r="U81" i="26"/>
  <c r="T81" i="26"/>
  <c r="S81" i="26"/>
  <c r="AG79" i="26"/>
  <c r="AF79" i="26"/>
  <c r="AE79" i="26"/>
  <c r="AG78" i="26"/>
  <c r="AF78" i="26"/>
  <c r="AE78" i="26"/>
  <c r="AD78" i="26"/>
  <c r="AC78" i="26"/>
  <c r="AB78" i="26"/>
  <c r="AA78" i="26"/>
  <c r="Z78" i="26"/>
  <c r="Y78" i="26"/>
  <c r="AG77" i="26"/>
  <c r="AF77" i="26"/>
  <c r="AE77" i="26"/>
  <c r="C69" i="26"/>
  <c r="C68" i="26"/>
  <c r="C67" i="26"/>
  <c r="C66" i="26"/>
  <c r="C47" i="26" s="1"/>
  <c r="C65" i="26"/>
  <c r="Q36" i="26" s="1"/>
  <c r="C63" i="26"/>
  <c r="T34" i="26" s="1"/>
  <c r="C62" i="26"/>
  <c r="X33" i="26" s="1"/>
  <c r="C61" i="26"/>
  <c r="T32" i="26" s="1"/>
  <c r="C60" i="26"/>
  <c r="C59" i="26"/>
  <c r="C49" i="26" s="1"/>
  <c r="M30" i="26" s="1"/>
  <c r="C54" i="26"/>
  <c r="C46" i="26"/>
  <c r="AB39" i="26"/>
  <c r="N36" i="26"/>
  <c r="W34" i="26"/>
  <c r="O34" i="26"/>
  <c r="T33" i="26"/>
  <c r="S33" i="26"/>
  <c r="U32" i="26"/>
  <c r="N31" i="26"/>
  <c r="M31" i="26"/>
  <c r="AD29" i="26"/>
  <c r="AC29" i="26"/>
  <c r="AB29" i="26"/>
  <c r="AA29" i="26"/>
  <c r="Z29" i="26"/>
  <c r="Y29" i="26"/>
  <c r="AH28" i="26"/>
  <c r="AH27" i="26"/>
  <c r="J26" i="26"/>
  <c r="AH26" i="26" s="1"/>
  <c r="AI12" i="26" s="1"/>
  <c r="P25" i="26"/>
  <c r="O25" i="26"/>
  <c r="N25" i="26"/>
  <c r="M25" i="26"/>
  <c r="L25" i="26"/>
  <c r="K25" i="26"/>
  <c r="AD19" i="26"/>
  <c r="AC19" i="26"/>
  <c r="AB19" i="26"/>
  <c r="AA19" i="26"/>
  <c r="Z19" i="26"/>
  <c r="Y19" i="26"/>
  <c r="X19" i="26"/>
  <c r="W19" i="26"/>
  <c r="V19" i="26"/>
  <c r="U19" i="26"/>
  <c r="T19" i="26"/>
  <c r="S19" i="26"/>
  <c r="R19" i="26"/>
  <c r="Q19" i="26"/>
  <c r="P19" i="26"/>
  <c r="O19" i="26"/>
  <c r="N19" i="26"/>
  <c r="M19" i="26"/>
  <c r="L19" i="26"/>
  <c r="K19" i="26"/>
  <c r="S18" i="26"/>
  <c r="Q18" i="26"/>
  <c r="P18" i="26"/>
  <c r="AB17" i="26"/>
  <c r="AD16" i="26"/>
  <c r="AD79" i="26" s="1"/>
  <c r="AC16" i="26"/>
  <c r="AC79" i="26" s="1"/>
  <c r="AB16" i="26"/>
  <c r="AB79" i="26" s="1"/>
  <c r="AA16" i="26"/>
  <c r="AA79" i="26" s="1"/>
  <c r="Z16" i="26"/>
  <c r="Z79" i="26" s="1"/>
  <c r="Y16" i="26"/>
  <c r="Y79" i="26" s="1"/>
  <c r="AD15" i="26"/>
  <c r="AC15" i="26"/>
  <c r="AB15" i="26"/>
  <c r="AA15" i="26"/>
  <c r="Z15" i="26"/>
  <c r="Y15" i="26"/>
  <c r="AD14" i="26"/>
  <c r="AD77" i="26" s="1"/>
  <c r="AC14" i="26"/>
  <c r="AC77" i="26" s="1"/>
  <c r="AB14" i="26"/>
  <c r="AB77" i="26" s="1"/>
  <c r="AA14" i="26"/>
  <c r="AA77" i="26" s="1"/>
  <c r="Z14" i="26"/>
  <c r="Z77" i="26" s="1"/>
  <c r="Y14" i="26"/>
  <c r="Y77" i="26" s="1"/>
  <c r="X14" i="26"/>
  <c r="X77" i="26" s="1"/>
  <c r="W14" i="26"/>
  <c r="W77" i="26" s="1"/>
  <c r="V14" i="26"/>
  <c r="V77" i="26" s="1"/>
  <c r="U14" i="26"/>
  <c r="U77" i="26" s="1"/>
  <c r="T14" i="26"/>
  <c r="T77" i="26" s="1"/>
  <c r="S14" i="26"/>
  <c r="S77" i="26" s="1"/>
  <c r="R14" i="26"/>
  <c r="R77" i="26" s="1"/>
  <c r="Q14" i="26"/>
  <c r="Q77" i="26" s="1"/>
  <c r="P14" i="26"/>
  <c r="P77" i="26" s="1"/>
  <c r="O14" i="26"/>
  <c r="O77" i="26" s="1"/>
  <c r="N14" i="26"/>
  <c r="N77" i="26" s="1"/>
  <c r="M14" i="26"/>
  <c r="M77" i="26" s="1"/>
  <c r="L14" i="26"/>
  <c r="L77" i="26" s="1"/>
  <c r="K14" i="26"/>
  <c r="K77" i="26" s="1"/>
  <c r="J14" i="26"/>
  <c r="D48" i="26" s="1"/>
  <c r="T13" i="26"/>
  <c r="T83" i="26" s="1"/>
  <c r="S13" i="26"/>
  <c r="S83" i="26" s="1"/>
  <c r="R13" i="26"/>
  <c r="R83" i="26" s="1"/>
  <c r="Q13" i="26"/>
  <c r="Q83" i="26" s="1"/>
  <c r="P13" i="26"/>
  <c r="P83" i="26" s="1"/>
  <c r="O13" i="26"/>
  <c r="O83" i="26" s="1"/>
  <c r="N13" i="26"/>
  <c r="N83" i="26" s="1"/>
  <c r="M13" i="26"/>
  <c r="M83" i="26" s="1"/>
  <c r="L13" i="26"/>
  <c r="L83" i="26" s="1"/>
  <c r="K13" i="26"/>
  <c r="K83" i="26" s="1"/>
  <c r="J13" i="26"/>
  <c r="J12" i="26"/>
  <c r="D46" i="26" s="1"/>
  <c r="AD10" i="26"/>
  <c r="Y10" i="26"/>
  <c r="X10" i="26"/>
  <c r="W10" i="26"/>
  <c r="V10" i="26"/>
  <c r="U10" i="26"/>
  <c r="T10" i="26"/>
  <c r="S10" i="26"/>
  <c r="S11" i="26" s="1"/>
  <c r="R10" i="26"/>
  <c r="Q10" i="26"/>
  <c r="P10" i="26"/>
  <c r="O10" i="26"/>
  <c r="N10" i="26"/>
  <c r="M10" i="26"/>
  <c r="L10" i="26"/>
  <c r="K10" i="26"/>
  <c r="K11" i="26" s="1"/>
  <c r="J10" i="26"/>
  <c r="I10" i="26"/>
  <c r="H10" i="26"/>
  <c r="G10" i="26"/>
  <c r="F10" i="26"/>
  <c r="E10" i="26"/>
  <c r="D10" i="26"/>
  <c r="Y9" i="26"/>
  <c r="X9" i="26"/>
  <c r="X11" i="26" s="1"/>
  <c r="W9" i="26"/>
  <c r="V9" i="26"/>
  <c r="U9" i="26"/>
  <c r="T9" i="26"/>
  <c r="S9" i="26"/>
  <c r="R9" i="26"/>
  <c r="Q9" i="26"/>
  <c r="P9" i="26"/>
  <c r="P11" i="26" s="1"/>
  <c r="O9" i="26"/>
  <c r="N9" i="26"/>
  <c r="M9" i="26"/>
  <c r="L9" i="26"/>
  <c r="K9" i="26"/>
  <c r="J9" i="26"/>
  <c r="I9" i="26"/>
  <c r="H9" i="26"/>
  <c r="H11" i="26" s="1"/>
  <c r="H20" i="26" s="1"/>
  <c r="H80" i="26" s="1"/>
  <c r="H75" i="26" s="1"/>
  <c r="H49" i="20" s="1"/>
  <c r="G9" i="26"/>
  <c r="F9" i="26"/>
  <c r="E9" i="26"/>
  <c r="D9" i="26"/>
  <c r="Q20" i="74"/>
  <c r="I20" i="74"/>
  <c r="E20" i="74"/>
  <c r="D20" i="74"/>
  <c r="E19" i="74"/>
  <c r="U18" i="74"/>
  <c r="T18" i="74"/>
  <c r="S18" i="74"/>
  <c r="R18" i="74"/>
  <c r="Q18" i="74"/>
  <c r="P18" i="74"/>
  <c r="O18" i="74"/>
  <c r="N18" i="74"/>
  <c r="M18" i="74"/>
  <c r="L18" i="74"/>
  <c r="K18" i="74"/>
  <c r="J18" i="74"/>
  <c r="I18" i="74"/>
  <c r="H18" i="74"/>
  <c r="G18" i="74"/>
  <c r="F18" i="74"/>
  <c r="E18" i="74"/>
  <c r="D18" i="74"/>
  <c r="U17" i="74"/>
  <c r="T17" i="74"/>
  <c r="S17" i="74"/>
  <c r="R17" i="74"/>
  <c r="Q17" i="74"/>
  <c r="P17" i="74"/>
  <c r="O17" i="74"/>
  <c r="N17" i="74"/>
  <c r="M17" i="74"/>
  <c r="L17" i="74"/>
  <c r="K17" i="74"/>
  <c r="J17" i="74"/>
  <c r="I17" i="74"/>
  <c r="H17" i="74"/>
  <c r="G17" i="74"/>
  <c r="F17" i="74"/>
  <c r="E17" i="74"/>
  <c r="D17" i="74"/>
  <c r="U16" i="74"/>
  <c r="T16" i="74"/>
  <c r="S16" i="74"/>
  <c r="R16" i="74"/>
  <c r="Q16" i="74"/>
  <c r="P16" i="74"/>
  <c r="O16" i="74"/>
  <c r="N16" i="74"/>
  <c r="M16" i="74"/>
  <c r="L16" i="74"/>
  <c r="L13" i="74" s="1"/>
  <c r="K16" i="74"/>
  <c r="J16" i="74"/>
  <c r="I16" i="74"/>
  <c r="H16" i="74"/>
  <c r="G16" i="74"/>
  <c r="F16" i="74"/>
  <c r="E16" i="74"/>
  <c r="D16" i="74"/>
  <c r="U15" i="74"/>
  <c r="T15" i="74"/>
  <c r="T13" i="74" s="1"/>
  <c r="S15" i="74"/>
  <c r="S13" i="74" s="1"/>
  <c r="S20" i="74" s="1"/>
  <c r="S19" i="74" s="1"/>
  <c r="R15" i="74"/>
  <c r="Q15" i="74"/>
  <c r="P15" i="74"/>
  <c r="O15" i="74"/>
  <c r="N15" i="74"/>
  <c r="M15" i="74"/>
  <c r="L15" i="74"/>
  <c r="K15" i="74"/>
  <c r="J15" i="74"/>
  <c r="I15" i="74"/>
  <c r="H15" i="74"/>
  <c r="G15" i="74"/>
  <c r="F15" i="74"/>
  <c r="E15" i="74"/>
  <c r="D15" i="74"/>
  <c r="U14" i="74"/>
  <c r="T14" i="74"/>
  <c r="S14" i="74"/>
  <c r="R14" i="74"/>
  <c r="Q14" i="74"/>
  <c r="P14" i="74"/>
  <c r="O14" i="74"/>
  <c r="O13" i="74" s="1"/>
  <c r="N14" i="74"/>
  <c r="M14" i="74"/>
  <c r="L14" i="74"/>
  <c r="K14" i="74"/>
  <c r="J14" i="74"/>
  <c r="I14" i="74"/>
  <c r="I13" i="74" s="1"/>
  <c r="H14" i="74"/>
  <c r="G14" i="74"/>
  <c r="F14" i="74"/>
  <c r="E14" i="74"/>
  <c r="D14" i="74"/>
  <c r="R13" i="74"/>
  <c r="P13" i="74"/>
  <c r="N13" i="74"/>
  <c r="J13" i="74"/>
  <c r="H13" i="74"/>
  <c r="U12" i="74"/>
  <c r="T12" i="74"/>
  <c r="S12" i="74"/>
  <c r="R12" i="74"/>
  <c r="Q12" i="74"/>
  <c r="P12" i="74"/>
  <c r="O12" i="74"/>
  <c r="N12" i="74"/>
  <c r="M12" i="74"/>
  <c r="L12" i="74"/>
  <c r="K12" i="74"/>
  <c r="J12" i="74"/>
  <c r="I12" i="74"/>
  <c r="H12" i="74"/>
  <c r="G12" i="74"/>
  <c r="F12" i="74"/>
  <c r="E12" i="74"/>
  <c r="D12" i="74"/>
  <c r="U11" i="74"/>
  <c r="T11" i="74"/>
  <c r="S11" i="74"/>
  <c r="R11" i="74"/>
  <c r="Q11" i="74"/>
  <c r="P11" i="74"/>
  <c r="O11" i="74"/>
  <c r="N11" i="74"/>
  <c r="M11" i="74"/>
  <c r="L11" i="74"/>
  <c r="K11" i="74"/>
  <c r="J11" i="74"/>
  <c r="I11" i="74"/>
  <c r="H11" i="74"/>
  <c r="G11" i="74"/>
  <c r="G20" i="74" s="1"/>
  <c r="G19" i="74" s="1"/>
  <c r="F11" i="74"/>
  <c r="E11" i="74"/>
  <c r="D11" i="74"/>
  <c r="D19" i="74" s="1"/>
  <c r="AF23" i="25"/>
  <c r="AE23" i="25"/>
  <c r="AD23" i="25"/>
  <c r="AC23" i="25"/>
  <c r="AB23" i="25"/>
  <c r="AA23" i="25"/>
  <c r="Z23" i="25"/>
  <c r="Z15" i="25" s="1"/>
  <c r="AA15" i="25" s="1"/>
  <c r="Y23" i="25"/>
  <c r="X23" i="25"/>
  <c r="AG23" i="25"/>
  <c r="H20" i="25"/>
  <c r="D20" i="25"/>
  <c r="D19" i="25" s="1"/>
  <c r="Q19" i="25"/>
  <c r="I19" i="25"/>
  <c r="Y18" i="25"/>
  <c r="X18" i="25"/>
  <c r="W18" i="25"/>
  <c r="V18" i="25"/>
  <c r="U18" i="25"/>
  <c r="T18" i="25"/>
  <c r="S18" i="25"/>
  <c r="R18" i="25"/>
  <c r="Q18" i="25"/>
  <c r="P18" i="25"/>
  <c r="O18" i="25"/>
  <c r="N18" i="25"/>
  <c r="M18" i="25"/>
  <c r="L18" i="25"/>
  <c r="K18" i="25"/>
  <c r="J18" i="25"/>
  <c r="I18" i="25"/>
  <c r="H18" i="25"/>
  <c r="G18" i="25"/>
  <c r="F18" i="25"/>
  <c r="E18" i="25"/>
  <c r="D18" i="25"/>
  <c r="Y17" i="25"/>
  <c r="X17" i="25"/>
  <c r="W17" i="25"/>
  <c r="V17" i="25"/>
  <c r="U17" i="25"/>
  <c r="T17" i="25"/>
  <c r="S17" i="25"/>
  <c r="R17" i="25"/>
  <c r="Q17" i="25"/>
  <c r="P17" i="25"/>
  <c r="O17" i="25"/>
  <c r="N17" i="25"/>
  <c r="M17" i="25"/>
  <c r="L17" i="25"/>
  <c r="K17" i="25"/>
  <c r="J17" i="25"/>
  <c r="I17" i="25"/>
  <c r="H17" i="25"/>
  <c r="G17" i="25"/>
  <c r="F17" i="25"/>
  <c r="E17" i="25"/>
  <c r="D17" i="25"/>
  <c r="Y16" i="25"/>
  <c r="X16" i="25"/>
  <c r="W16" i="25"/>
  <c r="V16" i="25"/>
  <c r="U16" i="25"/>
  <c r="T16" i="25"/>
  <c r="S16" i="25"/>
  <c r="R16" i="25"/>
  <c r="Q16" i="25"/>
  <c r="P16" i="25"/>
  <c r="O16" i="25"/>
  <c r="O13" i="25" s="1"/>
  <c r="N16" i="25"/>
  <c r="M16" i="25"/>
  <c r="L16" i="25"/>
  <c r="K16" i="25"/>
  <c r="J16" i="25"/>
  <c r="I16" i="25"/>
  <c r="H16" i="25"/>
  <c r="G16" i="25"/>
  <c r="F16" i="25"/>
  <c r="E16" i="25"/>
  <c r="D16" i="25"/>
  <c r="Y15" i="25"/>
  <c r="X15" i="25"/>
  <c r="X13" i="25" s="1"/>
  <c r="W15" i="25"/>
  <c r="V15" i="25"/>
  <c r="U15" i="25"/>
  <c r="T15" i="25"/>
  <c r="T13" i="25" s="1"/>
  <c r="S15" i="25"/>
  <c r="R15" i="25"/>
  <c r="R13" i="25" s="1"/>
  <c r="R20" i="25" s="1"/>
  <c r="Q15" i="25"/>
  <c r="P15" i="25"/>
  <c r="P13" i="25" s="1"/>
  <c r="P20" i="25" s="1"/>
  <c r="O15" i="25"/>
  <c r="N15" i="25"/>
  <c r="M15" i="25"/>
  <c r="L15" i="25"/>
  <c r="K15" i="25"/>
  <c r="J15" i="25"/>
  <c r="J13" i="25" s="1"/>
  <c r="J20" i="25" s="1"/>
  <c r="I15" i="25"/>
  <c r="H15" i="25"/>
  <c r="H13" i="25" s="1"/>
  <c r="G15" i="25"/>
  <c r="F15" i="25"/>
  <c r="E15" i="25"/>
  <c r="D15" i="25"/>
  <c r="Y14" i="25"/>
  <c r="X14" i="25"/>
  <c r="W14" i="25"/>
  <c r="V14" i="25"/>
  <c r="U14" i="25"/>
  <c r="T14" i="25"/>
  <c r="S14" i="25"/>
  <c r="S13" i="25" s="1"/>
  <c r="R14" i="25"/>
  <c r="Q14" i="25"/>
  <c r="P14" i="25"/>
  <c r="O14" i="25"/>
  <c r="N14" i="25"/>
  <c r="N13" i="25" s="1"/>
  <c r="M14" i="25"/>
  <c r="M13" i="25" s="1"/>
  <c r="L14" i="25"/>
  <c r="L13" i="25" s="1"/>
  <c r="K14" i="25"/>
  <c r="K13" i="25" s="1"/>
  <c r="J14" i="25"/>
  <c r="I14" i="25"/>
  <c r="H14" i="25"/>
  <c r="G14" i="25"/>
  <c r="F14" i="25"/>
  <c r="E14" i="25"/>
  <c r="D14" i="25"/>
  <c r="Y13" i="25"/>
  <c r="V13" i="25"/>
  <c r="I13" i="25"/>
  <c r="Y12" i="25"/>
  <c r="X12" i="25"/>
  <c r="W12" i="25"/>
  <c r="V12" i="25"/>
  <c r="U12" i="25"/>
  <c r="T12" i="25"/>
  <c r="S12" i="25"/>
  <c r="R12" i="25"/>
  <c r="Q12" i="25"/>
  <c r="P12" i="25"/>
  <c r="O12" i="25"/>
  <c r="N12" i="25"/>
  <c r="M12" i="25"/>
  <c r="L12" i="25"/>
  <c r="K12" i="25"/>
  <c r="J12" i="25"/>
  <c r="I12" i="25"/>
  <c r="H12" i="25"/>
  <c r="G12" i="25"/>
  <c r="F12" i="25"/>
  <c r="E12" i="25"/>
  <c r="D12" i="25"/>
  <c r="Y11" i="25"/>
  <c r="X11" i="25"/>
  <c r="W11" i="25"/>
  <c r="V11" i="25"/>
  <c r="U11" i="25"/>
  <c r="T11" i="25"/>
  <c r="S11" i="25"/>
  <c r="S20" i="25" s="1"/>
  <c r="S19" i="25" s="1"/>
  <c r="R11" i="25"/>
  <c r="Q11" i="25"/>
  <c r="Q20" i="25" s="1"/>
  <c r="P11" i="25"/>
  <c r="O11" i="25"/>
  <c r="N11" i="25"/>
  <c r="M11" i="25"/>
  <c r="L11" i="25"/>
  <c r="K11" i="25"/>
  <c r="K20" i="25" s="1"/>
  <c r="J11" i="25"/>
  <c r="I11" i="25"/>
  <c r="I20" i="25" s="1"/>
  <c r="H11" i="25"/>
  <c r="H19" i="25" s="1"/>
  <c r="G11" i="25"/>
  <c r="F11" i="25"/>
  <c r="F20" i="25" s="1"/>
  <c r="E11" i="25"/>
  <c r="E20" i="25" s="1"/>
  <c r="D11" i="25"/>
  <c r="O14" i="56"/>
  <c r="O13" i="56"/>
  <c r="O12" i="56"/>
  <c r="O11" i="56"/>
  <c r="O10" i="56"/>
  <c r="O9" i="56"/>
  <c r="O8" i="56"/>
  <c r="O7" i="56"/>
  <c r="O6" i="56"/>
  <c r="O5" i="56"/>
  <c r="O4" i="56"/>
  <c r="O3" i="56"/>
  <c r="D2" i="56"/>
  <c r="E2" i="56" s="1"/>
  <c r="F2" i="56" s="1"/>
  <c r="G2" i="56" s="1"/>
  <c r="H2" i="56" s="1"/>
  <c r="I2" i="56" s="1"/>
  <c r="J2" i="56" s="1"/>
  <c r="K2" i="56" s="1"/>
  <c r="L2" i="56" s="1"/>
  <c r="M2" i="56" s="1"/>
  <c r="N2" i="56" s="1"/>
  <c r="R11" i="50"/>
  <c r="Q11" i="50"/>
  <c r="P11" i="50"/>
  <c r="O11" i="50"/>
  <c r="N11" i="50"/>
  <c r="M11" i="50"/>
  <c r="L11" i="50"/>
  <c r="K11" i="50"/>
  <c r="J11" i="50"/>
  <c r="I11" i="50"/>
  <c r="H11" i="50"/>
  <c r="G11" i="50"/>
  <c r="F11" i="50"/>
  <c r="E11" i="50"/>
  <c r="D11" i="50"/>
  <c r="C11" i="50"/>
  <c r="K10" i="50"/>
  <c r="I9" i="50"/>
  <c r="H9" i="50"/>
  <c r="G9" i="50"/>
  <c r="F9" i="50"/>
  <c r="E9" i="50"/>
  <c r="R8" i="50"/>
  <c r="Q8" i="50"/>
  <c r="P8" i="50"/>
  <c r="O8" i="50"/>
  <c r="N8" i="50"/>
  <c r="R7" i="50"/>
  <c r="Q7" i="50"/>
  <c r="P7" i="50"/>
  <c r="O7" i="50"/>
  <c r="N7" i="50"/>
  <c r="M7" i="50"/>
  <c r="L7" i="50"/>
  <c r="K7" i="50"/>
  <c r="J7" i="50"/>
  <c r="I7" i="50"/>
  <c r="H7" i="50"/>
  <c r="G7" i="50"/>
  <c r="F7" i="50"/>
  <c r="E7" i="50"/>
  <c r="D7" i="50"/>
  <c r="C7" i="50"/>
  <c r="H6" i="50"/>
  <c r="E6" i="50"/>
  <c r="D6" i="50"/>
  <c r="C6" i="50"/>
  <c r="D5" i="50"/>
  <c r="C5" i="50"/>
  <c r="M4" i="50"/>
  <c r="E4" i="50"/>
  <c r="D4" i="50"/>
  <c r="C4" i="50"/>
  <c r="R92" i="80"/>
  <c r="O92" i="80"/>
  <c r="U90" i="80"/>
  <c r="U92" i="80" s="1"/>
  <c r="R93" i="80" s="1"/>
  <c r="W86" i="80"/>
  <c r="V86" i="80"/>
  <c r="U86" i="80"/>
  <c r="T86" i="80"/>
  <c r="S86" i="80"/>
  <c r="R86" i="80"/>
  <c r="Q86" i="80"/>
  <c r="P86" i="80"/>
  <c r="O86" i="80"/>
  <c r="N86" i="80"/>
  <c r="M86" i="80"/>
  <c r="L86" i="80"/>
  <c r="K86" i="80"/>
  <c r="J86" i="80"/>
  <c r="I86" i="80"/>
  <c r="H86" i="80"/>
  <c r="G86" i="80"/>
  <c r="F86" i="80"/>
  <c r="E86" i="80"/>
  <c r="D86" i="80"/>
  <c r="C86" i="80"/>
  <c r="V85" i="80"/>
  <c r="U85" i="80"/>
  <c r="T85" i="80"/>
  <c r="S85" i="80"/>
  <c r="R85" i="80"/>
  <c r="Q85" i="80"/>
  <c r="P85" i="80"/>
  <c r="O85" i="80"/>
  <c r="N85" i="80"/>
  <c r="M85" i="80"/>
  <c r="L85" i="80"/>
  <c r="K85" i="80"/>
  <c r="J85" i="80"/>
  <c r="I85" i="80"/>
  <c r="H85" i="80"/>
  <c r="G85" i="80"/>
  <c r="F85" i="80"/>
  <c r="E85" i="80"/>
  <c r="D85" i="80"/>
  <c r="C85" i="80"/>
  <c r="W84" i="80"/>
  <c r="V84" i="80"/>
  <c r="U84" i="80"/>
  <c r="T84" i="80"/>
  <c r="S84" i="80"/>
  <c r="R84" i="80"/>
  <c r="Q84" i="80"/>
  <c r="P84" i="80"/>
  <c r="O84" i="80"/>
  <c r="N84" i="80"/>
  <c r="M84" i="80"/>
  <c r="L84" i="80"/>
  <c r="K84" i="80"/>
  <c r="J84" i="80"/>
  <c r="I84" i="80"/>
  <c r="H84" i="80"/>
  <c r="G84" i="80"/>
  <c r="F84" i="80"/>
  <c r="E84" i="80"/>
  <c r="D84" i="80"/>
  <c r="C84" i="80"/>
  <c r="V83" i="80"/>
  <c r="U83" i="80"/>
  <c r="T83" i="80"/>
  <c r="S83" i="80"/>
  <c r="R83" i="80"/>
  <c r="Q83" i="80"/>
  <c r="P83" i="80"/>
  <c r="O83" i="80"/>
  <c r="N83" i="80"/>
  <c r="M83" i="80"/>
  <c r="L83" i="80"/>
  <c r="K83" i="80"/>
  <c r="J83" i="80"/>
  <c r="I83" i="80"/>
  <c r="H83" i="80"/>
  <c r="G83" i="80"/>
  <c r="F83" i="80"/>
  <c r="E83" i="80"/>
  <c r="D83" i="80"/>
  <c r="C83" i="80"/>
  <c r="K23" i="35"/>
  <c r="J23" i="35"/>
  <c r="I23" i="35"/>
  <c r="H23" i="35"/>
  <c r="G23" i="35"/>
  <c r="F23" i="35"/>
  <c r="G25" i="55" s="1"/>
  <c r="E23" i="35"/>
  <c r="D23" i="35"/>
  <c r="C23" i="35"/>
  <c r="K16" i="35"/>
  <c r="K15" i="35"/>
  <c r="L17" i="55" s="1"/>
  <c r="L113" i="55" s="1"/>
  <c r="K14" i="35"/>
  <c r="J14" i="35"/>
  <c r="I14" i="35"/>
  <c r="H14" i="35"/>
  <c r="G14" i="35"/>
  <c r="H16" i="55" s="1"/>
  <c r="F14" i="35"/>
  <c r="E14" i="35"/>
  <c r="D14" i="35"/>
  <c r="C14" i="35"/>
  <c r="K13" i="35"/>
  <c r="J13" i="35"/>
  <c r="I13" i="35"/>
  <c r="H13" i="35"/>
  <c r="G13" i="35"/>
  <c r="F13" i="35"/>
  <c r="E13" i="35"/>
  <c r="D13" i="35"/>
  <c r="C13" i="35"/>
  <c r="C12" i="35"/>
  <c r="D14" i="55" s="1"/>
  <c r="C11" i="35"/>
  <c r="K8" i="35"/>
  <c r="J8" i="35"/>
  <c r="I8" i="35"/>
  <c r="K7" i="35"/>
  <c r="J7" i="35"/>
  <c r="I7" i="35"/>
  <c r="C5" i="35"/>
  <c r="C4" i="35"/>
  <c r="D128" i="55"/>
  <c r="D125" i="55"/>
  <c r="D124" i="55"/>
  <c r="H121" i="55"/>
  <c r="H112" i="55"/>
  <c r="F112" i="55"/>
  <c r="D102" i="55"/>
  <c r="D96" i="55"/>
  <c r="D92" i="55"/>
  <c r="E89" i="55"/>
  <c r="D89" i="55"/>
  <c r="H80" i="55"/>
  <c r="H79" i="55"/>
  <c r="D32" i="55"/>
  <c r="D31" i="55"/>
  <c r="D127" i="55" s="1"/>
  <c r="I126" i="55"/>
  <c r="D30" i="55"/>
  <c r="E29" i="55"/>
  <c r="E93" i="55" s="1"/>
  <c r="D29" i="55"/>
  <c r="D93" i="55" s="1"/>
  <c r="G28" i="55"/>
  <c r="G124" i="55" s="1"/>
  <c r="D28" i="55"/>
  <c r="H25" i="55"/>
  <c r="H89" i="55" s="1"/>
  <c r="F25" i="55"/>
  <c r="E25" i="55"/>
  <c r="E121" i="55" s="1"/>
  <c r="D25" i="55"/>
  <c r="D121" i="55" s="1"/>
  <c r="C25" i="55"/>
  <c r="B25" i="55"/>
  <c r="C24" i="55"/>
  <c r="B24" i="55"/>
  <c r="C23" i="55"/>
  <c r="B23" i="55"/>
  <c r="C22" i="55"/>
  <c r="B22" i="55"/>
  <c r="C21" i="55"/>
  <c r="B21" i="55"/>
  <c r="C20" i="55"/>
  <c r="B20" i="55"/>
  <c r="C19" i="55"/>
  <c r="B19" i="55"/>
  <c r="C18" i="55"/>
  <c r="B18" i="55"/>
  <c r="C17" i="55"/>
  <c r="B17" i="55"/>
  <c r="I112" i="55"/>
  <c r="G16" i="55"/>
  <c r="G80" i="55" s="1"/>
  <c r="F16" i="55"/>
  <c r="F80" i="55" s="1"/>
  <c r="E16" i="55"/>
  <c r="E112" i="55" s="1"/>
  <c r="D16" i="55"/>
  <c r="C16" i="55"/>
  <c r="B16" i="55"/>
  <c r="H15" i="55"/>
  <c r="H111" i="55" s="1"/>
  <c r="G15" i="55"/>
  <c r="G111" i="55" s="1"/>
  <c r="F15" i="55"/>
  <c r="F79" i="55" s="1"/>
  <c r="E15" i="55"/>
  <c r="E79" i="55" s="1"/>
  <c r="D15" i="55"/>
  <c r="D79" i="55" s="1"/>
  <c r="C15" i="55"/>
  <c r="B15" i="55"/>
  <c r="C14" i="55"/>
  <c r="B14" i="55"/>
  <c r="D13" i="55"/>
  <c r="D109" i="55" s="1"/>
  <c r="C13" i="55"/>
  <c r="B13" i="55"/>
  <c r="C12" i="55"/>
  <c r="B12" i="55"/>
  <c r="C11" i="55"/>
  <c r="B11" i="55"/>
  <c r="C10" i="55"/>
  <c r="B10" i="55"/>
  <c r="C9" i="55"/>
  <c r="B9" i="55"/>
  <c r="C8" i="55"/>
  <c r="B8" i="55"/>
  <c r="D7" i="55"/>
  <c r="D71" i="55" s="1"/>
  <c r="C7" i="55"/>
  <c r="B7" i="55"/>
  <c r="D6" i="55"/>
  <c r="D70" i="55" s="1"/>
  <c r="C6" i="55"/>
  <c r="B6" i="55"/>
  <c r="C5" i="55"/>
  <c r="B5" i="55"/>
  <c r="C4" i="55"/>
  <c r="B4" i="55"/>
  <c r="E3" i="55"/>
  <c r="D3" i="55"/>
  <c r="C3" i="55"/>
  <c r="B3" i="55"/>
  <c r="F81" i="46"/>
  <c r="G81" i="46" s="1"/>
  <c r="E81" i="46"/>
  <c r="C81" i="46"/>
  <c r="E80" i="46"/>
  <c r="F80" i="46" s="1"/>
  <c r="G80" i="46" s="1"/>
  <c r="C80" i="46"/>
  <c r="F79" i="46"/>
  <c r="G79" i="46" s="1"/>
  <c r="E79" i="46"/>
  <c r="C79" i="46"/>
  <c r="E78" i="46"/>
  <c r="F78" i="46" s="1"/>
  <c r="G78" i="46" s="1"/>
  <c r="C78" i="46"/>
  <c r="F77" i="46"/>
  <c r="G77" i="46" s="1"/>
  <c r="E77" i="46"/>
  <c r="C77" i="46"/>
  <c r="E76" i="46"/>
  <c r="F76" i="46" s="1"/>
  <c r="G76" i="46" s="1"/>
  <c r="C76" i="46"/>
  <c r="E75" i="46"/>
  <c r="F75" i="46" s="1"/>
  <c r="G75" i="46" s="1"/>
  <c r="C75" i="46"/>
  <c r="E74" i="46"/>
  <c r="F74" i="46" s="1"/>
  <c r="G74" i="46" s="1"/>
  <c r="C74" i="46"/>
  <c r="F73" i="46"/>
  <c r="G73" i="46" s="1"/>
  <c r="E73" i="46"/>
  <c r="C73" i="46"/>
  <c r="E72" i="46"/>
  <c r="F72" i="46" s="1"/>
  <c r="G72" i="46" s="1"/>
  <c r="C72" i="46"/>
  <c r="F71" i="46"/>
  <c r="G71" i="46" s="1"/>
  <c r="E71" i="46"/>
  <c r="C71" i="46"/>
  <c r="E70" i="46"/>
  <c r="F70" i="46" s="1"/>
  <c r="G70" i="46" s="1"/>
  <c r="C70" i="46"/>
  <c r="F69" i="46"/>
  <c r="G69" i="46" s="1"/>
  <c r="E69" i="46"/>
  <c r="C69" i="46"/>
  <c r="E68" i="46"/>
  <c r="F68" i="46" s="1"/>
  <c r="G68" i="46" s="1"/>
  <c r="C68" i="46"/>
  <c r="E67" i="46"/>
  <c r="F67" i="46" s="1"/>
  <c r="G67" i="46" s="1"/>
  <c r="C67" i="46"/>
  <c r="E66" i="46"/>
  <c r="F66" i="46" s="1"/>
  <c r="G66" i="46" s="1"/>
  <c r="C66" i="46"/>
  <c r="F65" i="46"/>
  <c r="G65" i="46" s="1"/>
  <c r="E65" i="46"/>
  <c r="C65" i="46"/>
  <c r="E64" i="46"/>
  <c r="F64" i="46" s="1"/>
  <c r="G64" i="46" s="1"/>
  <c r="C64" i="46"/>
  <c r="F63" i="46"/>
  <c r="G63" i="46" s="1"/>
  <c r="E63" i="46"/>
  <c r="C63" i="46"/>
  <c r="E62" i="46"/>
  <c r="F62" i="46" s="1"/>
  <c r="G62" i="46" s="1"/>
  <c r="C62" i="46"/>
  <c r="F61" i="46"/>
  <c r="G61" i="46" s="1"/>
  <c r="E61" i="46"/>
  <c r="C61" i="46"/>
  <c r="E60" i="46"/>
  <c r="F60" i="46" s="1"/>
  <c r="G60" i="46" s="1"/>
  <c r="C60" i="46"/>
  <c r="E59" i="46"/>
  <c r="F59" i="46" s="1"/>
  <c r="G59" i="46" s="1"/>
  <c r="C59" i="46"/>
  <c r="E58" i="46"/>
  <c r="F58" i="46" s="1"/>
  <c r="G58" i="46" s="1"/>
  <c r="C58" i="46"/>
  <c r="E57" i="46"/>
  <c r="F57" i="46" s="1"/>
  <c r="C57" i="46"/>
  <c r="E56" i="46"/>
  <c r="F56" i="46" s="1"/>
  <c r="G56" i="46" s="1"/>
  <c r="C56" i="46"/>
  <c r="E55" i="46"/>
  <c r="F55" i="46" s="1"/>
  <c r="G55" i="46" s="1"/>
  <c r="C55" i="46"/>
  <c r="G54" i="46"/>
  <c r="E54" i="46"/>
  <c r="F54" i="46" s="1"/>
  <c r="C54" i="46"/>
  <c r="E53" i="46"/>
  <c r="F53" i="46" s="1"/>
  <c r="G53" i="46" s="1"/>
  <c r="C53" i="46"/>
  <c r="G52" i="46"/>
  <c r="E52" i="46"/>
  <c r="F52" i="46" s="1"/>
  <c r="C52" i="46"/>
  <c r="E51" i="46"/>
  <c r="F51" i="46" s="1"/>
  <c r="G51" i="46" s="1"/>
  <c r="C51" i="46"/>
  <c r="G50" i="46"/>
  <c r="E50" i="46"/>
  <c r="F50" i="46" s="1"/>
  <c r="C50" i="46"/>
  <c r="E49" i="46"/>
  <c r="F49" i="46" s="1"/>
  <c r="G49" i="46" s="1"/>
  <c r="C49" i="46"/>
  <c r="E48" i="46"/>
  <c r="F48" i="46" s="1"/>
  <c r="G48" i="46" s="1"/>
  <c r="C48" i="46"/>
  <c r="E47" i="46"/>
  <c r="F47" i="46" s="1"/>
  <c r="G47" i="46" s="1"/>
  <c r="C47" i="46"/>
  <c r="G46" i="46"/>
  <c r="E46" i="46"/>
  <c r="F46" i="46" s="1"/>
  <c r="C46" i="46"/>
  <c r="E45" i="46"/>
  <c r="F45" i="46" s="1"/>
  <c r="G45" i="46" s="1"/>
  <c r="C45" i="46"/>
  <c r="E44" i="46"/>
  <c r="F44" i="46" s="1"/>
  <c r="G44" i="46" s="1"/>
  <c r="C44" i="46"/>
  <c r="E43" i="46"/>
  <c r="F43" i="46" s="1"/>
  <c r="G43" i="46" s="1"/>
  <c r="C43" i="46"/>
  <c r="E42" i="46"/>
  <c r="F42" i="46" s="1"/>
  <c r="G42" i="46" s="1"/>
  <c r="C42" i="46"/>
  <c r="E41" i="46"/>
  <c r="F41" i="46" s="1"/>
  <c r="G41" i="46" s="1"/>
  <c r="C41" i="46"/>
  <c r="E40" i="46"/>
  <c r="F40" i="46" s="1"/>
  <c r="G40" i="46" s="1"/>
  <c r="C40" i="46"/>
  <c r="E39" i="46"/>
  <c r="F39" i="46" s="1"/>
  <c r="G39" i="46" s="1"/>
  <c r="C39" i="46"/>
  <c r="E38" i="46"/>
  <c r="F38" i="46" s="1"/>
  <c r="G38" i="46" s="1"/>
  <c r="C38" i="46"/>
  <c r="E37" i="46"/>
  <c r="F37" i="46" s="1"/>
  <c r="G37" i="46" s="1"/>
  <c r="C37" i="46"/>
  <c r="E36" i="46"/>
  <c r="F36" i="46" s="1"/>
  <c r="G36" i="46" s="1"/>
  <c r="C36" i="46"/>
  <c r="E35" i="46"/>
  <c r="F35" i="46" s="1"/>
  <c r="G35" i="46" s="1"/>
  <c r="C35" i="46"/>
  <c r="E34" i="46"/>
  <c r="F34" i="46" s="1"/>
  <c r="G34" i="46" s="1"/>
  <c r="C34" i="46"/>
  <c r="E33" i="46"/>
  <c r="F33" i="46" s="1"/>
  <c r="G33" i="46" s="1"/>
  <c r="C33" i="46"/>
  <c r="E32" i="46"/>
  <c r="F32" i="46" s="1"/>
  <c r="G32" i="46" s="1"/>
  <c r="C32" i="46"/>
  <c r="E31" i="46"/>
  <c r="F31" i="46" s="1"/>
  <c r="G31" i="46" s="1"/>
  <c r="F30" i="46"/>
  <c r="G30" i="46" s="1"/>
  <c r="E30" i="46"/>
  <c r="E29" i="46"/>
  <c r="F29" i="46" s="1"/>
  <c r="G29" i="46" s="1"/>
  <c r="F28" i="46"/>
  <c r="G28" i="46" s="1"/>
  <c r="E28" i="46"/>
  <c r="E27" i="46"/>
  <c r="F27" i="46" s="1"/>
  <c r="G27" i="46" s="1"/>
  <c r="C27" i="46"/>
  <c r="E26" i="46"/>
  <c r="F26" i="46" s="1"/>
  <c r="G26" i="46" s="1"/>
  <c r="C26" i="46"/>
  <c r="E25" i="46"/>
  <c r="F25" i="46" s="1"/>
  <c r="G25" i="46" s="1"/>
  <c r="C25" i="46"/>
  <c r="E24" i="46"/>
  <c r="F24" i="46" s="1"/>
  <c r="G24" i="46" s="1"/>
  <c r="C24" i="46"/>
  <c r="E23" i="46"/>
  <c r="F23" i="46" s="1"/>
  <c r="G23" i="46" s="1"/>
  <c r="C23" i="46"/>
  <c r="E22" i="46"/>
  <c r="F22" i="46" s="1"/>
  <c r="G22" i="46" s="1"/>
  <c r="C22" i="46"/>
  <c r="E21" i="46"/>
  <c r="F21" i="46" s="1"/>
  <c r="G21" i="46" s="1"/>
  <c r="C21" i="46"/>
  <c r="E20" i="46"/>
  <c r="F20" i="46" s="1"/>
  <c r="G20" i="46" s="1"/>
  <c r="C20" i="46"/>
  <c r="E19" i="46"/>
  <c r="F19" i="46" s="1"/>
  <c r="G19" i="46" s="1"/>
  <c r="C19" i="46"/>
  <c r="E18" i="46"/>
  <c r="F18" i="46" s="1"/>
  <c r="G18" i="46" s="1"/>
  <c r="C18" i="46"/>
  <c r="E17" i="46"/>
  <c r="F17" i="46" s="1"/>
  <c r="G17" i="46" s="1"/>
  <c r="C17" i="46"/>
  <c r="E16" i="46"/>
  <c r="F16" i="46" s="1"/>
  <c r="G16" i="46" s="1"/>
  <c r="C16" i="46"/>
  <c r="E15" i="46"/>
  <c r="F15" i="46" s="1"/>
  <c r="G15" i="46" s="1"/>
  <c r="C15" i="46"/>
  <c r="E14" i="46"/>
  <c r="F14" i="46" s="1"/>
  <c r="G14" i="46" s="1"/>
  <c r="C14" i="46"/>
  <c r="E13" i="46"/>
  <c r="F13" i="46" s="1"/>
  <c r="G13" i="46" s="1"/>
  <c r="C13" i="46"/>
  <c r="E12" i="46"/>
  <c r="F12" i="46" s="1"/>
  <c r="G12" i="46" s="1"/>
  <c r="C12" i="46"/>
  <c r="E11" i="46"/>
  <c r="F11" i="46" s="1"/>
  <c r="G11" i="46" s="1"/>
  <c r="C11" i="46"/>
  <c r="E10" i="46"/>
  <c r="F10" i="46" s="1"/>
  <c r="G10" i="46" s="1"/>
  <c r="C10" i="46"/>
  <c r="E9" i="46"/>
  <c r="F9" i="46" s="1"/>
  <c r="G9" i="46" s="1"/>
  <c r="C9" i="46"/>
  <c r="E8" i="46"/>
  <c r="F8" i="46" s="1"/>
  <c r="G8" i="46" s="1"/>
  <c r="C8" i="46"/>
  <c r="E7" i="46"/>
  <c r="F7" i="46" s="1"/>
  <c r="G7" i="46" s="1"/>
  <c r="C7" i="46"/>
  <c r="E6" i="46"/>
  <c r="F6" i="46" s="1"/>
  <c r="G6" i="46" s="1"/>
  <c r="C6" i="46"/>
  <c r="E5" i="46"/>
  <c r="F5" i="46" s="1"/>
  <c r="G5" i="46" s="1"/>
  <c r="C5" i="46"/>
  <c r="E4" i="46"/>
  <c r="F4" i="46" s="1"/>
  <c r="G4" i="46" s="1"/>
  <c r="C4" i="46"/>
  <c r="E3" i="46"/>
  <c r="F3" i="46" s="1"/>
  <c r="G3" i="46" s="1"/>
  <c r="C3" i="46"/>
  <c r="C2" i="46"/>
  <c r="O23" i="74"/>
  <c r="Q23" i="25"/>
  <c r="N23" i="74"/>
  <c r="P23" i="25"/>
  <c r="U23" i="74"/>
  <c r="M23" i="74"/>
  <c r="O23" i="25"/>
  <c r="T23" i="74"/>
  <c r="N23" i="25"/>
  <c r="S23" i="74"/>
  <c r="U23" i="25"/>
  <c r="M23" i="25"/>
  <c r="Q23" i="74"/>
  <c r="S23" i="25"/>
  <c r="T23" i="25"/>
  <c r="R23" i="25"/>
  <c r="R23" i="74"/>
  <c r="P23" i="74"/>
  <c r="J95" i="55" l="1"/>
  <c r="J127" i="55"/>
  <c r="AF48" i="70"/>
  <c r="K31" i="55" s="1"/>
  <c r="AG46" i="70"/>
  <c r="AG45" i="70" s="1"/>
  <c r="AG12" i="70" s="1"/>
  <c r="AG23" i="70" s="1"/>
  <c r="J2" i="71" s="1"/>
  <c r="AF49" i="70"/>
  <c r="AF16" i="70" s="1"/>
  <c r="AF25" i="70" s="1"/>
  <c r="I4" i="71" s="1"/>
  <c r="AC49" i="70"/>
  <c r="AC51" i="70" s="1"/>
  <c r="AA16" i="70"/>
  <c r="AA25" i="70" s="1"/>
  <c r="D4" i="71" s="1"/>
  <c r="F30" i="55"/>
  <c r="F94" i="55" s="1"/>
  <c r="AA51" i="70"/>
  <c r="AA52" i="70" s="1"/>
  <c r="AA20" i="70" s="1"/>
  <c r="AA27" i="70" s="1"/>
  <c r="D6" i="71" s="1"/>
  <c r="AG49" i="70"/>
  <c r="L32" i="55" s="1"/>
  <c r="L128" i="55" s="1"/>
  <c r="AB49" i="70"/>
  <c r="G30" i="55" s="1"/>
  <c r="G94" i="55" s="1"/>
  <c r="AD49" i="70"/>
  <c r="I32" i="55" s="1"/>
  <c r="K32" i="55"/>
  <c r="AF51" i="70"/>
  <c r="AE49" i="70"/>
  <c r="Z49" i="70"/>
  <c r="E30" i="55" s="1"/>
  <c r="E126" i="55" s="1"/>
  <c r="F32" i="55"/>
  <c r="F128" i="55" s="1"/>
  <c r="AB14" i="70"/>
  <c r="AB24" i="70" s="1"/>
  <c r="E3" i="71" s="1"/>
  <c r="G29" i="55"/>
  <c r="G125" i="55" s="1"/>
  <c r="AF14" i="70"/>
  <c r="AF24" i="70" s="1"/>
  <c r="I3" i="71" s="1"/>
  <c r="AA14" i="70"/>
  <c r="AA24" i="70" s="1"/>
  <c r="D3" i="71" s="1"/>
  <c r="F29" i="55"/>
  <c r="I31" i="55"/>
  <c r="I95" i="55" s="1"/>
  <c r="AD14" i="70"/>
  <c r="AD24" i="70" s="1"/>
  <c r="G3" i="71" s="1"/>
  <c r="AG48" i="70"/>
  <c r="AC48" i="70"/>
  <c r="AG13" i="78"/>
  <c r="AG14" i="78" s="1"/>
  <c r="K24" i="35" s="1"/>
  <c r="AD46" i="70"/>
  <c r="AD45" i="70" s="1"/>
  <c r="I28" i="55" s="1"/>
  <c r="I124" i="55" s="1"/>
  <c r="AF46" i="70"/>
  <c r="AF45" i="70" s="1"/>
  <c r="S14" i="78"/>
  <c r="L10" i="50" s="1"/>
  <c r="S21" i="78"/>
  <c r="V14" i="78"/>
  <c r="O10" i="50" s="1"/>
  <c r="V21" i="78"/>
  <c r="H28" i="55"/>
  <c r="H92" i="55" s="1"/>
  <c r="AE46" i="70"/>
  <c r="L28" i="55"/>
  <c r="L124" i="55" s="1"/>
  <c r="R10" i="50"/>
  <c r="AA13" i="78"/>
  <c r="AA14" i="78" s="1"/>
  <c r="E24" i="35" s="1"/>
  <c r="U14" i="78"/>
  <c r="N10" i="50" s="1"/>
  <c r="L29" i="55"/>
  <c r="L125" i="55" s="1"/>
  <c r="AA46" i="70"/>
  <c r="AA45" i="70" s="1"/>
  <c r="K113" i="55"/>
  <c r="K81" i="55"/>
  <c r="K82" i="55"/>
  <c r="K114" i="55"/>
  <c r="F102" i="59"/>
  <c r="I64" i="59"/>
  <c r="G64" i="59"/>
  <c r="O30" i="59"/>
  <c r="H5" i="50" s="1"/>
  <c r="F30" i="59"/>
  <c r="N50" i="59"/>
  <c r="N26" i="59" s="1"/>
  <c r="I50" i="59"/>
  <c r="I26" i="59" s="1"/>
  <c r="E64" i="59"/>
  <c r="T50" i="59"/>
  <c r="T26" i="59" s="1"/>
  <c r="X52" i="59"/>
  <c r="E98" i="59"/>
  <c r="E102" i="59" s="1"/>
  <c r="V50" i="59"/>
  <c r="V26" i="59" s="1"/>
  <c r="F26" i="33"/>
  <c r="R13" i="33" s="1"/>
  <c r="O15" i="33"/>
  <c r="I15" i="33"/>
  <c r="Q15" i="33"/>
  <c r="Y15" i="33"/>
  <c r="G15" i="33"/>
  <c r="H26" i="33"/>
  <c r="T17" i="59"/>
  <c r="H15" i="33"/>
  <c r="G26" i="33"/>
  <c r="T13" i="33" s="1"/>
  <c r="X15" i="33"/>
  <c r="V15" i="33"/>
  <c r="N15" i="33"/>
  <c r="F15" i="33"/>
  <c r="U15" i="33"/>
  <c r="M15" i="33"/>
  <c r="E15" i="33"/>
  <c r="G22" i="33"/>
  <c r="L15" i="33"/>
  <c r="K26" i="33"/>
  <c r="AJ13" i="33" s="1"/>
  <c r="I26" i="33"/>
  <c r="AB13" i="33" s="1"/>
  <c r="D17" i="59"/>
  <c r="S15" i="33"/>
  <c r="K15" i="33"/>
  <c r="J17" i="59"/>
  <c r="R15" i="33"/>
  <c r="J15" i="33"/>
  <c r="R17" i="59"/>
  <c r="J26" i="33"/>
  <c r="N30" i="26"/>
  <c r="N15" i="26" s="1"/>
  <c r="M15" i="26"/>
  <c r="D49" i="26" s="1"/>
  <c r="E49" i="26" s="1"/>
  <c r="M78" i="26"/>
  <c r="Q32" i="26"/>
  <c r="Q33" i="26"/>
  <c r="O16" i="26"/>
  <c r="O79" i="26" s="1"/>
  <c r="R32" i="26"/>
  <c r="R33" i="26"/>
  <c r="Q34" i="26"/>
  <c r="W32" i="26"/>
  <c r="Y11" i="26"/>
  <c r="M33" i="26"/>
  <c r="T16" i="26"/>
  <c r="T79" i="26" s="1"/>
  <c r="I11" i="26"/>
  <c r="I20" i="26" s="1"/>
  <c r="I80" i="26" s="1"/>
  <c r="I75" i="26" s="1"/>
  <c r="I49" i="20" s="1"/>
  <c r="Q11" i="26"/>
  <c r="U33" i="26"/>
  <c r="J9" i="50"/>
  <c r="J11" i="26"/>
  <c r="J20" i="26" s="1"/>
  <c r="J80" i="26" s="1"/>
  <c r="R11" i="26"/>
  <c r="N33" i="26"/>
  <c r="V33" i="26"/>
  <c r="C9" i="50"/>
  <c r="AH12" i="26"/>
  <c r="M32" i="26"/>
  <c r="O33" i="26"/>
  <c r="W33" i="26"/>
  <c r="W16" i="26" s="1"/>
  <c r="W79" i="26" s="1"/>
  <c r="D9" i="50"/>
  <c r="D11" i="26"/>
  <c r="D20" i="26" s="1"/>
  <c r="L11" i="26"/>
  <c r="L20" i="26" s="1"/>
  <c r="L80" i="26" s="1"/>
  <c r="L75" i="26" s="1"/>
  <c r="T11" i="26"/>
  <c r="O32" i="26"/>
  <c r="P33" i="26"/>
  <c r="C48" i="26"/>
  <c r="M34" i="26"/>
  <c r="U34" i="26"/>
  <c r="U16" i="26" s="1"/>
  <c r="U79" i="26" s="1"/>
  <c r="K20" i="26"/>
  <c r="K80" i="26" s="1"/>
  <c r="K75" i="26" s="1"/>
  <c r="N32" i="26"/>
  <c r="AH32" i="26" s="1"/>
  <c r="V32" i="26"/>
  <c r="N34" i="26"/>
  <c r="N16" i="26" s="1"/>
  <c r="N79" i="26" s="1"/>
  <c r="V34" i="26"/>
  <c r="E11" i="26"/>
  <c r="E20" i="26" s="1"/>
  <c r="M11" i="26"/>
  <c r="U11" i="26"/>
  <c r="J25" i="26"/>
  <c r="P32" i="26"/>
  <c r="X32" i="26"/>
  <c r="P34" i="26"/>
  <c r="P16" i="26" s="1"/>
  <c r="P79" i="26" s="1"/>
  <c r="X34" i="26"/>
  <c r="X16" i="26" s="1"/>
  <c r="X79" i="26" s="1"/>
  <c r="C50" i="26"/>
  <c r="E50" i="26" s="1"/>
  <c r="C64" i="26"/>
  <c r="AH36" i="26"/>
  <c r="AI19" i="26" s="1"/>
  <c r="R34" i="26"/>
  <c r="R16" i="26" s="1"/>
  <c r="R79" i="26" s="1"/>
  <c r="V96" i="26"/>
  <c r="F11" i="26"/>
  <c r="F20" i="26" s="1"/>
  <c r="V11" i="26"/>
  <c r="S32" i="26"/>
  <c r="S34" i="26"/>
  <c r="S16" i="26" s="1"/>
  <c r="S79" i="26" s="1"/>
  <c r="AD96" i="26"/>
  <c r="AD48" i="20" s="1"/>
  <c r="N11" i="26"/>
  <c r="G11" i="26"/>
  <c r="G20" i="26" s="1"/>
  <c r="O11" i="26"/>
  <c r="W11" i="26"/>
  <c r="AH31" i="26"/>
  <c r="C58" i="26"/>
  <c r="C51" i="26"/>
  <c r="Z17" i="25"/>
  <c r="AA17" i="25" s="1"/>
  <c r="AB17" i="25" s="1"/>
  <c r="AC17" i="25" s="1"/>
  <c r="AD17" i="25" s="1"/>
  <c r="Z16" i="25"/>
  <c r="AA16" i="25" s="1"/>
  <c r="Z12" i="25"/>
  <c r="Z14" i="25" s="1"/>
  <c r="Z13" i="25" s="1"/>
  <c r="F31" i="55"/>
  <c r="F127" i="55" s="1"/>
  <c r="AE14" i="70"/>
  <c r="AE24" i="70" s="1"/>
  <c r="H3" i="71" s="1"/>
  <c r="G92" i="55"/>
  <c r="Y85" i="80"/>
  <c r="O93" i="80"/>
  <c r="F19" i="48"/>
  <c r="G130" i="48"/>
  <c r="O130" i="48"/>
  <c r="W130" i="48"/>
  <c r="K131" i="48"/>
  <c r="S131" i="48"/>
  <c r="U9" i="48"/>
  <c r="J143" i="48"/>
  <c r="M139" i="48"/>
  <c r="I140" i="48"/>
  <c r="Q140" i="48"/>
  <c r="M141" i="48"/>
  <c r="G19" i="48"/>
  <c r="O19" i="48"/>
  <c r="W19" i="48"/>
  <c r="H32" i="48"/>
  <c r="H64" i="48" s="1"/>
  <c r="H71" i="48" s="1"/>
  <c r="G33" i="48"/>
  <c r="G65" i="48" s="1"/>
  <c r="G72" i="48" s="1"/>
  <c r="G95" i="48" s="1"/>
  <c r="I33" i="48"/>
  <c r="J33" i="48" s="1"/>
  <c r="Q144" i="48"/>
  <c r="K115" i="48"/>
  <c r="S115" i="48"/>
  <c r="O116" i="48"/>
  <c r="W116" i="48"/>
  <c r="G119" i="48"/>
  <c r="G128" i="48" s="1"/>
  <c r="O119" i="48"/>
  <c r="O112" i="48" s="1"/>
  <c r="T115" i="48"/>
  <c r="X116" i="48"/>
  <c r="K130" i="48"/>
  <c r="S130" i="48"/>
  <c r="G131" i="48"/>
  <c r="O131" i="48"/>
  <c r="W131" i="48"/>
  <c r="T129" i="48"/>
  <c r="L130" i="48"/>
  <c r="T130" i="48"/>
  <c r="H131" i="48"/>
  <c r="P131" i="48"/>
  <c r="X131" i="48"/>
  <c r="M143" i="48"/>
  <c r="I144" i="48"/>
  <c r="U129" i="48"/>
  <c r="V9" i="48"/>
  <c r="N115" i="48"/>
  <c r="H95" i="48" s="1"/>
  <c r="V115" i="48"/>
  <c r="J116" i="48"/>
  <c r="R116" i="48"/>
  <c r="F130" i="48"/>
  <c r="N130" i="48"/>
  <c r="V130" i="48"/>
  <c r="J131" i="48"/>
  <c r="R131" i="48"/>
  <c r="F27" i="48"/>
  <c r="G27" i="48"/>
  <c r="O115" i="48"/>
  <c r="W115" i="48"/>
  <c r="K116" i="48"/>
  <c r="S116" i="48"/>
  <c r="M19" i="48"/>
  <c r="U19" i="48"/>
  <c r="E94" i="48"/>
  <c r="H140" i="48"/>
  <c r="H143" i="48"/>
  <c r="P143" i="48"/>
  <c r="L144" i="48"/>
  <c r="K119" i="48"/>
  <c r="K128" i="48" s="1"/>
  <c r="S119" i="48"/>
  <c r="W119" i="48"/>
  <c r="H33" i="48"/>
  <c r="N19" i="48"/>
  <c r="N26" i="48" s="1"/>
  <c r="V19" i="48"/>
  <c r="J130" i="48"/>
  <c r="R130" i="48"/>
  <c r="M9" i="48"/>
  <c r="S128" i="48"/>
  <c r="W129" i="48"/>
  <c r="N139" i="48"/>
  <c r="M144" i="48"/>
  <c r="I9" i="48"/>
  <c r="R143" i="48"/>
  <c r="J115" i="48"/>
  <c r="R115" i="48"/>
  <c r="N116" i="48"/>
  <c r="I96" i="48" s="1"/>
  <c r="J96" i="48" s="1"/>
  <c r="K96" i="48" s="1"/>
  <c r="L96" i="48" s="1"/>
  <c r="V116" i="48"/>
  <c r="Y129" i="48"/>
  <c r="Z129" i="48" s="1"/>
  <c r="AA129" i="48" s="1"/>
  <c r="M130" i="48"/>
  <c r="U130" i="48"/>
  <c r="I131" i="48"/>
  <c r="Q131" i="48"/>
  <c r="Y131" i="48"/>
  <c r="Z131" i="48" s="1"/>
  <c r="AA131" i="48" s="1"/>
  <c r="E93" i="48"/>
  <c r="L138" i="48"/>
  <c r="L140" i="48"/>
  <c r="H141" i="48"/>
  <c r="P141" i="48"/>
  <c r="G144" i="48"/>
  <c r="O144" i="48"/>
  <c r="R140" i="48"/>
  <c r="P9" i="48"/>
  <c r="Q9" i="48"/>
  <c r="S112" i="48"/>
  <c r="G28" i="48"/>
  <c r="W28" i="48"/>
  <c r="Y119" i="48"/>
  <c r="I119" i="48"/>
  <c r="I112" i="48" s="1"/>
  <c r="N141" i="48"/>
  <c r="Q143" i="48"/>
  <c r="H28" i="48"/>
  <c r="P28" i="48"/>
  <c r="X28" i="48"/>
  <c r="Y9" i="48"/>
  <c r="C19" i="35" s="1"/>
  <c r="D21" i="55" s="1"/>
  <c r="D117" i="55" s="1"/>
  <c r="Y114" i="48"/>
  <c r="Z114" i="48" s="1"/>
  <c r="AA114" i="48" s="1"/>
  <c r="AB114" i="48" s="1"/>
  <c r="AC114" i="48" s="1"/>
  <c r="AD114" i="48" s="1"/>
  <c r="AE114" i="48" s="1"/>
  <c r="AF114" i="48" s="1"/>
  <c r="AG114" i="48" s="1"/>
  <c r="M115" i="48"/>
  <c r="U115" i="48"/>
  <c r="I116" i="48"/>
  <c r="Q116" i="48"/>
  <c r="Y116" i="48"/>
  <c r="Z116" i="48" s="1"/>
  <c r="AA116" i="48" s="1"/>
  <c r="AB116" i="48" s="1"/>
  <c r="AC116" i="48" s="1"/>
  <c r="AD116" i="48" s="1"/>
  <c r="AE116" i="48" s="1"/>
  <c r="AF116" i="48" s="1"/>
  <c r="AG116" i="48" s="1"/>
  <c r="H130" i="48"/>
  <c r="P130" i="48"/>
  <c r="X130" i="48"/>
  <c r="K141" i="48"/>
  <c r="S141" i="48"/>
  <c r="N143" i="48"/>
  <c r="J144" i="48"/>
  <c r="R144" i="48"/>
  <c r="J140" i="48"/>
  <c r="J9" i="48"/>
  <c r="R9" i="48"/>
  <c r="I130" i="48"/>
  <c r="Q130" i="48"/>
  <c r="Y130" i="48"/>
  <c r="Z130" i="48" s="1"/>
  <c r="AA130" i="48" s="1"/>
  <c r="AB130" i="48" s="1"/>
  <c r="AC130" i="48" s="1"/>
  <c r="AC24" i="48" s="1"/>
  <c r="P140" i="48"/>
  <c r="L141" i="48"/>
  <c r="S9" i="48"/>
  <c r="N9" i="48"/>
  <c r="W112" i="48"/>
  <c r="M140" i="48"/>
  <c r="T114" i="48"/>
  <c r="H115" i="48"/>
  <c r="P115" i="48"/>
  <c r="X115" i="48"/>
  <c r="L116" i="48"/>
  <c r="T116" i="48"/>
  <c r="I19" i="48"/>
  <c r="Y19" i="48"/>
  <c r="C20" i="35" s="1"/>
  <c r="D22" i="55" s="1"/>
  <c r="D86" i="55" s="1"/>
  <c r="N138" i="48"/>
  <c r="J139" i="48"/>
  <c r="R139" i="48"/>
  <c r="N140" i="48"/>
  <c r="J141" i="48"/>
  <c r="R141" i="48"/>
  <c r="N144" i="48"/>
  <c r="M138" i="48"/>
  <c r="U114" i="48"/>
  <c r="I115" i="48"/>
  <c r="Q115" i="48"/>
  <c r="Y115" i="48"/>
  <c r="Z115" i="48" s="1"/>
  <c r="AA115" i="48" s="1"/>
  <c r="AB115" i="48" s="1"/>
  <c r="AC115" i="48" s="1"/>
  <c r="AD115" i="48" s="1"/>
  <c r="AE115" i="48" s="1"/>
  <c r="AF115" i="48" s="1"/>
  <c r="AG115" i="48" s="1"/>
  <c r="M116" i="48"/>
  <c r="H96" i="48" s="1"/>
  <c r="U116" i="48"/>
  <c r="L131" i="48"/>
  <c r="T131" i="48"/>
  <c r="G138" i="48"/>
  <c r="O138" i="48"/>
  <c r="K139" i="48"/>
  <c r="S139" i="48"/>
  <c r="G140" i="48"/>
  <c r="O140" i="48"/>
  <c r="K124" i="48"/>
  <c r="K129" i="48" s="1"/>
  <c r="K143" i="48"/>
  <c r="S143" i="48"/>
  <c r="R114" i="48"/>
  <c r="F28" i="48"/>
  <c r="V114" i="48"/>
  <c r="W128" i="48"/>
  <c r="M131" i="48"/>
  <c r="U131" i="48"/>
  <c r="E96" i="48"/>
  <c r="L119" i="48"/>
  <c r="H119" i="48"/>
  <c r="P119" i="48"/>
  <c r="X119" i="48"/>
  <c r="X128" i="48" s="1"/>
  <c r="L139" i="48"/>
  <c r="Q139" i="48"/>
  <c r="I141" i="48"/>
  <c r="F131" i="48"/>
  <c r="N131" i="48"/>
  <c r="V131" i="48"/>
  <c r="F96" i="48"/>
  <c r="I138" i="48"/>
  <c r="Q138" i="48"/>
  <c r="S124" i="48"/>
  <c r="S142" i="48" s="1"/>
  <c r="I143" i="48"/>
  <c r="I139" i="48"/>
  <c r="Q141" i="48"/>
  <c r="X9" i="48"/>
  <c r="L27" i="48"/>
  <c r="T27" i="48"/>
  <c r="Q19" i="48"/>
  <c r="J129" i="48"/>
  <c r="R129" i="48"/>
  <c r="Q119" i="48"/>
  <c r="Q128" i="48" s="1"/>
  <c r="J119" i="48"/>
  <c r="R119" i="48"/>
  <c r="F119" i="48"/>
  <c r="V119" i="48"/>
  <c r="V128" i="48" s="1"/>
  <c r="K9" i="48"/>
  <c r="T119" i="48"/>
  <c r="T128" i="48" s="1"/>
  <c r="Z10" i="48"/>
  <c r="D110" i="55"/>
  <c r="D78" i="55"/>
  <c r="Z27" i="20"/>
  <c r="D5" i="35" s="1"/>
  <c r="E7" i="55" s="1"/>
  <c r="V12" i="74"/>
  <c r="J14" i="59"/>
  <c r="J63" i="59" s="1"/>
  <c r="F121" i="55"/>
  <c r="F89" i="55"/>
  <c r="L20" i="25"/>
  <c r="F20" i="74"/>
  <c r="F19" i="74"/>
  <c r="D111" i="55"/>
  <c r="I111" i="55"/>
  <c r="I79" i="55"/>
  <c r="P19" i="25"/>
  <c r="P14" i="75" s="1"/>
  <c r="AB15" i="25"/>
  <c r="AC15" i="25" s="1"/>
  <c r="AD15" i="25" s="1"/>
  <c r="M13" i="74"/>
  <c r="M20" i="74" s="1"/>
  <c r="M19" i="74" s="1"/>
  <c r="U13" i="74"/>
  <c r="U20" i="74" s="1"/>
  <c r="V16" i="74"/>
  <c r="W16" i="74" s="1"/>
  <c r="X16" i="74" s="1"/>
  <c r="Y16" i="74" s="1"/>
  <c r="Z16" i="74" s="1"/>
  <c r="AA16" i="74" s="1"/>
  <c r="AB16" i="74" s="1"/>
  <c r="AC16" i="74" s="1"/>
  <c r="H3" i="35"/>
  <c r="I5" i="55" s="1"/>
  <c r="D77" i="55"/>
  <c r="R19" i="25"/>
  <c r="R14" i="75" s="1"/>
  <c r="D112" i="55"/>
  <c r="D80" i="55"/>
  <c r="F111" i="55"/>
  <c r="G121" i="55"/>
  <c r="G89" i="55"/>
  <c r="I14" i="75"/>
  <c r="I14" i="59"/>
  <c r="Q14" i="75"/>
  <c r="Q14" i="59"/>
  <c r="D120" i="55"/>
  <c r="D88" i="55"/>
  <c r="D103" i="55"/>
  <c r="D119" i="55"/>
  <c r="H20" i="74"/>
  <c r="H19" i="74"/>
  <c r="P20" i="74"/>
  <c r="P19" i="74"/>
  <c r="T20" i="74"/>
  <c r="T19" i="74" s="1"/>
  <c r="V15" i="74"/>
  <c r="W15" i="74" s="1"/>
  <c r="X15" i="74" s="1"/>
  <c r="Y15" i="74" s="1"/>
  <c r="Z15" i="74" s="1"/>
  <c r="AA15" i="74" s="1"/>
  <c r="AB15" i="74" s="1"/>
  <c r="AC15" i="74" s="1"/>
  <c r="V17" i="74"/>
  <c r="W17" i="74" s="1"/>
  <c r="X17" i="74" s="1"/>
  <c r="Y17" i="74" s="1"/>
  <c r="Z17" i="74" s="1"/>
  <c r="AA17" i="74" s="1"/>
  <c r="AB17" i="74" s="1"/>
  <c r="AC17" i="74" s="1"/>
  <c r="AH14" i="26"/>
  <c r="J77" i="26"/>
  <c r="D95" i="55"/>
  <c r="E14" i="75"/>
  <c r="E14" i="59"/>
  <c r="E19" i="25"/>
  <c r="M20" i="25"/>
  <c r="W13" i="25"/>
  <c r="H14" i="75"/>
  <c r="H14" i="59"/>
  <c r="H63" i="59" s="1"/>
  <c r="H62" i="59" s="1"/>
  <c r="H65" i="59" s="1"/>
  <c r="I19" i="74"/>
  <c r="Q19" i="74"/>
  <c r="J19" i="25"/>
  <c r="J14" i="75" s="1"/>
  <c r="N20" i="74"/>
  <c r="N19" i="74" s="1"/>
  <c r="O20" i="74"/>
  <c r="O19" i="74" s="1"/>
  <c r="N20" i="25"/>
  <c r="AB16" i="25"/>
  <c r="AC16" i="25" s="1"/>
  <c r="AD16" i="25" s="1"/>
  <c r="J19" i="74"/>
  <c r="K13" i="74"/>
  <c r="K20" i="74" s="1"/>
  <c r="K19" i="74" s="1"/>
  <c r="D47" i="26"/>
  <c r="J83" i="26"/>
  <c r="AJ13" i="26"/>
  <c r="E47" i="26"/>
  <c r="T20" i="25"/>
  <c r="I89" i="55"/>
  <c r="I121" i="55"/>
  <c r="S14" i="75"/>
  <c r="S14" i="59"/>
  <c r="U13" i="25"/>
  <c r="U20" i="25" s="1"/>
  <c r="D126" i="55"/>
  <c r="D94" i="55"/>
  <c r="G20" i="25"/>
  <c r="G19" i="25"/>
  <c r="O20" i="25"/>
  <c r="O19" i="25"/>
  <c r="K19" i="25"/>
  <c r="K14" i="75" s="1"/>
  <c r="L20" i="74"/>
  <c r="L19" i="74" s="1"/>
  <c r="O30" i="26"/>
  <c r="N78" i="26"/>
  <c r="E70" i="55"/>
  <c r="G79" i="55"/>
  <c r="I80" i="55"/>
  <c r="G93" i="55"/>
  <c r="I94" i="55"/>
  <c r="E111" i="55"/>
  <c r="G112" i="55"/>
  <c r="E125" i="55"/>
  <c r="J20" i="74"/>
  <c r="R20" i="74"/>
  <c r="R19" i="74" s="1"/>
  <c r="E48" i="26"/>
  <c r="AF96" i="26"/>
  <c r="D14" i="75"/>
  <c r="D14" i="59"/>
  <c r="I48" i="20"/>
  <c r="AE96" i="26"/>
  <c r="W96" i="26"/>
  <c r="AC96" i="26"/>
  <c r="U96" i="26"/>
  <c r="AB96" i="26"/>
  <c r="T96" i="26"/>
  <c r="AA96" i="26"/>
  <c r="S96" i="26"/>
  <c r="R96" i="26"/>
  <c r="X96" i="26"/>
  <c r="K27" i="20"/>
  <c r="S27" i="20"/>
  <c r="S26" i="20"/>
  <c r="H45" i="75"/>
  <c r="H46" i="75" s="1"/>
  <c r="H30" i="49"/>
  <c r="H37" i="59"/>
  <c r="E80" i="55"/>
  <c r="F19" i="25"/>
  <c r="F14" i="75" s="1"/>
  <c r="N19" i="25"/>
  <c r="AH25" i="26"/>
  <c r="Y96" i="26"/>
  <c r="AA11" i="20"/>
  <c r="I27" i="49"/>
  <c r="Q27" i="49"/>
  <c r="Y45" i="75"/>
  <c r="Y37" i="59"/>
  <c r="H66" i="59"/>
  <c r="AH19" i="26"/>
  <c r="AG96" i="26"/>
  <c r="Z96" i="26"/>
  <c r="AL37" i="20"/>
  <c r="AA12" i="25"/>
  <c r="D45" i="26"/>
  <c r="E46" i="26"/>
  <c r="L27" i="20"/>
  <c r="N26" i="20"/>
  <c r="Y26" i="20"/>
  <c r="AO37" i="20"/>
  <c r="J45" i="75"/>
  <c r="J46" i="75" s="1"/>
  <c r="J37" i="59"/>
  <c r="J38" i="59" s="1"/>
  <c r="R45" i="75"/>
  <c r="R46" i="75" s="1"/>
  <c r="R37" i="59"/>
  <c r="R38" i="59" s="1"/>
  <c r="J30" i="49"/>
  <c r="F99" i="59"/>
  <c r="D64" i="59"/>
  <c r="D30" i="59"/>
  <c r="T38" i="59"/>
  <c r="L50" i="59"/>
  <c r="L26" i="59" s="1"/>
  <c r="S50" i="59"/>
  <c r="S26" i="59" s="1"/>
  <c r="K50" i="59"/>
  <c r="K26" i="59" s="1"/>
  <c r="H46" i="30"/>
  <c r="H12" i="30"/>
  <c r="K45" i="75"/>
  <c r="K37" i="59"/>
  <c r="K38" i="59" s="1"/>
  <c r="S45" i="75"/>
  <c r="S46" i="75" s="1"/>
  <c r="S48" i="75" s="1"/>
  <c r="S37" i="59"/>
  <c r="S38" i="59" s="1"/>
  <c r="S29" i="49"/>
  <c r="S30" i="49" s="1"/>
  <c r="N45" i="75"/>
  <c r="N46" i="75" s="1"/>
  <c r="N37" i="59"/>
  <c r="O52" i="59"/>
  <c r="W52" i="59"/>
  <c r="Q26" i="20"/>
  <c r="AA17" i="30"/>
  <c r="D45" i="75"/>
  <c r="D37" i="59"/>
  <c r="D38" i="59" s="1"/>
  <c r="L45" i="75"/>
  <c r="L37" i="59"/>
  <c r="L38" i="59" s="1"/>
  <c r="T37" i="59"/>
  <c r="T29" i="49"/>
  <c r="T30" i="49" s="1"/>
  <c r="P45" i="75"/>
  <c r="P46" i="75" s="1"/>
  <c r="P30" i="49"/>
  <c r="P37" i="59"/>
  <c r="R30" i="49"/>
  <c r="Q13" i="33"/>
  <c r="P13" i="33"/>
  <c r="S13" i="33"/>
  <c r="N38" i="59"/>
  <c r="P50" i="59"/>
  <c r="P26" i="59" s="1"/>
  <c r="X50" i="59"/>
  <c r="X26" i="59" s="1"/>
  <c r="O27" i="20"/>
  <c r="J12" i="30"/>
  <c r="J46" i="30"/>
  <c r="O13" i="30"/>
  <c r="O12" i="30" s="1"/>
  <c r="O15" i="30"/>
  <c r="G17" i="75"/>
  <c r="G17" i="59"/>
  <c r="O17" i="75"/>
  <c r="O17" i="59"/>
  <c r="W17" i="75"/>
  <c r="W17" i="59"/>
  <c r="W13" i="33"/>
  <c r="V13" i="33"/>
  <c r="U13" i="33"/>
  <c r="Q50" i="59"/>
  <c r="Q26" i="59" s="1"/>
  <c r="Y50" i="59"/>
  <c r="R76" i="59"/>
  <c r="V69" i="59"/>
  <c r="V71" i="59" s="1"/>
  <c r="P26" i="20"/>
  <c r="X26" i="20"/>
  <c r="T26" i="20"/>
  <c r="P27" i="20"/>
  <c r="AH38" i="20"/>
  <c r="AH40" i="20" s="1"/>
  <c r="V45" i="75"/>
  <c r="V37" i="59"/>
  <c r="V29" i="49"/>
  <c r="V30" i="49" s="1"/>
  <c r="I47" i="49"/>
  <c r="H38" i="59"/>
  <c r="P38" i="59"/>
  <c r="J50" i="59"/>
  <c r="J26" i="59" s="1"/>
  <c r="J64" i="59" s="1"/>
  <c r="R50" i="59"/>
  <c r="R26" i="59" s="1"/>
  <c r="T45" i="75"/>
  <c r="C45" i="26"/>
  <c r="I27" i="20"/>
  <c r="U26" i="20"/>
  <c r="H48" i="20"/>
  <c r="H50" i="20" s="1"/>
  <c r="H28" i="20" s="1"/>
  <c r="G29" i="49"/>
  <c r="G12" i="49"/>
  <c r="G27" i="49"/>
  <c r="O12" i="49"/>
  <c r="O29" i="49" s="1"/>
  <c r="O27" i="49"/>
  <c r="W12" i="49"/>
  <c r="F18" i="49" s="1"/>
  <c r="F19" i="49" s="1"/>
  <c r="W27" i="49"/>
  <c r="I12" i="49"/>
  <c r="I29" i="49" s="1"/>
  <c r="Q12" i="49"/>
  <c r="E18" i="49" s="1"/>
  <c r="E19" i="49" s="1"/>
  <c r="E20" i="49" s="1"/>
  <c r="X45" i="75"/>
  <c r="X30" i="49"/>
  <c r="X37" i="59"/>
  <c r="I17" i="75"/>
  <c r="I17" i="59"/>
  <c r="Q17" i="75"/>
  <c r="Q27" i="75" s="1"/>
  <c r="Q17" i="59"/>
  <c r="Y17" i="75"/>
  <c r="Y17" i="59"/>
  <c r="AE13" i="33"/>
  <c r="K64" i="59"/>
  <c r="K52" i="59"/>
  <c r="S52" i="59"/>
  <c r="P52" i="59"/>
  <c r="J24" i="75"/>
  <c r="J34" i="75"/>
  <c r="R24" i="75"/>
  <c r="R34" i="75"/>
  <c r="V26" i="20"/>
  <c r="F45" i="75"/>
  <c r="F46" i="75" s="1"/>
  <c r="F37" i="59"/>
  <c r="F38" i="59" s="1"/>
  <c r="F40" i="59" s="1"/>
  <c r="E22" i="33"/>
  <c r="L64" i="59"/>
  <c r="L52" i="59"/>
  <c r="T52" i="59"/>
  <c r="D96" i="59"/>
  <c r="D97" i="59" s="1"/>
  <c r="U34" i="75"/>
  <c r="U24" i="75"/>
  <c r="M12" i="30"/>
  <c r="K13" i="30"/>
  <c r="K12" i="30" s="1"/>
  <c r="AD48" i="30"/>
  <c r="AD56" i="30"/>
  <c r="E134" i="75"/>
  <c r="E131" i="75"/>
  <c r="E132" i="75" s="1"/>
  <c r="E99" i="59"/>
  <c r="E96" i="59"/>
  <c r="E97" i="59" s="1"/>
  <c r="F22" i="33"/>
  <c r="K17" i="59"/>
  <c r="S17" i="59"/>
  <c r="G30" i="59"/>
  <c r="M50" i="59"/>
  <c r="M26" i="59" s="1"/>
  <c r="U50" i="59"/>
  <c r="U26" i="59" s="1"/>
  <c r="F96" i="59"/>
  <c r="F97" i="59" s="1"/>
  <c r="K46" i="75"/>
  <c r="K48" i="75" s="1"/>
  <c r="F12" i="49"/>
  <c r="F29" i="49" s="1"/>
  <c r="F30" i="49" s="1"/>
  <c r="N12" i="49"/>
  <c r="D18" i="49" s="1"/>
  <c r="D19" i="49" s="1"/>
  <c r="K29" i="49"/>
  <c r="K30" i="49" s="1"/>
  <c r="E30" i="49"/>
  <c r="M30" i="49"/>
  <c r="C25" i="33"/>
  <c r="E17" i="59"/>
  <c r="M17" i="59"/>
  <c r="U17" i="59"/>
  <c r="O50" i="59"/>
  <c r="O26" i="59" s="1"/>
  <c r="Q52" i="59"/>
  <c r="Y52" i="59"/>
  <c r="N76" i="59"/>
  <c r="D46" i="75"/>
  <c r="L46" i="75"/>
  <c r="T46" i="75"/>
  <c r="T34" i="75"/>
  <c r="T24" i="75"/>
  <c r="D29" i="49"/>
  <c r="D30" i="49" s="1"/>
  <c r="L29" i="49"/>
  <c r="L30" i="49" s="1"/>
  <c r="D25" i="33"/>
  <c r="F17" i="59"/>
  <c r="N17" i="59"/>
  <c r="V17" i="59"/>
  <c r="J52" i="59"/>
  <c r="R52" i="59"/>
  <c r="H17" i="75"/>
  <c r="J99" i="75"/>
  <c r="J28" i="75"/>
  <c r="E46" i="75"/>
  <c r="M46" i="75"/>
  <c r="M48" i="75" s="1"/>
  <c r="N34" i="75"/>
  <c r="N24" i="75"/>
  <c r="V34" i="75"/>
  <c r="V24" i="75"/>
  <c r="W85" i="75"/>
  <c r="U29" i="49"/>
  <c r="U30" i="49" s="1"/>
  <c r="D131" i="75"/>
  <c r="D132" i="75" s="1"/>
  <c r="D134" i="75"/>
  <c r="D99" i="59"/>
  <c r="F134" i="75"/>
  <c r="F131" i="75"/>
  <c r="F132" i="75" s="1"/>
  <c r="E25" i="33"/>
  <c r="Z70" i="59"/>
  <c r="L17" i="75"/>
  <c r="Q85" i="75"/>
  <c r="I85" i="75"/>
  <c r="P85" i="75"/>
  <c r="O87" i="75"/>
  <c r="O85" i="75"/>
  <c r="D98" i="59"/>
  <c r="D102" i="59" s="1"/>
  <c r="P17" i="59"/>
  <c r="X17" i="59"/>
  <c r="E37" i="59"/>
  <c r="E38" i="59" s="1"/>
  <c r="M37" i="59"/>
  <c r="M38" i="59" s="1"/>
  <c r="U37" i="59"/>
  <c r="Y69" i="59"/>
  <c r="Y71" i="59" s="1"/>
  <c r="P17" i="75"/>
  <c r="D101" i="75"/>
  <c r="D39" i="75" s="1"/>
  <c r="T17" i="75"/>
  <c r="M34" i="75"/>
  <c r="M24" i="75"/>
  <c r="D133" i="75"/>
  <c r="D137" i="75" s="1"/>
  <c r="H99" i="75"/>
  <c r="K85" i="75"/>
  <c r="S85" i="75"/>
  <c r="L115" i="48"/>
  <c r="E101" i="75"/>
  <c r="E39" i="75" s="1"/>
  <c r="L85" i="75"/>
  <c r="Z23" i="78"/>
  <c r="AA23" i="78" s="1"/>
  <c r="AB23" i="78" s="1"/>
  <c r="AC23" i="78" s="1"/>
  <c r="AD23" i="78" s="1"/>
  <c r="AE23" i="78" s="1"/>
  <c r="AF23" i="78" s="1"/>
  <c r="AG23" i="78" s="1"/>
  <c r="H116" i="48"/>
  <c r="G34" i="48"/>
  <c r="G66" i="48" s="1"/>
  <c r="G73" i="48" s="1"/>
  <c r="G96" i="48" s="1"/>
  <c r="P116" i="48"/>
  <c r="I34" i="48"/>
  <c r="H9" i="48"/>
  <c r="E133" i="75"/>
  <c r="E137" i="75" s="1"/>
  <c r="D38" i="75"/>
  <c r="E99" i="75"/>
  <c r="T19" i="48"/>
  <c r="H19" i="48"/>
  <c r="P19" i="48"/>
  <c r="X19" i="48"/>
  <c r="I101" i="75"/>
  <c r="F38" i="75"/>
  <c r="L9" i="48"/>
  <c r="H31" i="48"/>
  <c r="T9" i="48"/>
  <c r="M28" i="75"/>
  <c r="G38" i="75"/>
  <c r="X105" i="75"/>
  <c r="I32" i="48"/>
  <c r="L19" i="48"/>
  <c r="G32" i="48"/>
  <c r="Y21" i="78"/>
  <c r="F9" i="48"/>
  <c r="J19" i="48"/>
  <c r="J26" i="48" s="1"/>
  <c r="R19" i="48"/>
  <c r="J27" i="48"/>
  <c r="R27" i="48"/>
  <c r="N28" i="48"/>
  <c r="V28" i="48"/>
  <c r="W114" i="48"/>
  <c r="R138" i="48"/>
  <c r="T14" i="78"/>
  <c r="M10" i="50" s="1"/>
  <c r="G9" i="48"/>
  <c r="O9" i="48"/>
  <c r="W9" i="48"/>
  <c r="K19" i="48"/>
  <c r="S19" i="48"/>
  <c r="K27" i="48"/>
  <c r="S27" i="48"/>
  <c r="O28" i="48"/>
  <c r="S138" i="48"/>
  <c r="S25" i="38"/>
  <c r="M24" i="38"/>
  <c r="M27" i="48"/>
  <c r="U27" i="48"/>
  <c r="I28" i="48"/>
  <c r="Q28" i="48"/>
  <c r="Y28" i="48"/>
  <c r="N119" i="48"/>
  <c r="N128" i="48" s="1"/>
  <c r="K69" i="38"/>
  <c r="K66" i="38"/>
  <c r="T17" i="40"/>
  <c r="W14" i="78"/>
  <c r="P10" i="50" s="1"/>
  <c r="J114" i="48"/>
  <c r="F129" i="48"/>
  <c r="V129" i="48"/>
  <c r="N27" i="48"/>
  <c r="V27" i="48"/>
  <c r="J28" i="48"/>
  <c r="R28" i="48"/>
  <c r="G31" i="48"/>
  <c r="G63" i="48" s="1"/>
  <c r="G70" i="48" s="1"/>
  <c r="G93" i="48" s="1"/>
  <c r="Z46" i="70"/>
  <c r="Z45" i="70" s="1"/>
  <c r="Y46" i="70"/>
  <c r="L11" i="38"/>
  <c r="M11" i="38"/>
  <c r="S15" i="40"/>
  <c r="P14" i="40"/>
  <c r="P17" i="40" s="1"/>
  <c r="M14" i="40"/>
  <c r="M17" i="40" s="1"/>
  <c r="X14" i="78"/>
  <c r="Q10" i="50" s="1"/>
  <c r="O27" i="48"/>
  <c r="W27" i="48"/>
  <c r="K28" i="48"/>
  <c r="S28" i="48"/>
  <c r="H112" i="48"/>
  <c r="T41" i="38"/>
  <c r="P40" i="38"/>
  <c r="Q5" i="21"/>
  <c r="P5" i="21"/>
  <c r="O5" i="21"/>
  <c r="N5" i="21"/>
  <c r="P27" i="48"/>
  <c r="L28" i="48"/>
  <c r="T28" i="48"/>
  <c r="I31" i="48"/>
  <c r="E87" i="48"/>
  <c r="E72" i="48"/>
  <c r="J138" i="48"/>
  <c r="M28" i="48"/>
  <c r="U28" i="48"/>
  <c r="H34" i="48"/>
  <c r="F87" i="48"/>
  <c r="F72" i="48"/>
  <c r="F93" i="48"/>
  <c r="F94" i="48"/>
  <c r="H139" i="48"/>
  <c r="G139" i="48"/>
  <c r="P139" i="48"/>
  <c r="O139" i="48"/>
  <c r="K140" i="48"/>
  <c r="S140" i="48"/>
  <c r="G141" i="48"/>
  <c r="O141" i="48"/>
  <c r="G143" i="48"/>
  <c r="O143" i="48"/>
  <c r="K144" i="48"/>
  <c r="S144" i="48"/>
  <c r="K138" i="48"/>
  <c r="K70" i="38"/>
  <c r="H124" i="48"/>
  <c r="H114" i="48" s="1"/>
  <c r="P124" i="48"/>
  <c r="X124" i="48"/>
  <c r="X114" i="48" s="1"/>
  <c r="H138" i="48"/>
  <c r="P138" i="48"/>
  <c r="M22" i="38"/>
  <c r="N22" i="38" s="1"/>
  <c r="P15" i="40"/>
  <c r="M16" i="40"/>
  <c r="J17" i="40"/>
  <c r="R17" i="40"/>
  <c r="R13" i="21"/>
  <c r="J13" i="21"/>
  <c r="Q13" i="21"/>
  <c r="Q14" i="21" s="1"/>
  <c r="P13" i="21"/>
  <c r="P14" i="21" s="1"/>
  <c r="O13" i="21"/>
  <c r="O14" i="21" s="1"/>
  <c r="V13" i="21"/>
  <c r="V14" i="21" s="1"/>
  <c r="V15" i="21" s="1"/>
  <c r="N13" i="21"/>
  <c r="U13" i="21"/>
  <c r="U14" i="21" s="1"/>
  <c r="U15" i="21" s="1"/>
  <c r="M13" i="21"/>
  <c r="M14" i="21" s="1"/>
  <c r="T13" i="21"/>
  <c r="T14" i="21" s="1"/>
  <c r="L13" i="21"/>
  <c r="L14" i="21" s="1"/>
  <c r="S13" i="21"/>
  <c r="S14" i="21" s="1"/>
  <c r="M119" i="48"/>
  <c r="M128" i="48" s="1"/>
  <c r="U119" i="48"/>
  <c r="U112" i="48" s="1"/>
  <c r="I124" i="48"/>
  <c r="J142" i="48" s="1"/>
  <c r="Q124" i="48"/>
  <c r="R142" i="48" s="1"/>
  <c r="S15" i="38"/>
  <c r="L14" i="38"/>
  <c r="N14" i="38" s="1"/>
  <c r="Q29" i="38"/>
  <c r="J69" i="38"/>
  <c r="J66" i="38"/>
  <c r="Q15" i="40"/>
  <c r="Q14" i="40"/>
  <c r="Q16" i="40" s="1"/>
  <c r="N16" i="40"/>
  <c r="K14" i="40"/>
  <c r="K16" i="40" s="1"/>
  <c r="S14" i="40"/>
  <c r="S16" i="40" s="1"/>
  <c r="I16" i="5"/>
  <c r="L124" i="48"/>
  <c r="C14" i="76"/>
  <c r="D13" i="76"/>
  <c r="N24" i="38"/>
  <c r="O24" i="38" s="1"/>
  <c r="N14" i="40"/>
  <c r="I30" i="76"/>
  <c r="J30" i="76" s="1"/>
  <c r="J31" i="76"/>
  <c r="I31" i="76"/>
  <c r="M124" i="48"/>
  <c r="AF18" i="70"/>
  <c r="AF26" i="70" s="1"/>
  <c r="I5" i="71" s="1"/>
  <c r="AF52" i="70"/>
  <c r="AF20" i="70" s="1"/>
  <c r="AF27" i="70" s="1"/>
  <c r="I6" i="71" s="1"/>
  <c r="M20" i="38"/>
  <c r="P48" i="38"/>
  <c r="O48" i="38"/>
  <c r="I67" i="38"/>
  <c r="I70" i="38" s="1"/>
  <c r="M56" i="38"/>
  <c r="M15" i="40"/>
  <c r="J16" i="40"/>
  <c r="J28" i="76"/>
  <c r="L38" i="76"/>
  <c r="K38" i="76"/>
  <c r="M38" i="76" s="1"/>
  <c r="K13" i="21"/>
  <c r="K14" i="21" s="1"/>
  <c r="N124" i="48"/>
  <c r="N129" i="48" s="1"/>
  <c r="L13" i="38"/>
  <c r="N13" i="38" s="1"/>
  <c r="J56" i="38"/>
  <c r="L56" i="38"/>
  <c r="G124" i="48"/>
  <c r="G142" i="48" s="1"/>
  <c r="O124" i="48"/>
  <c r="O129" i="48" s="1"/>
  <c r="S30" i="38"/>
  <c r="O29" i="38"/>
  <c r="R37" i="38"/>
  <c r="K56" i="38"/>
  <c r="N56" i="38"/>
  <c r="Q17" i="40"/>
  <c r="J33" i="76"/>
  <c r="L33" i="76" s="1"/>
  <c r="I33" i="76"/>
  <c r="C11" i="21"/>
  <c r="L16" i="5"/>
  <c r="M4" i="21"/>
  <c r="L4" i="21"/>
  <c r="K4" i="21"/>
  <c r="J4" i="21"/>
  <c r="M15" i="38"/>
  <c r="P27" i="38"/>
  <c r="P30" i="38"/>
  <c r="P34" i="38"/>
  <c r="Q41" i="38"/>
  <c r="Q45" i="38"/>
  <c r="F5" i="5"/>
  <c r="E13" i="21"/>
  <c r="E14" i="21" s="1"/>
  <c r="D13" i="21"/>
  <c r="D14" i="21" s="1"/>
  <c r="C13" i="21"/>
  <c r="U10" i="21"/>
  <c r="T10" i="21"/>
  <c r="AD39" i="26" s="1"/>
  <c r="AD17" i="26" s="1"/>
  <c r="S10" i="21"/>
  <c r="AC39" i="26" s="1"/>
  <c r="AC17" i="26" s="1"/>
  <c r="P37" i="38"/>
  <c r="P56" i="38"/>
  <c r="L14" i="40"/>
  <c r="L15" i="40" s="1"/>
  <c r="T14" i="40"/>
  <c r="T15" i="40" s="1"/>
  <c r="G29" i="76"/>
  <c r="H29" i="76" s="1"/>
  <c r="L39" i="76"/>
  <c r="K39" i="76"/>
  <c r="M39" i="76" s="1"/>
  <c r="F4" i="21"/>
  <c r="I4" i="21"/>
  <c r="H4" i="21"/>
  <c r="G4" i="21"/>
  <c r="Q6" i="21"/>
  <c r="AA45" i="30" s="1"/>
  <c r="E7" i="35" s="1"/>
  <c r="F9" i="55" s="1"/>
  <c r="P23" i="21"/>
  <c r="P6" i="21"/>
  <c r="Z45" i="30" s="1"/>
  <c r="D7" i="35" s="1"/>
  <c r="E9" i="55" s="1"/>
  <c r="P24" i="21"/>
  <c r="O6" i="21"/>
  <c r="Y45" i="30" s="1"/>
  <c r="N23" i="21"/>
  <c r="X41" i="30" s="1"/>
  <c r="X24" i="30" s="1"/>
  <c r="N6" i="21"/>
  <c r="N24" i="21" s="1"/>
  <c r="U5" i="21"/>
  <c r="AE24" i="59" s="1"/>
  <c r="T5" i="21"/>
  <c r="AD24" i="59" s="1"/>
  <c r="S5" i="21"/>
  <c r="R5" i="21"/>
  <c r="S17" i="6"/>
  <c r="L12" i="38"/>
  <c r="N12" i="38" s="1"/>
  <c r="M17" i="38"/>
  <c r="P29" i="38"/>
  <c r="P33" i="38"/>
  <c r="Q37" i="38"/>
  <c r="Q40" i="38"/>
  <c r="R40" i="38" s="1"/>
  <c r="Q44" i="38"/>
  <c r="L66" i="38"/>
  <c r="L71" i="38" s="1"/>
  <c r="J37" i="76"/>
  <c r="G43" i="76"/>
  <c r="H42" i="76"/>
  <c r="I5" i="21"/>
  <c r="H5" i="21"/>
  <c r="G5" i="21"/>
  <c r="F5" i="21"/>
  <c r="R3" i="21"/>
  <c r="E21" i="21"/>
  <c r="E20" i="21"/>
  <c r="O38" i="30" s="1"/>
  <c r="M12" i="38"/>
  <c r="M14" i="38"/>
  <c r="M23" i="38"/>
  <c r="O23" i="38" s="1"/>
  <c r="N26" i="38"/>
  <c r="O28" i="38"/>
  <c r="Q28" i="38" s="1"/>
  <c r="J32" i="76"/>
  <c r="I32" i="76"/>
  <c r="G36" i="76"/>
  <c r="H36" i="76" s="1"/>
  <c r="M10" i="21"/>
  <c r="W39" i="26" s="1"/>
  <c r="W17" i="26" s="1"/>
  <c r="L10" i="21"/>
  <c r="V39" i="26" s="1"/>
  <c r="V17" i="26" s="1"/>
  <c r="K10" i="21"/>
  <c r="U39" i="26" s="1"/>
  <c r="U17" i="26" s="1"/>
  <c r="J10" i="21"/>
  <c r="U4" i="21"/>
  <c r="AE25" i="59" s="1"/>
  <c r="AE30" i="59" s="1"/>
  <c r="I16" i="35" s="1"/>
  <c r="J18" i="55" s="1"/>
  <c r="T4" i="21"/>
  <c r="AD25" i="59" s="1"/>
  <c r="AD30" i="59" s="1"/>
  <c r="H16" i="35" s="1"/>
  <c r="I18" i="55" s="1"/>
  <c r="S4" i="21"/>
  <c r="R4" i="21"/>
  <c r="K3" i="21"/>
  <c r="K27" i="76"/>
  <c r="D47" i="76"/>
  <c r="B48" i="76"/>
  <c r="F19" i="21"/>
  <c r="P37" i="30" s="1"/>
  <c r="I23" i="21"/>
  <c r="S41" i="30" s="1"/>
  <c r="S24" i="30" s="1"/>
  <c r="S13" i="30" s="1"/>
  <c r="S12" i="30" s="1"/>
  <c r="I20" i="21"/>
  <c r="S38" i="30" s="1"/>
  <c r="I6" i="21"/>
  <c r="I18" i="21" s="1"/>
  <c r="I24" i="21"/>
  <c r="H20" i="21"/>
  <c r="R38" i="30" s="1"/>
  <c r="H6" i="21"/>
  <c r="G23" i="21"/>
  <c r="Q41" i="30" s="1"/>
  <c r="Q24" i="30" s="1"/>
  <c r="Q13" i="30" s="1"/>
  <c r="Q12" i="30" s="1"/>
  <c r="G6" i="21"/>
  <c r="G18" i="21" s="1"/>
  <c r="G24" i="21"/>
  <c r="F20" i="21"/>
  <c r="P38" i="30" s="1"/>
  <c r="F6" i="21"/>
  <c r="F18" i="21" s="1"/>
  <c r="I19" i="21"/>
  <c r="S37" i="30" s="1"/>
  <c r="M5" i="21"/>
  <c r="L5" i="21"/>
  <c r="K5" i="21"/>
  <c r="J5" i="21"/>
  <c r="E75" i="21" s="1"/>
  <c r="K16" i="5"/>
  <c r="M16" i="5"/>
  <c r="L3" i="21"/>
  <c r="T49" i="21"/>
  <c r="Q17" i="6"/>
  <c r="W12" i="21"/>
  <c r="G7" i="21"/>
  <c r="F7" i="21"/>
  <c r="D77" i="21" s="1"/>
  <c r="I7" i="21"/>
  <c r="M12" i="21"/>
  <c r="L12" i="21"/>
  <c r="K12" i="21"/>
  <c r="J12" i="21"/>
  <c r="O7" i="21"/>
  <c r="N7" i="21"/>
  <c r="Q7" i="21"/>
  <c r="U12" i="21"/>
  <c r="T12" i="21"/>
  <c r="S12" i="21"/>
  <c r="R12" i="21"/>
  <c r="H16" i="5"/>
  <c r="M6" i="21"/>
  <c r="M18" i="21" s="1"/>
  <c r="E24" i="21"/>
  <c r="O42" i="30" s="1"/>
  <c r="C6" i="21"/>
  <c r="C24" i="21" s="1"/>
  <c r="M42" i="30" s="1"/>
  <c r="E19" i="21"/>
  <c r="O37" i="30" s="1"/>
  <c r="E18" i="21"/>
  <c r="F9" i="21"/>
  <c r="I9" i="21"/>
  <c r="H9" i="21"/>
  <c r="N9" i="21"/>
  <c r="Q9" i="21"/>
  <c r="P9" i="21"/>
  <c r="J16" i="5"/>
  <c r="G3" i="21"/>
  <c r="W3" i="21" s="1"/>
  <c r="O3" i="21"/>
  <c r="D6" i="21"/>
  <c r="D18" i="21" s="1"/>
  <c r="H7" i="21"/>
  <c r="I10" i="21"/>
  <c r="S39" i="26" s="1"/>
  <c r="S17" i="26" s="1"/>
  <c r="H10" i="21"/>
  <c r="R39" i="26" s="1"/>
  <c r="R17" i="26" s="1"/>
  <c r="G10" i="21"/>
  <c r="Q39" i="26" s="1"/>
  <c r="Q17" i="26" s="1"/>
  <c r="F10" i="21"/>
  <c r="M24" i="21"/>
  <c r="L20" i="21"/>
  <c r="V38" i="30" s="1"/>
  <c r="K18" i="21"/>
  <c r="L6" i="21"/>
  <c r="L24" i="21" s="1"/>
  <c r="K23" i="21"/>
  <c r="U41" i="30" s="1"/>
  <c r="K20" i="21"/>
  <c r="U38" i="30" s="1"/>
  <c r="AD75" i="30" s="1"/>
  <c r="J18" i="21"/>
  <c r="K6" i="21"/>
  <c r="K24" i="21"/>
  <c r="J23" i="21"/>
  <c r="T41" i="30" s="1"/>
  <c r="T24" i="30" s="1"/>
  <c r="T13" i="30" s="1"/>
  <c r="T12" i="30" s="1"/>
  <c r="J20" i="21"/>
  <c r="T38" i="30" s="1"/>
  <c r="J6" i="21"/>
  <c r="J24" i="21"/>
  <c r="Q10" i="21"/>
  <c r="AA39" i="26" s="1"/>
  <c r="AA17" i="26" s="1"/>
  <c r="P10" i="21"/>
  <c r="Z39" i="26" s="1"/>
  <c r="Z17" i="26" s="1"/>
  <c r="O10" i="21"/>
  <c r="Y39" i="26" s="1"/>
  <c r="Y17" i="26" s="1"/>
  <c r="N10" i="21"/>
  <c r="T6" i="21"/>
  <c r="AD45" i="30" s="1"/>
  <c r="H7" i="35" s="1"/>
  <c r="S6" i="21"/>
  <c r="AC45" i="30" s="1"/>
  <c r="G7" i="35" s="1"/>
  <c r="H9" i="55" s="1"/>
  <c r="R6" i="21"/>
  <c r="D11" i="21"/>
  <c r="P7" i="21"/>
  <c r="I37" i="76"/>
  <c r="I40" i="76"/>
  <c r="J40" i="76" s="1"/>
  <c r="H41" i="76"/>
  <c r="G12" i="21"/>
  <c r="F12" i="21"/>
  <c r="I12" i="21"/>
  <c r="M7" i="21"/>
  <c r="L7" i="21"/>
  <c r="K7" i="21"/>
  <c r="J7" i="21"/>
  <c r="O12" i="21"/>
  <c r="N12" i="21"/>
  <c r="Q12" i="21"/>
  <c r="U7" i="21"/>
  <c r="T7" i="21"/>
  <c r="S7" i="21"/>
  <c r="R7" i="21"/>
  <c r="I3" i="21"/>
  <c r="Q3" i="21"/>
  <c r="V16" i="6"/>
  <c r="E9" i="21"/>
  <c r="E12" i="21"/>
  <c r="E7" i="21"/>
  <c r="E10" i="21"/>
  <c r="O39" i="26" s="1"/>
  <c r="O17" i="26" s="1"/>
  <c r="E5" i="21"/>
  <c r="H12" i="21"/>
  <c r="D8" i="21"/>
  <c r="C78" i="21" s="1"/>
  <c r="I13" i="21"/>
  <c r="I14" i="21" s="1"/>
  <c r="H13" i="21"/>
  <c r="H14" i="21" s="1"/>
  <c r="G13" i="21"/>
  <c r="G14" i="21" s="1"/>
  <c r="F13" i="21"/>
  <c r="E8" i="5"/>
  <c r="E16" i="5"/>
  <c r="G9" i="21"/>
  <c r="P12" i="21"/>
  <c r="E23" i="21"/>
  <c r="O41" i="30" s="1"/>
  <c r="O24" i="30" s="1"/>
  <c r="M19" i="21"/>
  <c r="W37" i="30" s="1"/>
  <c r="W20" i="30" s="1"/>
  <c r="W15" i="30" s="1"/>
  <c r="K19" i="21"/>
  <c r="U37" i="30" s="1"/>
  <c r="J19" i="21"/>
  <c r="T37" i="30" s="1"/>
  <c r="M9" i="21"/>
  <c r="L9" i="21"/>
  <c r="K9" i="21"/>
  <c r="J9" i="21"/>
  <c r="U9" i="21"/>
  <c r="T9" i="21"/>
  <c r="AD37" i="26" s="1"/>
  <c r="S9" i="21"/>
  <c r="R9" i="21"/>
  <c r="S3" i="21"/>
  <c r="R17" i="6"/>
  <c r="O9" i="21"/>
  <c r="M23" i="21"/>
  <c r="W41" i="30" s="1"/>
  <c r="W24" i="30" s="1"/>
  <c r="D5" i="21"/>
  <c r="D10" i="21"/>
  <c r="N39" i="26" s="1"/>
  <c r="D7" i="21"/>
  <c r="C77" i="21" s="1"/>
  <c r="D12" i="21"/>
  <c r="C82" i="21" s="1"/>
  <c r="D4" i="21"/>
  <c r="C74" i="21" s="1"/>
  <c r="D9" i="21"/>
  <c r="H31" i="55" l="1"/>
  <c r="H95" i="55" s="1"/>
  <c r="AC18" i="70"/>
  <c r="AC26" i="70" s="1"/>
  <c r="F5" i="71" s="1"/>
  <c r="AD51" i="70"/>
  <c r="AD52" i="70" s="1"/>
  <c r="AD20" i="70" s="1"/>
  <c r="AD27" i="70" s="1"/>
  <c r="G6" i="71" s="1"/>
  <c r="H30" i="55"/>
  <c r="H94" i="55" s="1"/>
  <c r="AD16" i="70"/>
  <c r="AD25" i="70" s="1"/>
  <c r="G4" i="71" s="1"/>
  <c r="AC16" i="70"/>
  <c r="AC25" i="70" s="1"/>
  <c r="F4" i="71" s="1"/>
  <c r="H124" i="55"/>
  <c r="I29" i="55"/>
  <c r="I125" i="55" s="1"/>
  <c r="K29" i="55"/>
  <c r="AD12" i="70"/>
  <c r="AD23" i="70" s="1"/>
  <c r="G2" i="71" s="1"/>
  <c r="I128" i="55"/>
  <c r="I96" i="55"/>
  <c r="AC52" i="70"/>
  <c r="AC20" i="70" s="1"/>
  <c r="AC27" i="70" s="1"/>
  <c r="F6" i="71" s="1"/>
  <c r="H127" i="55"/>
  <c r="F126" i="55"/>
  <c r="AA18" i="70"/>
  <c r="AA26" i="70" s="1"/>
  <c r="D5" i="71" s="1"/>
  <c r="AB16" i="70"/>
  <c r="AB25" i="70" s="1"/>
  <c r="E4" i="71" s="1"/>
  <c r="AG51" i="70"/>
  <c r="AG52" i="70" s="1"/>
  <c r="AG20" i="70" s="1"/>
  <c r="AG27" i="70" s="1"/>
  <c r="J6" i="71" s="1"/>
  <c r="AB51" i="70"/>
  <c r="AG16" i="70"/>
  <c r="AG25" i="70" s="1"/>
  <c r="J4" i="71" s="1"/>
  <c r="F95" i="55"/>
  <c r="G126" i="55"/>
  <c r="H126" i="55"/>
  <c r="AG18" i="70"/>
  <c r="AG26" i="70" s="1"/>
  <c r="J5" i="71" s="1"/>
  <c r="F96" i="55"/>
  <c r="Z16" i="70"/>
  <c r="Z25" i="70" s="1"/>
  <c r="C4" i="71" s="1"/>
  <c r="AE51" i="70"/>
  <c r="AE16" i="70"/>
  <c r="AE25" i="70" s="1"/>
  <c r="H4" i="71" s="1"/>
  <c r="J32" i="55"/>
  <c r="Z51" i="70"/>
  <c r="Z18" i="70" s="1"/>
  <c r="Z26" i="70" s="1"/>
  <c r="C5" i="71" s="1"/>
  <c r="E94" i="55"/>
  <c r="K128" i="55"/>
  <c r="K96" i="55"/>
  <c r="F125" i="55"/>
  <c r="F93" i="55"/>
  <c r="I127" i="55"/>
  <c r="AC14" i="70"/>
  <c r="AC24" i="70" s="1"/>
  <c r="F3" i="71" s="1"/>
  <c r="H29" i="55"/>
  <c r="K127" i="55"/>
  <c r="K95" i="55"/>
  <c r="AG14" i="70"/>
  <c r="AG24" i="70" s="1"/>
  <c r="J3" i="71" s="1"/>
  <c r="L31" i="55"/>
  <c r="L127" i="55" s="1"/>
  <c r="I93" i="55"/>
  <c r="I92" i="55"/>
  <c r="AE45" i="70"/>
  <c r="J29" i="55"/>
  <c r="AF12" i="70"/>
  <c r="AF23" i="70" s="1"/>
  <c r="I2" i="71" s="1"/>
  <c r="K28" i="55"/>
  <c r="AA12" i="70"/>
  <c r="AA23" i="70" s="1"/>
  <c r="D2" i="71" s="1"/>
  <c r="F28" i="55"/>
  <c r="K93" i="55"/>
  <c r="K125" i="55"/>
  <c r="R26" i="48"/>
  <c r="V112" i="48"/>
  <c r="F26" i="48"/>
  <c r="Y112" i="48"/>
  <c r="Z112" i="48" s="1"/>
  <c r="AA112" i="48" s="1"/>
  <c r="AB112" i="48" s="1"/>
  <c r="AC112" i="48" s="1"/>
  <c r="AD112" i="48" s="1"/>
  <c r="AE112" i="48" s="1"/>
  <c r="AF112" i="48" s="1"/>
  <c r="AG112" i="48" s="1"/>
  <c r="U26" i="48"/>
  <c r="I26" i="48"/>
  <c r="J62" i="59"/>
  <c r="J65" i="59" s="1"/>
  <c r="S40" i="59"/>
  <c r="J82" i="55"/>
  <c r="J114" i="55"/>
  <c r="I66" i="59"/>
  <c r="I31" i="59" s="1"/>
  <c r="L40" i="59"/>
  <c r="AC13" i="33"/>
  <c r="AD13" i="33"/>
  <c r="AG13" i="33"/>
  <c r="AF13" i="33"/>
  <c r="AI13" i="33"/>
  <c r="AH13" i="33"/>
  <c r="AA27" i="20"/>
  <c r="AH33" i="26"/>
  <c r="I50" i="20"/>
  <c r="C53" i="26"/>
  <c r="M16" i="26"/>
  <c r="M79" i="26" s="1"/>
  <c r="M29" i="26"/>
  <c r="Q16" i="26"/>
  <c r="Q79" i="26" s="1"/>
  <c r="V16" i="26"/>
  <c r="V79" i="26" s="1"/>
  <c r="V48" i="20"/>
  <c r="O9" i="50"/>
  <c r="E45" i="26"/>
  <c r="AH34" i="26"/>
  <c r="N29" i="26"/>
  <c r="O128" i="48"/>
  <c r="W26" i="48"/>
  <c r="I65" i="48"/>
  <c r="I72" i="48" s="1"/>
  <c r="X112" i="48"/>
  <c r="V26" i="48"/>
  <c r="M26" i="48"/>
  <c r="K114" i="48"/>
  <c r="I137" i="48"/>
  <c r="G137" i="48"/>
  <c r="H137" i="48"/>
  <c r="O26" i="48"/>
  <c r="Y128" i="48"/>
  <c r="Z128" i="48" s="1"/>
  <c r="AA128" i="48" s="1"/>
  <c r="AB128" i="48" s="1"/>
  <c r="P137" i="48"/>
  <c r="P128" i="48"/>
  <c r="G26" i="48"/>
  <c r="H128" i="48"/>
  <c r="Z23" i="48"/>
  <c r="L142" i="48"/>
  <c r="K142" i="48"/>
  <c r="F128" i="48"/>
  <c r="N114" i="48"/>
  <c r="H94" i="48" s="1"/>
  <c r="I94" i="48" s="1"/>
  <c r="J94" i="48" s="1"/>
  <c r="K94" i="48" s="1"/>
  <c r="L94" i="48" s="1"/>
  <c r="I128" i="48"/>
  <c r="Z25" i="48"/>
  <c r="D22" i="35" s="1"/>
  <c r="E24" i="55" s="1"/>
  <c r="E120" i="55" s="1"/>
  <c r="D85" i="55"/>
  <c r="AD130" i="48"/>
  <c r="P142" i="48"/>
  <c r="K137" i="48"/>
  <c r="H26" i="48"/>
  <c r="J137" i="48"/>
  <c r="AA24" i="48"/>
  <c r="K112" i="48"/>
  <c r="M142" i="48"/>
  <c r="L137" i="48"/>
  <c r="P112" i="48"/>
  <c r="S26" i="48"/>
  <c r="Z24" i="48"/>
  <c r="T112" i="48"/>
  <c r="H129" i="48"/>
  <c r="X26" i="48"/>
  <c r="AB24" i="48"/>
  <c r="P26" i="48"/>
  <c r="Q26" i="48"/>
  <c r="J95" i="48"/>
  <c r="K95" i="48" s="1"/>
  <c r="L95" i="48" s="1"/>
  <c r="L112" i="48"/>
  <c r="L129" i="48"/>
  <c r="Y26" i="48"/>
  <c r="R137" i="48"/>
  <c r="M137" i="48"/>
  <c r="K26" i="48"/>
  <c r="X129" i="48"/>
  <c r="S114" i="48"/>
  <c r="Q137" i="48"/>
  <c r="I114" i="48"/>
  <c r="S129" i="48"/>
  <c r="M112" i="48"/>
  <c r="D118" i="55"/>
  <c r="R112" i="48"/>
  <c r="S137" i="48"/>
  <c r="Q112" i="48"/>
  <c r="R128" i="48"/>
  <c r="J112" i="48"/>
  <c r="L26" i="48"/>
  <c r="O142" i="48"/>
  <c r="I129" i="48"/>
  <c r="N112" i="48"/>
  <c r="H93" i="48" s="1"/>
  <c r="I93" i="48" s="1"/>
  <c r="J93" i="48" s="1"/>
  <c r="K93" i="48" s="1"/>
  <c r="L93" i="48" s="1"/>
  <c r="O137" i="48"/>
  <c r="J128" i="48"/>
  <c r="L128" i="48"/>
  <c r="W36" i="30"/>
  <c r="F20" i="49"/>
  <c r="J98" i="75"/>
  <c r="J97" i="75" s="1"/>
  <c r="J100" i="75" s="1"/>
  <c r="J27" i="75"/>
  <c r="J26" i="75" s="1"/>
  <c r="J29" i="75" s="1"/>
  <c r="N36" i="30"/>
  <c r="P36" i="30"/>
  <c r="S36" i="30"/>
  <c r="K98" i="75"/>
  <c r="K27" i="75"/>
  <c r="M40" i="59"/>
  <c r="R98" i="75"/>
  <c r="R97" i="75" s="1"/>
  <c r="R100" i="75" s="1"/>
  <c r="R27" i="75"/>
  <c r="K40" i="76"/>
  <c r="M40" i="76" s="1"/>
  <c r="L40" i="76"/>
  <c r="V20" i="25"/>
  <c r="U19" i="25"/>
  <c r="U14" i="75" s="1"/>
  <c r="P98" i="75"/>
  <c r="P27" i="75"/>
  <c r="Q36" i="30"/>
  <c r="K30" i="76"/>
  <c r="F27" i="75"/>
  <c r="F26" i="75" s="1"/>
  <c r="F29" i="75" s="1"/>
  <c r="F98" i="75"/>
  <c r="F97" i="75" s="1"/>
  <c r="F100" i="75" s="1"/>
  <c r="F101" i="75"/>
  <c r="F39" i="75" s="1"/>
  <c r="N17" i="26"/>
  <c r="V44" i="21"/>
  <c r="U44" i="21"/>
  <c r="T44" i="21"/>
  <c r="S44" i="21"/>
  <c r="AC37" i="26"/>
  <c r="AD74" i="30"/>
  <c r="U20" i="30"/>
  <c r="E77" i="21"/>
  <c r="W7" i="21"/>
  <c r="T39" i="21"/>
  <c r="S39" i="21"/>
  <c r="R39" i="21"/>
  <c r="Q39" i="21"/>
  <c r="F79" i="21"/>
  <c r="P39" i="21"/>
  <c r="O39" i="21"/>
  <c r="V39" i="21"/>
  <c r="N39" i="21"/>
  <c r="U39" i="21"/>
  <c r="X37" i="26"/>
  <c r="D23" i="21"/>
  <c r="N41" i="30" s="1"/>
  <c r="H21" i="21"/>
  <c r="R45" i="30"/>
  <c r="E80" i="21"/>
  <c r="T39" i="26"/>
  <c r="T17" i="26" s="1"/>
  <c r="L32" i="76"/>
  <c r="F105" i="55"/>
  <c r="F73" i="55"/>
  <c r="I29" i="76"/>
  <c r="J29" i="76" s="1"/>
  <c r="C14" i="21"/>
  <c r="C83" i="21"/>
  <c r="W13" i="21"/>
  <c r="K15" i="21"/>
  <c r="U38" i="26"/>
  <c r="F83" i="21"/>
  <c r="N14" i="21"/>
  <c r="T42" i="38"/>
  <c r="P41" i="38"/>
  <c r="Q34" i="75"/>
  <c r="Q24" i="75"/>
  <c r="Y13" i="33"/>
  <c r="X13" i="33"/>
  <c r="AA13" i="33"/>
  <c r="Z13" i="33"/>
  <c r="Z10" i="33" s="1"/>
  <c r="Z12" i="49"/>
  <c r="G45" i="75"/>
  <c r="G46" i="75" s="1"/>
  <c r="G48" i="75" s="1"/>
  <c r="G30" i="49"/>
  <c r="G37" i="59"/>
  <c r="G38" i="59" s="1"/>
  <c r="G40" i="59" s="1"/>
  <c r="S15" i="30"/>
  <c r="Y48" i="20"/>
  <c r="R9" i="50"/>
  <c r="C3" i="35"/>
  <c r="D5" i="55" s="1"/>
  <c r="S48" i="20"/>
  <c r="L9" i="50"/>
  <c r="K49" i="20"/>
  <c r="K50" i="20" s="1"/>
  <c r="D2" i="50"/>
  <c r="P30" i="26"/>
  <c r="O29" i="26"/>
  <c r="O78" i="26"/>
  <c r="O15" i="26"/>
  <c r="M19" i="25"/>
  <c r="M14" i="75" s="1"/>
  <c r="E40" i="59"/>
  <c r="N32" i="75"/>
  <c r="N24" i="59"/>
  <c r="AD13" i="26"/>
  <c r="L19" i="21"/>
  <c r="V37" i="30" s="1"/>
  <c r="V20" i="30" s="1"/>
  <c r="N4" i="21"/>
  <c r="W4" i="21" s="1"/>
  <c r="Q4" i="21"/>
  <c r="P4" i="21"/>
  <c r="O4" i="21"/>
  <c r="O32" i="75"/>
  <c r="O24" i="59"/>
  <c r="G77" i="21"/>
  <c r="K21" i="21"/>
  <c r="U45" i="30"/>
  <c r="L23" i="21"/>
  <c r="V41" i="30" s="1"/>
  <c r="V24" i="30" s="1"/>
  <c r="N19" i="21"/>
  <c r="F77" i="21"/>
  <c r="F23" i="21"/>
  <c r="P41" i="30" s="1"/>
  <c r="P24" i="30" s="1"/>
  <c r="V51" i="21"/>
  <c r="V50" i="21"/>
  <c r="O24" i="21"/>
  <c r="Q23" i="21"/>
  <c r="D15" i="21"/>
  <c r="N38" i="26"/>
  <c r="S17" i="40"/>
  <c r="U128" i="48"/>
  <c r="E95" i="48"/>
  <c r="L114" i="48"/>
  <c r="P16" i="40"/>
  <c r="Y104" i="75"/>
  <c r="Y106" i="75" s="1"/>
  <c r="Y105" i="75" s="1"/>
  <c r="I66" i="48"/>
  <c r="I73" i="48" s="1"/>
  <c r="I39" i="48"/>
  <c r="J34" i="48"/>
  <c r="H65" i="48"/>
  <c r="H72" i="48" s="1"/>
  <c r="H38" i="48"/>
  <c r="W34" i="75"/>
  <c r="W24" i="75"/>
  <c r="X85" i="75"/>
  <c r="H40" i="59"/>
  <c r="Y26" i="59"/>
  <c r="Z50" i="59"/>
  <c r="W13" i="30"/>
  <c r="W12" i="30" s="1"/>
  <c r="T15" i="30"/>
  <c r="AA48" i="20"/>
  <c r="E3" i="35"/>
  <c r="F5" i="55" s="1"/>
  <c r="G14" i="75"/>
  <c r="G14" i="59"/>
  <c r="J75" i="26"/>
  <c r="W6" i="21"/>
  <c r="C76" i="21"/>
  <c r="C21" i="21"/>
  <c r="M39" i="30" s="1"/>
  <c r="M45" i="30"/>
  <c r="E15" i="21"/>
  <c r="O38" i="26"/>
  <c r="Q33" i="21"/>
  <c r="I33" i="21"/>
  <c r="P33" i="21"/>
  <c r="H33" i="21"/>
  <c r="O33" i="21"/>
  <c r="V33" i="21"/>
  <c r="N33" i="21"/>
  <c r="U33" i="21"/>
  <c r="M33" i="21"/>
  <c r="T33" i="21"/>
  <c r="L33" i="21"/>
  <c r="S33" i="21"/>
  <c r="K33" i="21"/>
  <c r="R33" i="21"/>
  <c r="J33" i="21"/>
  <c r="R37" i="26"/>
  <c r="C7" i="35"/>
  <c r="D9" i="55" s="1"/>
  <c r="Y46" i="30"/>
  <c r="C6" i="35" s="1"/>
  <c r="D8" i="55" s="1"/>
  <c r="R6" i="50"/>
  <c r="F75" i="21"/>
  <c r="X32" i="75"/>
  <c r="X24" i="59"/>
  <c r="G64" i="48"/>
  <c r="G71" i="48" s="1"/>
  <c r="G94" i="48" s="1"/>
  <c r="H37" i="48"/>
  <c r="T48" i="20"/>
  <c r="M9" i="50"/>
  <c r="V35" i="21"/>
  <c r="N35" i="21"/>
  <c r="U35" i="21"/>
  <c r="M35" i="21"/>
  <c r="T35" i="21"/>
  <c r="L35" i="21"/>
  <c r="S35" i="21"/>
  <c r="K35" i="21"/>
  <c r="R35" i="21"/>
  <c r="J35" i="21"/>
  <c r="E79" i="21"/>
  <c r="Q35" i="21"/>
  <c r="P35" i="21"/>
  <c r="O35" i="21"/>
  <c r="T37" i="26"/>
  <c r="W10" i="21"/>
  <c r="G15" i="21"/>
  <c r="Q38" i="26"/>
  <c r="D80" i="21"/>
  <c r="P39" i="26"/>
  <c r="P17" i="26" s="1"/>
  <c r="S34" i="21"/>
  <c r="K34" i="21"/>
  <c r="R34" i="21"/>
  <c r="J34" i="21"/>
  <c r="Q34" i="21"/>
  <c r="I34" i="21"/>
  <c r="P34" i="21"/>
  <c r="O34" i="21"/>
  <c r="V34" i="21"/>
  <c r="N34" i="21"/>
  <c r="U34" i="21"/>
  <c r="M34" i="21"/>
  <c r="T34" i="21"/>
  <c r="L34" i="21"/>
  <c r="S37" i="26"/>
  <c r="C20" i="21"/>
  <c r="M38" i="30" s="1"/>
  <c r="E82" i="21"/>
  <c r="U32" i="75"/>
  <c r="U24" i="59"/>
  <c r="G21" i="21"/>
  <c r="Q45" i="30"/>
  <c r="H23" i="21"/>
  <c r="R41" i="30" s="1"/>
  <c r="R24" i="30" s="1"/>
  <c r="G19" i="21"/>
  <c r="Q37" i="30" s="1"/>
  <c r="Q32" i="75"/>
  <c r="Q24" i="59"/>
  <c r="AC32" i="75"/>
  <c r="AC24" i="59"/>
  <c r="O23" i="21"/>
  <c r="R33" i="75"/>
  <c r="R38" i="75" s="1"/>
  <c r="R23" i="75"/>
  <c r="R28" i="75" s="1"/>
  <c r="R25" i="59"/>
  <c r="R30" i="59" s="1"/>
  <c r="K5" i="50" s="1"/>
  <c r="C5" i="21"/>
  <c r="F16" i="5"/>
  <c r="U33" i="75"/>
  <c r="U38" i="75" s="1"/>
  <c r="U23" i="75"/>
  <c r="U28" i="75" s="1"/>
  <c r="U25" i="59"/>
  <c r="U30" i="59" s="1"/>
  <c r="N5" i="50" s="1"/>
  <c r="F24" i="21"/>
  <c r="L28" i="76"/>
  <c r="K28" i="76"/>
  <c r="M28" i="76" s="1"/>
  <c r="AB52" i="70"/>
  <c r="AB18" i="70"/>
  <c r="AB26" i="70" s="1"/>
  <c r="E5" i="71" s="1"/>
  <c r="G31" i="55"/>
  <c r="K17" i="40"/>
  <c r="S15" i="21"/>
  <c r="AC38" i="26"/>
  <c r="P15" i="21"/>
  <c r="Z38" i="26"/>
  <c r="H142" i="48"/>
  <c r="F95" i="48"/>
  <c r="M114" i="48"/>
  <c r="Y32" i="75"/>
  <c r="Y24" i="59"/>
  <c r="G129" i="48"/>
  <c r="K15" i="40"/>
  <c r="Z12" i="70"/>
  <c r="Z23" i="70" s="1"/>
  <c r="C2" i="71" s="1"/>
  <c r="E28" i="55"/>
  <c r="L17" i="40"/>
  <c r="W45" i="75"/>
  <c r="W29" i="49"/>
  <c r="W30" i="49" s="1"/>
  <c r="W37" i="59"/>
  <c r="AG48" i="20"/>
  <c r="K3" i="35"/>
  <c r="L5" i="55" s="1"/>
  <c r="L101" i="55" s="1"/>
  <c r="Q29" i="49"/>
  <c r="AB48" i="20"/>
  <c r="F3" i="35"/>
  <c r="G5" i="55" s="1"/>
  <c r="L49" i="20"/>
  <c r="L50" i="20" s="1"/>
  <c r="E2" i="50"/>
  <c r="H12" i="20"/>
  <c r="S98" i="75"/>
  <c r="S27" i="75"/>
  <c r="E98" i="75"/>
  <c r="E97" i="75" s="1"/>
  <c r="E100" i="75" s="1"/>
  <c r="E109" i="75" s="1"/>
  <c r="E37" i="75" s="1"/>
  <c r="E41" i="75" s="1"/>
  <c r="E27" i="75"/>
  <c r="E26" i="75" s="1"/>
  <c r="E29" i="75" s="1"/>
  <c r="D21" i="21"/>
  <c r="N45" i="30"/>
  <c r="M21" i="21"/>
  <c r="W45" i="30"/>
  <c r="D75" i="21"/>
  <c r="P32" i="75"/>
  <c r="P99" i="75" s="1"/>
  <c r="P24" i="59"/>
  <c r="G75" i="21"/>
  <c r="AB32" i="75"/>
  <c r="AB24" i="59"/>
  <c r="E74" i="21"/>
  <c r="T23" i="75"/>
  <c r="T28" i="75" s="1"/>
  <c r="T33" i="75"/>
  <c r="T25" i="59"/>
  <c r="O15" i="21"/>
  <c r="Y38" i="26"/>
  <c r="H32" i="55"/>
  <c r="L34" i="75"/>
  <c r="L99" i="75" s="1"/>
  <c r="L24" i="75"/>
  <c r="L28" i="75" s="1"/>
  <c r="S63" i="59"/>
  <c r="E63" i="59"/>
  <c r="E62" i="59" s="1"/>
  <c r="E65" i="59" s="1"/>
  <c r="L19" i="25"/>
  <c r="L14" i="75" s="1"/>
  <c r="S29" i="21"/>
  <c r="K29" i="21"/>
  <c r="R29" i="21"/>
  <c r="J29" i="21"/>
  <c r="J28" i="21" s="1"/>
  <c r="Q29" i="21"/>
  <c r="I29" i="21"/>
  <c r="P29" i="21"/>
  <c r="H29" i="21"/>
  <c r="O29" i="21"/>
  <c r="G29" i="21"/>
  <c r="G28" i="21" s="1"/>
  <c r="V29" i="21"/>
  <c r="N29" i="21"/>
  <c r="F29" i="21"/>
  <c r="U29" i="21"/>
  <c r="M29" i="21"/>
  <c r="E29" i="21"/>
  <c r="D29" i="21"/>
  <c r="D28" i="21" s="1"/>
  <c r="T29" i="21"/>
  <c r="W9" i="21"/>
  <c r="L29" i="21"/>
  <c r="N37" i="26"/>
  <c r="T40" i="21"/>
  <c r="S40" i="21"/>
  <c r="R40" i="21"/>
  <c r="Q40" i="21"/>
  <c r="P40" i="21"/>
  <c r="O40" i="21"/>
  <c r="V40" i="21"/>
  <c r="U40" i="21"/>
  <c r="Y37" i="26"/>
  <c r="R36" i="21"/>
  <c r="Q36" i="21"/>
  <c r="P36" i="21"/>
  <c r="O36" i="21"/>
  <c r="V36" i="21"/>
  <c r="N36" i="21"/>
  <c r="U36" i="21"/>
  <c r="M36" i="21"/>
  <c r="T36" i="21"/>
  <c r="L36" i="21"/>
  <c r="S36" i="21"/>
  <c r="K36" i="21"/>
  <c r="U37" i="26"/>
  <c r="C80" i="21"/>
  <c r="H15" i="21"/>
  <c r="R38" i="26"/>
  <c r="G76" i="21"/>
  <c r="AB45" i="30"/>
  <c r="F7" i="35" s="1"/>
  <c r="G9" i="55" s="1"/>
  <c r="AD78" i="30"/>
  <c r="U24" i="30"/>
  <c r="AD61" i="30" s="1"/>
  <c r="P31" i="21"/>
  <c r="H31" i="21"/>
  <c r="O31" i="21"/>
  <c r="G31" i="21"/>
  <c r="V31" i="21"/>
  <c r="N31" i="21"/>
  <c r="F31" i="21"/>
  <c r="U31" i="21"/>
  <c r="M31" i="21"/>
  <c r="T31" i="21"/>
  <c r="L31" i="21"/>
  <c r="S31" i="21"/>
  <c r="K31" i="21"/>
  <c r="D79" i="21"/>
  <c r="R31" i="21"/>
  <c r="J31" i="21"/>
  <c r="Q31" i="21"/>
  <c r="I31" i="21"/>
  <c r="P37" i="26"/>
  <c r="C23" i="21"/>
  <c r="M41" i="30" s="1"/>
  <c r="G82" i="21"/>
  <c r="V32" i="75"/>
  <c r="V99" i="75" s="1"/>
  <c r="V24" i="59"/>
  <c r="H19" i="21"/>
  <c r="R37" i="30" s="1"/>
  <c r="G74" i="21"/>
  <c r="AB33" i="75"/>
  <c r="AB38" i="75" s="1"/>
  <c r="AB25" i="59"/>
  <c r="AB30" i="59" s="1"/>
  <c r="AB23" i="75"/>
  <c r="R32" i="75"/>
  <c r="R99" i="75" s="1"/>
  <c r="R24" i="59"/>
  <c r="H15" i="35"/>
  <c r="I17" i="55" s="1"/>
  <c r="S33" i="75"/>
  <c r="S38" i="75" s="1"/>
  <c r="S23" i="75"/>
  <c r="S25" i="59"/>
  <c r="S30" i="59" s="1"/>
  <c r="L5" i="50" s="1"/>
  <c r="V33" i="75"/>
  <c r="V38" i="75" s="1"/>
  <c r="V23" i="75"/>
  <c r="V28" i="75" s="1"/>
  <c r="V25" i="59"/>
  <c r="V30" i="59" s="1"/>
  <c r="O5" i="50" s="1"/>
  <c r="S31" i="38"/>
  <c r="O30" i="38"/>
  <c r="Q30" i="38" s="1"/>
  <c r="E13" i="76"/>
  <c r="D14" i="76"/>
  <c r="L15" i="21"/>
  <c r="V38" i="26"/>
  <c r="Q15" i="21"/>
  <c r="AA38" i="26"/>
  <c r="H66" i="48"/>
  <c r="H73" i="48" s="1"/>
  <c r="H39" i="48"/>
  <c r="G80" i="21"/>
  <c r="Z32" i="75"/>
  <c r="Z24" i="59"/>
  <c r="K71" i="38"/>
  <c r="K73" i="38"/>
  <c r="O114" i="48"/>
  <c r="S34" i="75"/>
  <c r="S24" i="75"/>
  <c r="AB131" i="48"/>
  <c r="AA25" i="48"/>
  <c r="E22" i="35" s="1"/>
  <c r="F24" i="55" s="1"/>
  <c r="O34" i="75"/>
  <c r="O24" i="75"/>
  <c r="O28" i="75" s="1"/>
  <c r="F48" i="75"/>
  <c r="U46" i="75" s="1"/>
  <c r="V46" i="75" s="1"/>
  <c r="W46" i="75" s="1"/>
  <c r="X46" i="75" s="1"/>
  <c r="Y46" i="75" s="1"/>
  <c r="Z46" i="75" s="1"/>
  <c r="AA46" i="75" s="1"/>
  <c r="AB46" i="75" s="1"/>
  <c r="AC46" i="75" s="1"/>
  <c r="AB12" i="25"/>
  <c r="AA14" i="25"/>
  <c r="AA13" i="25" s="1"/>
  <c r="AA11" i="25" s="1"/>
  <c r="Q45" i="75"/>
  <c r="Q46" i="75" s="1"/>
  <c r="Q48" i="75" s="1"/>
  <c r="Q30" i="49"/>
  <c r="Q37" i="59"/>
  <c r="Q38" i="59" s="1"/>
  <c r="Q40" i="59" s="1"/>
  <c r="U48" i="20"/>
  <c r="N9" i="50"/>
  <c r="N14" i="75"/>
  <c r="N14" i="59"/>
  <c r="N63" i="59" s="1"/>
  <c r="H74" i="59"/>
  <c r="H29" i="59" s="1"/>
  <c r="Q63" i="59"/>
  <c r="I69" i="55"/>
  <c r="I101" i="55"/>
  <c r="V20" i="74"/>
  <c r="W20" i="74" s="1"/>
  <c r="X20" i="74" s="1"/>
  <c r="Y20" i="74" s="1"/>
  <c r="Z20" i="74" s="1"/>
  <c r="AA20" i="74" s="1"/>
  <c r="AB20" i="74" s="1"/>
  <c r="AC20" i="74" s="1"/>
  <c r="U19" i="74"/>
  <c r="P14" i="59"/>
  <c r="P63" i="59" s="1"/>
  <c r="D83" i="21"/>
  <c r="F14" i="21"/>
  <c r="T36" i="30"/>
  <c r="Q33" i="75"/>
  <c r="Q38" i="75" s="1"/>
  <c r="Q23" i="75"/>
  <c r="Q28" i="75" s="1"/>
  <c r="Q26" i="75" s="1"/>
  <c r="Q29" i="75" s="1"/>
  <c r="Q25" i="59"/>
  <c r="Q30" i="59" s="1"/>
  <c r="J5" i="50" s="1"/>
  <c r="L31" i="76"/>
  <c r="I63" i="48"/>
  <c r="I70" i="48" s="1"/>
  <c r="J31" i="48"/>
  <c r="I35" i="48"/>
  <c r="Z48" i="20"/>
  <c r="D3" i="35"/>
  <c r="E5" i="55" s="1"/>
  <c r="K40" i="59"/>
  <c r="N33" i="75"/>
  <c r="N38" i="75" s="1"/>
  <c r="N23" i="75"/>
  <c r="N28" i="75" s="1"/>
  <c r="N25" i="59"/>
  <c r="N30" i="59" s="1"/>
  <c r="G5" i="50" s="1"/>
  <c r="U50" i="21"/>
  <c r="U51" i="21"/>
  <c r="O37" i="21"/>
  <c r="V37" i="21"/>
  <c r="N37" i="21"/>
  <c r="U37" i="21"/>
  <c r="M37" i="21"/>
  <c r="T37" i="21"/>
  <c r="L37" i="21"/>
  <c r="S37" i="21"/>
  <c r="R37" i="21"/>
  <c r="Q37" i="21"/>
  <c r="P37" i="21"/>
  <c r="V37" i="26"/>
  <c r="I15" i="21"/>
  <c r="S38" i="26"/>
  <c r="Q30" i="21"/>
  <c r="I30" i="21"/>
  <c r="P30" i="21"/>
  <c r="H30" i="21"/>
  <c r="O30" i="21"/>
  <c r="G30" i="21"/>
  <c r="V30" i="21"/>
  <c r="N30" i="21"/>
  <c r="F30" i="21"/>
  <c r="U30" i="21"/>
  <c r="M30" i="21"/>
  <c r="E30" i="21"/>
  <c r="T30" i="21"/>
  <c r="L30" i="21"/>
  <c r="S30" i="21"/>
  <c r="K30" i="21"/>
  <c r="R30" i="21"/>
  <c r="J30" i="21"/>
  <c r="O37" i="26"/>
  <c r="O35" i="26" s="1"/>
  <c r="D82" i="21"/>
  <c r="H73" i="55"/>
  <c r="H105" i="55"/>
  <c r="E76" i="21"/>
  <c r="J21" i="21"/>
  <c r="T45" i="30"/>
  <c r="E25" i="21"/>
  <c r="O36" i="30"/>
  <c r="D24" i="21"/>
  <c r="N42" i="30" s="1"/>
  <c r="T51" i="21"/>
  <c r="T50" i="21"/>
  <c r="V17" i="6"/>
  <c r="W32" i="75"/>
  <c r="W24" i="59"/>
  <c r="G20" i="21"/>
  <c r="Q38" i="30" s="1"/>
  <c r="I21" i="21"/>
  <c r="S45" i="30"/>
  <c r="C79" i="21"/>
  <c r="AC33" i="75"/>
  <c r="AC38" i="75" s="1"/>
  <c r="AC23" i="75"/>
  <c r="AC25" i="59"/>
  <c r="AC30" i="59" s="1"/>
  <c r="S32" i="75"/>
  <c r="S24" i="59"/>
  <c r="I15" i="35"/>
  <c r="J17" i="55" s="1"/>
  <c r="E105" i="55"/>
  <c r="E73" i="55"/>
  <c r="D74" i="21"/>
  <c r="P33" i="75"/>
  <c r="P38" i="75" s="1"/>
  <c r="P23" i="75"/>
  <c r="P28" i="75" s="1"/>
  <c r="P25" i="59"/>
  <c r="P30" i="59" s="1"/>
  <c r="I5" i="50" s="1"/>
  <c r="W33" i="75"/>
  <c r="W38" i="75" s="1"/>
  <c r="W23" i="75"/>
  <c r="W28" i="75" s="1"/>
  <c r="W26" i="75" s="1"/>
  <c r="W25" i="59"/>
  <c r="W30" i="59" s="1"/>
  <c r="P5" i="50" s="1"/>
  <c r="T16" i="40"/>
  <c r="N142" i="48"/>
  <c r="N15" i="40"/>
  <c r="N17" i="40"/>
  <c r="S16" i="38"/>
  <c r="L15" i="38"/>
  <c r="N15" i="38" s="1"/>
  <c r="T15" i="21"/>
  <c r="AD38" i="26"/>
  <c r="AD35" i="26" s="1"/>
  <c r="E83" i="21"/>
  <c r="J14" i="21"/>
  <c r="Q27" i="38"/>
  <c r="AA32" i="75"/>
  <c r="AA24" i="59"/>
  <c r="V14" i="40"/>
  <c r="M25" i="38"/>
  <c r="O25" i="38" s="1"/>
  <c r="S26" i="38"/>
  <c r="M26" i="38" s="1"/>
  <c r="O26" i="38" s="1"/>
  <c r="T26" i="48"/>
  <c r="AB129" i="48"/>
  <c r="AA23" i="48"/>
  <c r="I38" i="48"/>
  <c r="K34" i="75"/>
  <c r="K99" i="75" s="1"/>
  <c r="K24" i="75"/>
  <c r="K28" i="75" s="1"/>
  <c r="L48" i="75"/>
  <c r="O45" i="75"/>
  <c r="O46" i="75" s="1"/>
  <c r="O48" i="75" s="1"/>
  <c r="O30" i="49"/>
  <c r="O37" i="59"/>
  <c r="O38" i="59" s="1"/>
  <c r="O40" i="59" s="1"/>
  <c r="E66" i="59"/>
  <c r="E31" i="59" s="1"/>
  <c r="C18" i="49"/>
  <c r="C19" i="49" s="1"/>
  <c r="D20" i="49" s="1"/>
  <c r="H31" i="59"/>
  <c r="X48" i="20"/>
  <c r="Q9" i="50"/>
  <c r="AC48" i="20"/>
  <c r="G3" i="35"/>
  <c r="H5" i="55" s="1"/>
  <c r="D63" i="59"/>
  <c r="D62" i="59" s="1"/>
  <c r="D65" i="59" s="1"/>
  <c r="D66" i="59"/>
  <c r="D31" i="59" s="1"/>
  <c r="AF48" i="20"/>
  <c r="J3" i="35"/>
  <c r="K5" i="55" s="1"/>
  <c r="F14" i="59"/>
  <c r="H27" i="75"/>
  <c r="H26" i="75" s="1"/>
  <c r="H29" i="75" s="1"/>
  <c r="H98" i="75"/>
  <c r="H97" i="75" s="1"/>
  <c r="H100" i="75" s="1"/>
  <c r="H101" i="75"/>
  <c r="K14" i="59"/>
  <c r="K63" i="59" s="1"/>
  <c r="K62" i="59" s="1"/>
  <c r="K65" i="59" s="1"/>
  <c r="Q98" i="75"/>
  <c r="U38" i="21"/>
  <c r="M38" i="21"/>
  <c r="T38" i="21"/>
  <c r="S38" i="21"/>
  <c r="R38" i="21"/>
  <c r="Q38" i="21"/>
  <c r="P38" i="21"/>
  <c r="O38" i="21"/>
  <c r="V38" i="21"/>
  <c r="N38" i="21"/>
  <c r="W37" i="26"/>
  <c r="O48" i="21"/>
  <c r="G48" i="21"/>
  <c r="G47" i="21" s="1"/>
  <c r="V48" i="21"/>
  <c r="N48" i="21"/>
  <c r="F48" i="21"/>
  <c r="F47" i="21" s="1"/>
  <c r="P85" i="26" s="1"/>
  <c r="U48" i="21"/>
  <c r="M48" i="21"/>
  <c r="E48" i="21"/>
  <c r="E47" i="21" s="1"/>
  <c r="O85" i="26" s="1"/>
  <c r="T48" i="21"/>
  <c r="L48" i="21"/>
  <c r="D48" i="21"/>
  <c r="D47" i="21" s="1"/>
  <c r="N85" i="26" s="1"/>
  <c r="S48" i="21"/>
  <c r="K48" i="21"/>
  <c r="R48" i="21"/>
  <c r="J48" i="21"/>
  <c r="H8" i="21"/>
  <c r="Q48" i="21"/>
  <c r="I48" i="21"/>
  <c r="H48" i="21"/>
  <c r="P48" i="21"/>
  <c r="F82" i="21"/>
  <c r="I73" i="55"/>
  <c r="I105" i="55"/>
  <c r="L21" i="21"/>
  <c r="L18" i="21"/>
  <c r="V45" i="30"/>
  <c r="U41" i="21"/>
  <c r="T41" i="21"/>
  <c r="S41" i="21"/>
  <c r="R41" i="21"/>
  <c r="Q41" i="21"/>
  <c r="P41" i="21"/>
  <c r="V41" i="21"/>
  <c r="Z37" i="26"/>
  <c r="C19" i="21"/>
  <c r="M37" i="30" s="1"/>
  <c r="C18" i="21"/>
  <c r="H18" i="21"/>
  <c r="B49" i="76"/>
  <c r="D48" i="76"/>
  <c r="I114" i="55"/>
  <c r="I82" i="55"/>
  <c r="J36" i="76"/>
  <c r="L37" i="76" s="1"/>
  <c r="I36" i="76"/>
  <c r="I42" i="76"/>
  <c r="J42" i="76" s="1"/>
  <c r="P25" i="21"/>
  <c r="Z43" i="30" s="1"/>
  <c r="Z41" i="30"/>
  <c r="Z24" i="30" s="1"/>
  <c r="L16" i="40"/>
  <c r="Q142" i="48"/>
  <c r="M15" i="21"/>
  <c r="W38" i="26"/>
  <c r="R14" i="21"/>
  <c r="G83" i="21"/>
  <c r="M20" i="21"/>
  <c r="W38" i="30" s="1"/>
  <c r="M129" i="48"/>
  <c r="J32" i="48"/>
  <c r="I37" i="48"/>
  <c r="I64" i="48"/>
  <c r="I71" i="48" s="1"/>
  <c r="I95" i="48"/>
  <c r="J101" i="75"/>
  <c r="I39" i="75"/>
  <c r="J65" i="48"/>
  <c r="J72" i="48" s="1"/>
  <c r="K33" i="48"/>
  <c r="J38" i="48"/>
  <c r="P34" i="75"/>
  <c r="P24" i="75"/>
  <c r="N29" i="49"/>
  <c r="N30" i="49" s="1"/>
  <c r="AB17" i="30"/>
  <c r="N48" i="75"/>
  <c r="I45" i="75"/>
  <c r="I46" i="75" s="1"/>
  <c r="I48" i="75" s="1"/>
  <c r="I30" i="49"/>
  <c r="I37" i="59"/>
  <c r="I38" i="59" s="1"/>
  <c r="I40" i="59" s="1"/>
  <c r="W48" i="20"/>
  <c r="P9" i="50"/>
  <c r="D27" i="75"/>
  <c r="D26" i="75" s="1"/>
  <c r="D29" i="75" s="1"/>
  <c r="D98" i="75"/>
  <c r="D97" i="75" s="1"/>
  <c r="D100" i="75" s="1"/>
  <c r="D109" i="75" s="1"/>
  <c r="D37" i="75" s="1"/>
  <c r="D41" i="75" s="1"/>
  <c r="T14" i="59"/>
  <c r="T63" i="59" s="1"/>
  <c r="T19" i="25"/>
  <c r="T14" i="75" s="1"/>
  <c r="E71" i="55"/>
  <c r="E103" i="55"/>
  <c r="I63" i="59"/>
  <c r="I62" i="59" s="1"/>
  <c r="I65" i="59" s="1"/>
  <c r="I74" i="59" s="1"/>
  <c r="I29" i="59" s="1"/>
  <c r="R14" i="59"/>
  <c r="R63" i="59" s="1"/>
  <c r="R43" i="21"/>
  <c r="G79" i="21"/>
  <c r="V43" i="21"/>
  <c r="U43" i="21"/>
  <c r="T43" i="21"/>
  <c r="S43" i="21"/>
  <c r="AB37" i="26"/>
  <c r="P32" i="21"/>
  <c r="H32" i="21"/>
  <c r="O32" i="21"/>
  <c r="G32" i="21"/>
  <c r="V32" i="21"/>
  <c r="N32" i="21"/>
  <c r="U32" i="21"/>
  <c r="M32" i="21"/>
  <c r="T32" i="21"/>
  <c r="L32" i="21"/>
  <c r="S32" i="21"/>
  <c r="K32" i="21"/>
  <c r="R32" i="21"/>
  <c r="J32" i="21"/>
  <c r="Q32" i="21"/>
  <c r="I32" i="21"/>
  <c r="Q37" i="26"/>
  <c r="J41" i="76"/>
  <c r="I41" i="76"/>
  <c r="F80" i="21"/>
  <c r="X39" i="26"/>
  <c r="X17" i="26" s="1"/>
  <c r="U36" i="30"/>
  <c r="AD73" i="30" s="1"/>
  <c r="V42" i="21"/>
  <c r="U42" i="21"/>
  <c r="T42" i="21"/>
  <c r="S42" i="21"/>
  <c r="R42" i="21"/>
  <c r="Q42" i="21"/>
  <c r="AA37" i="26"/>
  <c r="D19" i="21"/>
  <c r="N37" i="30" s="1"/>
  <c r="D20" i="21"/>
  <c r="N38" i="30" s="1"/>
  <c r="F21" i="21"/>
  <c r="D76" i="21"/>
  <c r="P45" i="30"/>
  <c r="H24" i="21"/>
  <c r="E22" i="21"/>
  <c r="O40" i="30" s="1"/>
  <c r="O39" i="30"/>
  <c r="G44" i="76"/>
  <c r="H43" i="76"/>
  <c r="F76" i="21"/>
  <c r="X45" i="30"/>
  <c r="Q24" i="21"/>
  <c r="C81" i="21"/>
  <c r="W11" i="21"/>
  <c r="I69" i="38"/>
  <c r="I66" i="38"/>
  <c r="J73" i="38"/>
  <c r="J71" i="38"/>
  <c r="I142" i="48"/>
  <c r="Q129" i="48"/>
  <c r="P129" i="48"/>
  <c r="N11" i="38"/>
  <c r="N137" i="48"/>
  <c r="Q114" i="48"/>
  <c r="AA10" i="48"/>
  <c r="P114" i="48"/>
  <c r="H63" i="48"/>
  <c r="H70" i="48" s="1"/>
  <c r="H35" i="48"/>
  <c r="I34" i="75"/>
  <c r="I99" i="75" s="1"/>
  <c r="I24" i="75"/>
  <c r="I28" i="75" s="1"/>
  <c r="AA69" i="59"/>
  <c r="AA71" i="59" s="1"/>
  <c r="AA70" i="59" s="1"/>
  <c r="Y30" i="80"/>
  <c r="E48" i="75"/>
  <c r="N40" i="59"/>
  <c r="P48" i="75"/>
  <c r="Q15" i="30"/>
  <c r="AB11" i="20"/>
  <c r="E4" i="35"/>
  <c r="F6" i="55" s="1"/>
  <c r="H48" i="75"/>
  <c r="R48" i="20"/>
  <c r="K9" i="50"/>
  <c r="AE48" i="20"/>
  <c r="I3" i="35"/>
  <c r="J5" i="55" s="1"/>
  <c r="O14" i="75"/>
  <c r="O14" i="59"/>
  <c r="O63" i="59" s="1"/>
  <c r="AB27" i="20"/>
  <c r="E5" i="35"/>
  <c r="F7" i="55" s="1"/>
  <c r="I98" i="75"/>
  <c r="I97" i="75" s="1"/>
  <c r="I100" i="75" s="1"/>
  <c r="I109" i="75" s="1"/>
  <c r="I37" i="75" s="1"/>
  <c r="I27" i="75"/>
  <c r="W12" i="74"/>
  <c r="V14" i="74"/>
  <c r="V13" i="74" s="1"/>
  <c r="V11" i="74"/>
  <c r="V19" i="74" s="1"/>
  <c r="E31" i="55" l="1"/>
  <c r="AD18" i="70"/>
  <c r="AD26" i="70" s="1"/>
  <c r="G5" i="71" s="1"/>
  <c r="Z52" i="70"/>
  <c r="AE18" i="70"/>
  <c r="AE26" i="70" s="1"/>
  <c r="H5" i="71" s="1"/>
  <c r="AE52" i="70"/>
  <c r="AE20" i="70" s="1"/>
  <c r="AE27" i="70" s="1"/>
  <c r="H6" i="71" s="1"/>
  <c r="J96" i="55"/>
  <c r="J128" i="55"/>
  <c r="H125" i="55"/>
  <c r="H93" i="55"/>
  <c r="K92" i="55"/>
  <c r="K124" i="55"/>
  <c r="J125" i="55"/>
  <c r="J93" i="55"/>
  <c r="AE12" i="70"/>
  <c r="AE23" i="70" s="1"/>
  <c r="H2" i="71" s="1"/>
  <c r="J28" i="55"/>
  <c r="F124" i="55"/>
  <c r="F92" i="55"/>
  <c r="Z21" i="48"/>
  <c r="Z27" i="48" s="1"/>
  <c r="U38" i="59"/>
  <c r="V38" i="59" s="1"/>
  <c r="W38" i="59" s="1"/>
  <c r="X38" i="59" s="1"/>
  <c r="Y38" i="59" s="1"/>
  <c r="J113" i="55"/>
  <c r="J81" i="55"/>
  <c r="F109" i="75"/>
  <c r="F37" i="75" s="1"/>
  <c r="F41" i="75" s="1"/>
  <c r="H109" i="75"/>
  <c r="H37" i="75" s="1"/>
  <c r="H33" i="59"/>
  <c r="W68" i="59"/>
  <c r="Q35" i="26"/>
  <c r="I12" i="20"/>
  <c r="I28" i="20"/>
  <c r="M20" i="26"/>
  <c r="M80" i="26" s="1"/>
  <c r="M75" i="26" s="1"/>
  <c r="AH16" i="26"/>
  <c r="J101" i="55"/>
  <c r="J69" i="55"/>
  <c r="R35" i="26"/>
  <c r="K101" i="55"/>
  <c r="K69" i="55"/>
  <c r="AA10" i="33"/>
  <c r="H22" i="33" s="1"/>
  <c r="Z15" i="33"/>
  <c r="AA21" i="48"/>
  <c r="AA19" i="48" s="1"/>
  <c r="E20" i="35" s="1"/>
  <c r="F22" i="55" s="1"/>
  <c r="F118" i="55" s="1"/>
  <c r="E88" i="55"/>
  <c r="Y38" i="80"/>
  <c r="AD24" i="48"/>
  <c r="AE130" i="48"/>
  <c r="Z19" i="48"/>
  <c r="D20" i="35" s="1"/>
  <c r="E22" i="55" s="1"/>
  <c r="E86" i="55" s="1"/>
  <c r="L33" i="48"/>
  <c r="AC128" i="48"/>
  <c r="AB21" i="48"/>
  <c r="Z38" i="59"/>
  <c r="C18" i="35"/>
  <c r="D20" i="55" s="1"/>
  <c r="U98" i="75"/>
  <c r="U27" i="75"/>
  <c r="U26" i="75" s="1"/>
  <c r="U29" i="75" s="1"/>
  <c r="AB69" i="59"/>
  <c r="AB71" i="59" s="1"/>
  <c r="AB70" i="59" s="1"/>
  <c r="V76" i="59"/>
  <c r="Z104" i="75"/>
  <c r="Z106" i="75" s="1"/>
  <c r="Z105" i="75" s="1"/>
  <c r="M98" i="75"/>
  <c r="M27" i="75"/>
  <c r="M26" i="75" s="1"/>
  <c r="M29" i="75" s="1"/>
  <c r="L29" i="76"/>
  <c r="K29" i="76"/>
  <c r="M29" i="76" s="1"/>
  <c r="L30" i="76"/>
  <c r="T98" i="75"/>
  <c r="T27" i="75"/>
  <c r="T26" i="75" s="1"/>
  <c r="T29" i="75" s="1"/>
  <c r="K42" i="76"/>
  <c r="M42" i="76" s="1"/>
  <c r="L42" i="76"/>
  <c r="L98" i="75"/>
  <c r="L97" i="75" s="1"/>
  <c r="L100" i="75" s="1"/>
  <c r="L27" i="75"/>
  <c r="L26" i="75" s="1"/>
  <c r="L29" i="75" s="1"/>
  <c r="L41" i="76"/>
  <c r="K41" i="76"/>
  <c r="M41" i="76" s="1"/>
  <c r="N28" i="21"/>
  <c r="D22" i="21"/>
  <c r="N40" i="30" s="1"/>
  <c r="N39" i="30"/>
  <c r="X12" i="74"/>
  <c r="W14" i="74"/>
  <c r="W13" i="74" s="1"/>
  <c r="W11" i="74" s="1"/>
  <c r="W19" i="74" s="1"/>
  <c r="E14" i="76"/>
  <c r="F13" i="76"/>
  <c r="L28" i="21"/>
  <c r="L12" i="20"/>
  <c r="L28" i="20"/>
  <c r="G127" i="55"/>
  <c r="G95" i="55"/>
  <c r="D104" i="55"/>
  <c r="D72" i="55"/>
  <c r="J49" i="20"/>
  <c r="J50" i="20" s="1"/>
  <c r="C2" i="50"/>
  <c r="P49" i="48"/>
  <c r="O49" i="48"/>
  <c r="M49" i="48"/>
  <c r="N49" i="48"/>
  <c r="Z20" i="70"/>
  <c r="Z27" i="70" s="1"/>
  <c r="C6" i="71" s="1"/>
  <c r="E32" i="55"/>
  <c r="Z33" i="75"/>
  <c r="Z38" i="75" s="1"/>
  <c r="Z23" i="75"/>
  <c r="Z25" i="59"/>
  <c r="Z30" i="59" s="1"/>
  <c r="AA12" i="49"/>
  <c r="P42" i="38"/>
  <c r="R42" i="38" s="1"/>
  <c r="T43" i="38"/>
  <c r="C15" i="21"/>
  <c r="C84" i="21"/>
  <c r="W14" i="21"/>
  <c r="I26" i="75"/>
  <c r="I29" i="75" s="1"/>
  <c r="I73" i="38"/>
  <c r="I71" i="38"/>
  <c r="H44" i="76"/>
  <c r="G45" i="76"/>
  <c r="I41" i="75"/>
  <c r="Z13" i="30"/>
  <c r="Z15" i="30"/>
  <c r="U52" i="21"/>
  <c r="U47" i="21" s="1"/>
  <c r="AE85" i="26" s="1"/>
  <c r="M52" i="21"/>
  <c r="T52" i="21"/>
  <c r="T47" i="21" s="1"/>
  <c r="AD85" i="26" s="1"/>
  <c r="L52" i="21"/>
  <c r="S52" i="21"/>
  <c r="K52" i="21"/>
  <c r="D78" i="21"/>
  <c r="R52" i="21"/>
  <c r="J52" i="21"/>
  <c r="J47" i="21" s="1"/>
  <c r="Q52" i="21"/>
  <c r="I52" i="21"/>
  <c r="P52" i="21"/>
  <c r="H52" i="21"/>
  <c r="O52" i="21"/>
  <c r="V52" i="21"/>
  <c r="N52" i="21"/>
  <c r="W35" i="26"/>
  <c r="W13" i="26"/>
  <c r="S49" i="48"/>
  <c r="Q49" i="48"/>
  <c r="T49" i="48"/>
  <c r="R49" i="48"/>
  <c r="E15" i="35"/>
  <c r="F17" i="55" s="1"/>
  <c r="S17" i="38"/>
  <c r="L16" i="38"/>
  <c r="L4" i="50"/>
  <c r="S64" i="59"/>
  <c r="S62" i="59" s="1"/>
  <c r="S65" i="59" s="1"/>
  <c r="I22" i="21"/>
  <c r="S40" i="30" s="1"/>
  <c r="S39" i="30"/>
  <c r="E101" i="55"/>
  <c r="E69" i="55"/>
  <c r="N50" i="48"/>
  <c r="P50" i="48"/>
  <c r="M50" i="48"/>
  <c r="O50" i="48"/>
  <c r="I81" i="55"/>
  <c r="I113" i="55"/>
  <c r="U35" i="26"/>
  <c r="U13" i="26"/>
  <c r="V28" i="21"/>
  <c r="AF83" i="26" s="1"/>
  <c r="AG83" i="26" s="1"/>
  <c r="R28" i="21"/>
  <c r="AB83" i="26" s="1"/>
  <c r="R40" i="59"/>
  <c r="P64" i="59"/>
  <c r="I4" i="50"/>
  <c r="G101" i="55"/>
  <c r="G69" i="55"/>
  <c r="J4" i="50"/>
  <c r="Q64" i="59"/>
  <c r="U64" i="59"/>
  <c r="N4" i="50"/>
  <c r="D105" i="55"/>
  <c r="D73" i="55"/>
  <c r="G63" i="59"/>
  <c r="G62" i="59" s="1"/>
  <c r="G65" i="59" s="1"/>
  <c r="G66" i="59"/>
  <c r="G31" i="59" s="1"/>
  <c r="AA50" i="59"/>
  <c r="Z26" i="59"/>
  <c r="Q25" i="21"/>
  <c r="AA43" i="30" s="1"/>
  <c r="AA41" i="30"/>
  <c r="AA24" i="30" s="1"/>
  <c r="AD82" i="30"/>
  <c r="N6" i="50"/>
  <c r="U46" i="30"/>
  <c r="AD83" i="30" s="1"/>
  <c r="AA33" i="75"/>
  <c r="AA38" i="75" s="1"/>
  <c r="AA23" i="75"/>
  <c r="AA25" i="59"/>
  <c r="AA30" i="59" s="1"/>
  <c r="P29" i="26"/>
  <c r="P78" i="26"/>
  <c r="P15" i="26"/>
  <c r="P20" i="26" s="1"/>
  <c r="P80" i="26" s="1"/>
  <c r="Q30" i="26"/>
  <c r="Z17" i="75"/>
  <c r="Z17" i="59"/>
  <c r="D12" i="35"/>
  <c r="E14" i="55" s="1"/>
  <c r="Y31" i="80"/>
  <c r="G131" i="75"/>
  <c r="G132" i="75" s="1"/>
  <c r="G96" i="59"/>
  <c r="G97" i="59" s="1"/>
  <c r="N15" i="21"/>
  <c r="F85" i="21" s="1"/>
  <c r="F84" i="21"/>
  <c r="X38" i="26"/>
  <c r="X35" i="26" s="1"/>
  <c r="M31" i="76"/>
  <c r="M30" i="76"/>
  <c r="P26" i="75"/>
  <c r="P29" i="75" s="1"/>
  <c r="R26" i="75"/>
  <c r="R29" i="75" s="1"/>
  <c r="I25" i="21"/>
  <c r="C10" i="35"/>
  <c r="D12" i="55" s="1"/>
  <c r="Y30" i="49"/>
  <c r="Q47" i="21"/>
  <c r="AA85" i="26" s="1"/>
  <c r="W67" i="59"/>
  <c r="X68" i="59"/>
  <c r="M47" i="21"/>
  <c r="W85" i="26" s="1"/>
  <c r="R36" i="30"/>
  <c r="R47" i="21"/>
  <c r="AB85" i="26" s="1"/>
  <c r="AC129" i="48"/>
  <c r="AB23" i="48"/>
  <c r="G16" i="35"/>
  <c r="H18" i="55" s="1"/>
  <c r="P4" i="50"/>
  <c r="W64" i="59"/>
  <c r="M6" i="50"/>
  <c r="T46" i="30"/>
  <c r="S46" i="48"/>
  <c r="R46" i="48"/>
  <c r="Q46" i="48"/>
  <c r="T46" i="48"/>
  <c r="K4" i="50"/>
  <c r="R64" i="59"/>
  <c r="R62" i="59" s="1"/>
  <c r="R65" i="59" s="1"/>
  <c r="O4" i="50"/>
  <c r="V64" i="59"/>
  <c r="O28" i="21"/>
  <c r="S28" i="21"/>
  <c r="AC83" i="26" s="1"/>
  <c r="T38" i="75"/>
  <c r="T99" i="75"/>
  <c r="F101" i="55"/>
  <c r="F69" i="55"/>
  <c r="T50" i="48"/>
  <c r="S50" i="48"/>
  <c r="R50" i="48"/>
  <c r="Q50" i="48"/>
  <c r="V15" i="30"/>
  <c r="V13" i="30"/>
  <c r="V12" i="30" s="1"/>
  <c r="M14" i="59"/>
  <c r="M63" i="59" s="1"/>
  <c r="K28" i="20"/>
  <c r="K12" i="20"/>
  <c r="P40" i="59"/>
  <c r="H22" i="21"/>
  <c r="R40" i="30" s="1"/>
  <c r="R39" i="30"/>
  <c r="U15" i="30"/>
  <c r="AD52" i="30" s="1"/>
  <c r="AD57" i="30"/>
  <c r="U13" i="30"/>
  <c r="AH39" i="26"/>
  <c r="AI16" i="26" s="1"/>
  <c r="J43" i="76"/>
  <c r="I43" i="76"/>
  <c r="O47" i="21"/>
  <c r="Y85" i="26" s="1"/>
  <c r="AB13" i="26"/>
  <c r="K101" i="75"/>
  <c r="J39" i="75"/>
  <c r="S32" i="38"/>
  <c r="O31" i="38"/>
  <c r="Q31" i="38" s="1"/>
  <c r="T28" i="21"/>
  <c r="AD83" i="26" s="1"/>
  <c r="AB20" i="70"/>
  <c r="AB27" i="70" s="1"/>
  <c r="E6" i="71" s="1"/>
  <c r="G32" i="55"/>
  <c r="J66" i="48"/>
  <c r="J73" i="48" s="1"/>
  <c r="J39" i="48"/>
  <c r="K34" i="48"/>
  <c r="AA35" i="26"/>
  <c r="AA13" i="26"/>
  <c r="G84" i="21"/>
  <c r="G87" i="21" s="1"/>
  <c r="R15" i="21"/>
  <c r="G85" i="21" s="1"/>
  <c r="AB38" i="26"/>
  <c r="AB35" i="26" s="1"/>
  <c r="C25" i="21"/>
  <c r="M43" i="30" s="1"/>
  <c r="M36" i="30"/>
  <c r="K47" i="21"/>
  <c r="U85" i="26" s="1"/>
  <c r="E84" i="21"/>
  <c r="J15" i="21"/>
  <c r="E85" i="21" s="1"/>
  <c r="T38" i="26"/>
  <c r="T35" i="26" s="1"/>
  <c r="W99" i="75"/>
  <c r="J22" i="21"/>
  <c r="T40" i="30" s="1"/>
  <c r="T39" i="30"/>
  <c r="J35" i="48"/>
  <c r="J63" i="48"/>
  <c r="J70" i="48" s="1"/>
  <c r="K31" i="48"/>
  <c r="L31" i="48" s="1"/>
  <c r="L35" i="48" s="1"/>
  <c r="Q62" i="59"/>
  <c r="Q65" i="59" s="1"/>
  <c r="G105" i="55"/>
  <c r="G73" i="55"/>
  <c r="E28" i="21"/>
  <c r="H28" i="21"/>
  <c r="P6" i="50"/>
  <c r="W46" i="30"/>
  <c r="Q4" i="50"/>
  <c r="F6" i="50"/>
  <c r="M46" i="30"/>
  <c r="J40" i="59"/>
  <c r="V16" i="75"/>
  <c r="V14" i="75" s="1"/>
  <c r="V16" i="59"/>
  <c r="V14" i="59" s="1"/>
  <c r="V63" i="59" s="1"/>
  <c r="V62" i="59" s="1"/>
  <c r="V65" i="59" s="1"/>
  <c r="W20" i="25"/>
  <c r="R41" i="38"/>
  <c r="J66" i="59"/>
  <c r="L22" i="21"/>
  <c r="V40" i="30" s="1"/>
  <c r="V39" i="30"/>
  <c r="B50" i="76"/>
  <c r="D50" i="76" s="1"/>
  <c r="G35" i="76" s="1"/>
  <c r="H35" i="76" s="1"/>
  <c r="D49" i="76"/>
  <c r="G34" i="76" s="1"/>
  <c r="H34" i="76" s="1"/>
  <c r="F63" i="59"/>
  <c r="F62" i="59" s="1"/>
  <c r="F65" i="59" s="1"/>
  <c r="F66" i="59"/>
  <c r="F31" i="59" s="1"/>
  <c r="K28" i="21"/>
  <c r="T30" i="59"/>
  <c r="M5" i="50" s="1"/>
  <c r="T64" i="59"/>
  <c r="U99" i="75"/>
  <c r="M48" i="48"/>
  <c r="O48" i="48"/>
  <c r="N48" i="48"/>
  <c r="P48" i="48"/>
  <c r="F74" i="21"/>
  <c r="X33" i="75"/>
  <c r="X38" i="75" s="1"/>
  <c r="X23" i="75"/>
  <c r="X25" i="59"/>
  <c r="X30" i="59" s="1"/>
  <c r="Q5" i="50" s="1"/>
  <c r="F87" i="21"/>
  <c r="K6" i="50"/>
  <c r="R46" i="30"/>
  <c r="AH17" i="26"/>
  <c r="N20" i="26"/>
  <c r="N80" i="26" s="1"/>
  <c r="N75" i="26" s="1"/>
  <c r="AC27" i="20"/>
  <c r="F5" i="35"/>
  <c r="G7" i="55" s="1"/>
  <c r="F102" i="55"/>
  <c r="F70" i="55"/>
  <c r="T48" i="48"/>
  <c r="S48" i="48"/>
  <c r="R48" i="48"/>
  <c r="Q48" i="48"/>
  <c r="P47" i="21"/>
  <c r="Z85" i="26" s="1"/>
  <c r="S47" i="21"/>
  <c r="AC85" i="26" s="1"/>
  <c r="N47" i="21"/>
  <c r="X85" i="26" s="1"/>
  <c r="E87" i="21"/>
  <c r="F15" i="21"/>
  <c r="D85" i="21" s="1"/>
  <c r="D84" i="21"/>
  <c r="P38" i="26"/>
  <c r="AH38" i="26" s="1"/>
  <c r="AI14" i="26" s="1"/>
  <c r="F88" i="55"/>
  <c r="F120" i="55"/>
  <c r="W8" i="21"/>
  <c r="M28" i="21"/>
  <c r="P28" i="21"/>
  <c r="Z83" i="26" s="1"/>
  <c r="L14" i="59"/>
  <c r="L63" i="59" s="1"/>
  <c r="L62" i="59" s="1"/>
  <c r="L65" i="59" s="1"/>
  <c r="M22" i="21"/>
  <c r="W40" i="30" s="1"/>
  <c r="W39" i="30"/>
  <c r="R13" i="30"/>
  <c r="R12" i="30" s="1"/>
  <c r="R15" i="30"/>
  <c r="S35" i="26"/>
  <c r="Y85" i="75"/>
  <c r="X34" i="75"/>
  <c r="X24" i="75"/>
  <c r="P15" i="30"/>
  <c r="P13" i="30"/>
  <c r="P12" i="30" s="1"/>
  <c r="H4" i="50"/>
  <c r="O64" i="59"/>
  <c r="O62" i="59" s="1"/>
  <c r="O65" i="59" s="1"/>
  <c r="AC35" i="26"/>
  <c r="AC13" i="26"/>
  <c r="U14" i="59"/>
  <c r="U63" i="59" s="1"/>
  <c r="U62" i="59" s="1"/>
  <c r="U65" i="59" s="1"/>
  <c r="K26" i="75"/>
  <c r="K29" i="75" s="1"/>
  <c r="D25" i="21"/>
  <c r="I33" i="59"/>
  <c r="P46" i="48"/>
  <c r="O46" i="48"/>
  <c r="M46" i="48"/>
  <c r="N46" i="48"/>
  <c r="O43" i="30"/>
  <c r="E26" i="21"/>
  <c r="E124" i="55"/>
  <c r="E92" i="55"/>
  <c r="Q99" i="75"/>
  <c r="Q97" i="75" s="1"/>
  <c r="Q100" i="75" s="1"/>
  <c r="P97" i="75"/>
  <c r="P100" i="75" s="1"/>
  <c r="F103" i="55"/>
  <c r="F71" i="55"/>
  <c r="AC11" i="20"/>
  <c r="F4" i="35"/>
  <c r="G6" i="55" s="1"/>
  <c r="Q6" i="50"/>
  <c r="X46" i="30"/>
  <c r="I6" i="50"/>
  <c r="P46" i="30"/>
  <c r="T62" i="59"/>
  <c r="T65" i="59" s="1"/>
  <c r="U49" i="48"/>
  <c r="W49" i="48"/>
  <c r="V49" i="48"/>
  <c r="X49" i="48"/>
  <c r="K32" i="48"/>
  <c r="J37" i="48"/>
  <c r="J64" i="48"/>
  <c r="J71" i="48" s="1"/>
  <c r="K36" i="76"/>
  <c r="Z35" i="26"/>
  <c r="Z13" i="26"/>
  <c r="O6" i="50"/>
  <c r="V46" i="30"/>
  <c r="H47" i="21"/>
  <c r="R85" i="26" s="1"/>
  <c r="V47" i="21"/>
  <c r="AF85" i="26" s="1"/>
  <c r="AG85" i="26" s="1"/>
  <c r="D74" i="59"/>
  <c r="D29" i="59" s="1"/>
  <c r="D33" i="59" s="1"/>
  <c r="U68" i="59"/>
  <c r="U67" i="59" s="1"/>
  <c r="D87" i="21"/>
  <c r="AB14" i="25"/>
  <c r="AB13" i="25" s="1"/>
  <c r="AB11" i="25" s="1"/>
  <c r="AC12" i="25"/>
  <c r="AC131" i="48"/>
  <c r="AB25" i="48"/>
  <c r="F22" i="35" s="1"/>
  <c r="G24" i="55" s="1"/>
  <c r="D15" i="35"/>
  <c r="E17" i="55" s="1"/>
  <c r="Z64" i="59"/>
  <c r="Y35" i="26"/>
  <c r="Y13" i="26"/>
  <c r="U28" i="21"/>
  <c r="AE83" i="26" s="1"/>
  <c r="I28" i="21"/>
  <c r="H128" i="55"/>
  <c r="H96" i="55"/>
  <c r="F15" i="35"/>
  <c r="G17" i="55" s="1"/>
  <c r="J48" i="75"/>
  <c r="C15" i="35"/>
  <c r="D17" i="55" s="1"/>
  <c r="R4" i="50"/>
  <c r="O25" i="21"/>
  <c r="Y43" i="30" s="1"/>
  <c r="Y41" i="30"/>
  <c r="Y24" i="30" s="1"/>
  <c r="Q46" i="30"/>
  <c r="J6" i="50"/>
  <c r="R48" i="75"/>
  <c r="O99" i="75"/>
  <c r="G4" i="50"/>
  <c r="N64" i="59"/>
  <c r="N62" i="59" s="1"/>
  <c r="N65" i="59" s="1"/>
  <c r="O20" i="26"/>
  <c r="O80" i="26" s="1"/>
  <c r="O75" i="26" s="1"/>
  <c r="D101" i="55"/>
  <c r="D69" i="55"/>
  <c r="X13" i="26"/>
  <c r="K97" i="75"/>
  <c r="K100" i="75" s="1"/>
  <c r="K109" i="75" s="1"/>
  <c r="K37" i="75" s="1"/>
  <c r="F22" i="21"/>
  <c r="P40" i="30" s="1"/>
  <c r="P39" i="30"/>
  <c r="AB15" i="30"/>
  <c r="AC17" i="30"/>
  <c r="AB13" i="30"/>
  <c r="S99" i="75"/>
  <c r="S97" i="75" s="1"/>
  <c r="S100" i="75" s="1"/>
  <c r="W5" i="21"/>
  <c r="C75" i="21"/>
  <c r="M32" i="75"/>
  <c r="M99" i="75" s="1"/>
  <c r="M24" i="59"/>
  <c r="G27" i="75"/>
  <c r="G26" i="75" s="1"/>
  <c r="G29" i="75" s="1"/>
  <c r="G98" i="75"/>
  <c r="G97" i="75" s="1"/>
  <c r="G100" i="75" s="1"/>
  <c r="G101" i="75"/>
  <c r="G39" i="75" s="1"/>
  <c r="K22" i="21"/>
  <c r="U40" i="30" s="1"/>
  <c r="AD77" i="30" s="1"/>
  <c r="U39" i="30"/>
  <c r="AD76" i="30" s="1"/>
  <c r="O27" i="75"/>
  <c r="O26" i="75" s="1"/>
  <c r="O29" i="75" s="1"/>
  <c r="O98" i="75"/>
  <c r="AA27" i="48"/>
  <c r="AB10" i="48"/>
  <c r="K65" i="48"/>
  <c r="K72" i="48" s="1"/>
  <c r="K38" i="48"/>
  <c r="L25" i="21"/>
  <c r="V36" i="30"/>
  <c r="I47" i="21"/>
  <c r="S85" i="26" s="1"/>
  <c r="L47" i="21"/>
  <c r="V85" i="26" s="1"/>
  <c r="Q85" i="26"/>
  <c r="U103" i="75"/>
  <c r="U102" i="75" s="1"/>
  <c r="V103" i="75"/>
  <c r="H39" i="75"/>
  <c r="H69" i="55"/>
  <c r="H101" i="55"/>
  <c r="V68" i="59"/>
  <c r="V67" i="59" s="1"/>
  <c r="M46" i="38"/>
  <c r="M47" i="38" s="1"/>
  <c r="S46" i="30"/>
  <c r="L6" i="50"/>
  <c r="V35" i="26"/>
  <c r="V13" i="26"/>
  <c r="P62" i="59"/>
  <c r="P65" i="59" s="1"/>
  <c r="N98" i="75"/>
  <c r="N27" i="75"/>
  <c r="N26" i="75" s="1"/>
  <c r="N29" i="75" s="1"/>
  <c r="S28" i="75"/>
  <c r="S26" i="75" s="1"/>
  <c r="S29" i="75" s="1"/>
  <c r="F16" i="35"/>
  <c r="G18" i="55" s="1"/>
  <c r="N35" i="26"/>
  <c r="AH37" i="26"/>
  <c r="AI13" i="26" s="1"/>
  <c r="F28" i="21"/>
  <c r="Q28" i="21"/>
  <c r="AA83" i="26" s="1"/>
  <c r="E74" i="59"/>
  <c r="E29" i="59" s="1"/>
  <c r="E33" i="59" s="1"/>
  <c r="G6" i="50"/>
  <c r="N46" i="30"/>
  <c r="G18" i="49"/>
  <c r="G19" i="49" s="1"/>
  <c r="G20" i="49" s="1"/>
  <c r="Z27" i="49" s="1"/>
  <c r="AA27" i="49" s="1"/>
  <c r="G15" i="35"/>
  <c r="H17" i="55" s="1"/>
  <c r="G22" i="21"/>
  <c r="Q40" i="30" s="1"/>
  <c r="Q39" i="30"/>
  <c r="E127" i="55"/>
  <c r="E95" i="55"/>
  <c r="N25" i="21"/>
  <c r="X43" i="30" s="1"/>
  <c r="X37" i="30"/>
  <c r="X20" i="30" s="1"/>
  <c r="Y33" i="75"/>
  <c r="Y38" i="75" s="1"/>
  <c r="Y23" i="75"/>
  <c r="Y25" i="59"/>
  <c r="Y30" i="59" s="1"/>
  <c r="N99" i="75"/>
  <c r="J109" i="75"/>
  <c r="J37" i="75" s="1"/>
  <c r="M25" i="21"/>
  <c r="J92" i="55" l="1"/>
  <c r="J124" i="55"/>
  <c r="L38" i="48"/>
  <c r="M33" i="48"/>
  <c r="M38" i="48" s="1"/>
  <c r="H41" i="75"/>
  <c r="G134" i="75"/>
  <c r="G99" i="59"/>
  <c r="F2" i="50"/>
  <c r="M49" i="20"/>
  <c r="M50" i="20" s="1"/>
  <c r="P35" i="26"/>
  <c r="AA15" i="33"/>
  <c r="AB10" i="33"/>
  <c r="M31" i="48"/>
  <c r="M35" i="48" s="1"/>
  <c r="AF130" i="48"/>
  <c r="AE24" i="48"/>
  <c r="E118" i="55"/>
  <c r="F86" i="55"/>
  <c r="AB19" i="48"/>
  <c r="F20" i="35" s="1"/>
  <c r="G22" i="55" s="1"/>
  <c r="G86" i="55" s="1"/>
  <c r="AC10" i="48"/>
  <c r="AC21" i="48"/>
  <c r="AD128" i="48"/>
  <c r="F74" i="59"/>
  <c r="F29" i="59" s="1"/>
  <c r="F33" i="59" s="1"/>
  <c r="G74" i="59"/>
  <c r="G29" i="59" s="1"/>
  <c r="AA104" i="75"/>
  <c r="AA106" i="75" s="1"/>
  <c r="AA105" i="75"/>
  <c r="T85" i="26"/>
  <c r="W47" i="21"/>
  <c r="V83" i="26"/>
  <c r="G114" i="55"/>
  <c r="G82" i="55"/>
  <c r="W103" i="75"/>
  <c r="V102" i="75"/>
  <c r="AA49" i="48"/>
  <c r="Y49" i="48"/>
  <c r="AB49" i="48"/>
  <c r="Z49" i="48"/>
  <c r="Z14" i="48"/>
  <c r="AA14" i="48" s="1"/>
  <c r="M64" i="59"/>
  <c r="F4" i="50"/>
  <c r="AC15" i="30"/>
  <c r="AD17" i="30"/>
  <c r="AC13" i="30"/>
  <c r="G113" i="55"/>
  <c r="G81" i="55"/>
  <c r="G102" i="55"/>
  <c r="G70" i="55"/>
  <c r="G103" i="55"/>
  <c r="G71" i="55"/>
  <c r="AD129" i="48"/>
  <c r="AC23" i="48"/>
  <c r="X67" i="59"/>
  <c r="Y68" i="59"/>
  <c r="Q29" i="26"/>
  <c r="Q78" i="26"/>
  <c r="R30" i="26"/>
  <c r="Q15" i="26"/>
  <c r="AB12" i="49"/>
  <c r="K25" i="21"/>
  <c r="K66" i="59"/>
  <c r="J31" i="59"/>
  <c r="J74" i="59"/>
  <c r="J29" i="59" s="1"/>
  <c r="U83" i="26"/>
  <c r="AH13" i="26"/>
  <c r="C16" i="35"/>
  <c r="D18" i="55" s="1"/>
  <c r="R5" i="50"/>
  <c r="Y13" i="30"/>
  <c r="Y12" i="30" s="1"/>
  <c r="Z12" i="30" s="1"/>
  <c r="Y15" i="30"/>
  <c r="E113" i="55"/>
  <c r="E81" i="55"/>
  <c r="AD11" i="20"/>
  <c r="G4" i="35"/>
  <c r="H6" i="55" s="1"/>
  <c r="N43" i="30"/>
  <c r="D26" i="21"/>
  <c r="AD27" i="20"/>
  <c r="G5" i="35"/>
  <c r="H7" i="55" s="1"/>
  <c r="W14" i="75"/>
  <c r="W16" i="59"/>
  <c r="W14" i="59" s="1"/>
  <c r="W63" i="59" s="1"/>
  <c r="W62" i="59" s="1"/>
  <c r="W65" i="59" s="1"/>
  <c r="X20" i="25"/>
  <c r="X64" i="59"/>
  <c r="S33" i="38"/>
  <c r="O32" i="38"/>
  <c r="Q32" i="38" s="1"/>
  <c r="L43" i="76"/>
  <c r="K43" i="76"/>
  <c r="M43" i="76" s="1"/>
  <c r="F113" i="55"/>
  <c r="F81" i="55"/>
  <c r="AC69" i="59"/>
  <c r="AC71" i="59" s="1"/>
  <c r="AC70" i="59"/>
  <c r="O49" i="20"/>
  <c r="O50" i="20" s="1"/>
  <c r="H2" i="50"/>
  <c r="S18" i="38"/>
  <c r="L17" i="38"/>
  <c r="N17" i="38" s="1"/>
  <c r="L65" i="48"/>
  <c r="G88" i="55"/>
  <c r="G120" i="55"/>
  <c r="X28" i="75"/>
  <c r="X26" i="75" s="1"/>
  <c r="K66" i="48"/>
  <c r="K73" i="48" s="1"/>
  <c r="K39" i="48"/>
  <c r="L34" i="48"/>
  <c r="P75" i="26"/>
  <c r="AA15" i="30"/>
  <c r="AA13" i="30"/>
  <c r="G25" i="21"/>
  <c r="W43" i="30"/>
  <c r="M26" i="21"/>
  <c r="AB27" i="48"/>
  <c r="Y64" i="59"/>
  <c r="AD131" i="48"/>
  <c r="AC25" i="48"/>
  <c r="G22" i="35" s="1"/>
  <c r="H24" i="55" s="1"/>
  <c r="M37" i="76"/>
  <c r="J34" i="76"/>
  <c r="I34" i="76"/>
  <c r="V27" i="75"/>
  <c r="V26" i="75" s="1"/>
  <c r="V29" i="75" s="1"/>
  <c r="V98" i="75"/>
  <c r="V97" i="75" s="1"/>
  <c r="V100" i="75" s="1"/>
  <c r="V42" i="75"/>
  <c r="V50" i="48"/>
  <c r="U50" i="48"/>
  <c r="X50" i="48"/>
  <c r="W50" i="48"/>
  <c r="J41" i="75"/>
  <c r="AD50" i="30"/>
  <c r="U12" i="30"/>
  <c r="AD49" i="30" s="1"/>
  <c r="M62" i="59"/>
  <c r="M65" i="59" s="1"/>
  <c r="D16" i="35"/>
  <c r="E18" i="55" s="1"/>
  <c r="M97" i="75"/>
  <c r="M100" i="75" s="1"/>
  <c r="U97" i="75"/>
  <c r="U100" i="75" s="1"/>
  <c r="X46" i="48"/>
  <c r="W46" i="48"/>
  <c r="U46" i="48"/>
  <c r="V46" i="48"/>
  <c r="X15" i="30"/>
  <c r="X13" i="30"/>
  <c r="X12" i="30" s="1"/>
  <c r="AD12" i="25"/>
  <c r="AC14" i="25"/>
  <c r="AC13" i="25" s="1"/>
  <c r="AC11" i="25" s="1"/>
  <c r="N49" i="20"/>
  <c r="N50" i="20" s="1"/>
  <c r="G2" i="50"/>
  <c r="I35" i="76"/>
  <c r="J35" i="76" s="1"/>
  <c r="J25" i="21"/>
  <c r="K39" i="75"/>
  <c r="K41" i="75" s="1"/>
  <c r="L101" i="75"/>
  <c r="L109" i="75" s="1"/>
  <c r="L37" i="75" s="1"/>
  <c r="H114" i="55"/>
  <c r="H82" i="55"/>
  <c r="H25" i="21"/>
  <c r="D108" i="55"/>
  <c r="D76" i="55"/>
  <c r="E110" i="55"/>
  <c r="E78" i="55"/>
  <c r="E16" i="35"/>
  <c r="F18" i="55" s="1"/>
  <c r="H45" i="76"/>
  <c r="G46" i="76"/>
  <c r="H46" i="76" s="1"/>
  <c r="Y12" i="74"/>
  <c r="X14" i="74"/>
  <c r="X13" i="74" s="1"/>
  <c r="X11" i="74"/>
  <c r="X19" i="74" s="1"/>
  <c r="D116" i="55"/>
  <c r="D84" i="55"/>
  <c r="V43" i="30"/>
  <c r="L26" i="21"/>
  <c r="H81" i="55"/>
  <c r="H113" i="55"/>
  <c r="Y99" i="75"/>
  <c r="N97" i="75"/>
  <c r="N100" i="75" s="1"/>
  <c r="X83" i="26"/>
  <c r="D113" i="55"/>
  <c r="D81" i="55"/>
  <c r="Y83" i="26"/>
  <c r="Y20" i="26"/>
  <c r="X48" i="48"/>
  <c r="U48" i="48"/>
  <c r="W48" i="48"/>
  <c r="V48" i="48"/>
  <c r="Z85" i="75"/>
  <c r="Y34" i="75"/>
  <c r="Y24" i="75"/>
  <c r="Y28" i="75" s="1"/>
  <c r="Y26" i="75" s="1"/>
  <c r="K63" i="48"/>
  <c r="K70" i="48" s="1"/>
  <c r="K35" i="48"/>
  <c r="G128" i="55"/>
  <c r="G96" i="55"/>
  <c r="S43" i="30"/>
  <c r="I26" i="21"/>
  <c r="AA26" i="59"/>
  <c r="AA64" i="59" s="1"/>
  <c r="AB50" i="59"/>
  <c r="I44" i="76"/>
  <c r="J44" i="76" s="1"/>
  <c r="C85" i="21"/>
  <c r="C87" i="21" s="1"/>
  <c r="W15" i="21"/>
  <c r="J12" i="20"/>
  <c r="J28" i="20"/>
  <c r="T97" i="75"/>
  <c r="T100" i="75" s="1"/>
  <c r="AA38" i="59"/>
  <c r="D18" i="35"/>
  <c r="E20" i="55" s="1"/>
  <c r="G13" i="76"/>
  <c r="F14" i="76"/>
  <c r="Z45" i="75"/>
  <c r="Z37" i="59"/>
  <c r="Z29" i="49"/>
  <c r="Z30" i="49" s="1"/>
  <c r="D11" i="35"/>
  <c r="AH35" i="26"/>
  <c r="O97" i="75"/>
  <c r="O100" i="75" s="1"/>
  <c r="G109" i="75"/>
  <c r="G37" i="75" s="1"/>
  <c r="G41" i="75" s="1"/>
  <c r="K64" i="48"/>
  <c r="K71" i="48" s="1"/>
  <c r="L32" i="48"/>
  <c r="M32" i="48" s="1"/>
  <c r="M37" i="48" s="1"/>
  <c r="K37" i="48"/>
  <c r="X99" i="75"/>
  <c r="AA17" i="75"/>
  <c r="AA17" i="59"/>
  <c r="E12" i="35"/>
  <c r="F14" i="55" s="1"/>
  <c r="G33" i="59"/>
  <c r="N16" i="38"/>
  <c r="W83" i="26"/>
  <c r="P43" i="38"/>
  <c r="R43" i="38" s="1"/>
  <c r="T44" i="38"/>
  <c r="E128" i="55"/>
  <c r="E96" i="55"/>
  <c r="F25" i="21"/>
  <c r="G118" i="55" l="1"/>
  <c r="L39" i="48"/>
  <c r="M34" i="48"/>
  <c r="M39" i="48" s="1"/>
  <c r="J33" i="59"/>
  <c r="C3" i="50" s="1"/>
  <c r="M12" i="20"/>
  <c r="M28" i="20"/>
  <c r="AC19" i="48"/>
  <c r="G20" i="35" s="1"/>
  <c r="H22" i="55" s="1"/>
  <c r="H118" i="55" s="1"/>
  <c r="AF24" i="48"/>
  <c r="AG130" i="48"/>
  <c r="AG24" i="48" s="1"/>
  <c r="AE128" i="48"/>
  <c r="AD21" i="48"/>
  <c r="AB15" i="33"/>
  <c r="L44" i="76"/>
  <c r="K44" i="76"/>
  <c r="M44" i="76" s="1"/>
  <c r="L35" i="76"/>
  <c r="K35" i="76"/>
  <c r="L36" i="76"/>
  <c r="D114" i="55"/>
  <c r="D82" i="55"/>
  <c r="L37" i="48"/>
  <c r="L64" i="48"/>
  <c r="Z10" i="26"/>
  <c r="D10" i="35"/>
  <c r="E12" i="55" s="1"/>
  <c r="E116" i="55"/>
  <c r="E84" i="55"/>
  <c r="T43" i="30"/>
  <c r="J26" i="21"/>
  <c r="AD14" i="25"/>
  <c r="AD13" i="25" s="1"/>
  <c r="AD11" i="25" s="1"/>
  <c r="S19" i="38"/>
  <c r="L18" i="38"/>
  <c r="N18" i="38" s="1"/>
  <c r="AE11" i="20"/>
  <c r="AF11" i="20" s="1"/>
  <c r="AG11" i="20" s="1"/>
  <c r="H4" i="35"/>
  <c r="I6" i="55" s="1"/>
  <c r="W102" i="75"/>
  <c r="X103" i="75"/>
  <c r="H120" i="55"/>
  <c r="H88" i="55"/>
  <c r="Q43" i="30"/>
  <c r="G26" i="21"/>
  <c r="AE129" i="48"/>
  <c r="AD23" i="48"/>
  <c r="H102" i="55"/>
  <c r="H70" i="55"/>
  <c r="AC12" i="49"/>
  <c r="AD12" i="49" s="1"/>
  <c r="AE12" i="49" s="1"/>
  <c r="AF12" i="49" s="1"/>
  <c r="AG12" i="49" s="1"/>
  <c r="H18" i="49"/>
  <c r="H19" i="49" s="1"/>
  <c r="H20" i="49" s="1"/>
  <c r="AB27" i="49" s="1"/>
  <c r="AC27" i="49" s="1"/>
  <c r="AD27" i="49" s="1"/>
  <c r="AE27" i="49" s="1"/>
  <c r="AB38" i="59"/>
  <c r="E18" i="35"/>
  <c r="F20" i="55" s="1"/>
  <c r="Z12" i="74"/>
  <c r="Y14" i="74"/>
  <c r="Y13" i="74" s="1"/>
  <c r="Y11" i="74" s="1"/>
  <c r="Y19" i="74" s="1"/>
  <c r="T45" i="38"/>
  <c r="P45" i="38" s="1"/>
  <c r="P44" i="38"/>
  <c r="R44" i="38" s="1"/>
  <c r="F110" i="55"/>
  <c r="F78" i="55"/>
  <c r="AA45" i="75"/>
  <c r="AA37" i="59"/>
  <c r="AA29" i="49"/>
  <c r="AA30" i="49" s="1"/>
  <c r="E11" i="35"/>
  <c r="F13" i="55" s="1"/>
  <c r="AC50" i="59"/>
  <c r="AB26" i="59"/>
  <c r="AB64" i="59" s="1"/>
  <c r="L63" i="48"/>
  <c r="AE131" i="48"/>
  <c r="AD25" i="48"/>
  <c r="H22" i="35" s="1"/>
  <c r="I24" i="55" s="1"/>
  <c r="Q20" i="26"/>
  <c r="Q80" i="26" s="1"/>
  <c r="Q75" i="26" s="1"/>
  <c r="AB14" i="48"/>
  <c r="AC14" i="48" s="1"/>
  <c r="AD14" i="48" s="1"/>
  <c r="AE14" i="48" s="1"/>
  <c r="AF14" i="48" s="1"/>
  <c r="AG14" i="48" s="1"/>
  <c r="AA85" i="75"/>
  <c r="Z34" i="75"/>
  <c r="Z99" i="75" s="1"/>
  <c r="Z24" i="75"/>
  <c r="Z28" i="75" s="1"/>
  <c r="Z26" i="75" s="1"/>
  <c r="AA46" i="48"/>
  <c r="Z46" i="48"/>
  <c r="Y46" i="48"/>
  <c r="AB46" i="48"/>
  <c r="I46" i="76"/>
  <c r="J46" i="76" s="1"/>
  <c r="R43" i="30"/>
  <c r="H26" i="21"/>
  <c r="L34" i="76"/>
  <c r="K34" i="76"/>
  <c r="H103" i="55"/>
  <c r="H71" i="55"/>
  <c r="R29" i="26"/>
  <c r="R78" i="26"/>
  <c r="S30" i="26"/>
  <c r="R15" i="26"/>
  <c r="R20" i="26" s="1"/>
  <c r="R80" i="26" s="1"/>
  <c r="X16" i="59"/>
  <c r="Y20" i="25"/>
  <c r="X19" i="25"/>
  <c r="X15" i="59" s="1"/>
  <c r="N12" i="20"/>
  <c r="N28" i="20"/>
  <c r="O12" i="20"/>
  <c r="O28" i="20"/>
  <c r="AC10" i="33"/>
  <c r="AC15" i="33" s="1"/>
  <c r="AB17" i="75"/>
  <c r="AB17" i="59"/>
  <c r="F12" i="35"/>
  <c r="G14" i="55" s="1"/>
  <c r="F114" i="55"/>
  <c r="F82" i="55"/>
  <c r="L66" i="48"/>
  <c r="AD69" i="59"/>
  <c r="AD71" i="59" s="1"/>
  <c r="AD70" i="59" s="1"/>
  <c r="S34" i="38"/>
  <c r="O33" i="38"/>
  <c r="Q33" i="38" s="1"/>
  <c r="AA12" i="30"/>
  <c r="Z11" i="30"/>
  <c r="Z46" i="30" s="1"/>
  <c r="D6" i="35" s="1"/>
  <c r="E8" i="55" s="1"/>
  <c r="K31" i="59"/>
  <c r="L66" i="59"/>
  <c r="K74" i="59"/>
  <c r="K29" i="59" s="1"/>
  <c r="AB105" i="75"/>
  <c r="AB104" i="75"/>
  <c r="AB106" i="75" s="1"/>
  <c r="AB48" i="48"/>
  <c r="AA48" i="48"/>
  <c r="Z12" i="48"/>
  <c r="Z48" i="48"/>
  <c r="Y48" i="48"/>
  <c r="Z20" i="26"/>
  <c r="Y80" i="26"/>
  <c r="Y75" i="26" s="1"/>
  <c r="I45" i="76"/>
  <c r="J45" i="76" s="1"/>
  <c r="E114" i="55"/>
  <c r="E82" i="55"/>
  <c r="P49" i="20"/>
  <c r="P50" i="20" s="1"/>
  <c r="I2" i="50"/>
  <c r="AG49" i="48"/>
  <c r="AE49" i="48"/>
  <c r="AD49" i="48"/>
  <c r="AC49" i="48"/>
  <c r="AF49" i="48"/>
  <c r="AE27" i="20"/>
  <c r="H5" i="35"/>
  <c r="I7" i="55" s="1"/>
  <c r="P43" i="30"/>
  <c r="F26" i="21"/>
  <c r="Y32" i="80"/>
  <c r="E13" i="55"/>
  <c r="G14" i="76"/>
  <c r="H13" i="76"/>
  <c r="M101" i="75"/>
  <c r="L39" i="75"/>
  <c r="AB50" i="48"/>
  <c r="AA50" i="48"/>
  <c r="Z16" i="48"/>
  <c r="Z50" i="48"/>
  <c r="Y50" i="48"/>
  <c r="U43" i="30"/>
  <c r="AD80" i="30" s="1"/>
  <c r="K26" i="21"/>
  <c r="Y67" i="59"/>
  <c r="Z68" i="59"/>
  <c r="AE17" i="30"/>
  <c r="AD13" i="30"/>
  <c r="AD15" i="30"/>
  <c r="K33" i="59" l="1"/>
  <c r="D3" i="50" s="1"/>
  <c r="H86" i="55"/>
  <c r="AD19" i="48"/>
  <c r="H20" i="35" s="1"/>
  <c r="AE21" i="48"/>
  <c r="AF128" i="48"/>
  <c r="L46" i="76"/>
  <c r="K46" i="76"/>
  <c r="L45" i="76"/>
  <c r="K45" i="76"/>
  <c r="M45" i="76" s="1"/>
  <c r="J47" i="76"/>
  <c r="L47" i="76" s="1"/>
  <c r="AE69" i="59"/>
  <c r="AE71" i="59" s="1"/>
  <c r="AE70" i="59" s="1"/>
  <c r="L31" i="59"/>
  <c r="M66" i="59"/>
  <c r="L74" i="59"/>
  <c r="L29" i="59" s="1"/>
  <c r="P28" i="20"/>
  <c r="P12" i="20"/>
  <c r="S29" i="26"/>
  <c r="S78" i="26"/>
  <c r="T30" i="26"/>
  <c r="S15" i="26"/>
  <c r="N101" i="75"/>
  <c r="M39" i="75"/>
  <c r="Y49" i="20"/>
  <c r="Y50" i="20" s="1"/>
  <c r="R2" i="50"/>
  <c r="C2" i="35"/>
  <c r="D4" i="55" s="1"/>
  <c r="AC104" i="75"/>
  <c r="AC106" i="75" s="1"/>
  <c r="AC105" i="75" s="1"/>
  <c r="AG46" i="48"/>
  <c r="AF46" i="48"/>
  <c r="AE46" i="48"/>
  <c r="AC46" i="48"/>
  <c r="AD46" i="48"/>
  <c r="Y16" i="59"/>
  <c r="C9" i="35"/>
  <c r="D11" i="55" s="1"/>
  <c r="Y19" i="25"/>
  <c r="AA20" i="26"/>
  <c r="Z80" i="26"/>
  <c r="Z75" i="26" s="1"/>
  <c r="Z11" i="26"/>
  <c r="Z9" i="26" s="1"/>
  <c r="X14" i="59"/>
  <c r="X63" i="59" s="1"/>
  <c r="X62" i="59" s="1"/>
  <c r="X65" i="59" s="1"/>
  <c r="AA34" i="75"/>
  <c r="AA99" i="75" s="1"/>
  <c r="AA24" i="75"/>
  <c r="AA28" i="75" s="1"/>
  <c r="AA26" i="75" s="1"/>
  <c r="AB85" i="75"/>
  <c r="AB37" i="59"/>
  <c r="AB29" i="49"/>
  <c r="AB30" i="49" s="1"/>
  <c r="AB45" i="75"/>
  <c r="F11" i="35"/>
  <c r="G13" i="55" s="1"/>
  <c r="AA12" i="74"/>
  <c r="Z14" i="74"/>
  <c r="Z13" i="74" s="1"/>
  <c r="Z11" i="74" s="1"/>
  <c r="Z19" i="74" s="1"/>
  <c r="Y103" i="75"/>
  <c r="X102" i="75"/>
  <c r="S20" i="38"/>
  <c r="L20" i="38" s="1"/>
  <c r="N20" i="38" s="1"/>
  <c r="L19" i="38"/>
  <c r="E108" i="55"/>
  <c r="E76" i="55"/>
  <c r="J18" i="49"/>
  <c r="J19" i="49" s="1"/>
  <c r="F84" i="55"/>
  <c r="F116" i="55"/>
  <c r="AC17" i="75"/>
  <c r="AD10" i="33"/>
  <c r="AD15" i="33" s="1"/>
  <c r="AC17" i="59"/>
  <c r="G12" i="35"/>
  <c r="H14" i="55" s="1"/>
  <c r="AF17" i="30"/>
  <c r="AE13" i="30"/>
  <c r="AE15" i="30"/>
  <c r="AF27" i="20"/>
  <c r="AG27" i="20" s="1"/>
  <c r="I5" i="35"/>
  <c r="J7" i="55" s="1"/>
  <c r="AA12" i="48"/>
  <c r="Z28" i="48"/>
  <c r="Y37" i="80"/>
  <c r="Z9" i="48"/>
  <c r="E104" i="55"/>
  <c r="E72" i="55"/>
  <c r="X14" i="75"/>
  <c r="M34" i="76"/>
  <c r="K47" i="76"/>
  <c r="M47" i="76" s="1"/>
  <c r="I18" i="49"/>
  <c r="I19" i="49" s="1"/>
  <c r="I20" i="49" s="1"/>
  <c r="AF27" i="49" s="1"/>
  <c r="AG27" i="49" s="1"/>
  <c r="AF48" i="48"/>
  <c r="AD48" i="48"/>
  <c r="AE48" i="48"/>
  <c r="AC48" i="48"/>
  <c r="AG48" i="48"/>
  <c r="M35" i="76"/>
  <c r="M36" i="76"/>
  <c r="Q49" i="20"/>
  <c r="Q50" i="20" s="1"/>
  <c r="J2" i="50"/>
  <c r="AE50" i="48"/>
  <c r="AD50" i="48"/>
  <c r="AG50" i="48"/>
  <c r="AF50" i="48"/>
  <c r="AC50" i="48"/>
  <c r="I103" i="55"/>
  <c r="I71" i="55"/>
  <c r="AC26" i="59"/>
  <c r="AC64" i="59" s="1"/>
  <c r="AD50" i="59"/>
  <c r="AC38" i="59"/>
  <c r="F18" i="35"/>
  <c r="G20" i="55" s="1"/>
  <c r="Z67" i="59"/>
  <c r="AA68" i="59"/>
  <c r="E109" i="55"/>
  <c r="E77" i="55"/>
  <c r="AA11" i="30"/>
  <c r="AA46" i="30" s="1"/>
  <c r="E6" i="35" s="1"/>
  <c r="F8" i="55" s="1"/>
  <c r="AB12" i="30"/>
  <c r="I120" i="55"/>
  <c r="I88" i="55"/>
  <c r="F109" i="55"/>
  <c r="F77" i="55"/>
  <c r="I102" i="55"/>
  <c r="I70" i="55"/>
  <c r="AF129" i="48"/>
  <c r="AE23" i="48"/>
  <c r="AE19" i="48" s="1"/>
  <c r="I20" i="35" s="1"/>
  <c r="J22" i="55" s="1"/>
  <c r="I13" i="76"/>
  <c r="H14" i="76"/>
  <c r="R45" i="38"/>
  <c r="R46" i="38" s="1"/>
  <c r="R47" i="38" s="1"/>
  <c r="P46" i="38"/>
  <c r="P47" i="38" s="1"/>
  <c r="AA16" i="48"/>
  <c r="D21" i="35"/>
  <c r="E23" i="55" s="1"/>
  <c r="AF131" i="48"/>
  <c r="AE25" i="48"/>
  <c r="I22" i="35" s="1"/>
  <c r="J24" i="55" s="1"/>
  <c r="I4" i="35"/>
  <c r="J6" i="55" s="1"/>
  <c r="L41" i="75"/>
  <c r="S35" i="38"/>
  <c r="O34" i="38"/>
  <c r="Q34" i="38" s="1"/>
  <c r="G110" i="55"/>
  <c r="G78" i="55"/>
  <c r="R75" i="26"/>
  <c r="M109" i="75"/>
  <c r="M37" i="75" s="1"/>
  <c r="AA10" i="26"/>
  <c r="E10" i="35"/>
  <c r="F12" i="55" s="1"/>
  <c r="J120" i="55" l="1"/>
  <c r="J88" i="55"/>
  <c r="I22" i="55"/>
  <c r="I118" i="55" s="1"/>
  <c r="J118" i="55"/>
  <c r="J86" i="55"/>
  <c r="J103" i="55"/>
  <c r="J71" i="55"/>
  <c r="J70" i="55"/>
  <c r="J102" i="55"/>
  <c r="AG128" i="48"/>
  <c r="AG21" i="48" s="1"/>
  <c r="AF21" i="48"/>
  <c r="AF69" i="59"/>
  <c r="AF71" i="59" s="1"/>
  <c r="AF70" i="59" s="1"/>
  <c r="Z76" i="59"/>
  <c r="AC77" i="59" s="1"/>
  <c r="AD104" i="75"/>
  <c r="AD106" i="75" s="1"/>
  <c r="AD105" i="75" s="1"/>
  <c r="K4" i="35"/>
  <c r="L6" i="55" s="1"/>
  <c r="L102" i="55" s="1"/>
  <c r="J4" i="35"/>
  <c r="K6" i="55" s="1"/>
  <c r="I14" i="76"/>
  <c r="J13" i="76"/>
  <c r="AD38" i="59"/>
  <c r="G18" i="35"/>
  <c r="H20" i="55" s="1"/>
  <c r="J20" i="49"/>
  <c r="AB20" i="26"/>
  <c r="AA80" i="26"/>
  <c r="AA75" i="26" s="1"/>
  <c r="AA11" i="26"/>
  <c r="AA9" i="26" s="1"/>
  <c r="D100" i="55"/>
  <c r="D68" i="55"/>
  <c r="R49" i="20"/>
  <c r="R50" i="20" s="1"/>
  <c r="K2" i="50"/>
  <c r="AB11" i="30"/>
  <c r="AB46" i="30" s="1"/>
  <c r="F6" i="35" s="1"/>
  <c r="G8" i="55" s="1"/>
  <c r="AC12" i="30"/>
  <c r="AD26" i="59"/>
  <c r="AD64" i="59" s="1"/>
  <c r="AE50" i="59"/>
  <c r="Z26" i="48"/>
  <c r="D19" i="35"/>
  <c r="E21" i="55" s="1"/>
  <c r="AG17" i="30"/>
  <c r="AF13" i="30"/>
  <c r="AF15" i="30"/>
  <c r="AC45" i="75"/>
  <c r="AC37" i="59"/>
  <c r="AC29" i="49"/>
  <c r="G11" i="35"/>
  <c r="H13" i="55" s="1"/>
  <c r="E87" i="55"/>
  <c r="E119" i="55"/>
  <c r="Q12" i="20"/>
  <c r="Q28" i="20"/>
  <c r="N19" i="38"/>
  <c r="N46" i="38" s="1"/>
  <c r="N47" i="38" s="1"/>
  <c r="L46" i="38"/>
  <c r="L47" i="38" s="1"/>
  <c r="AA14" i="74"/>
  <c r="AA13" i="74" s="1"/>
  <c r="AA11" i="74"/>
  <c r="AA19" i="74" s="1"/>
  <c r="AB12" i="74"/>
  <c r="D9" i="35"/>
  <c r="Z11" i="25"/>
  <c r="Z19" i="25" s="1"/>
  <c r="D8" i="35" s="1"/>
  <c r="E10" i="55" s="1"/>
  <c r="M41" i="75"/>
  <c r="AG131" i="48"/>
  <c r="AG25" i="48" s="1"/>
  <c r="K22" i="35" s="1"/>
  <c r="L24" i="55" s="1"/>
  <c r="L120" i="55" s="1"/>
  <c r="AF25" i="48"/>
  <c r="J22" i="35" s="1"/>
  <c r="K24" i="55" s="1"/>
  <c r="Y15" i="59"/>
  <c r="Y14" i="59" s="1"/>
  <c r="Y63" i="59" s="1"/>
  <c r="Y62" i="59" s="1"/>
  <c r="Y65" i="59" s="1"/>
  <c r="C8" i="35"/>
  <c r="D10" i="55" s="1"/>
  <c r="AB16" i="48"/>
  <c r="E21" i="35"/>
  <c r="F23" i="55" s="1"/>
  <c r="AB12" i="48"/>
  <c r="AA28" i="48"/>
  <c r="AA9" i="48"/>
  <c r="AE10" i="33"/>
  <c r="I22" i="33" s="1"/>
  <c r="H12" i="35"/>
  <c r="I14" i="55" s="1"/>
  <c r="G109" i="55"/>
  <c r="G77" i="55"/>
  <c r="D75" i="55"/>
  <c r="D107" i="55"/>
  <c r="O101" i="75"/>
  <c r="N39" i="75"/>
  <c r="N109" i="75"/>
  <c r="N37" i="75" s="1"/>
  <c r="AG129" i="48"/>
  <c r="AG23" i="48" s="1"/>
  <c r="AF23" i="48"/>
  <c r="H110" i="55"/>
  <c r="H78" i="55"/>
  <c r="AB34" i="75"/>
  <c r="AB99" i="75" s="1"/>
  <c r="AB24" i="75"/>
  <c r="AB28" i="75" s="1"/>
  <c r="AB26" i="75" s="1"/>
  <c r="AC85" i="75"/>
  <c r="F76" i="55"/>
  <c r="F108" i="55"/>
  <c r="AA67" i="59"/>
  <c r="AB68" i="59"/>
  <c r="M31" i="59"/>
  <c r="N66" i="59"/>
  <c r="M74" i="59"/>
  <c r="M29" i="59" s="1"/>
  <c r="M46" i="76"/>
  <c r="F72" i="55"/>
  <c r="F104" i="55"/>
  <c r="Y12" i="20"/>
  <c r="Y28" i="20"/>
  <c r="S36" i="38"/>
  <c r="O36" i="38" s="1"/>
  <c r="O35" i="38"/>
  <c r="Q35" i="38" s="1"/>
  <c r="K5" i="35"/>
  <c r="L7" i="55" s="1"/>
  <c r="L103" i="55" s="1"/>
  <c r="J5" i="35"/>
  <c r="K7" i="55" s="1"/>
  <c r="Y102" i="75"/>
  <c r="Z103" i="75"/>
  <c r="Y14" i="75"/>
  <c r="S20" i="26"/>
  <c r="S80" i="26" s="1"/>
  <c r="S75" i="26" s="1"/>
  <c r="L33" i="59"/>
  <c r="E3" i="50" s="1"/>
  <c r="G84" i="55"/>
  <c r="G116" i="55"/>
  <c r="F10" i="35"/>
  <c r="G12" i="55" s="1"/>
  <c r="AB10" i="26"/>
  <c r="Z49" i="20"/>
  <c r="Z50" i="20" s="1"/>
  <c r="D2" i="35"/>
  <c r="E4" i="55" s="1"/>
  <c r="AD10" i="48"/>
  <c r="AC27" i="48"/>
  <c r="T78" i="26"/>
  <c r="U30" i="26"/>
  <c r="T29" i="26"/>
  <c r="T15" i="26"/>
  <c r="T20" i="26" s="1"/>
  <c r="T80" i="26" s="1"/>
  <c r="AF19" i="48" l="1"/>
  <c r="J20" i="35" s="1"/>
  <c r="K22" i="55" s="1"/>
  <c r="K88" i="55"/>
  <c r="K120" i="55"/>
  <c r="AG19" i="48"/>
  <c r="K20" i="35" s="1"/>
  <c r="L22" i="55" s="1"/>
  <c r="L118" i="55" s="1"/>
  <c r="K118" i="55"/>
  <c r="K86" i="55"/>
  <c r="I86" i="55"/>
  <c r="K103" i="55"/>
  <c r="K71" i="55"/>
  <c r="K70" i="55"/>
  <c r="K102" i="55"/>
  <c r="T75" i="26"/>
  <c r="Z14" i="75"/>
  <c r="AF10" i="33"/>
  <c r="AE15" i="33"/>
  <c r="AG69" i="59"/>
  <c r="AG71" i="59" s="1"/>
  <c r="AG70" i="59"/>
  <c r="AD76" i="59" s="1"/>
  <c r="S49" i="20"/>
  <c r="S50" i="20" s="1"/>
  <c r="L2" i="50"/>
  <c r="AE104" i="75"/>
  <c r="AE106" i="75" s="1"/>
  <c r="AE105" i="75" s="1"/>
  <c r="AB67" i="59"/>
  <c r="AC68" i="59"/>
  <c r="AE26" i="59"/>
  <c r="AE64" i="59" s="1"/>
  <c r="AF50" i="59"/>
  <c r="AC16" i="48"/>
  <c r="F21" i="35"/>
  <c r="G23" i="55" s="1"/>
  <c r="E9" i="35"/>
  <c r="F11" i="55" s="1"/>
  <c r="AA19" i="25"/>
  <c r="E8" i="35" s="1"/>
  <c r="F10" i="55" s="1"/>
  <c r="T49" i="20"/>
  <c r="T50" i="20" s="1"/>
  <c r="M2" i="50"/>
  <c r="F119" i="55"/>
  <c r="F87" i="55"/>
  <c r="E11" i="55"/>
  <c r="Y33" i="80"/>
  <c r="G10" i="35"/>
  <c r="H12" i="55" s="1"/>
  <c r="AC10" i="26"/>
  <c r="AE10" i="48"/>
  <c r="AD27" i="48"/>
  <c r="D74" i="55"/>
  <c r="D106" i="55"/>
  <c r="Z14" i="59"/>
  <c r="AC11" i="30"/>
  <c r="AC46" i="30" s="1"/>
  <c r="G6" i="35" s="1"/>
  <c r="H8" i="55" s="1"/>
  <c r="AD12" i="30"/>
  <c r="AA49" i="20"/>
  <c r="AA50" i="20" s="1"/>
  <c r="E2" i="35"/>
  <c r="F4" i="55" s="1"/>
  <c r="G72" i="55"/>
  <c r="G104" i="55"/>
  <c r="I12" i="35"/>
  <c r="J14" i="55" s="1"/>
  <c r="N31" i="59"/>
  <c r="O66" i="59"/>
  <c r="N74" i="59"/>
  <c r="N29" i="59" s="1"/>
  <c r="P101" i="75"/>
  <c r="O39" i="75"/>
  <c r="O109" i="75"/>
  <c r="O37" i="75" s="1"/>
  <c r="AA26" i="48"/>
  <c r="E19" i="35"/>
  <c r="F21" i="55" s="1"/>
  <c r="H77" i="55"/>
  <c r="H109" i="55"/>
  <c r="AG13" i="30"/>
  <c r="AG15" i="30"/>
  <c r="R12" i="20"/>
  <c r="R28" i="20"/>
  <c r="H84" i="55"/>
  <c r="H116" i="55"/>
  <c r="I110" i="55"/>
  <c r="I78" i="55"/>
  <c r="AB80" i="26"/>
  <c r="AB75" i="26" s="1"/>
  <c r="AC20" i="26"/>
  <c r="AB11" i="26"/>
  <c r="AB9" i="26" s="1"/>
  <c r="E100" i="55"/>
  <c r="E68" i="55"/>
  <c r="AC34" i="75"/>
  <c r="AC99" i="75" s="1"/>
  <c r="AC24" i="75"/>
  <c r="AC28" i="75" s="1"/>
  <c r="AC26" i="75" s="1"/>
  <c r="AD85" i="75"/>
  <c r="AE85" i="75" s="1"/>
  <c r="AF85" i="75" s="1"/>
  <c r="AG85" i="75" s="1"/>
  <c r="N41" i="75"/>
  <c r="AB14" i="74"/>
  <c r="AB13" i="74" s="1"/>
  <c r="AB11" i="74" s="1"/>
  <c r="AB19" i="74" s="1"/>
  <c r="AC12" i="74"/>
  <c r="Z12" i="20"/>
  <c r="Z28" i="20"/>
  <c r="Q36" i="38"/>
  <c r="Q46" i="38" s="1"/>
  <c r="Q47" i="38" s="1"/>
  <c r="O46" i="38"/>
  <c r="O47" i="38" s="1"/>
  <c r="M33" i="59"/>
  <c r="F3" i="50" s="1"/>
  <c r="AD29" i="49"/>
  <c r="H10" i="35" s="1"/>
  <c r="I12" i="55" s="1"/>
  <c r="H11" i="35"/>
  <c r="I13" i="55" s="1"/>
  <c r="E117" i="55"/>
  <c r="E85" i="55"/>
  <c r="AE38" i="59"/>
  <c r="H18" i="35"/>
  <c r="I20" i="55" s="1"/>
  <c r="V30" i="26"/>
  <c r="U29" i="26"/>
  <c r="U78" i="26"/>
  <c r="U15" i="26"/>
  <c r="U20" i="26" s="1"/>
  <c r="U80" i="26" s="1"/>
  <c r="G76" i="55"/>
  <c r="G108" i="55"/>
  <c r="AA103" i="75"/>
  <c r="Z102" i="75"/>
  <c r="AC12" i="48"/>
  <c r="AB28" i="48"/>
  <c r="AB9" i="48"/>
  <c r="E106" i="55"/>
  <c r="E74" i="55"/>
  <c r="AC30" i="49"/>
  <c r="K13" i="76"/>
  <c r="J14" i="76"/>
  <c r="J110" i="55" l="1"/>
  <c r="J78" i="55"/>
  <c r="AD30" i="49"/>
  <c r="AA14" i="59"/>
  <c r="AA14" i="75"/>
  <c r="AF10" i="48"/>
  <c r="O41" i="75"/>
  <c r="AG10" i="33"/>
  <c r="K12" i="35" s="1"/>
  <c r="L14" i="55" s="1"/>
  <c r="L110" i="55" s="1"/>
  <c r="AF15" i="33"/>
  <c r="AF104" i="75"/>
  <c r="AF106" i="75" s="1"/>
  <c r="AF105" i="75" s="1"/>
  <c r="W30" i="26"/>
  <c r="V29" i="26"/>
  <c r="V78" i="26"/>
  <c r="V15" i="26"/>
  <c r="V20" i="26" s="1"/>
  <c r="V80" i="26" s="1"/>
  <c r="I108" i="55"/>
  <c r="I76" i="55"/>
  <c r="AC14" i="74"/>
  <c r="AC13" i="74" s="1"/>
  <c r="AC11" i="74" s="1"/>
  <c r="AC19" i="74" s="1"/>
  <c r="J12" i="35"/>
  <c r="K14" i="55" s="1"/>
  <c r="E75" i="55"/>
  <c r="E107" i="55"/>
  <c r="F9" i="35"/>
  <c r="G11" i="55" s="1"/>
  <c r="AB19" i="25"/>
  <c r="F8" i="35" s="1"/>
  <c r="G10" i="55" s="1"/>
  <c r="AC28" i="48"/>
  <c r="AD12" i="48"/>
  <c r="AC9" i="48"/>
  <c r="K14" i="76"/>
  <c r="L13" i="76"/>
  <c r="AA102" i="75"/>
  <c r="AB103" i="75"/>
  <c r="I116" i="55"/>
  <c r="I84" i="55"/>
  <c r="D135" i="75"/>
  <c r="AC80" i="26"/>
  <c r="AC75" i="26" s="1"/>
  <c r="AD20" i="26"/>
  <c r="AC11" i="26"/>
  <c r="Q101" i="75"/>
  <c r="P39" i="75"/>
  <c r="P109" i="75"/>
  <c r="P37" i="75" s="1"/>
  <c r="F68" i="55"/>
  <c r="F100" i="55"/>
  <c r="G119" i="55"/>
  <c r="G87" i="55"/>
  <c r="AB49" i="20"/>
  <c r="AB50" i="20" s="1"/>
  <c r="F2" i="35"/>
  <c r="G4" i="55" s="1"/>
  <c r="AA12" i="20"/>
  <c r="AA28" i="20"/>
  <c r="AE27" i="48"/>
  <c r="T12" i="20"/>
  <c r="T28" i="20"/>
  <c r="AD16" i="48"/>
  <c r="G21" i="35"/>
  <c r="H23" i="55" s="1"/>
  <c r="S12" i="20"/>
  <c r="S28" i="20"/>
  <c r="AB26" i="48"/>
  <c r="F19" i="35"/>
  <c r="G21" i="55" s="1"/>
  <c r="U75" i="26"/>
  <c r="I77" i="55"/>
  <c r="I109" i="55"/>
  <c r="O31" i="59"/>
  <c r="P66" i="59"/>
  <c r="O74" i="59"/>
  <c r="O29" i="59" s="1"/>
  <c r="AD11" i="30"/>
  <c r="AD46" i="30" s="1"/>
  <c r="H6" i="35" s="1"/>
  <c r="AE12" i="30"/>
  <c r="AC9" i="26"/>
  <c r="AF26" i="59"/>
  <c r="AF64" i="59" s="1"/>
  <c r="AG50" i="59"/>
  <c r="AG26" i="59" s="1"/>
  <c r="AG64" i="59" s="1"/>
  <c r="AE29" i="49"/>
  <c r="I10" i="35" s="1"/>
  <c r="J12" i="55" s="1"/>
  <c r="I11" i="35"/>
  <c r="J13" i="55" s="1"/>
  <c r="N33" i="59"/>
  <c r="G3" i="50" s="1"/>
  <c r="D100" i="59"/>
  <c r="H104" i="55"/>
  <c r="H72" i="55"/>
  <c r="H108" i="55"/>
  <c r="H76" i="55"/>
  <c r="F106" i="55"/>
  <c r="F74" i="55"/>
  <c r="AF38" i="59"/>
  <c r="I18" i="35"/>
  <c r="J20" i="55" s="1"/>
  <c r="F117" i="55"/>
  <c r="F85" i="55"/>
  <c r="F75" i="55"/>
  <c r="F107" i="55"/>
  <c r="AD68" i="59"/>
  <c r="AC67" i="59"/>
  <c r="J116" i="55" l="1"/>
  <c r="J84" i="55"/>
  <c r="K110" i="55"/>
  <c r="K78" i="55"/>
  <c r="J109" i="55"/>
  <c r="J77" i="55"/>
  <c r="J76" i="55"/>
  <c r="J108" i="55"/>
  <c r="AB14" i="59"/>
  <c r="AB14" i="75"/>
  <c r="AG10" i="48"/>
  <c r="AG15" i="33"/>
  <c r="AH10" i="33"/>
  <c r="O33" i="59"/>
  <c r="H3" i="50" s="1"/>
  <c r="AE20" i="26"/>
  <c r="AD80" i="26"/>
  <c r="AD75" i="26" s="1"/>
  <c r="AD11" i="26"/>
  <c r="AD9" i="26" s="1"/>
  <c r="AF29" i="49"/>
  <c r="J10" i="35" s="1"/>
  <c r="K12" i="55" s="1"/>
  <c r="J11" i="35"/>
  <c r="K13" i="55" s="1"/>
  <c r="AE11" i="30"/>
  <c r="AE46" i="30" s="1"/>
  <c r="I6" i="35" s="1"/>
  <c r="AF12" i="30"/>
  <c r="G117" i="55"/>
  <c r="G85" i="55"/>
  <c r="AC49" i="20"/>
  <c r="AC50" i="20" s="1"/>
  <c r="G2" i="35"/>
  <c r="H4" i="55" s="1"/>
  <c r="AG38" i="59"/>
  <c r="K18" i="35" s="1"/>
  <c r="L20" i="55" s="1"/>
  <c r="L116" i="55" s="1"/>
  <c r="J18" i="35"/>
  <c r="K20" i="55" s="1"/>
  <c r="U49" i="20"/>
  <c r="U50" i="20" s="1"/>
  <c r="N2" i="50"/>
  <c r="I104" i="55"/>
  <c r="I72" i="55"/>
  <c r="AE30" i="49"/>
  <c r="AF27" i="48"/>
  <c r="AE12" i="48"/>
  <c r="AD28" i="48"/>
  <c r="AD9" i="48"/>
  <c r="V75" i="26"/>
  <c r="AC26" i="48"/>
  <c r="G19" i="35"/>
  <c r="H21" i="55" s="1"/>
  <c r="Q66" i="59"/>
  <c r="P31" i="59"/>
  <c r="P74" i="59"/>
  <c r="P29" i="59" s="1"/>
  <c r="H119" i="55"/>
  <c r="H87" i="55"/>
  <c r="P41" i="75"/>
  <c r="G106" i="55"/>
  <c r="G74" i="55"/>
  <c r="X30" i="26"/>
  <c r="W29" i="26"/>
  <c r="W78" i="26"/>
  <c r="W15" i="26"/>
  <c r="W20" i="26" s="1"/>
  <c r="W80" i="26" s="1"/>
  <c r="M13" i="76"/>
  <c r="L14" i="76"/>
  <c r="AE68" i="59"/>
  <c r="AD67" i="59"/>
  <c r="AE16" i="48"/>
  <c r="H21" i="35"/>
  <c r="I23" i="55" s="1"/>
  <c r="G68" i="55"/>
  <c r="G100" i="55"/>
  <c r="R101" i="75"/>
  <c r="Q39" i="75"/>
  <c r="Q109" i="75"/>
  <c r="Q37" i="75" s="1"/>
  <c r="AC103" i="75"/>
  <c r="AB102" i="75"/>
  <c r="G107" i="55"/>
  <c r="G75" i="55"/>
  <c r="AB28" i="20"/>
  <c r="AB12" i="20"/>
  <c r="G9" i="35"/>
  <c r="H11" i="55" s="1"/>
  <c r="AC19" i="25"/>
  <c r="G8" i="35" s="1"/>
  <c r="H10" i="55" s="1"/>
  <c r="K116" i="55" l="1"/>
  <c r="K84" i="55"/>
  <c r="Q41" i="75"/>
  <c r="K76" i="55"/>
  <c r="K108" i="55"/>
  <c r="K77" i="55"/>
  <c r="K109" i="55"/>
  <c r="AC14" i="59"/>
  <c r="AC14" i="75"/>
  <c r="AI10" i="33"/>
  <c r="AJ10" i="33" s="1"/>
  <c r="AE67" i="59"/>
  <c r="AF68" i="59"/>
  <c r="Q31" i="59"/>
  <c r="R66" i="59"/>
  <c r="Q74" i="59"/>
  <c r="Q29" i="59" s="1"/>
  <c r="H85" i="55"/>
  <c r="H117" i="55"/>
  <c r="AG27" i="48"/>
  <c r="M14" i="76"/>
  <c r="N13" i="76"/>
  <c r="H68" i="55"/>
  <c r="H100" i="55"/>
  <c r="AG29" i="49"/>
  <c r="K10" i="35" s="1"/>
  <c r="L12" i="55" s="1"/>
  <c r="L108" i="55" s="1"/>
  <c r="K11" i="35"/>
  <c r="L13" i="55" s="1"/>
  <c r="L109" i="55" s="1"/>
  <c r="V49" i="20"/>
  <c r="V50" i="20" s="1"/>
  <c r="O2" i="50"/>
  <c r="AC28" i="20"/>
  <c r="AC12" i="20"/>
  <c r="AF30" i="49"/>
  <c r="H9" i="35"/>
  <c r="AD19" i="25"/>
  <c r="H8" i="35" s="1"/>
  <c r="I10" i="55" s="1"/>
  <c r="P33" i="59"/>
  <c r="I3" i="50" s="1"/>
  <c r="W75" i="26"/>
  <c r="AD26" i="48"/>
  <c r="H19" i="35"/>
  <c r="I21" i="55" s="1"/>
  <c r="S101" i="75"/>
  <c r="R39" i="75"/>
  <c r="R109" i="75"/>
  <c r="R37" i="75" s="1"/>
  <c r="I119" i="55"/>
  <c r="I87" i="55"/>
  <c r="H2" i="35"/>
  <c r="I4" i="55" s="1"/>
  <c r="AD49" i="20"/>
  <c r="AD50" i="20" s="1"/>
  <c r="AC102" i="75"/>
  <c r="AD103" i="75"/>
  <c r="H106" i="55"/>
  <c r="H74" i="55"/>
  <c r="H107" i="55"/>
  <c r="H75" i="55"/>
  <c r="AF16" i="48"/>
  <c r="I21" i="35"/>
  <c r="J23" i="55" s="1"/>
  <c r="X29" i="26"/>
  <c r="AH29" i="26" s="1"/>
  <c r="X78" i="26"/>
  <c r="X15" i="26"/>
  <c r="AH30" i="26"/>
  <c r="AI15" i="26" s="1"/>
  <c r="AE28" i="48"/>
  <c r="AF12" i="48"/>
  <c r="AE9" i="48"/>
  <c r="U12" i="20"/>
  <c r="U28" i="20"/>
  <c r="AG12" i="30"/>
  <c r="AG11" i="30" s="1"/>
  <c r="AG46" i="30" s="1"/>
  <c r="K6" i="35" s="1"/>
  <c r="AF11" i="30"/>
  <c r="AF46" i="30" s="1"/>
  <c r="J6" i="35" s="1"/>
  <c r="AF20" i="26"/>
  <c r="AE80" i="26"/>
  <c r="AE75" i="26" s="1"/>
  <c r="J87" i="55" l="1"/>
  <c r="J119" i="55"/>
  <c r="J22" i="33"/>
  <c r="I9" i="35"/>
  <c r="AG30" i="49"/>
  <c r="AG16" i="48"/>
  <c r="K21" i="35" s="1"/>
  <c r="L23" i="55" s="1"/>
  <c r="L119" i="55" s="1"/>
  <c r="J21" i="35"/>
  <c r="K23" i="55" s="1"/>
  <c r="I85" i="55"/>
  <c r="I117" i="55"/>
  <c r="AE103" i="75"/>
  <c r="AD102" i="75"/>
  <c r="AG12" i="48"/>
  <c r="AF28" i="48"/>
  <c r="AF9" i="48"/>
  <c r="I100" i="55"/>
  <c r="I68" i="55"/>
  <c r="W49" i="20"/>
  <c r="W50" i="20" s="1"/>
  <c r="P2" i="50"/>
  <c r="S66" i="59"/>
  <c r="R31" i="59"/>
  <c r="R74" i="59"/>
  <c r="R29" i="59" s="1"/>
  <c r="T101" i="75"/>
  <c r="S39" i="75"/>
  <c r="S109" i="75"/>
  <c r="S37" i="75" s="1"/>
  <c r="AE26" i="48"/>
  <c r="I19" i="35"/>
  <c r="J21" i="55" s="1"/>
  <c r="AG20" i="26"/>
  <c r="AG80" i="26" s="1"/>
  <c r="AG75" i="26" s="1"/>
  <c r="AF80" i="26"/>
  <c r="AF75" i="26" s="1"/>
  <c r="O13" i="76"/>
  <c r="O14" i="76" s="1"/>
  <c r="N14" i="76"/>
  <c r="Q33" i="59"/>
  <c r="J3" i="50" s="1"/>
  <c r="AE49" i="20"/>
  <c r="AE50" i="20" s="1"/>
  <c r="I2" i="35"/>
  <c r="J4" i="55" s="1"/>
  <c r="X20" i="26"/>
  <c r="X80" i="26" s="1"/>
  <c r="X75" i="26" s="1"/>
  <c r="AH15" i="26"/>
  <c r="V12" i="20"/>
  <c r="V28" i="20"/>
  <c r="AF67" i="59"/>
  <c r="AG68" i="59"/>
  <c r="AG67" i="59" s="1"/>
  <c r="I107" i="55"/>
  <c r="I75" i="55"/>
  <c r="R41" i="75"/>
  <c r="I106" i="55"/>
  <c r="I74" i="55"/>
  <c r="K87" i="55" l="1"/>
  <c r="K119" i="55"/>
  <c r="J117" i="55"/>
  <c r="J85" i="55"/>
  <c r="J68" i="55"/>
  <c r="J100" i="55"/>
  <c r="AG49" i="20"/>
  <c r="AG50" i="20" s="1"/>
  <c r="K2" i="35"/>
  <c r="L4" i="55" s="1"/>
  <c r="L100" i="55" s="1"/>
  <c r="X49" i="20"/>
  <c r="X50" i="20" s="1"/>
  <c r="Q2" i="50"/>
  <c r="AE102" i="75"/>
  <c r="AF103" i="75"/>
  <c r="AF102" i="75" s="1"/>
  <c r="S31" i="59"/>
  <c r="E100" i="59" s="1"/>
  <c r="T66" i="59"/>
  <c r="S74" i="59"/>
  <c r="S29" i="59" s="1"/>
  <c r="W12" i="20"/>
  <c r="W28" i="20"/>
  <c r="S41" i="75"/>
  <c r="E135" i="75"/>
  <c r="U101" i="75"/>
  <c r="T39" i="75"/>
  <c r="T109" i="75"/>
  <c r="T37" i="75" s="1"/>
  <c r="AF26" i="48"/>
  <c r="J19" i="35"/>
  <c r="K21" i="55" s="1"/>
  <c r="AF49" i="20"/>
  <c r="AF50" i="20" s="1"/>
  <c r="J2" i="35"/>
  <c r="K4" i="55" s="1"/>
  <c r="R33" i="59"/>
  <c r="K3" i="50" s="1"/>
  <c r="AG28" i="48"/>
  <c r="AG9" i="48"/>
  <c r="J9" i="35"/>
  <c r="K9" i="35"/>
  <c r="K85" i="55" l="1"/>
  <c r="K117" i="55"/>
  <c r="K68" i="55"/>
  <c r="K100" i="55"/>
  <c r="AG26" i="48"/>
  <c r="K19" i="35"/>
  <c r="L21" i="55" s="1"/>
  <c r="L117" i="55" s="1"/>
  <c r="T31" i="59"/>
  <c r="U66" i="59"/>
  <c r="T74" i="59"/>
  <c r="T29" i="59" s="1"/>
  <c r="T41" i="75"/>
  <c r="S33" i="59"/>
  <c r="L3" i="50" s="1"/>
  <c r="V101" i="75"/>
  <c r="U39" i="75"/>
  <c r="U109" i="75"/>
  <c r="U37" i="75" s="1"/>
  <c r="X28" i="20"/>
  <c r="X12" i="20"/>
  <c r="W101" i="75" l="1"/>
  <c r="V39" i="75"/>
  <c r="V109" i="75"/>
  <c r="U31" i="59"/>
  <c r="V66" i="59"/>
  <c r="U74" i="59"/>
  <c r="U29" i="59" s="1"/>
  <c r="T33" i="59"/>
  <c r="M3" i="50" s="1"/>
  <c r="U41" i="75"/>
  <c r="U33" i="59" l="1"/>
  <c r="N3" i="50" s="1"/>
  <c r="W109" i="75"/>
  <c r="V37" i="75"/>
  <c r="V41" i="75" s="1"/>
  <c r="V31" i="59"/>
  <c r="W66" i="59"/>
  <c r="V74" i="59"/>
  <c r="V29" i="59" s="1"/>
  <c r="V43" i="75"/>
  <c r="V52" i="75"/>
  <c r="W39" i="75"/>
  <c r="F135" i="75" s="1"/>
  <c r="X101" i="75"/>
  <c r="W31" i="59" l="1"/>
  <c r="X66" i="59"/>
  <c r="W74" i="59"/>
  <c r="W29" i="59" s="1"/>
  <c r="Y101" i="75"/>
  <c r="X39" i="75"/>
  <c r="V33" i="59"/>
  <c r="O3" i="50" s="1"/>
  <c r="F100" i="59"/>
  <c r="X109" i="75"/>
  <c r="W37" i="75"/>
  <c r="W12" i="75" s="1"/>
  <c r="F133" i="75" s="1"/>
  <c r="F137" i="75" s="1"/>
  <c r="W41" i="75" l="1"/>
  <c r="W33" i="59"/>
  <c r="P3" i="50" s="1"/>
  <c r="Y39" i="75"/>
  <c r="Z101" i="75"/>
  <c r="Y109" i="75"/>
  <c r="X37" i="75"/>
  <c r="X12" i="75" s="1"/>
  <c r="Y66" i="59"/>
  <c r="X31" i="59"/>
  <c r="X74" i="59"/>
  <c r="X29" i="59" s="1"/>
  <c r="Y37" i="75" l="1"/>
  <c r="Y12" i="75" s="1"/>
  <c r="Z109" i="75"/>
  <c r="X33" i="59"/>
  <c r="Q3" i="50" s="1"/>
  <c r="Y31" i="59"/>
  <c r="Z66" i="59"/>
  <c r="Y74" i="59"/>
  <c r="AA101" i="75"/>
  <c r="Z39" i="75"/>
  <c r="Y41" i="75"/>
  <c r="X41" i="75"/>
  <c r="Z74" i="59" l="1"/>
  <c r="Y29" i="59"/>
  <c r="Y33" i="59" s="1"/>
  <c r="AA66" i="59"/>
  <c r="Z31" i="59"/>
  <c r="AA109" i="75"/>
  <c r="Z37" i="75"/>
  <c r="Z12" i="75" s="1"/>
  <c r="AA39" i="75"/>
  <c r="AB101" i="75"/>
  <c r="C17" i="35" l="1"/>
  <c r="D19" i="55" s="1"/>
  <c r="R3" i="50"/>
  <c r="G135" i="75"/>
  <c r="AB109" i="75"/>
  <c r="AA37" i="75"/>
  <c r="AA12" i="75" s="1"/>
  <c r="G133" i="75" s="1"/>
  <c r="G137" i="75" s="1"/>
  <c r="Z33" i="59"/>
  <c r="D17" i="35" s="1"/>
  <c r="E19" i="55" s="1"/>
  <c r="AA31" i="59"/>
  <c r="G100" i="59" s="1"/>
  <c r="AB66" i="59"/>
  <c r="Z41" i="75"/>
  <c r="Z29" i="59"/>
  <c r="Z12" i="59" s="1"/>
  <c r="AA74" i="59"/>
  <c r="AC101" i="75"/>
  <c r="AB39" i="75"/>
  <c r="AC109" i="75" l="1"/>
  <c r="AB37" i="75"/>
  <c r="AB12" i="75" s="1"/>
  <c r="E83" i="55"/>
  <c r="E115" i="55"/>
  <c r="AA41" i="75"/>
  <c r="AB74" i="59"/>
  <c r="AA29" i="59"/>
  <c r="AA12" i="59" s="1"/>
  <c r="G98" i="59" s="1"/>
  <c r="G102" i="59" s="1"/>
  <c r="AB31" i="59"/>
  <c r="AC66" i="59"/>
  <c r="AD101" i="75"/>
  <c r="AE101" i="75" s="1"/>
  <c r="AF101" i="75" s="1"/>
  <c r="AC39" i="75"/>
  <c r="D83" i="55"/>
  <c r="D115" i="55"/>
  <c r="AB41" i="75" l="1"/>
  <c r="AA33" i="59"/>
  <c r="E17" i="35" s="1"/>
  <c r="F19" i="55" s="1"/>
  <c r="AC74" i="59"/>
  <c r="AB29" i="59"/>
  <c r="AB12" i="59" s="1"/>
  <c r="AC31" i="59"/>
  <c r="AD66" i="59"/>
  <c r="AC37" i="75"/>
  <c r="AC12" i="75" s="1"/>
  <c r="AD109" i="75"/>
  <c r="AE109" i="75" s="1"/>
  <c r="AF109" i="75" s="1"/>
  <c r="AB33" i="59" l="1"/>
  <c r="F17" i="35" s="1"/>
  <c r="G19" i="55" s="1"/>
  <c r="G115" i="55"/>
  <c r="G83" i="55"/>
  <c r="AD31" i="59"/>
  <c r="AE66" i="59"/>
  <c r="AD74" i="59"/>
  <c r="AC29" i="59"/>
  <c r="AC12" i="59" s="1"/>
  <c r="AC41" i="75"/>
  <c r="F115" i="55"/>
  <c r="F83" i="55"/>
  <c r="AC33" i="59" l="1"/>
  <c r="G17" i="35" s="1"/>
  <c r="H19" i="55" s="1"/>
  <c r="H115" i="55" s="1"/>
  <c r="AE31" i="59"/>
  <c r="AF66" i="59"/>
  <c r="AE74" i="59"/>
  <c r="AD29" i="59"/>
  <c r="AD33" i="59" s="1"/>
  <c r="H17" i="35" s="1"/>
  <c r="I19" i="55" s="1"/>
  <c r="H83" i="55" l="1"/>
  <c r="I115" i="55"/>
  <c r="I83" i="55"/>
  <c r="AG66" i="59"/>
  <c r="AG31" i="59" s="1"/>
  <c r="AF31" i="59"/>
  <c r="AF74" i="59"/>
  <c r="AE29" i="59"/>
  <c r="AE33" i="59" s="1"/>
  <c r="I17" i="35" s="1"/>
  <c r="J19" i="55" s="1"/>
  <c r="J115" i="55" l="1"/>
  <c r="J83" i="55"/>
  <c r="AF29" i="59"/>
  <c r="AF33" i="59" s="1"/>
  <c r="J17" i="35" s="1"/>
  <c r="K19" i="55" s="1"/>
  <c r="AG74" i="59"/>
  <c r="AG29" i="59" s="1"/>
  <c r="AG33" i="59" s="1"/>
  <c r="K17" i="35" s="1"/>
  <c r="L19" i="55" s="1"/>
  <c r="L115" i="55" s="1"/>
  <c r="K115" i="55" l="1"/>
  <c r="K83"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tc={E01C7D51-1793-4A61-9FD5-357953FC571D}</author>
  </authors>
  <commentList>
    <comment ref="L10" authorId="0" shapeId="0" xr:uid="{00000000-0006-0000-0B00-000001000000}">
      <text>
        <t>[Threaded comment]
Your version of Excel allows you to read this threaded comment; however, any edits to it will get removed if the file is opened in a newer version of Excel. Learn more: https://go.microsoft.com/fwlink/?linkid=870924
Comment:
    Q10, Q11, and Q12 mpcs were changed from 0% to 3.0%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tc={8BCD2D6E-E5B2-4670-B5B5-84790E4FF7D9}</author>
    <author>tc={D9A1C32B-382A-44CE-B60A-7CEFD093B9EC}</author>
    <author>tc={9A78D78B-9B91-4B19-B3C5-F387312A4076}</author>
    <author>tc={2738E40F-5E63-45A6-A7D0-04539F543CE4}</author>
  </authors>
  <commentList>
    <comment ref="W19" authorId="0" shapeId="0" xr:uid="{00000000-0006-0000-0C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C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
Reply:
    This is now July 2023 CBO Ten Year Economic Projections, Quarterly Table, Row 68 from 2023 Q2 onwards
Reply:
    This is now February 2024 CBO Economic Projections, Quarterly Table, Row 68 from 2023 Q2 onward
Reply:
    This is now June 2024 CBO Economic Projections, Quarterly table row 68 from 2021 Q1 onward</t>
      </text>
    </comment>
    <comment ref="AG22" authorId="2" shapeId="0" xr:uid="{00000000-0006-0000-0C00-000003000000}">
      <text>
        <t>[Threaded comment]
Your version of Excel allows you to read this threaded comment; however, any edits to it will get removed if the file is opened in a newer version of Excel. Learn more: https://go.microsoft.com/fwlink/?linkid=870924
Comment:
    We decided to set this equal to the previous quarter estimate as a temporary measure.</t>
      </text>
    </comment>
    <comment ref="S23" authorId="3" shapeId="0" xr:uid="{00000000-0006-0000-0C00-000004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tc={D946413E-762D-4FFC-9209-11EBCBD51016}</author>
    <author>tc={E1041433-BA01-41BE-A250-949526A70696}</author>
    <author>tc={094D651B-B0D2-4E5E-BE0F-3F7EDDB28A27}</author>
  </authors>
  <commentList>
    <comment ref="W19"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t>
      </text>
    </comment>
    <comment ref="S23"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tc={F234B5B6-B19D-4AC0-9DB4-A48A2D200CCC}</author>
    <author>tc={8D2135C1-1504-4F9B-942F-01E6B6321912}</author>
    <author>tc={52B73EBC-59DE-4AFE-A4BC-5DCFD4E527B4}</author>
    <author>tc={BB2BD600-D27D-45BD-8287-F361E12EE9C4}</author>
    <author>tc={EC883E67-97AD-460D-B658-F12FDD429342}</author>
    <author>tc={57CD4897-BB4E-42F1-89BB-E63A5874F81B}</author>
    <author>tc={9D68663E-7375-4798-AF31-C3B40AF84CDB}</author>
    <author>tc={4D719FE1-A97C-46FC-9D71-7ECFBB4F6D87}</author>
    <author>tc={91C8DEB0-37FF-4A76-9EDD-8709F55CAF73}</author>
    <author>tc={ECD0E9C9-87A4-46F8-8BE1-5E2BEC9520B3}</author>
    <author>tc={E702D61C-4760-4164-BD3F-5AB302CA98ED}</author>
    <author>tc={776019CE-8128-450F-A25E-EF6C5707CFC6}</author>
    <author>tc={EF6EC7A7-A475-49DC-B77E-29BB35266C5E}</author>
  </authors>
  <commentList>
    <comment ref="J12"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This series is continued in row 19, "Coronavirus Fiscal Recovery Fund." It is not a mistake that there are blanks here!!</t>
      </text>
    </comment>
    <comment ref="U13"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Despite the fact that BEA has stopped reporting this as a separate line item, we've decided to still include it in our calculations because we believe that our assumptions about the ESF diminishing are close to the truth.</t>
      </text>
    </comment>
    <comment ref="S27" authorId="2"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Add factor to match data</t>
      </text>
    </comment>
    <comment ref="C55" authorId="3"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https://www.cbo.gov/system/files/2020-04/hr748.pdf</t>
      </text>
    </comment>
    <comment ref="C56" authorId="4" shapeId="0" xr:uid="{00000000-0006-0000-0E00-000005000000}">
      <text>
        <t>[Threaded comment]
Your version of Excel allows you to read this threaded comment; however, any edits to it will get removed if the file is opened in a newer version of Excel. Learn more: https://go.microsoft.com/fwlink/?linkid=870924
Comment:
    The total Education Stabilization Fund is 30 billion; we lower by 8 billion to account for parts of the fund that go to private universities (which we wouldn't classify as a grant to state and local governments).</t>
      </text>
    </comment>
    <comment ref="C57" authorId="5" shapeId="0" xr:uid="{00000000-0006-0000-0E00-000006000000}">
      <text>
        <t>[Threaded comment]
Your version of Excel allows you to read this threaded comment; however, any edits to it will get removed if the file is opened in a newer version of Excel. Learn more: https://go.microsoft.com/fwlink/?linkid=870924
Comment:
    Total provider relief fund is 100, but we assume that 27% is in the form of grants based on the BEA data that came in.</t>
      </text>
    </comment>
    <comment ref="B81" authorId="6" shapeId="0" xr:uid="{00000000-0006-0000-0E00-000007000000}">
      <text>
        <t>[Threaded comment]
Your version of Excel allows you to read this threaded comment; however, any edits to it will get removed if the file is opened in a newer version of Excel. Learn more: https://go.microsoft.com/fwlink/?linkid=870924
Comment:
    This is a policy update since May 2022 CBO update, but the Grants number was not updated by CBO. So do we delete this line or is it still included?</t>
      </text>
    </comment>
    <comment ref="J83" authorId="7" shapeId="0" xr:uid="{00000000-0006-0000-0E00-000008000000}">
      <text>
        <t>[Threaded comment]
Your version of Excel allows you to read this threaded comment; however, any edits to it will get removed if the file is opened in a newer version of Excel. Learn more: https://go.microsoft.com/fwlink/?linkid=870924
Comment:
    Using data -- not a different spending pattern</t>
      </text>
    </comment>
    <comment ref="AG83" authorId="8" shapeId="0" xr:uid="{00000000-0006-0000-0E00-000009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AG85" authorId="9" shapeId="0" xr:uid="{00000000-0006-0000-0E00-00000A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R96" authorId="10" shapeId="0" xr:uid="{00000000-0006-0000-0E00-00000B000000}">
      <text>
        <t>[Threaded comment]
Your version of Excel allows you to read this threaded comment; however, any edits to it will get removed if the file is opened in a newer version of Excel. Learn more: https://go.microsoft.com/fwlink/?linkid=870924
Comment:
    Using previous forecast because of reallocation by the BEA</t>
      </text>
    </comment>
    <comment ref="S96" authorId="11" shapeId="0" xr:uid="{00000000-0006-0000-0E00-00000C000000}">
      <text>
        <t>[Threaded comment]
Your version of Excel allows you to read this threaded comment; however, any edits to it will get removed if the file is opened in a newer version of Excel. Learn more: https://go.microsoft.com/fwlink/?linkid=870924
Comment:
    Don't pull again</t>
      </text>
    </comment>
    <comment ref="B97" authorId="12" shapeId="0" xr:uid="{00000000-0006-0000-0E00-00000D000000}">
      <text>
        <t>[Threaded comment]
Your version of Excel allows you to read this threaded comment; however, any edits to it will get removed if the file is opened in a newer version of Excel. Learn more: https://go.microsoft.com/fwlink/?linkid=870924
Comment:
    Similar question to row 85</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tc={976B723C-4211-4969-882A-4B89C4902055}</author>
    <author>tc={02F35ABE-CA0E-4752-B4BE-50C4C795E703}</author>
    <author>tc={0ADCB210-D448-44DD-A5EE-5E6E7334408B}</author>
    <author>tc={3D5BBFAC-4E76-4F2A-B34F-264D54111B07}</author>
    <author>tc={E7D459C7-D63C-4E4A-AE4E-B08D7B79CF4D}</author>
    <author>tc={C146291D-B06B-4D46-A30C-B289BA81D51C}</author>
  </authors>
  <commentList>
    <comment ref="B9" authorId="0" shapeId="0" xr:uid="{00000000-0006-0000-0F00-000001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127 quarterly table
Reply:
    This is now February 2023 CBO economic projections row 127 quarterly table
Reply:
    This is now July 2023 CBO economic projections row 127 quarterly table
Reply:
    This is now February 2024 CBO economic projections row 129 quarterly table.
Reply:
    This is now June 2024 CBO Economic Projections Quarterly table row 129 from 2021 Q1 onward</t>
      </text>
    </comment>
    <comment ref="B10" authorId="1" shapeId="0" xr:uid="{00000000-0006-0000-0F00-000002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128 quarterly table
Reply:
    This is now February 2023 CBO economic projections row 128 quarterly table
Reply:
    This is now July 2023 CBO economic projections row 128 quarterly table
Reply:
    This is now February 2024 CBO economic projections row 130 quarterly table
Reply:
    This is now June 2024 CBO Economic Projections Quarterly table row 130 from 2021 Q1 onward.</t>
      </text>
    </comment>
    <comment ref="AG11" authorId="2" shapeId="0" xr:uid="{00000000-0006-0000-0F00-000003000000}">
      <text>
        <t>[Threaded comment]
Your version of Excel allows you to read this threaded comment; however, any edits to it will get removed if the file is opened in a newer version of Excel. Learn more: https://go.microsoft.com/fwlink/?linkid=870924
Comment:
    This number isn't a valid projection until we get a 2026 Q1 growth rate.</t>
      </text>
    </comment>
    <comment ref="B24" authorId="3" shapeId="0" xr:uid="{00000000-0006-0000-0F00-000004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129 quarterly table
Reply:
    This is now February 2023 CBO economic projections row 129 quarterly table
Reply:
    This is now July 2023 CBO economic projections row 129 quarterly table
Reply:
    This is now February 2024 CBO economic projections row 131 quarterly table.
Reply:
    This is now June 2024 CBO Economic Projections Quarterly table row 131 from 2021 Q1 onward.</t>
      </text>
    </comment>
    <comment ref="B25" authorId="4" shapeId="0" xr:uid="{E7D459C7-D63C-4E4A-AE4E-B08D7B79CF4D}">
      <text>
        <t>[Threaded comment]
Your version of Excel allows you to read this threaded comment; however, any edits to it will get removed if the file is opened in a newer version of Excel. Learn more: https://go.microsoft.com/fwlink/?linkid=870924
Comment:
    These data are from June 2024 CBO Economic Projections Quarterly table, row 132 from 2021 Q1 onward.</t>
      </text>
    </comment>
    <comment ref="B32" authorId="5" shapeId="0" xr:uid="{00000000-0006-0000-0F00-000005000000}">
      <text>
        <t>[Threaded comment]
Your version of Excel allows you to read this threaded comment; however, any edits to it will get removed if the file is opened in a newer version of Excel. Learn more: https://go.microsoft.com/fwlink/?linkid=870924
Comment:
    Start updating this chart again</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tc={C8AD5ECB-6700-45F3-8A5E-89F70EFCEC27}</author>
    <author>tc={3E7AAE05-9E76-4CF3-873B-76FF197F21FE}</author>
    <author>tc={9C6B073E-F7AB-4CBA-B38C-DC03A0972F64}</author>
    <author>tc={B5E978D5-CE65-4AE2-8DD7-1EF95BA9E399}</author>
    <author>tc={DB908DB8-ED36-4713-AE3C-B9DFD0F93D1E}</author>
    <author>tc={531C2B30-B748-4992-BA59-32A200D8CA7B}</author>
    <author>tc={02CD4DDF-2C52-45CC-A7C0-F81AC2D1A26A}</author>
    <author>tc={D984E10B-B7DF-4552-BF09-3EB2FF9587F0}</author>
    <author>tc={7010EE95-CECC-419E-AEDA-DD810575C98C}</author>
  </authors>
  <commentList>
    <comment ref="V12" authorId="0" shapeId="0" xr:uid="{00000000-0006-0000-1000-000001000000}">
      <text>
        <t>[Threaded comment]
Your version of Excel allows you to read this threaded comment; however, any edits to it will get removed if the file is opened in a newer version of Excel. Learn more: https://go.microsoft.com/fwlink/?linkid=870924
Comment:
    Assuming pre-pandemic trend is putting us too high</t>
      </text>
    </comment>
    <comment ref="R19" authorId="1" shapeId="0" xr:uid="{00000000-0006-0000-1000-000002000000}">
      <text>
        <t>[Threaded comment]
Your version of Excel allows you to read this threaded comment; however, any edits to it will get removed if the file is opened in a newer version of Excel. Learn more: https://go.microsoft.com/fwlink/?linkid=870924
Comment:
    We had these coming in at 21 and 6 respectively</t>
      </text>
    </comment>
    <comment ref="U20" authorId="2" shapeId="0" xr:uid="{00000000-0006-0000-1000-000003000000}">
      <text>
        <t>[Threaded comment]
Your version of Excel allows you to read this threaded comment; however, any edits to it will get removed if the file is opened in a newer version of Excel. Learn more: https://go.microsoft.com/fwlink/?linkid=870924
Comment:
    Preserving forecast formula since bea stopped reporting line item</t>
      </text>
    </comment>
    <comment ref="R22" authorId="3" shapeId="0" xr:uid="{00000000-0006-0000-1000-000004000000}">
      <text>
        <t>[Threaded comment]
Your version of Excel allows you to read this threaded comment; however, any edits to it will get removed if the file is opened in a newer version of Excel. Learn more: https://go.microsoft.com/fwlink/?linkid=870924
Comment:
    There was no total amount authorized for this program, and the SBA has stopped accepting applications as of January 2022.
https://www.sba.gov/funding-programs/loans/covid-19-relief-options/covid-19-economic-injury-disaster-loan/about-targeted-eidl-advance-supplemental-targeted-advance</t>
      </text>
    </comment>
    <comment ref="P25" authorId="4" shapeId="0" xr:uid="{00000000-0006-0000-1000-000005000000}">
      <text>
        <t>[Threaded comment]
Your version of Excel allows you to read this threaded comment; however, any edits to it will get removed if the file is opened in a newer version of Excel. Learn more: https://go.microsoft.com/fwlink/?linkid=870924
Comment:
    This is used to keep line 12 (non-leg subsidies) at a consistent level</t>
      </text>
    </comment>
    <comment ref="B26" authorId="5" shapeId="0" xr:uid="{00000000-0006-0000-1000-000006000000}">
      <text>
        <t>[Threaded comment]
Your version of Excel allows you to read this threaded comment; however, any edits to it will get removed if the file is opened in a newer version of Excel. Learn more: https://go.microsoft.com/fwlink/?linkid=870924
Comment:
    This row and the next are policy lines since the May 2022 CBO update, but we don't get a CBO line for Total Federal Subsidies. So do we delete these rows?</t>
      </text>
    </comment>
    <comment ref="R45" authorId="6" shapeId="0" xr:uid="{00000000-0006-0000-1000-000007000000}">
      <text>
        <t>[Threaded comment]
Your version of Excel allows you to read this threaded comment; however, any edits to it will get removed if the file is opened in a newer version of Excel. Learn more: https://go.microsoft.com/fwlink/?linkid=870924
Comment:
    Flag because ARP subsidies come in 100 lower based on ARP score, non-ARP subsidies now much higher going forward.</t>
      </text>
    </comment>
    <comment ref="AG45" authorId="7" shapeId="0" xr:uid="{00000000-0006-0000-1000-000008000000}">
      <text>
        <t>[Threaded comment]
Your version of Excel allows you to read this threaded comment; however, any edits to it will get removed if the file is opened in a newer version of Excel. Learn more: https://go.microsoft.com/fwlink/?linkid=870924
Comment:
    Hard coded to 0 because ARP Quarterly runs out of data and this is small anyway.</t>
      </text>
    </comment>
    <comment ref="S46" authorId="8" shapeId="0" xr:uid="{00000000-0006-0000-1000-000009000000}">
      <text>
        <t>[Threaded comment]
Your version of Excel allows you to read this threaded comment; however, any edits to it will get removed if the file is opened in a newer version of Excel. Learn more: https://go.microsoft.com/fwlink/?linkid=870924
Comment:
    Should we forecast a negative number for this item?</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tc={6F7D0E44-45B2-4003-8249-3888890A6B9B}</author>
    <author>tc={AD8BE1EB-30C1-4CFB-A518-57E98CBEADF4}</author>
    <author>tc={C3958D6E-5D0B-4757-8548-DC4AB51469BE}</author>
    <author>tc={8A2A0363-6E26-43DA-8F9C-0DA70A3F65A0}</author>
    <author>tc={48FEC13E-DD87-4779-A443-42BF4F49FF37}</author>
    <author>tc={09188FF2-A127-4014-A01D-03DD2BF0FA2E}</author>
    <author>tc={5E6012FC-E5EC-49B2-9F3E-FF9BACB20939}</author>
  </authors>
  <commentList>
    <comment ref="V12" authorId="0" shapeId="0" xr:uid="{00000000-0006-0000-1100-000001000000}">
      <text>
        <t>[Threaded comment]
Your version of Excel allows you to read this threaded comment; however, any edits to it will get removed if the file is opened in a newer version of Excel. Learn more: https://go.microsoft.com/fwlink/?linkid=870924
Comment:
    End of public health emergency,  April 2023, so FMAP share goes down.
Reply:
    How do we feel about FMAP stabilizing at 0.71 in our projections?</t>
      </text>
    </comment>
    <comment ref="W12" authorId="1" shapeId="0" xr:uid="{00000000-0006-0000-1100-000002000000}">
      <text>
        <t>[Threaded comment]
Your version of Excel allows you to read this threaded comment; however, any edits to it will get removed if the file is opened in a newer version of Excel. Learn more: https://go.microsoft.com/fwlink/?linkid=870924
Comment:
    We reduced this predicted FMAP from .745 to .72 because Q2 FMAP came in quite low</t>
      </text>
    </comment>
    <comment ref="B17" authorId="2" shapeId="0" xr:uid="{00000000-0006-0000-1100-000003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18
Reply:
    This is now February 2023 CBO 10-year budget projections table 1-4 Mandatory Outlays Adjusted to Exclude the Effect of Timing Shifts, row 15, starting from 2022
Reply:
    May 2023 CBO 10-year budget projections supplemental table 2 Major health care programs &gt; Medicaid (row 16) starting from Actual, 2022.
Reply:
    This is now February 2024 CBO 10-year budget projections table 1-4 Mandatory Outlays Adjusted to Exclude the Effect of Timing Shifts, row 15, starting from 2023
Reply:
    This is now June 2024 CBO Budget Projections table table 1-4 Mandatory Outlays Adjusted to Exclude the Effect of Timing Shifts, row 15, starting from 2023</t>
      </text>
    </comment>
    <comment ref="G20" authorId="3" shapeId="0" xr:uid="{00000000-0006-0000-1100-000004000000}">
      <text>
        <t>[Threaded comment]
Your version of Excel allows you to read this threaded comment; however, any edits to it will get removed if the file is opened in a newer version of Excel. Learn more: https://go.microsoft.com/fwlink/?linkid=870924
Comment:
    Higher growth than CBO predicts because we've already seen a large decrease
Reply:
    We added 2 pp to the growth rate because of CBO's very low &amp; declining forecast</t>
      </text>
    </comment>
    <comment ref="H20" authorId="4" shapeId="0" xr:uid="{00000000-0006-0000-1100-000005000000}">
      <text>
        <t>[Threaded comment]
Your version of Excel allows you to read this threaded comment; however, any edits to it will get removed if the file is opened in a newer version of Excel. Learn more: https://go.microsoft.com/fwlink/?linkid=870924
Comment:
    Louise changed to 0.02</t>
      </text>
    </comment>
    <comment ref="W27" authorId="5" shapeId="0" xr:uid="{00000000-0006-0000-1100-000006000000}">
      <text>
        <t>[Threaded comment]
Your version of Excel allows you to read this threaded comment; however, any edits to it will get removed if the file is opened in a newer version of Excel. Learn more: https://go.microsoft.com/fwlink/?linkid=870924
Comment:
    Medicaid has been growing much faster than the CBO 10-year budget predicts. So this might we worth revisiting because CBO's growth rate seems unrealistic</t>
      </text>
    </comment>
    <comment ref="V28" authorId="6" shapeId="0" xr:uid="{00000000-0006-0000-1100-000007000000}">
      <text>
        <t>[Threaded comment]
Your version of Excel allows you to read this threaded comment; however, any edits to it will get removed if the file is opened in a newer version of Excel. Learn more: https://go.microsoft.com/fwlink/?linkid=870924
Comment:
    Is there any reason we want a 32 here? The formula doesn't have any dependents, so this is not factoring into anything.</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tc={FBCF6AFF-3308-4DB2-931F-AB1BC267CB41}</author>
    <author>tc={8EBBDF8F-92CB-4DA7-AB0C-805F6924BC38}</author>
  </authors>
  <commentList>
    <comment ref="B21" authorId="0" shapeId="0" xr:uid="{00000000-0006-0000-1200-000001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17
Reply:
    This is now February 2023 10-year budget projections table 1-4 Mandatory Outlays adjusted to exclude effect of timing shifts, row 14, from 2022
Reply:
    May 2023 CBO 10-year budget projections supplemental table 2 Major Health Care Programs &gt; Medicare (row 15) from Actual, 2022 onward
Reply:
    This is now February 2024 CBO 10-year budget projections table 1-4 Mandatory Outlays Adjusted to Exclude the Effect of Timing Shifts, row 14, from 2023
Reply:
    This is now June 2024 CBO 10-year budget projections table 1-4 Mandatory Outlays Adjusted to Exclude the Effect of Timing Shifts, row 14, from 2023</t>
      </text>
    </comment>
    <comment ref="H26" authorId="1" shapeId="0" xr:uid="{00000000-0006-0000-1200-000002000000}">
      <text>
        <t>[Threaded comment]
Your version of Excel allows you to read this threaded comment; however, any edits to it will get removed if the file is opened in a newer version of Excel. Learn more: https://go.microsoft.com/fwlink/?linkid=870924
Comment:
    Bringing growth down because Medicare expenditures have been stagnant for 6 months on MPI</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tc={5E8C922E-2E18-4038-98CC-7367E12CF4D7}</author>
  </authors>
  <commentList>
    <comment ref="W11" authorId="0" shapeId="0" xr:uid="{00000000-0006-0000-1300-000001000000}">
      <text>
        <t>[Threaded comment]
Your version of Excel allows you to read this threaded comment; however, any edits to it will get removed if the file is opened in a newer version of Excel. Learn more: https://go.microsoft.com/fwlink/?linkid=870924
Comment:
    We reduced the CBO value (https://www.cbo.gov/system/files/2023-03/58983-IDR.pdf) by 90% because of Biden update in response to Supreme Court decision</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tc={36E0E18E-822C-4DD6-8410-5E4C883D1836}</author>
    <author>tc={3012ED06-42B4-440E-92A9-D4BCE51A80AC}</author>
    <author>tc={C3543641-BD77-4654-B0BF-74DF8DC9E44D}</author>
    <author>tc={A51AA54C-AAFD-4FFD-BD46-B7B54115E232}</author>
    <author>tc={344D7ABE-26E3-4303-8241-3B2D9BE19C4C}</author>
    <author>tc={581A763D-69E7-4316-A641-33877C6ED334}</author>
    <author>tc={62AD165D-7A82-4BF4-8868-C46B05D9A871}</author>
    <author>tc={88370A64-FBDF-4CF1-9910-136364F7D354}</author>
    <author>tc={9CD67460-E1CB-4B53-9C37-E18E4A204770}</author>
    <author>tc={E1EEB2AC-C029-4C98-981E-E7577AACBA1F}</author>
    <author>tc={8624CBF8-0C25-4544-B55E-7210BBE07E41}</author>
    <author>tc={B38BAE8E-DF30-49E2-9F96-90A1041E4DF0}</author>
    <author>tc={96427D88-0329-491C-A939-11D66B55F1C3}</author>
    <author>tc={8AABB420-F73D-4E8A-8DF7-F245078D4E11}</author>
    <author>tc={41707468-7438-4BC6-B704-F002DDD23F47}</author>
    <author>tc={BB43241A-632E-43CC-BA8F-93EFF045E9AE}</author>
    <author>tc={768266C3-5F6F-4B4B-A0F2-5FE77F7C9D9D}</author>
    <author>tc={CEF813AA-D4CC-411F-B865-86A64AC5EEB6}</author>
    <author>tc={DDFF41A6-D6EC-4A60-A3F9-0AF92DDF8C11}</author>
    <author>tc={6AF7CFB2-704D-4104-831C-CFDBBA2AEEEB}</author>
  </authors>
  <commentList>
    <comment ref="V12" authorId="0" shapeId="0" xr:uid="{00000000-0006-0000-14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24" authorId="1" shapeId="0" xr:uid="{00000000-0006-0000-1400-000002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AG24" authorId="2" shapeId="0" xr:uid="{00000000-0006-0000-1400-000003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AG25" authorId="3" shapeId="0" xr:uid="{00000000-0006-0000-1400-000004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W26" authorId="4" shapeId="0" xr:uid="{00000000-0006-0000-1400-000005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27" authorId="5" shapeId="0" xr:uid="{00000000-0006-0000-1400-000006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27" authorId="6" shapeId="0" xr:uid="{00000000-0006-0000-1400-000007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0" authorId="7" shapeId="0" xr:uid="{00000000-0006-0000-1400-000008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32" authorId="8" shapeId="0" xr:uid="{00000000-0006-0000-1400-000009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50" authorId="9" shapeId="0" xr:uid="{00000000-0006-0000-1400-00000B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66" authorId="10" shapeId="0" xr:uid="{00000000-0006-0000-1400-00000C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66" authorId="11" shapeId="0" xr:uid="{00000000-0006-0000-1400-00000D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66" authorId="12" shapeId="0" xr:uid="{00000000-0006-0000-1400-00000E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66" authorId="13" shapeId="0" xr:uid="{00000000-0006-0000-1400-00000F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66" authorId="14" shapeId="0" xr:uid="{00000000-0006-0000-1400-000010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E72" authorId="15" shapeId="0" xr:uid="{00000000-0006-0000-1400-000011000000}">
      <text>
        <t>[Threaded comment]
Your version of Excel allows you to read this threaded comment; however, any edits to it will get removed if the file is opened in a newer version of Excel. Learn more: https://go.microsoft.com/fwlink/?linkid=870924
Comment:
    We need to base this off of CBO.</t>
      </text>
    </comment>
    <comment ref="U79" authorId="16" shapeId="0" xr:uid="{00000000-0006-0000-14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79" authorId="17" shapeId="0" xr:uid="{00000000-0006-0000-14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79" authorId="18" shapeId="0" xr:uid="{00000000-0006-0000-1400-000014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91" authorId="19" shapeId="0" xr:uid="{00000000-0006-0000-1400-000015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
Reply:
    This is now February 2024 CBO budget projections Table 1-4 Adjusted for the Effects of Timing Shifts, row 12 social security subtotal
Reply:
    This is now June 2024 CBO budget projections Table 1-4 Adjusted for the Effects of Timing Shifts, row 12 social security subtotal from 2023 onward</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tc={505E7BD6-88A4-42AD-A6DC-68BD0BE87D33}</author>
    <author>tc={881F3BB7-106B-4F00-B0DA-BD9A53BEF838}</author>
    <author>tc={C3DB8831-9F87-4F3D-9B9D-9A9E1597F426}</author>
    <author>tc={4228D01B-4AEF-4CA7-B658-811954DCF7BB}</author>
    <author>tc={04B398A3-1374-48E0-B6C2-D78AE6DA1BDD}</author>
    <author>tc={0D6526F1-FB84-4CE1-BF6D-D216D2CBFA7D}</author>
    <author>tc={776C20D9-BBE8-4C4A-83F8-DBDF30610EB7}</author>
    <author>tc={13EDECA1-3336-4AAC-8327-B0C38DEC95D7}</author>
    <author>tc={60848DDC-4FFF-464F-B8D9-5B6A281B60B5}</author>
    <author>tc={E57A7D31-77D0-420E-9DD7-198719027F9A}</author>
    <author>tc={C002318B-0202-4CC0-8DD3-1725593FE3D1}</author>
    <author>tc={E4FE7A8B-4D2A-4359-B238-2B2BE1512246}</author>
    <author>tc={43DC2388-3546-49A3-A073-D026721B0873}</author>
    <author>tc={FABA84AA-C37B-4336-B1EE-7A5E70CE24AE}</author>
    <author>tc={54F419B7-0667-48BB-8A9C-D19D1B8EB15F}</author>
    <author>tc={24DC2710-2BAF-4CA0-A042-43B56D306DEE}</author>
    <author>tc={EB478BFD-2402-456B-898A-BD2349A0E650}</author>
    <author>tc={B854E505-68D2-4028-B487-5373AF8AF641}</author>
    <author>tc={A74F5C9C-5443-4AD1-9B0C-B7667FF0C0B0}</author>
    <author>tc={6EBA7EC1-98AF-47E6-9E37-660FEFC5B8A8}</author>
    <author>tc={D9B40975-2C01-46AD-98EC-7D62C3266F39}</author>
    <author>tc={19FB8D81-993F-405A-A8CE-0DEF848E524B}</author>
  </authors>
  <commentList>
    <comment ref="V12" authorId="0" shapeId="0" xr:uid="{00000000-0006-0000-15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S13" authorId="1" shapeId="0" xr:uid="{00000000-0006-0000-1500-000002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13" authorId="2" shapeId="0" xr:uid="{00000000-0006-0000-1500-000003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W24" authorId="3" shapeId="0" xr:uid="{00000000-0006-0000-1500-000004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V25" authorId="4" shapeId="0" xr:uid="{00000000-0006-0000-1500-000005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32" authorId="5" shapeId="0" xr:uid="{00000000-0006-0000-1500-000006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W34" authorId="6" shapeId="0" xr:uid="{00000000-0006-0000-1500-000007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35" authorId="7" shapeId="0" xr:uid="{00000000-0006-0000-1500-000008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35" authorId="8" shapeId="0" xr:uid="{00000000-0006-0000-1500-000009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8" authorId="9" shapeId="0" xr:uid="{00000000-0006-0000-1500-00000A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40" authorId="10" shapeId="0" xr:uid="{00000000-0006-0000-1500-00000B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B66" authorId="11" shapeId="0" xr:uid="{00000000-0006-0000-1500-00000C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85" authorId="12" shapeId="0" xr:uid="{00000000-0006-0000-1500-00000D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101" authorId="13" shapeId="0" xr:uid="{00000000-0006-0000-1500-00000E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101" authorId="14" shapeId="0" xr:uid="{00000000-0006-0000-1500-00000F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101" authorId="15" shapeId="0" xr:uid="{00000000-0006-0000-1500-000010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01" authorId="16" shapeId="0" xr:uid="{00000000-0006-0000-15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01" authorId="17" shapeId="0" xr:uid="{00000000-0006-0000-15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U114" authorId="18" shapeId="0" xr:uid="{00000000-0006-0000-15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14" authorId="19" shapeId="0" xr:uid="{00000000-0006-0000-1500-000014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14" authorId="20" shapeId="0" xr:uid="{00000000-0006-0000-1500-000015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126" authorId="21" shapeId="0" xr:uid="{00000000-0006-0000-1500-000016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tc={C1427567-6345-422C-950F-10556EB5D1E6}</author>
    <author>tc={EBE1E7D2-6EB8-4B92-8CE8-BB562C83E893}</author>
    <author>tc={593AFA9A-8DC4-4E71-AAA8-0645166E3F25}</author>
    <author>tc={E6E2D78D-4384-4561-939B-9BC7331F8BE8}</author>
    <author>tc={D06702F8-F5F4-41FB-BA11-B2023B5B68A7}</author>
    <author>tc={9443444D-0A20-425F-9300-C411DBC65A0D}</author>
    <author>tc={8773E616-7533-4D96-8216-0F45303BCB01}</author>
    <author>tc={F4C081DF-9BF8-4221-BECE-CB42A30EB5BC}</author>
    <author>tc={498AD0F5-D245-4256-A7C8-7D62910F1A6D}</author>
    <author>tc={1065F4CB-52AB-4B92-B793-654578199E67}</author>
    <author>tc={6EA59173-A6A4-4520-BC55-CD373EBDD6E4}</author>
    <author>tc={B7BB92B9-56AF-428A-90BE-8769E0F9A367}</author>
    <author>tc={F12C7BC9-1DAF-45BE-BFCA-781CDA4BC7CD}</author>
    <author>tc={54F6D9F3-8868-417E-999A-B95E2C1FC589}</author>
    <author>tc={8DA4ABCB-3EED-4DB4-A96F-296CD1D3D3EE}</author>
    <author>tc={1FB99C5A-E921-4C2B-94A6-469F8368DE8C}</author>
    <author>tc={71B63C0C-A14A-4CAA-AD37-D99BE7060ACF}</author>
    <author>tc={CE0F5DCB-3CCE-4E3D-A6E4-2AC8A4A5F19D}</author>
    <author>tc={B0E96582-484F-445D-8FF5-3592B5A172FA}</author>
    <author>tc={E6B5A35A-07FA-4F2B-9A9E-866D21A47917}</author>
    <author>tc={4A8F6F92-75ED-4D7D-9EAC-6799BA8D11ED}</author>
    <author>tc={BAC4C9C5-057D-4522-9D5B-345501733B13}</author>
    <author>tc={903D683D-E956-41A0-87A0-4A0ACF2A3EC0}</author>
    <author>tc={3EBCE0D2-6A48-4CE9-BC8C-5855F5261D1F}</author>
    <author>tc={48184811-5BD0-438A-8E38-4FDE0C8DFA8F}</author>
    <author>tc={D2748782-D0E6-49AC-8A19-1F2FBF9255CC}</author>
    <author>tc={A46F7C4F-6912-4219-A6BF-9B291D29572E}</author>
    <author>tc={76E953CB-BD49-43CF-8F2D-8BFB47D725D7}</author>
    <author>tc={8FB584A5-2B54-4AD8-94A1-F46A717E4FE5}</author>
    <author>tc={65B2F617-D738-4757-983D-98D9DB3870FB}</author>
    <author>tc={0AC09EFD-8A54-444C-A82D-77111C533292}</author>
    <author>tc={1B45073C-05DE-4E50-B57C-9DA43CA3E5DB}</author>
    <author>tc={1EFE3D94-A914-4335-ADA0-94B1C8F72E64}</author>
  </authors>
  <commentList>
    <comment ref="R8" authorId="0" shapeId="0" xr:uid="{00000000-0006-0000-1800-000001000000}">
      <text>
        <t>[Threaded comment]
Your version of Excel allows you to read this threaded comment; however, any edits to it will get removed if the file is opened in a newer version of Excel. Learn more: https://go.microsoft.com/fwlink/?linkid=870924
Comment:
    The levels are a lot lower!</t>
      </text>
    </comment>
    <comment ref="V16" authorId="1" shapeId="0" xr:uid="{00000000-0006-0000-1800-000002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6" authorId="2" shapeId="0" xr:uid="{00000000-0006-0000-1800-000003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the comment in the previous cell.</t>
      </text>
    </comment>
    <comment ref="X16" authorId="3" shapeId="0" xr:uid="{00000000-0006-0000-1800-000004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a month late.</t>
      </text>
    </comment>
    <comment ref="AC21" authorId="4" shapeId="0" xr:uid="{00000000-0006-0000-1800-000005000000}">
      <text>
        <t>[Threaded comment]
Your version of Excel allows you to read this threaded comment; however, any edits to it will get removed if the file is opened in a newer version of Excel. Learn more: https://go.microsoft.com/fwlink/?linkid=870924
Comment:
    For all state taxes, (lines 21,23,24), Change Y to AC when data come in</t>
      </text>
    </comment>
    <comment ref="V25" authorId="5" shapeId="0" xr:uid="{00000000-0006-0000-1800-000006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25" authorId="6" shapeId="0" xr:uid="{00000000-0006-0000-1800-000007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in the previous cell.</t>
      </text>
    </comment>
    <comment ref="X25" authorId="7" shapeId="0" xr:uid="{00000000-0006-0000-1800-000008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one month late.</t>
      </text>
    </comment>
    <comment ref="Z25" authorId="8" shapeId="0" xr:uid="{00000000-0006-0000-1800-000009000000}">
      <text>
        <t>[Threaded comment]
Your version of Excel allows you to read this threaded comment; however, any edits to it will get removed if the file is opened in a newer version of Excel. Learn more: https://go.microsoft.com/fwlink/?linkid=870924
Comment:
    Change to Y in May</t>
      </text>
    </comment>
    <comment ref="K35" authorId="9" shapeId="0" xr:uid="{00000000-0006-0000-1800-00000A000000}">
      <text>
        <t>[Threaded comment]
Your version of Excel allows you to read this threaded comment; however, any edits to it will get removed if the file is opened in a newer version of Excel. Learn more: https://go.microsoft.com/fwlink/?linkid=870924
Comment:
    We adjusted these growth rates upward because CBO expected taxes to fall gradually but instead they fell quickly.</t>
      </text>
    </comment>
    <comment ref="K39" authorId="10" shapeId="0" xr:uid="{00000000-0006-0000-1800-00000B000000}">
      <text>
        <t>[Threaded comment]
Your version of Excel allows you to read this threaded comment; however, any edits to it will get removed if the file is opened in a newer version of Excel. Learn more: https://go.microsoft.com/fwlink/?linkid=870924
Comment:
    We reduced the CBO growth rate from 36% to 10% because it seemed anomolously high</t>
      </text>
    </comment>
    <comment ref="L39" authorId="11" shapeId="0" xr:uid="{00000000-0006-0000-1800-00000C000000}">
      <text>
        <t>[Threaded comment]
Your version of Excel allows you to read this threaded comment; however, any edits to it will get removed if the file is opened in a newer version of Excel. Learn more: https://go.microsoft.com/fwlink/?linkid=870924
Comment:
    We increased the CBO growth rate to account for our large adjustment in the previous year</t>
      </text>
    </comment>
    <comment ref="M39" authorId="12" shapeId="0" xr:uid="{F12C7BC9-1DAF-45BE-BFCA-781CDA4BC7CD}">
      <text>
        <t>[Threaded comment]
Your version of Excel allows you to read this threaded comment; however, any edits to it will get removed if the file is opened in a newer version of Excel. Learn more: https://go.microsoft.com/fwlink/?linkid=870924
Comment:
    Another additional add factor, similar to comment to the left</t>
      </text>
    </comment>
    <comment ref="D55" authorId="13" shapeId="0" xr:uid="{00000000-0006-0000-1800-00000D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12
Reply:
    Feb 2024 CBO Budget Projections Table 1-1 Row 10
Reply:
    June 2024 CBO Budget Projections Table 1-1 Row 10</t>
      </text>
    </comment>
    <comment ref="M55" authorId="14" shapeId="0" xr:uid="{8DA4ABCB-3EED-4DB4-A96F-296CD1D3D3EE}">
      <text>
        <t>[Threaded comment]
Your version of Excel allows you to read this threaded comment; however, any edits to it will get removed if the file is opened in a newer version of Excel. Learn more: https://go.microsoft.com/fwlink/?linkid=870924
Comment:
    Added CBO estimate to counterfactual from TCJA NOT expiring in https://www.cbo.gov/publication/60271
We also subtracted an addition 30, which is roughly half of the 48+11 from investment.</t>
      </text>
    </comment>
    <comment ref="D56" authorId="15" shapeId="0" xr:uid="{00000000-0006-0000-1800-00000E000000}">
      <text>
        <t>[Threaded comment]
Your version of Excel allows you to read this threaded comment; however, any edits to it will get removed if the file is opened in a newer version of Excel. Learn more: https://go.microsoft.com/fwlink/?linkid=870924
Comment:
    February 2023 Budget Projections Table 1 Row 13
Reply:
    These are now May 2023 Budget Projections Table 1 row 13
Reply:
    February 2024 CBO Budget Projections Table 1-1 Row 11
Reply:
    June 2024 CBO Budget Projections Table 1-1 Row 11</t>
      </text>
    </comment>
    <comment ref="D57" authorId="16" shapeId="0" xr:uid="{71B63C0C-A14A-4CAA-AD37-D99BE7060ACF}">
      <text>
        <t>[Threaded comment]
Your version of Excel allows you to read this threaded comment; however, any edits to it will get removed if the file is opened in a newer version of Excel. Learn more: https://go.microsoft.com/fwlink/?linkid=870924
Comment:
    Not updated June 2024. I could not find in the budget projections.</t>
      </text>
    </comment>
    <comment ref="D58" authorId="17" shapeId="0" xr:uid="{00000000-0006-0000-1800-00000F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14
Reply:
    February 2024 CBO Budget Projections Table 1-7 Row 14</t>
      </text>
    </comment>
    <comment ref="D59" authorId="18" shapeId="0" xr:uid="{00000000-0006-0000-1800-000010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16
Reply:
    February 2024 CBO Budget Projections Table 1-7, row 16</t>
      </text>
    </comment>
    <comment ref="D60" authorId="19" shapeId="0" xr:uid="{00000000-0006-0000-1800-000011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14
Reply:
    February 2023 CBO Budget Projections Table 1-1, row 12
Reply:
    June 2024 CBO Budget projections table 1-1 row 12</t>
      </text>
    </comment>
    <comment ref="M60" authorId="20" shapeId="0" xr:uid="{4A8F6F92-75ED-4D7D-9EAC-6799BA8D11ED}">
      <text>
        <t xml:space="preserve">[Threaded comment]
Your version of Excel allows you to read this threaded comment; however, any edits to it will get removed if the file is opened in a newer version of Excel. Learn more: https://go.microsoft.com/fwlink/?linkid=870924
Comment:
    See comment in M56 on using CBO estimate of TCJA not expiring
</t>
      </text>
    </comment>
    <comment ref="D78" authorId="21" shapeId="0" xr:uid="{00000000-0006-0000-1800-000012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92
Reply:
    July 2023 now
Reply:
    This is now February 2024 CBO Economic Projections Fiscal Year Sheet, row 94
Reply:
    June 2024 Econ projections Fiscal Year sheet row 94. Pasted for 2021 onward</t>
      </text>
    </comment>
    <comment ref="D79" authorId="22" shapeId="0" xr:uid="{00000000-0006-0000-1800-000013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96
Reply:
    July 2023 now
Reply:
    This is now February 2024 CBO Economic Projections Fiscal Year Table row, row 98
Reply:
    June 2024 Econ projections Fiscal Year sheet row 98. Pasted for 2021 onward</t>
      </text>
    </comment>
    <comment ref="D80" authorId="23" shapeId="0" xr:uid="{00000000-0006-0000-1800-000014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116
Reply:
    July now
Reply:
    February 2024 CBO Economic Projections, Fiscal Year Table, row 118
Reply:
    June 2024 CBO Economic Projections, Fiscal Year Table, row 118 pasted from 2021 onward</t>
      </text>
    </comment>
    <comment ref="D81" authorId="24" shapeId="0" xr:uid="{00000000-0006-0000-1800-000015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110
Reply:
    July now
Reply:
    This is now February 2024 CBO Economic Projections Fiscal Year Table, row 112
Reply:
    June 2024 CBO Economic Projections Fiscal Year Table, row 112 from 2021 onward</t>
      </text>
    </comment>
    <comment ref="D102" authorId="25" shapeId="0" xr:uid="{00000000-0006-0000-1800-000016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96
Reply:
    Same table and row, July 2023
Reply:
    February 2024 CBO Economic Projections Quarterly Table, row 98
Reply:
    Ju 2024 economic projections quarterly table row 98 pasted from 2021 Q1 onward</t>
      </text>
    </comment>
    <comment ref="D103" authorId="26" shapeId="0" xr:uid="{00000000-0006-0000-1800-000017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tables, row 98
Reply:
    Same table and row, July 2023
Reply:
    February 2024 CBO Economic Projections quarterly tables, row 100
Reply:
    June 2024 CBO Economic Projections Quarterly table row 100 from 2021 Q1 onward</t>
      </text>
    </comment>
    <comment ref="D104" authorId="27" shapeId="0" xr:uid="{00000000-0006-0000-1800-000018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116
Reply:
    Same table and row, July 2023
Reply:
    This is now February 2024 CBO Economic Projections Quarterly Table, row 118
Reply:
    June 2024 CBO Economic Projections Quarterly Table, row 118 from 2021 Q1 onward
</t>
      </text>
    </comment>
    <comment ref="D105" authorId="28" shapeId="0" xr:uid="{00000000-0006-0000-1800-000019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112
Reply:
    Same table and row, July 2023
Reply:
    February 2024 CBO Economic Projections quarterly table row 114 corporate profits domestic
Reply:
    June 2024 CBO Economic Projections quarterly table row 114 corporate profits domestic with IVA and CCAdj, from 2021 Q1 onward
</t>
      </text>
    </comment>
    <comment ref="U128" authorId="29" shapeId="0" xr:uid="{00000000-0006-0000-1800-00001A000000}">
      <text>
        <t>[Threaded comment]
Your version of Excel allows you to read this threaded comment; however, any edits to it will get removed if the file is opened in a newer version of Excel. Learn more: https://go.microsoft.com/fwlink/?linkid=870924
Comment:
    I can't drag these over because of circular references.</t>
      </text>
    </comment>
    <comment ref="V131" authorId="30" shapeId="0" xr:uid="{00000000-0006-0000-1800-00001B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31" authorId="31" shapeId="0" xr:uid="{00000000-0006-0000-1800-00001C000000}">
      <text>
        <t>[Threaded comment]
Your version of Excel allows you to read this threaded comment; however, any edits to it will get removed if the file is opened in a newer version of Excel. Learn more: https://go.microsoft.com/fwlink/?linkid=870924
Comment:
    Drag forward in November by same logic as in previous cell.</t>
      </text>
    </comment>
    <comment ref="X131" authorId="32" shapeId="0" xr:uid="{00000000-0006-0000-1800-00001D000000}">
      <text>
        <t>[Threaded comment]
Your version of Excel allows you to read this threaded comment; however, any edits to it will get removed if the file is opened in a newer version of Excel. Learn more: https://go.microsoft.com/fwlink/?linkid=870924
Comment:
    Drag forward in February because we get Q4 Data 1 month late.</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tc={3D2D0DDD-7B5A-43DF-B8EA-F946232323B5}</author>
    <author>tc={0DF18CD1-DDA4-4936-9B9E-36F885A8A9DF}</author>
    <author>tc={9DDFDF05-CB8A-4154-92B5-FB4AFBAE30F8}</author>
    <author>tc={C72DB8C1-80AB-49EE-8306-B3882C563DE7}</author>
    <author>tc={65400755-1E7E-45CD-B1D4-DAC1E9F13C96}</author>
    <author>tc={2342851E-1027-489D-A9C9-2E8A800F814B}</author>
    <author>tc={7C559531-A861-49AD-8365-07F57C6BE5A0}</author>
  </authors>
  <commentList>
    <comment ref="B62" authorId="0" shapeId="0" xr:uid="{00000000-0006-0000-1900-000001000000}">
      <text>
        <t>[Threaded comment]
Your version of Excel allows you to read this threaded comment; however, any edits to it will get removed if the file is opened in a newer version of Excel. Learn more: https://go.microsoft.com/fwlink/?linkid=870924
Comment:
    These series are in inst/extdata/projections.xlsx. See the dictionary sheet in that workbook to locate these in CBO. When there's a new baseline, update projections.xlsx and pull in the variables here as well.</t>
      </text>
    </comment>
    <comment ref="B64" authorId="1" shapeId="0" xr:uid="{00000000-0006-0000-1900-000002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116
Reply:
    February 2024 CBO Economic Projections, Quarterly Table, Line 118
Reply:
    June 2024 CBO Economic Projections, Quarterly Table, Line 118 pasted from 2021 Q1 onward</t>
      </text>
    </comment>
    <comment ref="B65" authorId="2" shapeId="0" xr:uid="{00000000-0006-0000-1900-000003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127
Reply:
    July 2023 CBO Economic Projections, Quarterly Table Line 129
Reply:
    June 2024 CBO Economic Projections, Quarterly Table Line 129 from 2021 Q1 onward</t>
      </text>
    </comment>
    <comment ref="B66" authorId="3" shapeId="0" xr:uid="{00000000-0006-0000-1900-000004000000}">
      <text>
        <t xml:space="preserve">[Threaded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129
Reply:
    February 2024 Economic Projections, Quarterly Table line 131
Reply:
    June  2024 Economic Projections, Quarterly Table line 131 from 2021 Q1 onward
</t>
      </text>
    </comment>
    <comment ref="B67" authorId="4" shapeId="0" xr:uid="{00000000-0006-0000-1900-000005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139
Reply:
    February 2024 CBO Economic Projections, Quarterly Table, row 141
Reply:
    June 2024 CBO Economic Projections, Quarterly Table, row 141 from 2021 Q1 onward</t>
      </text>
    </comment>
    <comment ref="B68" authorId="5" shapeId="0" xr:uid="{00000000-0006-0000-1900-000006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150
Reply:
    February 2024 CBO Economic Projections, Quarterly Table, Line 152
Reply:
    June 2024 CBO Economic Projections, Quarterly Table, Line 152 from 2021 Q1 onward</t>
      </text>
    </comment>
    <comment ref="B69" authorId="6" shapeId="0" xr:uid="{00000000-0006-0000-1900-000007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152
Reply:
    This is now February 2024 economic Projections, Quarterly Table, row 154</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tc={91113C3B-1C03-4C87-BD7C-A804D513BAAF}</author>
    <author>tc={9A81032B-E202-4D06-B8AF-1233277CB3E9}</author>
  </authors>
  <commentList>
    <comment ref="F12" authorId="0" shapeId="0" xr:uid="{00000000-0006-0000-1D00-000001000000}">
      <text>
        <t>[Threaded comment]
Your version of Excel allows you to read this threaded comment; however, any edits to it will get removed if the file is opened in a newer version of Excel. Learn more: https://go.microsoft.com/fwlink/?linkid=870924
Comment:
    Not smoothed anymore. Added 12 based on strong data from Goldman release. Added 3 to  2023 Q4</t>
      </text>
    </comment>
    <comment ref="K31" authorId="1" shapeId="0" xr:uid="{00000000-0006-0000-1D00-000002000000}">
      <text>
        <t>[Threaded comment]
Your version of Excel allows you to read this threaded comment; however, any edits to it will get removed if the file is opened in a newer version of Excel. Learn more: https://go.microsoft.com/fwlink/?linkid=870924
Comment:
    Not smoothed anymore. Added 12 based on strong data from Goldman release. Added 3 to  2023 Q4</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tc={932956EA-9A05-4B8D-ABE8-9A5A953CB2B6}</author>
  </authors>
  <commentList>
    <comment ref="B4" authorId="0" shapeId="0" xr:uid="{00000000-0006-0000-2000-000001000000}">
      <text>
        <t>[Threaded comment]
Your version of Excel allows you to read this threaded comment; however, any edits to it will get removed if the file is opened in a newer version of Excel. Learn more: https://go.microsoft.com/fwlink/?linkid=870924
Comment:
    CRFB assumes 8% of forgivable loans will bee repaid, So they actually have $261 in their score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tc={DC73AD49-B7D6-4667-A66E-8EE403D2E997}</author>
    <author>tc={DF115210-C3D9-4849-892E-0C642306D5B7}</author>
  </authors>
  <commentList>
    <comment ref="L5" authorId="0" shapeId="0" xr:uid="{00000000-0006-0000-2100-000001000000}">
      <text>
        <t>[Threaded comment]
Your version of Excel allows you to read this threaded comment; however, any edits to it will get removed if the file is opened in a newer version of Excel. Learn more: https://go.microsoft.com/fwlink/?linkid=870924
Comment:
    BEA categorizes rental assistance as capital transfer payments. 203 was disbursed in 2021Q1; 100 of that was from the December legislation, 103 of that was from ARP.</t>
      </text>
    </comment>
    <comment ref="O5" authorId="1" shapeId="0" xr:uid="{00000000-0006-0000-2100-000002000000}">
      <text>
        <t>[Threaded comment]
Your version of Excel allows you to read this threaded comment; however, any edits to it will get removed if the file is opened in a newer version of Excel. Learn more: https://go.microsoft.com/fwlink/?linkid=870924
Comment:
    We changed the CBO score to reflect that more money was going out in 2021 than anticipated as of July 2021</t>
      </text>
    </comment>
  </commentList>
</comments>
</file>

<file path=xl/sharedStrings.xml><?xml version="1.0" encoding="utf-8"?>
<sst xmlns="http://schemas.openxmlformats.org/spreadsheetml/2006/main" count="4950" uniqueCount="2285">
  <si>
    <t>Guide to the FIM Forecast Spreadsheet</t>
  </si>
  <si>
    <t>Sheets:</t>
  </si>
  <si>
    <t>Checklist (New Quarter Release)</t>
  </si>
  <si>
    <t>Checklist of steps to follow when the BEA releases its advance estimate of a new quarter's data</t>
  </si>
  <si>
    <t>Checklist (Monthly Revision)</t>
  </si>
  <si>
    <t>Checklist of steps to follow for BEA's two revisions of a quarter's data</t>
  </si>
  <si>
    <t>Checklist (CBO Budget Release)</t>
  </si>
  <si>
    <t>Checklist of steps to follow when the CBO releases a new Ten-Year Economic and Budget Projections</t>
  </si>
  <si>
    <t>Revisions</t>
  </si>
  <si>
    <t>Forecast Comparison</t>
  </si>
  <si>
    <t>This sheet shows how our forecast has changed since the last update.</t>
  </si>
  <si>
    <t>Monthly BEA Personal Income data we use to help us forecast the upcoming quarter of data before BEA's advance estimate comes out.</t>
  </si>
  <si>
    <t>Forecast</t>
  </si>
  <si>
    <t>Historical Overrides</t>
  </si>
  <si>
    <t>Calls from the Grants forecast sheet. We override BEA data for 2020 consumption grants because BEA puts it all in the first quarter; we spread it out over four. This also is read into the code.</t>
  </si>
  <si>
    <t>MPC</t>
  </si>
  <si>
    <t>MPCs for the spending out of our forecast variables, where applicable. We edit them here and the sheet is read into the code.</t>
  </si>
  <si>
    <t>Haver Pivoted</t>
  </si>
  <si>
    <t>Cares Act Scores</t>
  </si>
  <si>
    <t>This is the CBO ten-year score for three pieces of Covid legislation not incorporated in CBO's March 2020 baseline. It's mainly CARES. Generally you won't touch this.</t>
  </si>
  <si>
    <t>Response and Relief Act Score</t>
  </si>
  <si>
    <t>This is the CFRB's ten-year score of the Response and Relief Act from December 2020; in this sheet we group the score into our FIM categories. Generally you won't touch this.</t>
  </si>
  <si>
    <t>ARP Score</t>
  </si>
  <si>
    <t>CBO's ten-year score of the ARP; annual spending and revenues by fiscal year. Generally you won't touch this without Louise.</t>
  </si>
  <si>
    <t>ARP Timing</t>
  </si>
  <si>
    <t>ARP Quarterly</t>
  </si>
  <si>
    <t xml:space="preserve">Deflators </t>
  </si>
  <si>
    <t>The deflators we use, for reference. Similar to the MPC sheet I think we should either delete or edit for the whole FIM in here.</t>
  </si>
  <si>
    <t xml:space="preserve">Conventions (please stick to these when editing the sheet to keep things organized) </t>
  </si>
  <si>
    <t>Italicized rows in the forecast spreadsheets are called by "forecast" and read into the code; they are the "final output" of each sheet.</t>
  </si>
  <si>
    <t xml:space="preserve">NEVER drag forward a formula without checking how the row's formulas work-- at the moment, sometimes they change within a row. </t>
  </si>
  <si>
    <t xml:space="preserve">Any rows with haver codes next to the variable call from Haver Pivoted in the historical period. </t>
  </si>
  <si>
    <t>Year-quarters in all the main tables of the forecast sheets are in the same columns across sheets (i.e. 2021 Q2 is in column N across sheets for the main forecast tables).</t>
  </si>
  <si>
    <t>Checklist</t>
  </si>
  <si>
    <t xml:space="preserve">Methodology </t>
  </si>
  <si>
    <t>How to execute</t>
  </si>
  <si>
    <t xml:space="preserve">Done? </t>
  </si>
  <si>
    <t>Setting up</t>
  </si>
  <si>
    <t>This sheet we only use for monthly revisions, and not for a new quarter release. However we do need to update what quarter in Haver Pivoted is called in the "Current Update" column.</t>
  </si>
  <si>
    <t xml:space="preserve">Clear contents in the Last Update column. Change the formula in the first cell that calls Haver Pivoted in the Current Update column to call from one column over in Haver Pivoted (this is where the next quarter's data will be when we read in the new data). Drag the changed formula down the whole column. Don't worry about DIV0 or REF errors, everything will fill in when Haver Pivoted is updated. </t>
  </si>
  <si>
    <t>This sheet shows us how much our forecast (what is read into the code) has changed since the last update, in level and percent differences.</t>
  </si>
  <si>
    <t>Copy past the forecast table from the most recent update (Past Values Only) into the "Previous Forecast" table.</t>
  </si>
  <si>
    <t>Read the BEA news release for the new quarter</t>
  </si>
  <si>
    <t>The BEA's news release can be really helpful for broadly understanding the BEA's released data for the new quarter, which affects the assumptions we make about the components of the FIM. The technical note is the most useful for detailed information. You'll want to take note of GDP growth, as well as any  large components that they note. Sometimes the BEA tables can be useful for finding specific values too.</t>
  </si>
  <si>
    <t>https://www.bea.gov/news/current-releases</t>
  </si>
  <si>
    <t>Pulling in the new data from Haver</t>
  </si>
  <si>
    <t>We pull in the latest historical BEA data by running a script to replace the data in Haver Pivoted. This will autofill the spreadsheets where we make our forecast assumptions with the new BEA data. This will also autofill the "Current Update" column in Revisions.</t>
  </si>
  <si>
    <t>Monthly Personal Income Sheet</t>
  </si>
  <si>
    <t xml:space="preserve">Before the BEA releases data on a quarter, we can use their monthly estimates of "Effects of Selected Federal Pandemic Response Programs on Personal Income" to inform our assumptions about the quarter. </t>
  </si>
  <si>
    <t>Provider Relief</t>
  </si>
  <si>
    <t>PPP</t>
  </si>
  <si>
    <t>Grants</t>
  </si>
  <si>
    <t>Subsidies</t>
  </si>
  <si>
    <t>Unemployment Insurance</t>
  </si>
  <si>
    <t>Medicaid</t>
  </si>
  <si>
    <t>Medicare</t>
  </si>
  <si>
    <t>Rebate Checks</t>
  </si>
  <si>
    <t>Social Benefits</t>
  </si>
  <si>
    <t>Taxes</t>
  </si>
  <si>
    <t>Calculating contributions</t>
  </si>
  <si>
    <t>Calculating the FIM</t>
  </si>
  <si>
    <t>Generating comparison tables between the previous and new FIMs</t>
  </si>
  <si>
    <t>Publishing the FIM</t>
  </si>
  <si>
    <t>Drafting the text</t>
  </si>
  <si>
    <t>Former write ups can be found in Hutchins Center Documents/Projects/Fiscal Impact/Write Ups</t>
  </si>
  <si>
    <t>Fact checking</t>
  </si>
  <si>
    <t xml:space="preserve">A different RA should go through the text of the write up and confirm every number/statement using the FIM output files and graphics. </t>
  </si>
  <si>
    <t xml:space="preserve">The fim-interactive-month-year.xlsx file and fim-month-year.xlsx files are a good place to look (make sure they are the most up to date version!) and also look at the FIM interactive graphic that we are posting to ensure that our write up is consistent with it. </t>
  </si>
  <si>
    <t>Wordpress</t>
  </si>
  <si>
    <t xml:space="preserve">The FIM interactive and write up is posted on the Brookings website through Wordpress. </t>
  </si>
  <si>
    <t>Newsletter</t>
  </si>
  <si>
    <t xml:space="preserve">We send out a newsletter alerting people that the FIM is updated. This gets updated in Hubspot. We typically use a shorter version of the full write up that's posted on the website for this. </t>
  </si>
  <si>
    <t xml:space="preserve">Typically an RA will make the initial cut and then run it by David and Stephanie. Ask an RA or someone from Comms to onboard you for using Hubspot if you haven't already. We don't send the email ourselves-- first email a test email to Taylor Kelly from Comms, and once it's approved and edited, Comms will send it out for us. </t>
  </si>
  <si>
    <t>Read the BEA news release for the revision</t>
  </si>
  <si>
    <t>The BEA's news release can be really helpful for broadly understanding what data has changed between revisions and why, which affects the assumptions we make about the components of the FIM. The technical note is the most useful for detailed information. You'll want to take note of GDP growth, as well as any relevant explanations for revisions. In a new quarter this will be more extensive. Sometimes the BEA tables can be useful for finding specific values too.</t>
  </si>
  <si>
    <t>Revisions Sheet</t>
  </si>
  <si>
    <t xml:space="preserve">This sheet provides a quick look at how the BEA revised the variables that we use to make our forecast, and where they are used. It is helpful to anticipate changes in our forecast where the data automatically updates, and to consider when we decide whether to change our forecast assumptions sheet by sheet. </t>
  </si>
  <si>
    <t>Look through the revisions sheet. Which variables have changed, and which sheets are they called by? What are the biggest changes? Anything surprising? Go over this with Louise, and take note of what has changed to adjust our forecast sheets accordingly.</t>
  </si>
  <si>
    <t xml:space="preserve">For a revision, we'll typically just edit the write up from the first release of quarterly data. </t>
  </si>
  <si>
    <t>Prepare the Forecast Comparison sheet</t>
  </si>
  <si>
    <t>Updating the spreadsheet</t>
  </si>
  <si>
    <t>Run the code</t>
  </si>
  <si>
    <t>Run fiscal_impact.R (the main FIM script). The output will incorporate both the CBO changes to the spreadsheet and the new inflation and GDP forecast.</t>
  </si>
  <si>
    <t>Run fiscal_impact.R</t>
  </si>
  <si>
    <t>Look at the comparison graphs</t>
  </si>
  <si>
    <t>Sheet Using</t>
  </si>
  <si>
    <t>Variable</t>
  </si>
  <si>
    <t>Haver Code</t>
  </si>
  <si>
    <t>Last Update</t>
  </si>
  <si>
    <t>Current Update</t>
  </si>
  <si>
    <t>Change</t>
  </si>
  <si>
    <t>GDP</t>
  </si>
  <si>
    <t>Real GDP</t>
  </si>
  <si>
    <t>GDP Deflator</t>
  </si>
  <si>
    <t>Consumption</t>
  </si>
  <si>
    <t>Real Consumption</t>
  </si>
  <si>
    <t>Consumption Deflator</t>
  </si>
  <si>
    <t>Federal Purchases Deflator</t>
  </si>
  <si>
    <t>State Purchases Deflator</t>
  </si>
  <si>
    <t>Consumption Grants Deflator</t>
  </si>
  <si>
    <t>Investment Grants Deflator</t>
  </si>
  <si>
    <t>Total Medicaid Spending</t>
  </si>
  <si>
    <t>Unemployment Insurance (NIPA Definition)</t>
  </si>
  <si>
    <t>Personal Payments</t>
  </si>
  <si>
    <t>Personal Taxes</t>
  </si>
  <si>
    <t>Production Taxes</t>
  </si>
  <si>
    <t>Corporate Taxes</t>
  </si>
  <si>
    <t>Government purchases</t>
  </si>
  <si>
    <t>Social Insurance Payment</t>
  </si>
  <si>
    <t>Purchases</t>
  </si>
  <si>
    <t>Federal Purchases (NIPA consistent)</t>
  </si>
  <si>
    <t>State Purchases (NIPA consistent)</t>
  </si>
  <si>
    <t>Real Federal Purchases</t>
  </si>
  <si>
    <t>Real State Purchases</t>
  </si>
  <si>
    <t>Federal Personal Income Taxes</t>
  </si>
  <si>
    <t>gfrpt</t>
  </si>
  <si>
    <t>Federal Production Taxes</t>
  </si>
  <si>
    <t>gfrpri</t>
  </si>
  <si>
    <t>Federal Corporate Income Taxes</t>
  </si>
  <si>
    <t>gfrcp</t>
  </si>
  <si>
    <t>Federal Social Insurance</t>
  </si>
  <si>
    <t>gfrs</t>
  </si>
  <si>
    <t xml:space="preserve">Social Benefits </t>
  </si>
  <si>
    <t>Federal Social Benefits</t>
  </si>
  <si>
    <t>Gross Consumption Grants (BEA includes Medicaid grants; we deal with them separately)</t>
  </si>
  <si>
    <t>State Personal Income Taxes</t>
  </si>
  <si>
    <t>State Production Taxes</t>
  </si>
  <si>
    <t>State Corporate Income Taxes</t>
  </si>
  <si>
    <t>State Social Insurance</t>
  </si>
  <si>
    <t>State Social Benefits</t>
  </si>
  <si>
    <t>State Expenditures</t>
  </si>
  <si>
    <t>Health Grants</t>
  </si>
  <si>
    <t>Grants, Medicaid</t>
  </si>
  <si>
    <t>Medicaid Grants</t>
  </si>
  <si>
    <t>Investment Grants</t>
  </si>
  <si>
    <t>Federal Subsidies</t>
  </si>
  <si>
    <t>State Subsidies</t>
  </si>
  <si>
    <t>Medicare Reimbursement Increase</t>
  </si>
  <si>
    <t>Paycheck Protection Program Loans to NPISH (Social Benefits)</t>
  </si>
  <si>
    <t>Provider Relief Fund to Nonprofits (NPISH) (Social Benefits)</t>
  </si>
  <si>
    <t>Subsidies, PPP</t>
  </si>
  <si>
    <t xml:space="preserve">Paycheck Protection Program loans to businesses </t>
  </si>
  <si>
    <t>Grants to air carriers</t>
  </si>
  <si>
    <t>Employee Retention Tax Credit</t>
  </si>
  <si>
    <t xml:space="preserve">Support for public transit agencies </t>
  </si>
  <si>
    <t>Coronavirus Food Assistance Program</t>
  </si>
  <si>
    <t>Subsidies, Provider Relief Fund</t>
  </si>
  <si>
    <t>Provider Relief Fund (Subsidies)</t>
  </si>
  <si>
    <t xml:space="preserve">Tax credits to fund paid sick leave </t>
  </si>
  <si>
    <t>Coronavirus Relief Fund</t>
  </si>
  <si>
    <t>Education Stabilization Fund</t>
  </si>
  <si>
    <t>Grants, Provider Relief</t>
  </si>
  <si>
    <t>Provider Relief Fund</t>
  </si>
  <si>
    <t>Pandemic Emergency Unemployment Compensation</t>
  </si>
  <si>
    <t>Pandemic Unemployment Assistance</t>
  </si>
  <si>
    <t>Pandemic Unemployment Compensation Payments</t>
  </si>
  <si>
    <t>UI Expansion</t>
  </si>
  <si>
    <t>Extended Unemployment Benefits (Federal Share)</t>
  </si>
  <si>
    <t>Lost wages supplemental payments (Federal)</t>
  </si>
  <si>
    <t>Capital Transfer Payments</t>
  </si>
  <si>
    <t>Total SNAP</t>
  </si>
  <si>
    <t>CPI</t>
  </si>
  <si>
    <t xml:space="preserve">Real Potential GDP </t>
  </si>
  <si>
    <t>Potential GDP</t>
  </si>
  <si>
    <t>Recession Shading</t>
  </si>
  <si>
    <t>State Purchases</t>
  </si>
  <si>
    <t>State government employment</t>
  </si>
  <si>
    <t>Local government employment</t>
  </si>
  <si>
    <t xml:space="preserve">Construction </t>
  </si>
  <si>
    <t>GDP Deflator Growth</t>
  </si>
  <si>
    <t>Consumption Deflator Growth</t>
  </si>
  <si>
    <t>Federal Purchases Deflator Growth</t>
  </si>
  <si>
    <t>State Purchases Deflator Growth</t>
  </si>
  <si>
    <t>Consumption Grants Deflator Growth</t>
  </si>
  <si>
    <t>Investment Grants Deflator Growth</t>
  </si>
  <si>
    <t>2024 Q3</t>
  </si>
  <si>
    <t>2024 Q4</t>
  </si>
  <si>
    <t>2025 Q1</t>
  </si>
  <si>
    <t>name</t>
  </si>
  <si>
    <t>variable</t>
  </si>
  <si>
    <t>2021 Q3</t>
  </si>
  <si>
    <t>2021 Q4</t>
  </si>
  <si>
    <t>2022 Q1</t>
  </si>
  <si>
    <t>2022 Q2</t>
  </si>
  <si>
    <t>2022 Q3</t>
  </si>
  <si>
    <t>2022 Q4</t>
  </si>
  <si>
    <t>2023 Q1</t>
  </si>
  <si>
    <t>2023 Q2</t>
  </si>
  <si>
    <t>2023 Q3</t>
  </si>
  <si>
    <t>2023 Q4</t>
  </si>
  <si>
    <t>2024 Q1</t>
  </si>
  <si>
    <t>2024 Q2</t>
  </si>
  <si>
    <t>Consumption Grants</t>
  </si>
  <si>
    <t>consumption_grants</t>
  </si>
  <si>
    <t>investment_grants</t>
  </si>
  <si>
    <t>Federal Purchases (NIPA Consistent)</t>
  </si>
  <si>
    <t>federal_purchases</t>
  </si>
  <si>
    <t>State Purchases (NIPA Consistent)</t>
  </si>
  <si>
    <t>state_purchases</t>
  </si>
  <si>
    <t>Non-ARP Subsidies + ARP Provider Relief and PPP</t>
  </si>
  <si>
    <t>federal_subsidies</t>
  </si>
  <si>
    <t>ARP Subsidies less Provider Relief and PPP</t>
  </si>
  <si>
    <t>federal_aid_to_small_businesses_arp</t>
  </si>
  <si>
    <t>Federal UI</t>
  </si>
  <si>
    <t>federal_ui</t>
  </si>
  <si>
    <t>State UI</t>
  </si>
  <si>
    <t>state_ui</t>
  </si>
  <si>
    <t>Federal Medicaid</t>
  </si>
  <si>
    <t>medicaid_grants</t>
  </si>
  <si>
    <t>Total Medicaid</t>
  </si>
  <si>
    <t>medicaid</t>
  </si>
  <si>
    <t>medicare</t>
  </si>
  <si>
    <t>Non-ARP Rebate Checks</t>
  </si>
  <si>
    <t>rebate_checks</t>
  </si>
  <si>
    <t>ARP Rebate Checks</t>
  </si>
  <si>
    <t>rebate_checks_arp</t>
  </si>
  <si>
    <t>ARP Other Vulnerable</t>
  </si>
  <si>
    <t>federal_other_vulnerable_arp</t>
  </si>
  <si>
    <t>ARP Other Direct Aid</t>
  </si>
  <si>
    <t>federal_other_direct_aid_arp</t>
  </si>
  <si>
    <t>Other Federal Social Benefits (including all SNAP)</t>
  </si>
  <si>
    <t>federal_social_benefits</t>
  </si>
  <si>
    <t>State Social Benefits ex Medicaid</t>
  </si>
  <si>
    <t>state_social_benefits</t>
  </si>
  <si>
    <t>Federal Non-Corporate Taxes</t>
  </si>
  <si>
    <t>federal_non_corporate_taxes</t>
  </si>
  <si>
    <t>State Non-Corporate Taxes</t>
  </si>
  <si>
    <t>state_non_corporate_taxes</t>
  </si>
  <si>
    <t>Federal Corporate Taxes</t>
  </si>
  <si>
    <t>federal_corporate_taxes</t>
  </si>
  <si>
    <t>State Corporate Taxes</t>
  </si>
  <si>
    <t>state_corporate_taxes</t>
  </si>
  <si>
    <t>Level Differences</t>
  </si>
  <si>
    <t>Percent Differences</t>
  </si>
  <si>
    <t>Jan.</t>
  </si>
  <si>
    <t>Feb.</t>
  </si>
  <si>
    <t>Mar.</t>
  </si>
  <si>
    <t>Apr.</t>
  </si>
  <si>
    <t>Q3</t>
  </si>
  <si>
    <t>Personal income</t>
  </si>
  <si>
    <t>q1</t>
  </si>
  <si>
    <t>q2</t>
  </si>
  <si>
    <t>Less: Personal current taxes</t>
  </si>
  <si>
    <t>Less: Personal outlays</t>
  </si>
  <si>
    <t>Equals: Personal saving</t>
  </si>
  <si>
    <t>Data on this table will be superseded by updated estimates.</t>
  </si>
  <si>
    <t>Source: U.S. Bureau of Economic Analysis</t>
  </si>
  <si>
    <t>2020 Q2</t>
  </si>
  <si>
    <t>2020 Q3</t>
  </si>
  <si>
    <t>2020 Q4</t>
  </si>
  <si>
    <t>2021 Q1</t>
  </si>
  <si>
    <t>2021 Q2</t>
  </si>
  <si>
    <t>Consumption Grants Historical Override</t>
  </si>
  <si>
    <t>consumption_grants_override</t>
  </si>
  <si>
    <t>MPC Lag Structure</t>
  </si>
  <si>
    <t>Total over 3 years</t>
  </si>
  <si>
    <t>Medicare, Medicaid, CHIP (all)</t>
  </si>
  <si>
    <t>health_outlays</t>
  </si>
  <si>
    <t>Corporate</t>
  </si>
  <si>
    <t>corporate_taxes</t>
  </si>
  <si>
    <t>Non-corporate</t>
  </si>
  <si>
    <t>non_corporate_taxes</t>
  </si>
  <si>
    <t>Rebate checks</t>
  </si>
  <si>
    <t>Unemployment insurance</t>
  </si>
  <si>
    <t>ui</t>
  </si>
  <si>
    <t>Social Benefits net of  Medicare, Medicaid, UI, SNAP and  Rebate Checks non-ARP</t>
  </si>
  <si>
    <t>social_benefits</t>
  </si>
  <si>
    <t>Subsidies (non-ARP) + ARP PPP and Provider Relief</t>
  </si>
  <si>
    <t>subsidies</t>
  </si>
  <si>
    <t>Rebate checks ARP</t>
  </si>
  <si>
    <t>Unemployment insurance ARP</t>
  </si>
  <si>
    <t>ui_arp</t>
  </si>
  <si>
    <t>ARP Aid to Vulnerable Households: , Premium Tax Credits, Ratepayer protection, Assistance for older Americans, COBRA, Emergency Assistance</t>
  </si>
  <si>
    <t>other_vulnerable_arp</t>
  </si>
  <si>
    <t>ARP Direct Aid to Families: Child tax credit, EITC,  Childcare for workers,  Dependent  care for families</t>
  </si>
  <si>
    <t>other_direct_aid_arp</t>
  </si>
  <si>
    <t>ARP: Subsidies ex PPP,  Child care stabilization, grants to small businesses, paid sick leave, employee retention tax credit, pensions, transit and  aviation  support</t>
  </si>
  <si>
    <t>aid_to_small_businesses_arp</t>
  </si>
  <si>
    <r>
      <t xml:space="preserve">Methodology: </t>
    </r>
    <r>
      <rPr>
        <sz val="11"/>
        <color theme="1"/>
        <rFont val="Arial"/>
        <family val="2"/>
      </rPr>
      <t>CBO and NIPA attribute almost all UI to the federal government, regardless of who pays for it. The FIM attributes UI to whichever level of government finances it. In normal times, that's the states. In recessions, emergency unemployment compensation (EUC) kicks in; the federal government covers 50% of this in addition to any legislative changes, which typically increase the federal share of the extended benefits. In particular, the CARES Act increased the federal share of EUC to 100%. We split UI into federal and state by subtracting the sum of legislative UI changes (BEA gives us the pieces) from total unemployment insurance (also from BEA) plus Trump's lost wages supplemental payments.</t>
    </r>
    <r>
      <rPr>
        <b/>
        <sz val="11"/>
        <color theme="1"/>
        <rFont val="Arial"/>
        <family val="2"/>
      </rPr>
      <t xml:space="preserve"> </t>
    </r>
    <r>
      <rPr>
        <sz val="11"/>
        <color theme="1"/>
        <rFont val="Arial"/>
        <family val="2"/>
      </rPr>
      <t>We forecast normal federal UI and state UI using the growth in the unemployment rate and federal UI legislation with a few judgemental changes (see below).
We get our unemployment rate projection from the CBO Economic Projections.</t>
    </r>
  </si>
  <si>
    <t>NIPA DATA (Millions)</t>
  </si>
  <si>
    <t>HISTORY</t>
  </si>
  <si>
    <t>PROJECTION</t>
  </si>
  <si>
    <t>Q4</t>
  </si>
  <si>
    <t>Q1</t>
  </si>
  <si>
    <t>Q2</t>
  </si>
  <si>
    <t>yptu</t>
  </si>
  <si>
    <t>Sum of Federal and State UI (Not including the Lost Wages supplemental payment)</t>
  </si>
  <si>
    <t xml:space="preserve">    Extended Unemployment Benefits (Federal Share)</t>
  </si>
  <si>
    <t>yptub</t>
  </si>
  <si>
    <t xml:space="preserve">    Federal Increase due to Legislation</t>
  </si>
  <si>
    <t xml:space="preserve">         Extended Benefits (Would be state without legislation) </t>
  </si>
  <si>
    <t xml:space="preserve">         Pandemic Emergency Unemployment Compensation</t>
  </si>
  <si>
    <t>yptue</t>
  </si>
  <si>
    <t xml:space="preserve">         Pandemic Unemployment Assistance</t>
  </si>
  <si>
    <t>yptup</t>
  </si>
  <si>
    <t xml:space="preserve">         Pandemic Unemployment Compensation Payments</t>
  </si>
  <si>
    <t>yptuc</t>
  </si>
  <si>
    <t>yptol</t>
  </si>
  <si>
    <t>Total Federal (FIM) - includes lost wages supplemental</t>
  </si>
  <si>
    <t>Total State (FIM)</t>
  </si>
  <si>
    <t>Use change in projected unemployment rate to project state UI</t>
  </si>
  <si>
    <t>.</t>
  </si>
  <si>
    <t>Monthly Unemployment Rate from the BLS</t>
  </si>
  <si>
    <t>Monthly UR</t>
  </si>
  <si>
    <t>NIPA DATA (Billions)</t>
  </si>
  <si>
    <t>gftfpv</t>
  </si>
  <si>
    <t>Provider Relief Fund to Public Hospitals (Grants)</t>
  </si>
  <si>
    <t>gfegv</t>
  </si>
  <si>
    <t>Provider Relief Fund to For-Profit Hospitals (Subsidies)</t>
  </si>
  <si>
    <t>gfsubv</t>
  </si>
  <si>
    <t>Total amount legislated (our projected total should match)</t>
  </si>
  <si>
    <t>Our projected total</t>
  </si>
  <si>
    <t>Total</t>
  </si>
  <si>
    <t>Share Social Benefits</t>
  </si>
  <si>
    <t>Share Grants</t>
  </si>
  <si>
    <t>Share Subsidies</t>
  </si>
  <si>
    <t>Paycheck Protection Program (PPP)</t>
  </si>
  <si>
    <r>
      <rPr>
        <b/>
        <sz val="11"/>
        <color theme="1"/>
        <rFont val="Arial"/>
        <family val="2"/>
      </rPr>
      <t>Methodology:</t>
    </r>
    <r>
      <rPr>
        <sz val="11"/>
        <color theme="1"/>
        <rFont val="Arial"/>
        <family val="2"/>
      </rPr>
      <t xml:space="preserve"> We begin with weekly disbursement data from here: https://www.americanactionforum.org/research/tracker-paycheck-protection-program-loans/  Then we take each week's cumulative total disbursements and subtract from the previous week's cumulative total disbursements to get the new disbursement each week. We spread the each week's new disbursements over 26 weeks because we know that BEA is spreading over the term of the loan when accounting for PPP and the term is 6 months. Then with the weekly data we are able to convert to quarterly based on the share of the 6 months in each quarter. Because BEA is spreading the disbursements over 6 months and all the money has already gone out, we can derive a forecast by summing all of the weekly disbursements in their appropriate quarter, derived with the 6 month spread. This leads PPP to fall off in entirely by 2021Q4.
 </t>
    </r>
  </si>
  <si>
    <t>https://www.americanactionforum.org/research/tracker-paycheck-protection-program-loans/</t>
  </si>
  <si>
    <t>Date</t>
  </si>
  <si>
    <t>Cumulative</t>
  </si>
  <si>
    <t>New Disbursement</t>
  </si>
  <si>
    <t>Weeks left in the first quarter disbursed (total 13)</t>
  </si>
  <si>
    <t xml:space="preserve"> </t>
  </si>
  <si>
    <t>actuals</t>
  </si>
  <si>
    <t>Dividing PPP into Subsidies and Social Benefits</t>
  </si>
  <si>
    <t>PPP Loans to NPISH (Social Benefits)</t>
  </si>
  <si>
    <t>gftfpp</t>
  </si>
  <si>
    <t>PPP Loans to Businesses (Subsidies)</t>
  </si>
  <si>
    <t>gfsubp</t>
  </si>
  <si>
    <t>NPISH Share</t>
  </si>
  <si>
    <t>q3</t>
  </si>
  <si>
    <r>
      <t xml:space="preserve">Methodology:  </t>
    </r>
    <r>
      <rPr>
        <sz val="11"/>
        <color theme="1"/>
        <rFont val="Arial"/>
        <family val="2"/>
      </rPr>
      <t>Projecting consumption grants requires a few steps. From the legislation scores, we know how much money in grants should be disbursed over the next few years (Table 2). The BEA gives us data on how much money has been disbursed so far (Table 1 History), but not how much has been actually spent by state and local governments.  As new historical data comes in, we should adjust the projection so that we are always hitting the total $ amount to be disbursed (column AA). Next, we need to use our assumed disbursement schedule to project when state and local governments actually spend the money they receive (Table 4). For the majority of grants we assume spending occurs with disbursement, with the exception of the CARES Act grants, the Education Stabilization Fund, and the Coronavirus Fiscal Recovery Fund, which BEA records as disbursed in one or two quarters rather than spread out over time.</t>
    </r>
  </si>
  <si>
    <t>Table 1</t>
  </si>
  <si>
    <t>NIPA Disbursement  Data (Billions)</t>
  </si>
  <si>
    <t>Total disbursed during COVID (2020 Q1 - 2024 Q1)</t>
  </si>
  <si>
    <t>What we think the total through 2024 Q1 should be</t>
  </si>
  <si>
    <t>Gross Consumption Grants</t>
  </si>
  <si>
    <t>gfeg</t>
  </si>
  <si>
    <t>gfeghdx</t>
  </si>
  <si>
    <t>Total Non-Medicaid Consumption Grants</t>
  </si>
  <si>
    <t>gfegc</t>
  </si>
  <si>
    <t>gfege</t>
  </si>
  <si>
    <t>Transportation</t>
  </si>
  <si>
    <t>We think that BEA doesn't include transportation grants in the effects of the legislation, so we use our CFRB score here as our disbursement "data" in 2021Q1.</t>
  </si>
  <si>
    <t>Other non-ARP COVID aid to state, local and tribal governments</t>
  </si>
  <si>
    <t>Similarly to transportation grants, we add our assumptions about disbursement here as "data" in 2021 Q1 since BEA doesn't include a category for these smaller pieces.</t>
  </si>
  <si>
    <t>Other ARP aid to S&amp;L</t>
  </si>
  <si>
    <t>Coronavirus Fiscal Recovery Fund</t>
  </si>
  <si>
    <t>gfegc after 2020 Q2</t>
  </si>
  <si>
    <t>Other Grants</t>
  </si>
  <si>
    <t>We grow other grant disbursements (total non-Medicaid grants minus grants from legislation) by 0.4% every quarter.</t>
  </si>
  <si>
    <t>Table 2</t>
  </si>
  <si>
    <t>Our assumptions about disbursement (DOES NOT CHANGE WITH BEA DATA, DO NOT EDIT)</t>
  </si>
  <si>
    <t>CARES Act Grants Total</t>
  </si>
  <si>
    <t>Our CARES Act disbursements follow the BEA disbursement data until fully spent; we spread the remaining ESF money across 2021.</t>
  </si>
  <si>
    <t>December Stimulus Grants Total</t>
  </si>
  <si>
    <t>We spread all December stimulus grants (see Response and Relief Act Score) out evenly over three years, with the exception of the Education Stabilization Fund, which we lower slightly in 2021Q1 and add 7 in 2024Q1 because the 2021Q1 data came in lower than expected.</t>
  </si>
  <si>
    <t xml:space="preserve">We changed our EDF assumptions to match the BEA data that came in 2021Q2. </t>
  </si>
  <si>
    <t>COVID and Mental Health Healthcare</t>
  </si>
  <si>
    <t>Community Development Block Grant</t>
  </si>
  <si>
    <t>ARP Consumption Grants</t>
  </si>
  <si>
    <t>With the exception of the Coronavirus Fiscal Recovery Fund, our ARP disbursement assumptions come from our ARP score, timing assumptions and ARP grants MPC for spending (see ARP Score, ARP Timing and ARP Quarterly). We anticipate that BEA will add the CFRF as a separate category; until the data comes in, we assume 40% goes out in Q1, 60% the next year. See "tranching of funds" in link below.</t>
  </si>
  <si>
    <t>https://home.treasury.gov/policy-issues/coronavirus/assistance-for-state-local-and-tribal-governments/state-and-local-fiscal-recovery-funds</t>
  </si>
  <si>
    <t>Other state and local aid</t>
  </si>
  <si>
    <t>Table 3</t>
  </si>
  <si>
    <t>Grants from Legislation</t>
  </si>
  <si>
    <t>Score</t>
  </si>
  <si>
    <t>Total Disbursed</t>
  </si>
  <si>
    <t>Remainder</t>
  </si>
  <si>
    <t>BEA Categories Total</t>
  </si>
  <si>
    <t>Transportation*</t>
  </si>
  <si>
    <t>Other aid to state, local and tribal governments</t>
  </si>
  <si>
    <t>Legislation Total</t>
  </si>
  <si>
    <t>Grants to tribal governments</t>
  </si>
  <si>
    <t>Table 4</t>
  </si>
  <si>
    <t>Our Spending Assumptions</t>
  </si>
  <si>
    <t>Total Non-Medicaid Consumption Grant Spending</t>
  </si>
  <si>
    <t>Same as Disbursements</t>
  </si>
  <si>
    <t>Other non-ARP COVID grants</t>
  </si>
  <si>
    <t>Baseline (non-COVID) grants</t>
  </si>
  <si>
    <t>Different spending pattern</t>
  </si>
  <si>
    <t>Coronavirus Fiscal Recovery Fund and other ARP</t>
  </si>
  <si>
    <t>Investment Grants (FIM)</t>
  </si>
  <si>
    <t>gfeigx</t>
  </si>
  <si>
    <t>Federal Purchases</t>
  </si>
  <si>
    <r>
      <rPr>
        <b/>
        <sz val="11"/>
        <color theme="1"/>
        <rFont val="Arial"/>
        <family val="2"/>
      </rPr>
      <t xml:space="preserve">Methodology: </t>
    </r>
    <r>
      <rPr>
        <sz val="11"/>
        <color theme="1"/>
        <rFont val="Arial"/>
        <family val="2"/>
      </rPr>
      <t xml:space="preserve">We pull federal purchases from Haver and we take CBO’s projection of federal purchases to get NIPA consistent federal purchases. We read NIPA consistent federal and state purchases and grants separately into the code because we apply separate deflators to each (in particular, grants are deflated using the state purchases deflator, since inflation matters from the perspective of the states making purchases using the money). For reference in this sheet, we also look at the FIM consistent federal purchases, which attribute grants away from states and to the federal government (who initially finances them). 		</t>
    </r>
  </si>
  <si>
    <t>Federal Purchases (FIM consistent)</t>
  </si>
  <si>
    <t>Total, with grants attributed to federal spending (not used in calculations, because we use different deflators for the grants piece)</t>
  </si>
  <si>
    <r>
      <t xml:space="preserve">Methodology: </t>
    </r>
    <r>
      <rPr>
        <sz val="11"/>
        <color theme="1"/>
        <rFont val="Arial"/>
        <family val="2"/>
      </rPr>
      <t>In normal times, we forecast state purchases using CBO's projected state purchases growth rate. We think the CBO's projected growth coming out of the pandemic is too conservative, however, so we override with Louise's preferred growth rates that have state purchases recovering faster than CBO projects, and even overtaking prepandemic projections around the beginning of 2022 as states spend their extra federal funding from pandemic legislation (see comparison charts to the right).</t>
    </r>
  </si>
  <si>
    <t>gs</t>
  </si>
  <si>
    <t>See methodology and comparison charts to the right</t>
  </si>
  <si>
    <t>NIPA Consistent Projected State Purchases</t>
  </si>
  <si>
    <t>State Purchases (FIM Consistent)</t>
  </si>
  <si>
    <t>Total, with grants removed from state spending and reattributed to federal</t>
  </si>
  <si>
    <t>State Government Employment (Thousands)</t>
  </si>
  <si>
    <t>lasgova</t>
  </si>
  <si>
    <t>Local Government Employment (Thousands)</t>
  </si>
  <si>
    <t>lalgova</t>
  </si>
  <si>
    <t>State and Local Construction (Millions)</t>
  </si>
  <si>
    <t>cpgs</t>
  </si>
  <si>
    <t>Grants Reallocation (ONLY EDIT IN SEPARATE GRANTS SPREADSHEET)</t>
  </si>
  <si>
    <r>
      <t xml:space="preserve">Methodology: </t>
    </r>
    <r>
      <rPr>
        <sz val="11"/>
        <color theme="1"/>
        <rFont val="Arial"/>
        <family val="2"/>
      </rPr>
      <t>See Grants sheet for calculations of top-line investment and consumption grants. We sum these together and reattribute them away from states and to the federal government.</t>
    </r>
  </si>
  <si>
    <t>Total Grants</t>
  </si>
  <si>
    <t>NIPA Data (Billions)</t>
  </si>
  <si>
    <t>Non-legislation subsidies</t>
  </si>
  <si>
    <t>Legislation subsidies</t>
  </si>
  <si>
    <t>Legislation ex PPP</t>
  </si>
  <si>
    <t>gfsubf</t>
  </si>
  <si>
    <t>gfsube</t>
  </si>
  <si>
    <t>gfsubg</t>
  </si>
  <si>
    <t xml:space="preserve">Provider Relief Fund </t>
  </si>
  <si>
    <t>gfsubs</t>
  </si>
  <si>
    <t>gfsubk</t>
  </si>
  <si>
    <t>Economic Injury Disaster Loan Advances</t>
  </si>
  <si>
    <t>Restaurant Revitalization Fund</t>
  </si>
  <si>
    <t>Other ARP Subsidies (not elsewhere classified)</t>
  </si>
  <si>
    <t>Other Aid to Small Business</t>
  </si>
  <si>
    <t>CRFB Score of December Legislation</t>
  </si>
  <si>
    <t>Aid to small businesses ex PPP</t>
  </si>
  <si>
    <t>Support Program for Airline Workers</t>
  </si>
  <si>
    <t>Emergency Grants to Venues</t>
  </si>
  <si>
    <t>Other Small Business Relief and Program Expenses</t>
  </si>
  <si>
    <t>CBO Score of ARPA</t>
  </si>
  <si>
    <t>Support for Transit</t>
  </si>
  <si>
    <t>Restaurant Revitalization Fund (includes grants to venues, which is small)</t>
  </si>
  <si>
    <t>Child Care Stabilization</t>
  </si>
  <si>
    <t>Pensions</t>
  </si>
  <si>
    <t>Totals to Read Into Code</t>
  </si>
  <si>
    <t>ARP Subsidies ex Provider Relief and PPP</t>
  </si>
  <si>
    <t>yptmd</t>
  </si>
  <si>
    <t>Federal Medicaid Grants</t>
  </si>
  <si>
    <t>Fiscal Years (Billions)</t>
  </si>
  <si>
    <t>Annual FMAP</t>
  </si>
  <si>
    <t>Total Medicaid (Federal/FMAP)</t>
  </si>
  <si>
    <t>Total Medicaid Annual Growth Rate</t>
  </si>
  <si>
    <t>Quarterly Projection (Billions)</t>
  </si>
  <si>
    <t xml:space="preserve">Total Medicaid </t>
  </si>
  <si>
    <t xml:space="preserve">State Medicaid </t>
  </si>
  <si>
    <t>CBO Medicaid ARP Score</t>
  </si>
  <si>
    <t>Coverage of Covid-19 vaccinations and treatments</t>
  </si>
  <si>
    <t>Coverage for pregnant women</t>
  </si>
  <si>
    <t>Bundled community-based mobile crisis intervention</t>
  </si>
  <si>
    <t>Temporary increase in FMAP for expanding ACA coverage</t>
  </si>
  <si>
    <t>100% FMAP for urban, Indian and Hawaiian organizations</t>
  </si>
  <si>
    <t>Sunset of limit on maximum rebate</t>
  </si>
  <si>
    <t>Temporary increase in FMAP for expanding HCBS</t>
  </si>
  <si>
    <t>Strike Teams for nursing facilities</t>
  </si>
  <si>
    <t>DSH allotments during public health emergency</t>
  </si>
  <si>
    <t>Total ARP Medicaid Provisions</t>
  </si>
  <si>
    <t>FMAP Provisions</t>
  </si>
  <si>
    <t>Probably some of the $ for the Medicaid expansions is increase in actual Medicaid, but this is good enough for now</t>
  </si>
  <si>
    <t>FMAP Effects</t>
  </si>
  <si>
    <t>Rough estimate of impact on FMAP</t>
  </si>
  <si>
    <t>Total Medicare</t>
  </si>
  <si>
    <t>Medicare Spending Growth Rate</t>
  </si>
  <si>
    <t>Timing shift due to COVID legislation</t>
  </si>
  <si>
    <t>BEA doesn't count the timing shift due to COVID Legislation, so we adjust the numbers to make them comparable to BEA's</t>
  </si>
  <si>
    <t>BEA's Average</t>
  </si>
  <si>
    <r>
      <t xml:space="preserve">Methodology: </t>
    </r>
    <r>
      <rPr>
        <sz val="11"/>
        <color theme="1"/>
        <rFont val="Arial"/>
        <family val="2"/>
      </rPr>
      <t>We take BEA's data on rebate checks disbursement and separate out ARP and non-ARP checks because we apply a different MPC to the ARP round of checks. All checks before 2021 Q1 are non-ARP; all in 2021 Q2 forward are ARP. In 2021 Q1 we sum the January and February disbursements as the share of non-ARP checks out of the total.</t>
    </r>
  </si>
  <si>
    <t>gftfpe</t>
  </si>
  <si>
    <t xml:space="preserve">Non-ARP Rebate Checks </t>
  </si>
  <si>
    <t>BEA Monthly Rebate Checks Data</t>
  </si>
  <si>
    <r>
      <t>Economic impact payments</t>
    </r>
    <r>
      <rPr>
        <vertAlign val="superscript"/>
        <sz val="11"/>
        <color theme="1"/>
        <rFont val="Calibri"/>
        <family val="2"/>
        <scheme val="minor"/>
      </rPr>
      <t xml:space="preserve"> </t>
    </r>
  </si>
  <si>
    <t>https://www.bea.gov/sites/default/files/2021-05/effects-of-selected-federal-pandemic-response-programs-on-personal-income-april-2021.pdf</t>
  </si>
  <si>
    <t>Remaining Social Benefits</t>
  </si>
  <si>
    <t>Federal</t>
  </si>
  <si>
    <t>Federal Social Benefits (NIPA Definition)</t>
  </si>
  <si>
    <t>gftfp</t>
  </si>
  <si>
    <t>Total Rebate Checks
(ARP + non-ARP)</t>
  </si>
  <si>
    <t>PPP to NPISH</t>
  </si>
  <si>
    <t>Provider Relief to NPISH</t>
  </si>
  <si>
    <t>Other Vulnerable excluding SNAP</t>
  </si>
  <si>
    <t>State</t>
  </si>
  <si>
    <t>gstfp</t>
  </si>
  <si>
    <t>Social Security</t>
  </si>
  <si>
    <t>gftfbdx</t>
  </si>
  <si>
    <r>
      <rPr>
        <b/>
        <sz val="11"/>
        <color theme="1"/>
        <rFont val="Arial"/>
        <family val="2"/>
      </rPr>
      <t>Methodology</t>
    </r>
    <r>
      <rPr>
        <sz val="11"/>
        <color theme="1"/>
        <rFont val="Arial"/>
        <family val="2"/>
      </rPr>
      <t xml:space="preserve">: SNAP benefits increase both due to legislative changes and because the unemployment rate has risen. Biden extended pandemic SNAP legislation through September 2021 and increased benefits. We take BEA historical data on total SNAP payments, and use the difference between each quarter in 2020s total benefits and the average pre-pandemic (2019) amount to back out how much of the SNAP payments are due to COVID in the historical period. We judgementally phase out the benefits in the projection period based on recent BEA data, expiration of enhanced benefits, and expected economic recovery. We read SNAP due to COVID legislation into our Social Benefits sheet. </t>
    </r>
  </si>
  <si>
    <t>Calculating SNAP due to COVID</t>
  </si>
  <si>
    <t>gftffx</t>
  </si>
  <si>
    <t>Increase Relative to Pre-COVID</t>
  </si>
  <si>
    <t>Total non-corporate</t>
  </si>
  <si>
    <t>Personal Income</t>
  </si>
  <si>
    <t>Social Insurance</t>
  </si>
  <si>
    <t>Production</t>
  </si>
  <si>
    <t>Corporate Income Tax</t>
  </si>
  <si>
    <t>Personal</t>
  </si>
  <si>
    <t>gsrpt</t>
  </si>
  <si>
    <t>gsrs</t>
  </si>
  <si>
    <t>gsrpri</t>
  </si>
  <si>
    <t>gsrcp</t>
  </si>
  <si>
    <t>Individual Income</t>
  </si>
  <si>
    <t>Payroll</t>
  </si>
  <si>
    <t>Excise + Customs</t>
  </si>
  <si>
    <t>BEA Data FY Averages</t>
  </si>
  <si>
    <t>Monthly Taxes from Personal Income Release (just to check feasibility of our forecast)</t>
  </si>
  <si>
    <t>Social Insurance Contributions</t>
  </si>
  <si>
    <t>Personal current taxes</t>
  </si>
  <si>
    <t>Comparing the BEA and CBO tax revenues</t>
  </si>
  <si>
    <t>Ratio: BEA/CBO</t>
  </si>
  <si>
    <t>"Taxable Personal Income"</t>
  </si>
  <si>
    <t>Wages and Salaries</t>
  </si>
  <si>
    <t>Personal Consumption</t>
  </si>
  <si>
    <t>CBO projected annual revenues over projected annual base to get projected annual tax rates.</t>
  </si>
  <si>
    <t>CBO Tax Rates</t>
  </si>
  <si>
    <t>Excise and Customs Taxes</t>
  </si>
  <si>
    <t>In the historical period, we multiply our tax rates from CBO by the ratio of CBO and BEA tax rates to get annual BEA tax rates. The projection is Louise's judgement, guided by projected CBO tax rates.</t>
  </si>
  <si>
    <t>BEA Tax Rates Actual and Projected</t>
  </si>
  <si>
    <t>BEA Quarterly</t>
  </si>
  <si>
    <t>Federal Tax Rates</t>
  </si>
  <si>
    <t>Federal Tax Base</t>
  </si>
  <si>
    <t>BEA "Taxable Personal Income" (estimate)</t>
  </si>
  <si>
    <t>Prop Income</t>
  </si>
  <si>
    <t>Rental income</t>
  </si>
  <si>
    <t>Asset Income</t>
  </si>
  <si>
    <t>Corporate Profits with IVA and CCADJ</t>
  </si>
  <si>
    <t>State Tax Rates</t>
  </si>
  <si>
    <t>Corporate Income</t>
  </si>
  <si>
    <t>c</t>
  </si>
  <si>
    <t>gfsub</t>
  </si>
  <si>
    <t>gftfpr</t>
  </si>
  <si>
    <r>
      <t>This file reproduces the tables detailing CBO's budgetary projections that appear in the agency's September 2020 report</t>
    </r>
    <r>
      <rPr>
        <i/>
        <sz val="11"/>
        <color rgb="FF000000"/>
        <rFont val="Arial"/>
        <family val="2"/>
      </rPr>
      <t xml:space="preserve"> An Update to the Budget Outlook: 2020 to 2030</t>
    </r>
    <r>
      <rPr>
        <sz val="11"/>
        <color rgb="FF000000"/>
        <rFont val="Arial"/>
        <family val="2"/>
      </rPr>
      <t>. The file also includes data that supplement those tables.</t>
    </r>
  </si>
  <si>
    <t>www.cbo.gov/publication/56517</t>
  </si>
  <si>
    <t>Table A-2. 
Effects on Outlays of Legislation Enacted to Address the Coronavirus Pandemic and Economic Downturn</t>
  </si>
  <si>
    <t>Billions of Dollars</t>
  </si>
  <si>
    <t>2021-</t>
  </si>
  <si>
    <t>Paycheck Protection Program</t>
  </si>
  <si>
    <t>Unemployment Compensation Expansion</t>
  </si>
  <si>
    <t>UI</t>
  </si>
  <si>
    <t>FPUC - Additional $600 per week</t>
  </si>
  <si>
    <t>PUA - Eligibility expansion</t>
  </si>
  <si>
    <t>PEUC - Additional 13 weeks of coverage</t>
  </si>
  <si>
    <t>Other</t>
  </si>
  <si>
    <t>___</t>
  </si>
  <si>
    <t>Subtotal, unemployment compensation</t>
  </si>
  <si>
    <r>
      <t>Recovery Rebates</t>
    </r>
    <r>
      <rPr>
        <vertAlign val="superscript"/>
        <sz val="11"/>
        <rFont val="Arial"/>
        <family val="2"/>
      </rPr>
      <t>a</t>
    </r>
  </si>
  <si>
    <t>Checks</t>
  </si>
  <si>
    <t>HHS Public Health and Social Services Emergency Fund</t>
  </si>
  <si>
    <t>Provider Relief Grants/Transfers/Subsidies</t>
  </si>
  <si>
    <t>Medicaid Financial Assistance to States and</t>
  </si>
  <si>
    <t>Coverage Continuity for Enrollees</t>
  </si>
  <si>
    <t>Disaster Relief</t>
  </si>
  <si>
    <t>Medicare Accelerated Payments</t>
  </si>
  <si>
    <t>Increase in SNAP Beneficiaries and Average Benefits</t>
  </si>
  <si>
    <t>SNAP</t>
  </si>
  <si>
    <t>Pandemic Relief for Aviation Workers</t>
  </si>
  <si>
    <t>Education Grants/Transfers/Subsidies</t>
  </si>
  <si>
    <t>Other Programs</t>
  </si>
  <si>
    <t xml:space="preserve">Other </t>
  </si>
  <si>
    <t>Source:  Congressional Budget Office.</t>
  </si>
  <si>
    <t>The table shows the effects of the three laws enacted in response to the 2020 coronavirus pandemic that were not incorporated into CBO’s March 2020 baseline. Those three laws are the Families First Coronavirus Response Act (Public Law 116-127, enacted on March 18, 2020); the Coronavirus Aid, Relief, and Economic Security Act (CARES Act, P.L. 116-136, enacted on March 27, 2020); and the Paycheck Protection Program and Health Care Enhancement Act (P.L. 116-139, enacted on April 24, 2020). The effects of the Coronavirus Preparedness and Response Supplemental Appropriations Act, 2020 (P.L. 116-123, enacted on March 6, 2020) were included in CBO’s March 2020 baseline and thus are not reflected in the table.</t>
  </si>
  <si>
    <t>The CARES Act authorized the Secretary of the Treasury to provide up to $454 billion to fund emergency lending facilities established by the Board of Governors of the Federal Reserve System. However, because the income and costs stemming from that lending are expected to roughly offset each other, CBO estimates that the provision will have little effect on the deficit.</t>
  </si>
  <si>
    <t>FPUC = Federal Pandemic Unemployment Compensation; HHS = Health and Human Services; PEUC = Pandemic Emergency Unemployment Compensation;
PUA = Pandemic Unemployment Assistance; SNAP = Supplemental Nutrition Assistance Program.</t>
  </si>
  <si>
    <t>a. In CBO’s initial estimate of the recovery rebates, the deficit effect was split almost evenly between an increase in outlays and a reduction in revenues. Because the Treasury is recording those rebates almost entirely as outlays, CBO has adjusted its projections accordingly. That shift from an increase in outlays to a reduction in revenues has no effect on the deficit.</t>
  </si>
  <si>
    <t>Source: https://www.crfb.org/blogs/whats-final-covid-relief-deal-2020</t>
  </si>
  <si>
    <t>Provision</t>
  </si>
  <si>
    <t>Ten year cost (annualized)</t>
  </si>
  <si>
    <t>Column1</t>
  </si>
  <si>
    <t>Column2</t>
  </si>
  <si>
    <t>Aid to small businesses</t>
  </si>
  <si>
    <t>What we use for our assumptions</t>
  </si>
  <si>
    <t>Paycheck Protection Program (PPP) Second Draw </t>
  </si>
  <si>
    <t>Ten Year Cost</t>
  </si>
  <si>
    <t>Extend and Augment Unemployment Benefits (+$300/week) for 11 weeks</t>
  </si>
  <si>
    <t>Stimulus checks of $600/person</t>
  </si>
  <si>
    <t>Covid and Mental Health Healthcare Grants</t>
  </si>
  <si>
    <t>Education</t>
  </si>
  <si>
    <t xml:space="preserve">Subsidies </t>
  </si>
  <si>
    <t>Sum</t>
  </si>
  <si>
    <t>K-12 Education Grants</t>
  </si>
  <si>
    <t>Higher Education Grants</t>
  </si>
  <si>
    <t xml:space="preserve">Economic Injury Disaster Loan Advances </t>
  </si>
  <si>
    <t>Governor's Emergency Education Relief Fund</t>
  </si>
  <si>
    <t>Grants  to HBCUs, Minority Serving Institutions, and Tribal and Territories</t>
  </si>
  <si>
    <t>Grants to For-Profit  Colleges to Provide Financial Aid</t>
  </si>
  <si>
    <t>Second Round Payroll Support Program for Airline Workers</t>
  </si>
  <si>
    <t>Education Grants for Tribes and Territories</t>
  </si>
  <si>
    <t>Community Lender Support</t>
  </si>
  <si>
    <t>Health Care</t>
  </si>
  <si>
    <t>Childcare Grants</t>
  </si>
  <si>
    <t>Funding for States  for Testing, Tracing,  and COVID Mitigation</t>
  </si>
  <si>
    <t>Grant</t>
  </si>
  <si>
    <t>Vaccine Procurement</t>
  </si>
  <si>
    <t>Vaaccine Distribution Through the States &amp; CDC</t>
  </si>
  <si>
    <t>Mental Health  Funding</t>
  </si>
  <si>
    <t xml:space="preserve">Overseas Vaccine Response </t>
  </si>
  <si>
    <t>Additional Health Care Provider Grants</t>
  </si>
  <si>
    <t>Provider relief grant</t>
  </si>
  <si>
    <t>Repeal the Medicare Sequester through  March 2021</t>
  </si>
  <si>
    <t>Transfers (medicare)</t>
  </si>
  <si>
    <t>Increase Physician Pay Schedule</t>
  </si>
  <si>
    <t>Other Health Funding</t>
  </si>
  <si>
    <t>Purchase</t>
  </si>
  <si>
    <t>Transit Infrastructure Grants</t>
  </si>
  <si>
    <t>State Highway Funding</t>
  </si>
  <si>
    <t>Grants to Transportation Service Providers Like Buses and Ferries</t>
  </si>
  <si>
    <t>Airport Grants</t>
  </si>
  <si>
    <t>Amtrak Funding</t>
  </si>
  <si>
    <t>Other Spending</t>
  </si>
  <si>
    <t>Nutrition and Agriculture Programs</t>
  </si>
  <si>
    <t>Rental Assistance</t>
  </si>
  <si>
    <t>Subsidy</t>
  </si>
  <si>
    <t xml:space="preserve">I would say this is a subsidy since I think it's support for lending to small businesses? </t>
  </si>
  <si>
    <t>https://www.journalofaccountancy.com/news/2020/dec/covid-19-relief-bill-addresses-key-ppp-issues.html</t>
  </si>
  <si>
    <t>For "stabilizing the childcare industry". Subsidy, but check whether the BEA puts it into state grants</t>
  </si>
  <si>
    <t>https://www.ffyf.org/timeline-of-covid-19-relief-for-the-child-care-industry-and-working-families/</t>
  </si>
  <si>
    <t>Broadband Grants and Investment</t>
  </si>
  <si>
    <t>I think this is a purchase. Much of it goes directly to service providers and not through states as far as I can tell</t>
  </si>
  <si>
    <t>https://www.wiley.law/alert-Congress-Provides-Nearly-7-Billion-in-New-Broadband-Funding-in-the-Latest-COVID-19-Stimulus-Legislation</t>
  </si>
  <si>
    <t>Provide Additional Emergency Funding to Agencies</t>
  </si>
  <si>
    <t>Struggling to find much information on this</t>
  </si>
  <si>
    <t>Disaster Relief Funding for COVID Funeral Expenses</t>
  </si>
  <si>
    <t>Available via FEMA-- I don’t think that goes through states but not sure?</t>
  </si>
  <si>
    <t>Community Development Block Grants</t>
  </si>
  <si>
    <t>Federal government provides annual grants on a formula basis to states, cities, and counties to develop viable urban communities by providing decent housing and a suitable living environment, and by expanding economic opportunities, principally for low- and moderate-income persons</t>
  </si>
  <si>
    <t>Write-Off $10 Billion U.S. Postal Service Loan</t>
  </si>
  <si>
    <t>Congress lent USPS $10 billion in CARES Act; this was just saying they don't have to pay it back.</t>
  </si>
  <si>
    <t>Other Tax Cuts</t>
  </si>
  <si>
    <t>Extend and Expand Employee Retention Tax Credit</t>
  </si>
  <si>
    <t>Reinstate 100% Business Meals Deduction for 2021 and 2022</t>
  </si>
  <si>
    <t>Increase Earned Income and Child Tax Credit by Allowing Taxpayers to Use 2019 Income</t>
  </si>
  <si>
    <t>Extend CARES Act Charitable Provisions</t>
  </si>
  <si>
    <t>Extend CARES Act Employer-Paid Student Loan Exclusion Through 2025</t>
  </si>
  <si>
    <t>Extend Families First Paid Leave Credits Through March 2021</t>
  </si>
  <si>
    <t>Direct Aid to Families</t>
  </si>
  <si>
    <t>Aid to Financially Vulnerable Households</t>
  </si>
  <si>
    <t>Health grants</t>
  </si>
  <si>
    <t>COVID-19 Containment and Vaccination; Aid to State and Local Governments; Federal Spending</t>
  </si>
  <si>
    <t>NOT IN GDP</t>
  </si>
  <si>
    <t>T9, Sub. G, Part 2</t>
  </si>
  <si>
    <t>T9, Sub. G, Part 1</t>
  </si>
  <si>
    <t>T9, Sub. G, Part 3</t>
  </si>
  <si>
    <t xml:space="preserve">T9, Sub. I </t>
  </si>
  <si>
    <t>T9, Sub.G, Part 4</t>
  </si>
  <si>
    <t>T1, Total (Agriculture, SNAP, WIC, TANF)</t>
  </si>
  <si>
    <t>T3, Sub.B</t>
  </si>
  <si>
    <t>T9, Sub.G, P.7</t>
  </si>
  <si>
    <t>T2, Sub.K</t>
  </si>
  <si>
    <t>T2, Sub.L</t>
  </si>
  <si>
    <t>Title 9, Sub. A, first four items -&gt;</t>
  </si>
  <si>
    <t>Title 9, Sub. A, Sec. 9041 + Sec. 9042</t>
  </si>
  <si>
    <t>Rest of Sub.A</t>
  </si>
  <si>
    <t>T9, Sub. F</t>
  </si>
  <si>
    <t>T9, Sub. B C D</t>
  </si>
  <si>
    <t>T9, Sub. J</t>
  </si>
  <si>
    <t>T9, Sub. L</t>
  </si>
  <si>
    <t>T9, Sub. K</t>
  </si>
  <si>
    <t>T9, Sub. M</t>
  </si>
  <si>
    <t>T9, Sub.N, Sec.9911</t>
  </si>
  <si>
    <t>T2, Sub.A, part 1</t>
  </si>
  <si>
    <t>T2: subA, part2; subB, I, J</t>
  </si>
  <si>
    <t>T11, Total</t>
  </si>
  <si>
    <t>T6, Total</t>
  </si>
  <si>
    <t>T2, Sub. C, Sec.2203, 2204, 2205, 2206</t>
  </si>
  <si>
    <t>T3, Sub. D</t>
  </si>
  <si>
    <t>T2, Sub. C, Sec. 2201</t>
  </si>
  <si>
    <t>T2, Sub. H</t>
  </si>
  <si>
    <t>T4, Total</t>
  </si>
  <si>
    <t>T9, Sub.N, Sec. 9912</t>
  </si>
  <si>
    <t>T7 SubD,E,F</t>
  </si>
  <si>
    <t>T8, Total</t>
  </si>
  <si>
    <t>T3, Sub. A</t>
  </si>
  <si>
    <t>T9, Sub.G, Part 8</t>
  </si>
  <si>
    <t>T2, Sub. D, E, F, G</t>
  </si>
  <si>
    <t>T2, Sub. C, Sec. 2202</t>
  </si>
  <si>
    <t>T6, Sec. 6001</t>
  </si>
  <si>
    <t>T6</t>
  </si>
  <si>
    <t>T3 Sub. C Sec. 3301</t>
  </si>
  <si>
    <t>T9, SubG, part5</t>
  </si>
  <si>
    <t>T9, Part6</t>
  </si>
  <si>
    <t>T9, Sub.H</t>
  </si>
  <si>
    <t>T7, parts A B C</t>
  </si>
  <si>
    <t>T10, Total</t>
  </si>
  <si>
    <t>Fiscal Year</t>
  </si>
  <si>
    <t>UI benefits</t>
  </si>
  <si>
    <t>Other Direct Aid to Families</t>
  </si>
  <si>
    <t>Other Aid to Vulnerable HHs</t>
  </si>
  <si>
    <t>Subsidies ex Provider Relief and PPP</t>
  </si>
  <si>
    <t>Other state and local aid ex Provider Relief</t>
  </si>
  <si>
    <t>Provider Relief FUND</t>
  </si>
  <si>
    <t>child tax credit</t>
  </si>
  <si>
    <t>eitc</t>
  </si>
  <si>
    <t>rebate checks</t>
  </si>
  <si>
    <t xml:space="preserve"> child care for workers</t>
  </si>
  <si>
    <t>dependent care for families</t>
  </si>
  <si>
    <t>food</t>
  </si>
  <si>
    <t>housing assistance</t>
  </si>
  <si>
    <t>premium tax credits</t>
  </si>
  <si>
    <t>ratepayer protection</t>
  </si>
  <si>
    <t>assistance for older americans</t>
  </si>
  <si>
    <t>state ui</t>
  </si>
  <si>
    <t>pua</t>
  </si>
  <si>
    <t>peuc</t>
  </si>
  <si>
    <t>puc</t>
  </si>
  <si>
    <t>ui tax suspension</t>
  </si>
  <si>
    <t>other_ui</t>
  </si>
  <si>
    <t>cobra</t>
  </si>
  <si>
    <t>emergency assistance</t>
  </si>
  <si>
    <t>chip</t>
  </si>
  <si>
    <t>coronavirus relief fund (aid to state and local)</t>
  </si>
  <si>
    <t>provider relief</t>
  </si>
  <si>
    <t>education</t>
  </si>
  <si>
    <t xml:space="preserve">other state and local </t>
  </si>
  <si>
    <t>grants to tribal governments</t>
  </si>
  <si>
    <t>Environment Grants</t>
  </si>
  <si>
    <t>human services and community supports, minus childcare policies</t>
  </si>
  <si>
    <t>other transportation</t>
  </si>
  <si>
    <t>Child care and development block grant program</t>
  </si>
  <si>
    <t>Mental Health</t>
  </si>
  <si>
    <t>Homeland Security Grants</t>
  </si>
  <si>
    <t>Title 9 other</t>
  </si>
  <si>
    <t>commerce and science federal spending</t>
  </si>
  <si>
    <t>VA</t>
  </si>
  <si>
    <t>Medical Supplies</t>
  </si>
  <si>
    <t>miscellaneous from T9</t>
  </si>
  <si>
    <t>covid containment/vaccination</t>
  </si>
  <si>
    <t>ppp</t>
  </si>
  <si>
    <t>grants to small businesses</t>
  </si>
  <si>
    <t>small business credit initiative</t>
  </si>
  <si>
    <t>paid_sick_leave</t>
  </si>
  <si>
    <t>employee_retention</t>
  </si>
  <si>
    <t>pensions</t>
  </si>
  <si>
    <t>transit and aviation support</t>
  </si>
  <si>
    <t>Foreign Aid</t>
  </si>
  <si>
    <t>Separate Accounting</t>
  </si>
  <si>
    <t>restaurant</t>
  </si>
  <si>
    <t>Spreading Fiscal Year Totals over Quarters</t>
  </si>
  <si>
    <t>FY</t>
  </si>
  <si>
    <t>date</t>
  </si>
  <si>
    <t>2021Q1</t>
  </si>
  <si>
    <t>2021Q2</t>
  </si>
  <si>
    <t>2021Q3</t>
  </si>
  <si>
    <t>2021Q4</t>
  </si>
  <si>
    <t>2022Q1</t>
  </si>
  <si>
    <t>2022Q2</t>
  </si>
  <si>
    <t>2022Q3</t>
  </si>
  <si>
    <t>2022Q4</t>
  </si>
  <si>
    <t>2023Q1</t>
  </si>
  <si>
    <t>2023Q2</t>
  </si>
  <si>
    <t>2023Q3</t>
  </si>
  <si>
    <t>2023Q4</t>
  </si>
  <si>
    <t>2024Q1</t>
  </si>
  <si>
    <t>2024Q2</t>
  </si>
  <si>
    <t>2024Q3</t>
  </si>
  <si>
    <t>2024Q4</t>
  </si>
  <si>
    <t>2025Q1</t>
  </si>
  <si>
    <t>2025Q2</t>
  </si>
  <si>
    <t>2025Q3</t>
  </si>
  <si>
    <t>2025Q4</t>
  </si>
  <si>
    <t>rebate_checks_timing</t>
  </si>
  <si>
    <t>ui_timing</t>
  </si>
  <si>
    <t>snap_timing</t>
  </si>
  <si>
    <t>other_direct_aid_timing</t>
  </si>
  <si>
    <t>other_vulnerable_timing</t>
  </si>
  <si>
    <t>aid to small businesses_timing</t>
  </si>
  <si>
    <t>health_grants_timing</t>
  </si>
  <si>
    <t>grants_timing</t>
  </si>
  <si>
    <t>capital transfers</t>
  </si>
  <si>
    <t>purchases timing</t>
  </si>
  <si>
    <t>SPENDING ASSUMPTIONS</t>
  </si>
  <si>
    <t>grants_mpc</t>
  </si>
  <si>
    <t>arp coronavirus relief fund MPC</t>
  </si>
  <si>
    <t>** when extend, make it add to 1</t>
  </si>
  <si>
    <t>column with score</t>
  </si>
  <si>
    <t>Calendar</t>
  </si>
  <si>
    <t>2025 Q2</t>
  </si>
  <si>
    <t>2025 Q3</t>
  </si>
  <si>
    <t>2025 Q4</t>
  </si>
  <si>
    <t>Subsidies ex Provider Relief</t>
  </si>
  <si>
    <t>Provider Relief Subsidies</t>
  </si>
  <si>
    <t>Provider Relief Grants</t>
  </si>
  <si>
    <t>Divide out Subsidies ex provider relief</t>
  </si>
  <si>
    <t xml:space="preserve">support for transit </t>
  </si>
  <si>
    <t>Restaurant Revitalization Fund (include grants to venues, which is small)</t>
  </si>
  <si>
    <t>Spending out of  education stabilization and other ARP grant</t>
  </si>
  <si>
    <t xml:space="preserve">q2 </t>
  </si>
  <si>
    <t>q4</t>
  </si>
  <si>
    <t>Spending out of coronavirus relief fund and other grants, not including education stabilization</t>
  </si>
  <si>
    <t xml:space="preserve">Check </t>
  </si>
  <si>
    <t>total provider relief</t>
  </si>
  <si>
    <t>Add Factor on Other ARP aid to S+L to match data rather than our disbursement assumptions</t>
  </si>
  <si>
    <t>ylwsd</t>
  </si>
  <si>
    <t>yop</t>
  </si>
  <si>
    <t>ycpd</t>
  </si>
  <si>
    <t>ypiar</t>
  </si>
  <si>
    <t xml:space="preserve">Wage and Salaries </t>
  </si>
  <si>
    <t>gfsubr</t>
  </si>
  <si>
    <t>gfsubd</t>
  </si>
  <si>
    <t>yri</t>
  </si>
  <si>
    <t>federal_social_benefits_override</t>
  </si>
  <si>
    <t>federal_other_vulnerable_arp_override</t>
  </si>
  <si>
    <t>federal_other_direct_aid_arp_override</t>
  </si>
  <si>
    <t>Federal Social Benefits Historical Override</t>
  </si>
  <si>
    <t>ARP Direct Aid Historical Override</t>
  </si>
  <si>
    <t>ARP Other Vulnerable Historical Override</t>
  </si>
  <si>
    <t>Child tax credit</t>
  </si>
  <si>
    <t>Other Direct Aid plus Provider Relief</t>
  </si>
  <si>
    <t xml:space="preserve">ARP Other Direct Aid plus Provider Relief </t>
  </si>
  <si>
    <t xml:space="preserve">Child Tax Credit </t>
  </si>
  <si>
    <t>Other legislation "add factor" (Table 3)</t>
  </si>
  <si>
    <t>FIM Federal Social Benefits</t>
  </si>
  <si>
    <t>NIPA Federal Social Benefits minus what we've accounted for</t>
  </si>
  <si>
    <t>Counterfactual Social Benefits (no pandemic legislation)</t>
  </si>
  <si>
    <t>Underlying Social Benefits (less UI, Medicare, Child Tax Credit and pandemic legislation)</t>
  </si>
  <si>
    <t>Calculating Underlying Social Benefits and Add Factor for Unaccounted Legislation</t>
  </si>
  <si>
    <t>State Social Benefits (NIPA Definition)</t>
  </si>
  <si>
    <t>FIM State Social Benefits</t>
  </si>
  <si>
    <t>Growth rate</t>
  </si>
  <si>
    <t>CBO NIPA</t>
  </si>
  <si>
    <t>CBO NIPA Translation Social Benefits</t>
  </si>
  <si>
    <t>cbo less our medicare</t>
  </si>
  <si>
    <t>Growth rate to make our benefits equal to CBO</t>
  </si>
  <si>
    <t>Our Medicare</t>
  </si>
  <si>
    <t>Our social benefits</t>
  </si>
  <si>
    <t>Ours-CBO</t>
  </si>
  <si>
    <t>Line</t>
  </si>
  <si>
    <t>Update unemployment rate and state and local employment and construction numbers</t>
  </si>
  <si>
    <t>Table-- reminding us that personal income tables don't include PPP to corporates, so we need a new table estimating the share that goes to corp</t>
  </si>
  <si>
    <t>PPP to Businesses</t>
  </si>
  <si>
    <t>PPP to Corporations</t>
  </si>
  <si>
    <t>SHARES</t>
  </si>
  <si>
    <t>Corp to Business ratio</t>
  </si>
  <si>
    <t>ARP Other Direct Aid + Provider Relief</t>
  </si>
  <si>
    <t>When the update is finished, set the top of the fiscal_impact script, set overwrite files to FALSE. This will prevent the saved archival forecast from the update from being overwritten if you change the FIM at all within the same month as the most recent update.</t>
  </si>
  <si>
    <t xml:space="preserve">At the top of the fiscal_impact script, set overwrite files to TRUE. This will automatically save the forecast sheet for this update in its archival folder. </t>
  </si>
  <si>
    <t>yptocm</t>
  </si>
  <si>
    <t xml:space="preserve">We use these to gauge our forecast for state purchases. </t>
  </si>
  <si>
    <t>Add factor on non-corp taxes to account for taxes coming higher than CBO forecasted (until we get new CBO)</t>
  </si>
  <si>
    <t>federal_aid_to_small_businesses_arp_override</t>
  </si>
  <si>
    <t>Add factor on spending out of grants to reflect that state spending has been lower than we expected even though grants disbursements have come in higher</t>
  </si>
  <si>
    <t>https://www.cbo.gov/publication/57037</t>
  </si>
  <si>
    <t>A comparison of BEA's revisions for the latest quarter of data to the last release's data</t>
  </si>
  <si>
    <t>Monthly Personal Income ("Month" MPI)</t>
  </si>
  <si>
    <t>Our projection for the components of the FIM, calling from our forecast sheets; this is what we read into the code.</t>
  </si>
  <si>
    <t>Each of these sheets generates our forecast for one (or a few) of the variables that we read into the code in the forecast sheet. This is the main part of the workbook that you will edit each update.</t>
  </si>
  <si>
    <t>Component Sheets (Grants, Medicare, Social Benefits, etc.)</t>
  </si>
  <si>
    <t>BEA data read in from Haver; called by Revisions and the component sheets to generate our forecasts. We copy and paste updated data into this sheet each time there's a new BEA release. It is very important that the order of variables in this sheet does not change, so that the formulas in other sheets call the correct row.</t>
  </si>
  <si>
    <t>Timing MPCs that we use to spread out ARP Score's fiscal year totals into quarters in ARP Quarterly. Generally you won't touch this without Louise.</t>
  </si>
  <si>
    <t>Quarterly spending out of the ARP; this is where we call scores of ARP components from in other sheets. Generally you won't touch this without Louise.</t>
  </si>
  <si>
    <t>All CBO references have a comment with where to find the data that's copy pasted in so we can verify/find it again. I write the name of the release, table and row. It is important to keep these up to date so there isn't confusion about where the numbers come from, since they are hard-coded!</t>
  </si>
  <si>
    <t>Prepare this month's spreadsheet for a new quarter of data to be read in from Haver.</t>
  </si>
  <si>
    <t xml:space="preserve">This is a somewhat complicated part of a new quarter update. Most rows change their formulas from the historical to projection period, so you have to carefully pull forward the historical period to include the new quarter of data. </t>
  </si>
  <si>
    <t xml:space="preserve">Prepare the Revisions sheet for the new quarter </t>
  </si>
  <si>
    <t>If this table has been released, create a new sheet called "Month" MPI with the table. You don't need to include the month to month changes, just the levels. It's helpful to highlight the rows in the table that are relevant to us.</t>
  </si>
  <si>
    <t>Looking over and editing our forecast</t>
  </si>
  <si>
    <t>Component Sheets</t>
  </si>
  <si>
    <t>Take a look at the forecast comparison sheet. How much has our forecast changed? Are there any components that have changed considerably, that we need to pay attention to?</t>
  </si>
  <si>
    <t>Show Louise</t>
  </si>
  <si>
    <t xml:space="preserve">Walk Louise through the changes-- she typically makes some adjustments to the forecast. Once she signs off on the spreadsheet, you'll run the code to calculate the FIM. </t>
  </si>
  <si>
    <t>At the top of the fiscal_impact script, set overwrite files to TRUE. This will automatically save the forecast sheet for this update in its archival folder (results/update month/input_data).</t>
  </si>
  <si>
    <r>
      <t xml:space="preserve">In the Revisions sheet, </t>
    </r>
    <r>
      <rPr>
        <b/>
        <sz val="11"/>
        <color theme="1"/>
        <rFont val="Calibri"/>
        <family val="2"/>
        <scheme val="minor"/>
      </rPr>
      <t>copy paste the "Current Update" column into the "Last Update" column</t>
    </r>
    <r>
      <rPr>
        <sz val="11"/>
        <color theme="1"/>
        <rFont val="Calibri"/>
        <family val="2"/>
        <scheme val="minor"/>
      </rPr>
      <t xml:space="preserve"> (make sure you paste it hard-coded using Paste Values). Relabel the columns with the quarter and which revision they represent (initial release, first revision, or second revision).</t>
    </r>
  </si>
  <si>
    <t xml:space="preserve">This sheet allows us to see how the raw inputs to the FIM have changed; it can help us parse out which changes to our forecast are due to BEA data revisions and which are due to our own formulas. </t>
  </si>
  <si>
    <t>Prepare the Revisions sheet</t>
  </si>
  <si>
    <t>Forecast Comparison Sheet</t>
  </si>
  <si>
    <t>Start with the Revisions sheet. How has BEA revised the data? How should we expect our forecast of each component to change, given their revision?</t>
  </si>
  <si>
    <t>Take a look at the forecast comparison sheet. How much has our forecast changed? Are there any components that have changed considerably, that we need to pay attention to? Anything unexpected, given what we saw in the Revisions sheet?</t>
  </si>
  <si>
    <t>Look through each component forecast to see if anything looks strange/hugely different. This is where the archived forecast from last month comes in handy-- you can compare our forecast of this quarter to the data we've just pulled in to track why our forecast has changed. Check formulas, etc.</t>
  </si>
  <si>
    <r>
      <rPr>
        <b/>
        <sz val="11"/>
        <color theme="1"/>
        <rFont val="Calibri"/>
        <family val="2"/>
        <scheme val="minor"/>
      </rPr>
      <t xml:space="preserve">Methodology: </t>
    </r>
    <r>
      <rPr>
        <sz val="11"/>
        <color theme="1"/>
        <rFont val="Calibri"/>
        <family val="2"/>
        <scheme val="minor"/>
      </rPr>
      <t>The Provider Relief Fund goes to health care providers-- some to nonprofits, some to public hospitals, and some to for-profit hospitals. We classify the funds as social benefits, grants and subsidies respectively. We get historical data on the three parts from the BEA and project forward the total using judgement, ensuring it sums to the total funds legislated (although we've been having some trouble matching numbers found online). We then project the three pieces using their historical share of the total. The pieces of the ARP's Provider Relief Fund come from our ARP Score.</t>
    </r>
  </si>
  <si>
    <r>
      <t>Methodology:</t>
    </r>
    <r>
      <rPr>
        <sz val="11"/>
        <color theme="1"/>
        <rFont val="Arial"/>
        <family val="2"/>
      </rPr>
      <t xml:space="preserve"> To forecast subsidies, we split them up into legislative and non-legislative subsidies to help us keep track of pandemic legislation versus regular, underlying subsidy payments, and then into ARP and non-ARP because they receive separate MPCs in the code.</t>
    </r>
  </si>
  <si>
    <r>
      <t xml:space="preserve">Methodology: </t>
    </r>
    <r>
      <rPr>
        <sz val="11"/>
        <color theme="1"/>
        <rFont val="Arial"/>
        <family val="2"/>
      </rPr>
      <t>The BEA gives us historical data on total Medicaid spending and federal Medicaid spending (in the form of grants to states). In order to project federal and state Medicaid spending separately, we need to know the federal share of total Medicaid spending (the FMAP). In Table 1, we calculate our quarterly FMAP using the ratio of federal to total spending from the BEA data in the historical period. Our projection of the FMAP (without the effects of the American Rescue Plan) is determined as follows: from 2021 Q3 to 2022 Q3 (when we assume the enhanced FMAP from pandemic legislation turns off because our guess of the end of the public health emergency), we take the average of the 2020 Q4 and 2021 Q1 FMAPs; in 2022 Q3 and onwards, we take the average of FY 2019 quarters (2018 Q4 - 2019 Q3). Our projection of the FMAP (accounting for the effects of ARP) is determined differently, incorporating a temporary increase in the FMAP from the expansion of ACA coverage, the 100% FMAP for urban, indian, and Hawaiian organizations, and a temporary increase in the FMAP for expanding HCBS (all from ARP). We take the sum of the values of these changes as a share of total pre-ARP medicaid to estimate their effects on the FMAP. We add these effects for each quarter to get the post-ARP FMAP. 
In Table 2, we calculate the annual growth rate of total Medicaid spending in the projection period. We back out projected annual total Medicaid spending by dividing CBO's projected federal Medicaid outlays by the annual FMAP (defined as the average of the quarterly FMAP by fiscal year), and use this to get the annual growth rate of total Medicaid spending.
In Table 3, we project forward the quarterly total Medicaid from BEA using the deannualized growth rate from Table 2, and use our projected quarterly FMAP to back out quarterly federal and state Medicaid spending.</t>
    </r>
  </si>
  <si>
    <r>
      <t xml:space="preserve">Methodology: </t>
    </r>
    <r>
      <rPr>
        <sz val="11"/>
        <color theme="1"/>
        <rFont val="Arial"/>
        <family val="2"/>
      </rPr>
      <t xml:space="preserve">BEA gives us total Medicare spending (all federal), which we grow using the growth rate of the four-quarter moving average of CBO's projected Medicare spending. CBO Medicare in 2020 is higher because of advance payments to providers that BEA doesn't appear to account for, so we use the growth rate from pre-pandemic CBO to adjust (see Table 2). Also, the CARES act temporarily suspended Medicare sequestration and that's going back on at end of 2022, so we subtract $16 billion in 2023 onwards to reflect that higher level now because of lack of sequestration.  																							
												</t>
    </r>
    <r>
      <rPr>
        <b/>
        <sz val="11"/>
        <color theme="1"/>
        <rFont val="Arial"/>
        <family val="2"/>
      </rPr>
      <t xml:space="preserve">											
																							</t>
    </r>
  </si>
  <si>
    <t xml:space="preserve">Methodology: </t>
  </si>
  <si>
    <t xml:space="preserve">See Hutchins Center Documents/Projects/Fiscal Impact/Updating the FIM Website.docx </t>
  </si>
  <si>
    <t xml:space="preserve">In each component sheet, drag forward EVERY row that calls Haver Pivoted (you can identify those by the haver codes written next to the variable name) or depends on Haver Pivoted data forward one column into the upcoming quarter. Please change the color formatting and labeling of the historical versus projection periods accordingly to avoid confusion. The new quarters will show either nothing or a #REF error; ignore this. The cells will fill with the new data that we read in when BEA releases the new quarter. DOUBLE CHECK your work-- it is important to ensure that every row that needs to be pulled forward, is. </t>
  </si>
  <si>
    <t>Total  Federal Subsidies</t>
  </si>
  <si>
    <t>federal_corporate_taxes_override</t>
  </si>
  <si>
    <t>state_corporate_taxes_override</t>
  </si>
  <si>
    <t>Federal Corporate Taxes Advanced Estimate Override</t>
  </si>
  <si>
    <t>State Corporate Taxes Advanced Estimate Override</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</si>
  <si>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t>
    </r>
  </si>
  <si>
    <t xml:space="preserve">The fiscal_impact script (the main script we use to calcualte the FIM) has five sections: 
Wrangle data-- here, we read in historical data from the BEA and the latest CBO Ten Year Baseline projections. We prep the historical data to be merged with our forecast by adjusting the BEA categories into the components we use for the FIM (see forecast sheet for those components). We also use the CBO projections to calculate the CBO's potential GDP growth projection for use later in the script.
Projection-- in this section we read in the "forecast" sheet from this spreadsheet, merge it with the historical data we cleaned in the previous section, and combine the medicaid and medicare variables into categories of "health outlays", since they have the same MPC and don't need to be kept separate. We keep them apart in the spreadsheet because it's easier to combine them in the code rather than across worksheets.
Consumption-- this is where a lot of the FIM methodology gets executed. First we subtract the counterfactual version of the components from our actual forecasted components to get the difference between actual spending and counterfactual spending; then we spread out spending of the net for each component using our MPCs. 
Contribution-- here we annualize the components and turn them into the GDP growth contributions by dividing by the lag of GDP and adjusting for inflation; then we rename a few variables and sum them into the final FIM categories.
Comparison-- this section creates a table and plots with last month's FIM, this month's FIM, and the differences between them. </t>
  </si>
  <si>
    <t>The comparison section of fiscal_impact.R renders the update-comparison.rmd file which generates graphs comparing last month and this month's components of the FIM. These help us to check for errors and see how much our forecast has changed since the last update. It outputs  to results/{this-month-year}/update-comparison-{this-month-year}.html and a copy named index.html is created in the parent directory.  It's called index.html so that GitHub knows to use it as a github site. Once you finish running fiscal_impact.R you should commit and push your changes to GitHub. Then make sure that the most recent version of index.html is published at https://github.com/Hutchins-Center/fim  (you can find this link under the about page on the FIM's github repo (Hutchins-Center/fim). Share updated link and go through this with Louise.</t>
  </si>
  <si>
    <t>This step is automated when running fiscal_impact.R</t>
  </si>
  <si>
    <t>Finalizing update</t>
  </si>
  <si>
    <t>Once you finalize the update make sure to commit any changes and push them. I recommend labeling this commit '{Year-Quarter} Update finalized' so you can always return to that point in time in the commit history if needed.</t>
  </si>
  <si>
    <t xml:space="preserve">git add .                                                                                                                                                                                                                                                                                                                                                                                                                                                                                                                                                          git commit -m '{Year-Quarter} Update finalized                                                                                                                                                                                                                                                                                                                                                                                                                                                                                                                                                                 git push                                                                                                                                                                                                                                                                                                                                                                                                                                                                                                                                                                                                         Or your prefferd method for commiting/pushing                                                                                                                                                                                                                                                                                                                                                                                                                                                                                                                                                                                                                                                                       </t>
  </si>
  <si>
    <t>Pull update cbo projections data</t>
  </si>
  <si>
    <t xml:space="preserve">Open up the fim R project by clicking on the "fim.Rproj" file. Type "CTRL + SHIFT + L" to load the fim package. Open fiscal_impact.R. This is the main script that we use to calculate the FIM. </t>
  </si>
  <si>
    <t>You may need to download the latest files at: 
https://www.cbo.gov/data/budget-economic-data</t>
  </si>
  <si>
    <t>Look at the output of index.html</t>
  </si>
  <si>
    <t xml:space="preserve">Fiscal_impact.R runs and knits compare-update.Rmd. Go over the changes from the last update that are due to the CBO with Louise. Make sure everything looks normal. These changes will be published along with the next monthly update. </t>
  </si>
  <si>
    <t>Haver codes</t>
  </si>
  <si>
    <t>Monthly State and Local Employment, for Reference (pulled from data/monthly_state_employment.xlsx)</t>
  </si>
  <si>
    <t>Update the table in the Federal and State Purchases sheet by dragging the formula to the next column. The formulas call cells from "data/monthly_state_employment.xlsx" which is created from "data-raw/haver-pull.R"</t>
  </si>
  <si>
    <r>
      <t>(Billions of dollars, seasonally adjusted at</t>
    </r>
    <r>
      <rPr>
        <b/>
        <sz val="11"/>
        <rFont val="Calibri"/>
        <family val="2"/>
        <scheme val="minor"/>
      </rPr>
      <t xml:space="preserve"> annual</t>
    </r>
    <r>
      <rPr>
        <b/>
        <sz val="11"/>
        <color theme="1"/>
        <rFont val="Calibri"/>
        <family val="2"/>
        <scheme val="minor"/>
      </rPr>
      <t xml:space="preserve"> rates)</t>
    </r>
  </si>
  <si>
    <r>
      <rPr>
        <sz val="11"/>
        <rFont val="Calibri"/>
        <family val="2"/>
        <scheme val="minor"/>
      </rPr>
      <t>4. Unemployment insurance benefits were expanded through several programs that were initially established through the CARES Act. For more information, see</t>
    </r>
    <r>
      <rPr>
        <u/>
        <sz val="11"/>
        <color theme="10"/>
        <rFont val="Calibri"/>
        <family val="2"/>
        <scheme val="minor"/>
      </rPr>
      <t xml:space="preserve"> How will the expansion of unemployment benefits in response to the COVID-19 pandemic be recorded in the NIPAs?</t>
    </r>
  </si>
  <si>
    <t>5. The American Rescue Plan increased the Child Tax Credit to $3,000 per child over the age of six and $3,600 for children under the age of six, and raised the age limit from 16 to 17. It also authorized that up to half of these credits could be distributed through advance payments during the tax year, while the rest would be claimed when parents file tax returns the following year.</t>
  </si>
  <si>
    <r>
      <rPr>
        <sz val="11"/>
        <rFont val="Calibri"/>
        <family val="2"/>
        <scheme val="minor"/>
      </rPr>
      <t>6. Economic impact payments, initially established by the CARES Act, provide direct payments to individuals. For more information, see</t>
    </r>
    <r>
      <rPr>
        <u/>
        <sz val="11"/>
        <color theme="10"/>
        <rFont val="Calibri"/>
        <family val="2"/>
        <scheme val="minor"/>
      </rPr>
      <t xml:space="preserve"> How are federal economic impact payments to support individuals during the COVID-19 pandemic recorded in the NIPAs?</t>
    </r>
  </si>
  <si>
    <t xml:space="preserve">7. The Federal Emergency Management Agency (FEMA) was authorized to make payments from the Disaster Relief Fund to supplement wages lost as a result of the COVID-19 pandemic. </t>
  </si>
  <si>
    <t>8. The Department of Health and Human Services distributes money from the Provider Relief Fund to hospitals and health care providers on the front lines of the coronavirus response. This funding supports health care-related expenses or lost revenue attributable to COVID-19 and ensures uninsured Americans can get treatment for COVID-19. In the NIPAs, funds provided to nonprofit hospitals are recorded as social benefits.</t>
  </si>
  <si>
    <r>
      <rPr>
        <sz val="11"/>
        <rFont val="Calibri"/>
        <family val="2"/>
        <scheme val="minor"/>
      </rPr>
      <t>9. Interest payments due on certain categories of federally-held student loans were initially suspended by the CARES Act. For more information, see</t>
    </r>
    <r>
      <rPr>
        <u/>
        <sz val="11"/>
        <color theme="10"/>
        <rFont val="Calibri"/>
        <family val="2"/>
        <scheme val="minor"/>
      </rPr>
      <t xml:space="preserve"> How does the federal response to the COVID-19 pandemic affect BEA's estimate of personal interest payments?</t>
    </r>
  </si>
  <si>
    <r>
      <rPr>
        <sz val="11"/>
        <rFont val="Calibri"/>
        <family val="2"/>
        <scheme val="minor"/>
      </rPr>
      <t xml:space="preserve">NOTE: For national statistics,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t>
    </r>
    <r>
      <rPr>
        <u/>
        <sz val="11"/>
        <color theme="10"/>
        <rFont val="Calibri"/>
        <family val="2"/>
        <scheme val="minor"/>
      </rPr>
      <t xml:space="preserve">Why does BEA publish estimates at annual rates? </t>
    </r>
    <r>
      <rPr>
        <sz val="11"/>
        <rFont val="Calibri"/>
        <family val="2"/>
        <scheme val="minor"/>
      </rPr>
      <t>on BEA's website.</t>
    </r>
  </si>
  <si>
    <t>Add factor</t>
  </si>
  <si>
    <t>Federal Share (FMAP)</t>
  </si>
  <si>
    <t>End of public health emergency</t>
  </si>
  <si>
    <t>Nonwage Income</t>
  </si>
  <si>
    <t>Seasonally adjusted at annual rates</t>
  </si>
  <si>
    <r>
      <t>Jan.</t>
    </r>
    <r>
      <rPr>
        <vertAlign val="superscript"/>
        <sz val="11"/>
        <rFont val="Calibri"/>
        <family val="2"/>
      </rPr>
      <t xml:space="preserve"> r</t>
    </r>
    <r>
      <rPr>
        <sz val="11"/>
        <rFont val="Calibri"/>
        <family val="2"/>
      </rPr>
      <t/>
    </r>
  </si>
  <si>
    <r>
      <t>Feb.</t>
    </r>
    <r>
      <rPr>
        <vertAlign val="superscript"/>
        <sz val="11"/>
        <rFont val="Calibri"/>
        <family val="2"/>
      </rPr>
      <t xml:space="preserve"> r</t>
    </r>
    <r>
      <rPr>
        <sz val="11"/>
        <rFont val="Calibri"/>
        <family val="2"/>
      </rPr>
      <t/>
    </r>
  </si>
  <si>
    <r>
      <t>March</t>
    </r>
    <r>
      <rPr>
        <vertAlign val="superscript"/>
        <sz val="11"/>
        <rFont val="Calibri"/>
        <family val="2"/>
      </rPr>
      <t xml:space="preserve"> r</t>
    </r>
    <r>
      <rPr>
        <sz val="11"/>
        <rFont val="Calibri"/>
        <family val="2"/>
      </rPr>
      <t/>
    </r>
  </si>
  <si>
    <r>
      <t>April</t>
    </r>
    <r>
      <rPr>
        <vertAlign val="superscript"/>
        <sz val="11"/>
        <rFont val="Calibri"/>
        <family val="2"/>
      </rPr>
      <t xml:space="preserve"> p</t>
    </r>
    <r>
      <rPr>
        <sz val="11"/>
        <rFont val="Calibri"/>
        <family val="2"/>
      </rPr>
      <t/>
    </r>
  </si>
  <si>
    <t>We get the projected growth rate from the projected BEA level</t>
  </si>
  <si>
    <t>Note: these are for fiscal years which go from Q4-Q3</t>
  </si>
  <si>
    <t>Throughout the forecast spreadsheets, we use CBO projections to forecast certain FIM components. Every row taken from CBO will be marked as such, with comments indicating which update, table and row the numbers are from to make it easier to find. Replace the CBO numbers with the new forecast, and make sure to change the comments so that they reflect the new row #s. Copy paste the old table/old rows near the table from last update's forecast sheet for comparison. Then, we go through each part of the sheet that uses CBO with Louise, and decide how we want to change the forecast or simply update the old CBO rows with new CBO projections, based on the CBO revisions. Make sure to label the old and new CBO numbers clearly!</t>
  </si>
  <si>
    <t xml:space="preserve">Approximately every quarter, the CBO releases new Ten-Year Budget and Economic Projections. We use these to update our projections for GDP and inflation, and in a number of the forecast sheets. When the new projections come out, we incorporate them into the sheet and code, and then wait to release the updated FIM until the next monthly update. The inst/extdata/projections.xlsx workbook is updated with the new CBO numbers. The data-raw/projections.R script cleans them to be readable in R. </t>
  </si>
  <si>
    <t>Update CBO data in inst/extdata/projections.xlsx. Refer to the dictionary sheet to figure out which lines of the CBO update correspond to the Haver codes. Open the FIM project by clicking on the "fim.Rproj" file. Run data-raw/projections.R</t>
  </si>
  <si>
    <t>Copy paste the forecast table from the most recent update (Past Values Only) into the "Previous Forecast" table.</t>
  </si>
  <si>
    <t>yptmr</t>
  </si>
  <si>
    <t>gf</t>
  </si>
  <si>
    <t>Higher COVID Payment Rates (not used - kept for reference)</t>
  </si>
  <si>
    <r>
      <t>Quarterly FMAP =</t>
    </r>
    <r>
      <rPr>
        <sz val="10"/>
        <color theme="1"/>
        <rFont val="Arial"/>
        <family val="2"/>
      </rPr>
      <t xml:space="preserve"> Federal Medicaid grants/ Total Medicaid spending </t>
    </r>
    <r>
      <rPr>
        <b/>
        <sz val="10"/>
        <color theme="1"/>
        <rFont val="Arial"/>
        <family val="2"/>
      </rPr>
      <t xml:space="preserve">
Annual FMAP =</t>
    </r>
    <r>
      <rPr>
        <sz val="10"/>
        <color theme="1"/>
        <rFont val="Arial"/>
        <family val="2"/>
      </rPr>
      <t xml:space="preserve"> Average Quarterly FMAP for the Fiscal Year (Q4-Q3)
</t>
    </r>
    <r>
      <rPr>
        <b/>
        <sz val="10"/>
        <color theme="1"/>
        <rFont val="Arial"/>
        <family val="2"/>
      </rPr>
      <t xml:space="preserve">Total Medicaid in fiscal year = </t>
    </r>
    <r>
      <rPr>
        <sz val="10"/>
        <color theme="1"/>
        <rFont val="Arial"/>
        <family val="2"/>
      </rPr>
      <t xml:space="preserve">CBO projection of Medicaid Outlays/ Annual FMAP </t>
    </r>
    <r>
      <rPr>
        <b/>
        <sz val="10"/>
        <color theme="1"/>
        <rFont val="Arial"/>
        <family val="2"/>
      </rPr>
      <t xml:space="preserve">
Total Medicaid annual growth rate =</t>
    </r>
    <r>
      <rPr>
        <sz val="10"/>
        <color theme="1"/>
        <rFont val="Arial"/>
        <family val="2"/>
      </rPr>
      <t xml:space="preserve">(Total Medicaid_t / Total Medicaid_t-1) -1 
</t>
    </r>
    <r>
      <rPr>
        <b/>
        <sz val="10"/>
        <color theme="1"/>
        <rFont val="Arial"/>
        <family val="2"/>
      </rPr>
      <t xml:space="preserve">
Total Medicaid projection = </t>
    </r>
    <r>
      <rPr>
        <sz val="10"/>
        <color theme="1"/>
        <rFont val="Arial"/>
        <family val="2"/>
      </rPr>
      <t xml:space="preserve">Total Medicaid spending*(1+Total Medicaid Annual Growth Rate)^(0.25) + add factor
</t>
    </r>
    <r>
      <rPr>
        <b/>
        <sz val="10"/>
        <color theme="1"/>
        <rFont val="Arial"/>
        <family val="2"/>
      </rPr>
      <t>FMAP projection</t>
    </r>
    <r>
      <rPr>
        <sz val="10"/>
        <color theme="1"/>
        <rFont val="Arial"/>
        <family val="2"/>
      </rPr>
      <t xml:space="preserve"> = Previous FY FMAP + CBO FMAP effects from ARP
</t>
    </r>
    <r>
      <rPr>
        <b/>
        <sz val="10"/>
        <color theme="1"/>
        <rFont val="Arial"/>
        <family val="2"/>
      </rPr>
      <t>Federal Medicaid Projection</t>
    </r>
    <r>
      <rPr>
        <sz val="10"/>
        <color theme="1"/>
        <rFont val="Arial"/>
        <family val="2"/>
      </rPr>
      <t xml:space="preserve"> = Total Medicaid projection * FMAP</t>
    </r>
    <r>
      <rPr>
        <b/>
        <sz val="10"/>
        <color theme="1"/>
        <rFont val="Arial"/>
        <family val="2"/>
      </rPr>
      <t xml:space="preserve"> </t>
    </r>
    <r>
      <rPr>
        <sz val="10"/>
        <color theme="1"/>
        <rFont val="Arial"/>
        <family val="2"/>
      </rPr>
      <t xml:space="preserve">projection
</t>
    </r>
    <r>
      <rPr>
        <b/>
        <sz val="10"/>
        <color theme="1"/>
        <rFont val="Arial"/>
        <family val="2"/>
      </rPr>
      <t>State Medicaid Projection</t>
    </r>
    <r>
      <rPr>
        <sz val="10"/>
        <color theme="1"/>
        <rFont val="Arial"/>
        <family val="2"/>
      </rPr>
      <t xml:space="preserve"> = Total Medicaid projection - Federal Medicaid Projection</t>
    </r>
  </si>
  <si>
    <r>
      <t xml:space="preserve">Total Medicare projection = </t>
    </r>
    <r>
      <rPr>
        <sz val="9"/>
        <color theme="1"/>
        <rFont val="Arial"/>
        <family val="2"/>
      </rPr>
      <t xml:space="preserve">Total Medicare + (1+growth rate of annual Medicare spending)^0.25 + add factor
</t>
    </r>
    <r>
      <rPr>
        <b/>
        <sz val="9"/>
        <color theme="1"/>
        <rFont val="Arial"/>
        <family val="2"/>
      </rPr>
      <t>Growth rate of Medicare spending</t>
    </r>
    <r>
      <rPr>
        <sz val="9"/>
        <color theme="1"/>
        <rFont val="Arial"/>
        <family val="2"/>
      </rPr>
      <t xml:space="preserve"> = (1+ CBO growth rate of annual Medicare spending less timing shift)</t>
    </r>
  </si>
  <si>
    <t>Methodology:
Federal
Total non-corporate projection = Personal income + Social Insurance + Production
Personal income projection = Personal income*(1+projected growth rate of individual income)^0.25
Projected growth rate of individual income = Projected income level_t/Personal income from BEA_t-1
Projected income level_t = Personal income from BEA_t-1 * (Growth rate of CBO projections of federal income)</t>
  </si>
  <si>
    <t>May</t>
  </si>
  <si>
    <t>Individual Income growth rate</t>
  </si>
  <si>
    <t>Social Insurance Contributions growth rate</t>
  </si>
  <si>
    <t>Production Taxes growth rate</t>
  </si>
  <si>
    <t>Corporate growth rate</t>
  </si>
  <si>
    <t>NIPA FY and forecast based on CBO growth rates</t>
  </si>
  <si>
    <t>no</t>
  </si>
  <si>
    <t>Annual medicare spending growth rate</t>
  </si>
  <si>
    <t xml:space="preserve">Copy paste the forecast table from the most recent update (Paste Values Only) into the "Previous Forecast" table. In both the forecast and forecast comparison sheets, delete the first column so that the forecast comparison sheet contains the upcoming quarter of data and the forecast going forward. </t>
  </si>
  <si>
    <t>yes</t>
  </si>
  <si>
    <t>Investment Grants Override</t>
  </si>
  <si>
    <t>investment_grants_override</t>
  </si>
  <si>
    <t>consumption_grants_deflator</t>
  </si>
  <si>
    <t>consumption_grants_deflator_growth</t>
  </si>
  <si>
    <t>investment_grants_deflator</t>
  </si>
  <si>
    <t>investment_grants_deflator_growth</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</si>
  <si>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</si>
  <si>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</si>
  <si>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</si>
  <si>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</si>
  <si>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</si>
  <si>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</si>
  <si>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</si>
  <si>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</si>
  <si>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</si>
  <si>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</si>
  <si>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</si>
  <si>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</si>
  <si>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</si>
  <si>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</si>
  <si>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</si>
  <si>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</si>
  <si>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</si>
  <si>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</si>
  <si>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</si>
  <si>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</si>
  <si>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</si>
  <si>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</si>
  <si>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</si>
  <si>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</si>
  <si>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</si>
  <si>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</si>
  <si>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</si>
  <si>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</si>
  <si>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</si>
  <si>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</si>
  <si>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</si>
  <si>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</si>
  <si>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</si>
  <si>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</si>
  <si>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</si>
  <si>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</si>
  <si>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</si>
  <si>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</si>
  <si>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</si>
  <si>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</si>
  <si>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</si>
  <si>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</si>
  <si>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</si>
  <si>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</si>
  <si>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</si>
  <si>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</si>
  <si>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</si>
  <si>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</si>
  <si>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</si>
  <si>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</si>
  <si>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</si>
  <si>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</si>
  <si>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</si>
  <si>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</si>
  <si>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</si>
  <si>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</si>
  <si>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</si>
  <si>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</si>
  <si>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</si>
  <si>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</si>
  <si>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</si>
  <si>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</si>
  <si>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</si>
  <si>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</si>
  <si>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</si>
  <si>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</si>
  <si>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</si>
  <si>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</si>
  <si>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</si>
  <si>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</si>
  <si>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</si>
  <si>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</si>
  <si>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</si>
  <si>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</si>
  <si>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</si>
  <si>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</si>
  <si>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</si>
  <si>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</si>
  <si>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</si>
  <si>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</si>
  <si>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</si>
  <si>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</si>
  <si>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</si>
  <si>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</si>
  <si>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</si>
  <si>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</si>
  <si>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</si>
  <si>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</si>
  <si>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</si>
  <si>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</si>
  <si>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</si>
  <si>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</si>
  <si>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</si>
  <si>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</si>
  <si>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</si>
  <si>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</si>
  <si>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</si>
  <si>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</si>
  <si>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</si>
  <si>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</si>
  <si>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</si>
  <si>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</si>
  <si>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</si>
  <si>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</si>
  <si>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</si>
  <si>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</si>
  <si>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</si>
  <si>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</si>
  <si>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</si>
  <si>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</si>
  <si>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</si>
  <si>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</si>
  <si>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</si>
  <si>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</si>
  <si>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</si>
  <si>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</si>
  <si>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</si>
  <si>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</si>
  <si>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</si>
  <si>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</si>
  <si>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</si>
  <si>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</si>
  <si>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</si>
  <si>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</si>
  <si>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</si>
  <si>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</si>
  <si>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</si>
  <si>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</si>
  <si>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</si>
  <si>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</si>
  <si>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</si>
  <si>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</si>
  <si>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</si>
  <si>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</si>
  <si>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</si>
  <si>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</si>
  <si>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</si>
  <si>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</si>
  <si>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</si>
  <si>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</si>
  <si>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</si>
  <si>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</si>
  <si>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</si>
  <si>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</si>
  <si>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</si>
  <si>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</si>
  <si>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</si>
  <si>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</si>
  <si>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</si>
  <si>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</si>
  <si>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</si>
  <si>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</si>
  <si>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</si>
  <si>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</si>
  <si>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</si>
  <si>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</si>
  <si>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</si>
  <si>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</si>
  <si>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</si>
  <si>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</si>
  <si>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</si>
  <si>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</si>
  <si>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</si>
  <si>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</si>
  <si>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</si>
  <si>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</si>
  <si>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</si>
  <si>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</si>
  <si>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</si>
  <si>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</si>
  <si>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</si>
  <si>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</si>
  <si>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</si>
  <si>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</si>
  <si>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</si>
  <si>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</si>
  <si>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</si>
  <si>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</si>
  <si>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</si>
  <si>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</si>
  <si>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</si>
  <si>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</si>
  <si>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</si>
  <si>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</si>
  <si>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</si>
  <si>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</si>
  <si>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</si>
  <si>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</si>
  <si>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</si>
  <si>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</si>
  <si>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</si>
  <si>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</si>
  <si>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</si>
  <si>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</si>
  <si>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</si>
  <si>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</si>
  <si>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</si>
  <si>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</si>
  <si>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</si>
  <si>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</si>
  <si>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</si>
  <si>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</si>
  <si>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</si>
  <si>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</si>
  <si>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</si>
  <si>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</si>
  <si>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</si>
  <si>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</si>
  <si>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</si>
  <si>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</si>
  <si>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</si>
  <si>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</si>
  <si>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</si>
  <si>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</si>
  <si>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projection</t>
  </si>
  <si>
    <t>2022 Q4</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</si>
  <si>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</si>
  <si>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</si>
  <si>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</si>
  <si>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</si>
  <si>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</si>
  <si>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</si>
  <si>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</si>
  <si>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</si>
  <si>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</si>
  <si>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</si>
  <si>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</si>
  <si>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</si>
  <si>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</si>
  <si>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</si>
  <si>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</si>
  <si>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</si>
  <si>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</si>
  <si>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</si>
  <si>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</si>
  <si>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</si>
  <si>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</si>
  <si>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</si>
  <si>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</si>
  <si>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</si>
  <si>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</si>
  <si>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</si>
  <si>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</si>
  <si>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</si>
  <si>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</si>
  <si>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</si>
  <si>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</si>
  <si>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</si>
  <si>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</si>
  <si>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</si>
  <si>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</si>
  <si>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</si>
  <si>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</si>
  <si>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</si>
  <si>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</si>
  <si>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IRA investment grants</t>
  </si>
  <si>
    <t>Inflation Reduction Act (2022)</t>
  </si>
  <si>
    <t>Desc</t>
  </si>
  <si>
    <t>Section</t>
  </si>
  <si>
    <t>2022-2026</t>
  </si>
  <si>
    <t>2022-2031</t>
  </si>
  <si>
    <t>Category</t>
  </si>
  <si>
    <t>Rationale/details</t>
  </si>
  <si>
    <t>Emergency drought relief for tribes</t>
  </si>
  <si>
    <t>Sec 80004</t>
  </si>
  <si>
    <t>Consumption grant</t>
  </si>
  <si>
    <t>Home energy rebates</t>
  </si>
  <si>
    <t>Sec 50121+Sec 50122+50123</t>
  </si>
  <si>
    <t>Reinstatement of Superfund (excise duty on production)</t>
  </si>
  <si>
    <t>Sec 13601</t>
  </si>
  <si>
    <t>Federal corporate tax</t>
  </si>
  <si>
    <t>National Forest System Restoration</t>
  </si>
  <si>
    <t>Sec 23001</t>
  </si>
  <si>
    <t>Federal purchase</t>
  </si>
  <si>
    <t>https://crsreports.congress.gov/product/pdf/IN/IN11978</t>
  </si>
  <si>
    <t xml:space="preserve">Interregional and offshore wind electricity modeling </t>
  </si>
  <si>
    <t>Sec 50153</t>
  </si>
  <si>
    <t>https://nawindpower.com/u-s-house-passes-inflation-reduction-act</t>
  </si>
  <si>
    <t>Low Emissions Electricity Program</t>
  </si>
  <si>
    <t>Sec 60107</t>
  </si>
  <si>
    <t>https://www.epw.senate.gov/public/_cache/files/c/8/c8c72459-0813-4341-838e-385576c69e98/D2D6B743CD39D2D0D07D46207543E2BE.08-10-2022-epw-inflation-reduction-act-section-by-section-final-clean.pdf</t>
  </si>
  <si>
    <t>Enhancement of IRS</t>
  </si>
  <si>
    <t>Sec 10301</t>
  </si>
  <si>
    <t xml:space="preserve">Appropriations </t>
  </si>
  <si>
    <t>Sec 13802</t>
  </si>
  <si>
    <t>Rural development administrative funds</t>
  </si>
  <si>
    <t>Sec 22005</t>
  </si>
  <si>
    <t>Administrative costs of rural development</t>
  </si>
  <si>
    <t>Sec 23005</t>
  </si>
  <si>
    <t>Other federal purchases</t>
  </si>
  <si>
    <t>Sec 40002+40003+…+40006</t>
  </si>
  <si>
    <t>Other energy matters (federal purchases)</t>
  </si>
  <si>
    <t>Sec 50171+Sec 50172+ Sec 50221</t>
  </si>
  <si>
    <t>National Parks and Public Lands conservation</t>
  </si>
  <si>
    <t>Sec 50222</t>
  </si>
  <si>
    <t>National Park employees</t>
  </si>
  <si>
    <t>Sec 50223</t>
  </si>
  <si>
    <t>Limits to leasing on outer continental shelf</t>
  </si>
  <si>
    <t>Sec 50251</t>
  </si>
  <si>
    <t>Fossil fuel resources (leasing of federal land/royalty rates for fossil fuels)</t>
  </si>
  <si>
    <t>Sec 50261 to 50265</t>
  </si>
  <si>
    <t>Funding to US Geological Survey 3D elevation program</t>
  </si>
  <si>
    <t>Sec 50271</t>
  </si>
  <si>
    <t>Funding to DOE, DOI, FERC to conduct environmental reviews, hire staff, community engagement</t>
  </si>
  <si>
    <t>Sec 50281+Sec 50303+Sec 50301+Sec 50303</t>
  </si>
  <si>
    <t>Funding to EPA to standardize green house gas corporate reporting</t>
  </si>
  <si>
    <t>Sec 60111</t>
  </si>
  <si>
    <t>Federal Purchase</t>
  </si>
  <si>
    <t>Funding to  EPA for Environmental Product Declaration assistance</t>
  </si>
  <si>
    <t>Sec 60112</t>
  </si>
  <si>
    <t>EPA funding for reviews and labeling of federal construction materials</t>
  </si>
  <si>
    <t>Sec 60115 + Sec 60116</t>
  </si>
  <si>
    <t>Endangered Species Act Recovery Plans</t>
  </si>
  <si>
    <t>Sec 60301</t>
  </si>
  <si>
    <t>Environmental and Climate Data Collection</t>
  </si>
  <si>
    <t>Sec 60401</t>
  </si>
  <si>
    <t>Council On Environmental Quality Efficient and environmental reviews</t>
  </si>
  <si>
    <t>Sec 60402</t>
  </si>
  <si>
    <t>Use low carbon materials/assistance for federal buildings</t>
  </si>
  <si>
    <t>Sec 60502 + 60503 + 60504</t>
  </si>
  <si>
    <t>Sec 70001 to 70007</t>
  </si>
  <si>
    <t>Clean Heavy Duty Vehicles</t>
  </si>
  <si>
    <t>Sec 60101</t>
  </si>
  <si>
    <t>Investment grant</t>
  </si>
  <si>
    <t>https://www.apta.com/advocacy-legislation-policy/legislative-updates-alerts/updates/inflation-reduction-act-public-transit-tax-credits-and-new-investments/</t>
  </si>
  <si>
    <t>Tribal Climate Resilience</t>
  </si>
  <si>
    <t>Sec 80001</t>
  </si>
  <si>
    <t>investment grant</t>
  </si>
  <si>
    <t>https://www.bia.gov/service/tcr-annual-awards-program</t>
  </si>
  <si>
    <t>Native Hawaiian Climate resilience</t>
  </si>
  <si>
    <t>Sec 80002</t>
  </si>
  <si>
    <t>Diesel Emissions reductions</t>
  </si>
  <si>
    <t>Sec 60104</t>
  </si>
  <si>
    <t>—include a state, regional, local, tribal or port agency or authority with jurisdiction over transportation or air quality, but non profits may also qualify</t>
  </si>
  <si>
    <t>Environmental review implementation</t>
  </si>
  <si>
    <t>Sec 60505</t>
  </si>
  <si>
    <t>reviews by state and localities on environmental standards</t>
  </si>
  <si>
    <t>sustainable aviation fuel development</t>
  </si>
  <si>
    <t>Sec 40007</t>
  </si>
  <si>
    <t>state, local and territorial governments; air carriers; airport sponsors; institutions of higher education; research institutions; individuals engaged in the production, transportation or storage of domestic sustainable aviation fuel or its feedstocks; individuals engaged in the development, demonstration or application of low-emission aviation technologies; and nonprofit organizations. R</t>
  </si>
  <si>
    <t>State and private forestry conservation programs</t>
  </si>
  <si>
    <t>Sec 23003</t>
  </si>
  <si>
    <t>Building energy code adoption assistance</t>
  </si>
  <si>
    <t>Sec 50131</t>
  </si>
  <si>
    <t>Domestic manufacturing conversion</t>
  </si>
  <si>
    <t>Sec 50143</t>
  </si>
  <si>
    <t>Tribal Energy Loan Guarantee Program</t>
  </si>
  <si>
    <t>Sec 50145</t>
  </si>
  <si>
    <t>Drought Response and preparedness</t>
  </si>
  <si>
    <t>Sec 50231+Sec50232</t>
  </si>
  <si>
    <t>Climate change assistance to insular territories (Puerto Rico/freely associated areas)</t>
  </si>
  <si>
    <t>Sec 50241</t>
  </si>
  <si>
    <t>Grants to reduce air pollution at ports</t>
  </si>
  <si>
    <t>Sec 60102</t>
  </si>
  <si>
    <t>Funding to address air pollution at schools</t>
  </si>
  <si>
    <t>Sec 60106</t>
  </si>
  <si>
    <t>Funding for US Wildlife Service</t>
  </si>
  <si>
    <t>Sec 60302</t>
  </si>
  <si>
    <t>Investing in coastal communities</t>
  </si>
  <si>
    <t>Sec 40001</t>
  </si>
  <si>
    <t>Grants for electricity transmission lines</t>
  </si>
  <si>
    <t>Sec 50152</t>
  </si>
  <si>
    <t>Funding for Enforcement Techonology</t>
  </si>
  <si>
    <t>Sec 60110</t>
  </si>
  <si>
    <t>Climate pollution reduction grants</t>
  </si>
  <si>
    <t>Sec 60114</t>
  </si>
  <si>
    <t>Neighborhood Access and Equity grant program</t>
  </si>
  <si>
    <t>Sec 60501</t>
  </si>
  <si>
    <t>Part D rebate by manufacturers</t>
  </si>
  <si>
    <t>Sec 11002</t>
  </si>
  <si>
    <t>Improving access to adult vaccines under Medicaid and CHIP</t>
  </si>
  <si>
    <t>Sec 11405</t>
  </si>
  <si>
    <t>Lowering Part D prices + Funding</t>
  </si>
  <si>
    <t>Sec 11001 + Sec 11004</t>
  </si>
  <si>
    <t>Sec 11002 (added Medicaid and Other)</t>
  </si>
  <si>
    <t xml:space="preserve">Part D redesign &amp; monthly cap on oop </t>
  </si>
  <si>
    <t>Sec 11201</t>
  </si>
  <si>
    <t>Repeal of prescription drug rebate rule</t>
  </si>
  <si>
    <t>Sec 11301</t>
  </si>
  <si>
    <t>Other Medicare Misc.</t>
  </si>
  <si>
    <t>Sec 11401+11402+11403</t>
  </si>
  <si>
    <t>Expanding eligibility of low income subsidies</t>
  </si>
  <si>
    <t>Sec 11404</t>
  </si>
  <si>
    <t>Funding to Address Air Pollution</t>
  </si>
  <si>
    <t>Sec 60105</t>
  </si>
  <si>
    <t>Social benefit</t>
  </si>
  <si>
    <t>air pollution control agencies, nonprofit agencies, institutions and organizations</t>
  </si>
  <si>
    <t>Green hourse gas reduction fund</t>
  </si>
  <si>
    <t>Sec 60103</t>
  </si>
  <si>
    <t>Eligible applicants include nonprofit organizations that can provide capital for the swift deployment of low and zero-emission products,</t>
  </si>
  <si>
    <t>Improving resilience of affordable housing</t>
  </si>
  <si>
    <t>Sec 30002</t>
  </si>
  <si>
    <t>Eligible recipients include owners or sponsors of low-income housing and housing for the elderly or disabled</t>
  </si>
  <si>
    <t>Reduce health insurance premium costs for consumers (ACA)</t>
  </si>
  <si>
    <t>Sec 12001</t>
  </si>
  <si>
    <t>Biofuel Infrastructure &amp; Agr Product Market expansion to individuals, corporations, higher ed institutions</t>
  </si>
  <si>
    <t>Sec 22003</t>
  </si>
  <si>
    <t xml:space="preserve">Assistance for Rural Electric Cooperatives </t>
  </si>
  <si>
    <t xml:space="preserve">Sec 22004 </t>
  </si>
  <si>
    <t>Grants for Non-Federal Forest Landowners</t>
  </si>
  <si>
    <t>Sec 23002</t>
  </si>
  <si>
    <t>Environmental and Climate Justice block grants</t>
  </si>
  <si>
    <t>Sec 60201</t>
  </si>
  <si>
    <t>Tribal Electrification program</t>
  </si>
  <si>
    <t>Sec 80003</t>
  </si>
  <si>
    <t>Methane emissions reduction program</t>
  </si>
  <si>
    <t>Sec 60113</t>
  </si>
  <si>
    <t>Social benefit (could also be subsidy)</t>
  </si>
  <si>
    <t>provides grants to operators of gas production facilities to prepare emissions reports</t>
  </si>
  <si>
    <t xml:space="preserve">Agriculture conservation </t>
  </si>
  <si>
    <t xml:space="preserve">Sec 21001 + Sec 21002 </t>
  </si>
  <si>
    <t>https://www.benefits.gov/benefit/5868#:~:text=Who%20is%20eligible%20for%20Conservation,resource%20concerns%20when%20they%20apply.</t>
  </si>
  <si>
    <t>Energy infrastructure reeinvestment</t>
  </si>
  <si>
    <t>Sec 50144</t>
  </si>
  <si>
    <t>https://bipartisanpolicy.org/blog/inflation-reduction-act-summary-energy-climate-provisions/</t>
  </si>
  <si>
    <t>Transmission facility financing</t>
  </si>
  <si>
    <t>Sec 50151</t>
  </si>
  <si>
    <t>https://crsreports.congress.gov/product/pdf/IN/IN11981</t>
  </si>
  <si>
    <t>Funding for the clean air act</t>
  </si>
  <si>
    <t>Sec 60108</t>
  </si>
  <si>
    <t>https://www.natlawreview.com/article/inflation-reduction-act-commits-significant-resources-to-federal-environmental</t>
  </si>
  <si>
    <t>Rural Energy for America Program</t>
  </si>
  <si>
    <t>Sec 22002</t>
  </si>
  <si>
    <t>https://www.rd.usda.gov/programs-services/energy-programs/rural-energy-america-program-renewable-energy-systems-energy-efficiency-improvement-guaranteed-loans</t>
  </si>
  <si>
    <t>Industrial facilities</t>
  </si>
  <si>
    <t>Sec 50161</t>
  </si>
  <si>
    <t>https://www.venable.com/insights/publications/2022/08/inflation-reduction-act-what-you-need-to-know#:~:text=The%20Act%20allocates%20over%20%245.8,that%20reduce%20greenhouse%20gas%20emissions.</t>
  </si>
  <si>
    <t>Clean hydrogren production tax credit (+adjustment for sequestration)</t>
  </si>
  <si>
    <t xml:space="preserve">Sec 13204 </t>
  </si>
  <si>
    <t xml:space="preserve">Funding for Electric Loans </t>
  </si>
  <si>
    <t>Sec 22001</t>
  </si>
  <si>
    <t>Loan programs funding for DOE</t>
  </si>
  <si>
    <t>Sec 50141</t>
  </si>
  <si>
    <t>Manufacturing subsidies for advanced techonology vehicles</t>
  </si>
  <si>
    <t>Sec 50142</t>
  </si>
  <si>
    <t>Funding for American Innovation and Manufacturing Act</t>
  </si>
  <si>
    <t>Sec 60109</t>
  </si>
  <si>
    <t>Use of defense production act</t>
  </si>
  <si>
    <t>Sec 30001</t>
  </si>
  <si>
    <r>
      <rPr>
        <sz val="8.5"/>
        <rFont val="Arial"/>
        <family val="2"/>
      </rPr>
      <t>2022-2026</t>
    </r>
  </si>
  <si>
    <r>
      <rPr>
        <sz val="8.5"/>
        <rFont val="Arial"/>
        <family val="2"/>
      </rPr>
      <t>2022-2031</t>
    </r>
  </si>
  <si>
    <t>Consumption Grants to States (non-health)</t>
  </si>
  <si>
    <t>Investment Grants to States</t>
  </si>
  <si>
    <t>Federal Purchases (NIPA)</t>
  </si>
  <si>
    <t>Medicare (Federal)</t>
  </si>
  <si>
    <t>QUARTERLY TABLE</t>
  </si>
  <si>
    <t>Totals by category, in fiscal years</t>
  </si>
  <si>
    <t>CHIPS</t>
  </si>
  <si>
    <t>CHIPS (2022)</t>
  </si>
  <si>
    <t>CBO less legislation timing shift + IRA</t>
  </si>
  <si>
    <t>Inflation Reduction Act (https://www.cbo.gov/publication/58366)</t>
  </si>
  <si>
    <t>Student loans</t>
  </si>
  <si>
    <t>GDP (Nominal)</t>
  </si>
  <si>
    <t>CBO (as a % of GDP)</t>
  </si>
  <si>
    <r>
      <t xml:space="preserve">Methodology: </t>
    </r>
    <r>
      <rPr>
        <sz val="11"/>
        <color theme="1"/>
        <rFont val="Arial"/>
        <family val="2"/>
      </rPr>
      <t>[...]</t>
    </r>
    <r>
      <rPr>
        <b/>
        <sz val="11"/>
        <color theme="1"/>
        <rFont val="Arial"/>
        <family val="2"/>
      </rPr>
      <t>, Source […]</t>
    </r>
  </si>
  <si>
    <t>federal_student_loans</t>
  </si>
  <si>
    <t>Federal Student Loans</t>
  </si>
  <si>
    <t>https://www.cbo.gov/system/files/2022-09/PL117-169_9-7-22.pdf</t>
  </si>
  <si>
    <t>Outlays</t>
  </si>
  <si>
    <t>federal purchase</t>
  </si>
  <si>
    <t>Maximum Monthly Cap on cost-sharing payments under rx Drug Plans and MA-PD Plans</t>
  </si>
  <si>
    <t>social benefit</t>
  </si>
  <si>
    <t>USDA Assistance and Support for Underserved Farmers, Ranchers, and Foresters</t>
  </si>
  <si>
    <t>Extension and Modification of Credit
for Carbon Oxide Sequestration</t>
  </si>
  <si>
    <t>subsidy</t>
  </si>
  <si>
    <t>Zero-Emission Nuclear Power
Production Creditc</t>
  </si>
  <si>
    <t>Advanced Manufacturing Production Credit</t>
  </si>
  <si>
    <t>Clean energy production credit</t>
  </si>
  <si>
    <t>Revenues</t>
  </si>
  <si>
    <t>Corporate Alternative Minimum Tax</t>
  </si>
  <si>
    <t>Corporate tax</t>
  </si>
  <si>
    <t>Medicare Part B Rebate by Manufacturers and Medicare Pard D rebate</t>
  </si>
  <si>
    <t>Sec. 11101
Sec. 11102</t>
  </si>
  <si>
    <t>Extension and Modification of Credit for alternative fuels
Electricity Produced From Certain
Renewable Resources</t>
  </si>
  <si>
    <t>Extension and Modification of Energy Credit</t>
  </si>
  <si>
    <t>Extension and Modification of Credit for Carbon Oxide Sequestrationc</t>
  </si>
  <si>
    <t>Zero-Emission Nuclear Power Production Creditc</t>
  </si>
  <si>
    <t>Energy Efficient Commercial Buildings</t>
  </si>
  <si>
    <t>Clean energy manufacturing</t>
  </si>
  <si>
    <t>13501, 13502</t>
  </si>
  <si>
    <t>Reinstatement of superfund</t>
  </si>
  <si>
    <t>Incentives for Clean Electricity and Clean Transportation</t>
  </si>
  <si>
    <t>13701, 13702, 13703, 13704</t>
  </si>
  <si>
    <t>Permanent Extension of Tax Rate to Fund Black Lung Disability Trust Fund</t>
  </si>
  <si>
    <t>Increase in Research Credit Against Payroll Tax for Small Businesses</t>
  </si>
  <si>
    <t>Extension of Limitation on Excess Business Losses of Noncorporate Taxpayers</t>
  </si>
  <si>
    <t>13903, 13904</t>
  </si>
  <si>
    <t>Methane Emissions Reduction</t>
  </si>
  <si>
    <t>Excise Tax on Repurchase of Corporate Stock</t>
  </si>
  <si>
    <t>Enhancement of Internal Revenue Service
Resources</t>
  </si>
  <si>
    <t>Improve Affordability and Reduce Premium Costs of Health Insurance</t>
  </si>
  <si>
    <t>Clean fuels</t>
  </si>
  <si>
    <t>13201, 02, 03, 04</t>
  </si>
  <si>
    <t>Extension, Increase, and Modifications of Nonbusiness Energy Property Credit</t>
  </si>
  <si>
    <t>Residential Clean Energy Credit</t>
  </si>
  <si>
    <t>New Energy Efficient Home Credit</t>
  </si>
  <si>
    <t>Clean Vehicles</t>
  </si>
  <si>
    <t>13401, 13402, 13403, 13404</t>
  </si>
  <si>
    <t>Outlays (Table 1-3)</t>
  </si>
  <si>
    <t>Outlays (Table 4-8)</t>
  </si>
  <si>
    <t>Production tax</t>
  </si>
  <si>
    <t>Production tax add factor</t>
  </si>
  <si>
    <t>Updated Nov-21</t>
  </si>
  <si>
    <t>Other legislation (what we haven't accounted for to make our underlying social benefits equal to the counterfactual underlying benefits) and add factor to match history</t>
  </si>
  <si>
    <t>SNAP due to COVID and Thrifty Food Plan (All, including ARP) (Table 2)</t>
  </si>
  <si>
    <t>SNAP due to COVID and Thrifty Food Plan</t>
  </si>
  <si>
    <t xml:space="preserve">Update the table in the Federal and State Purchases sheet by searching the lasgova, lalgova, and cpgs Haver codes, and entering in the most recent month of data. </t>
  </si>
  <si>
    <t>consumption_deflator_growth_ann</t>
  </si>
  <si>
    <t>federal_purchases_deflator_growth_ann</t>
  </si>
  <si>
    <t>consumption_grants_deflator_growth_ann</t>
  </si>
  <si>
    <t>investment_grants_deflator_growth_ann</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</si>
  <si>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</si>
  <si>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</si>
  <si>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</si>
  <si>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</si>
  <si>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</si>
  <si>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</si>
  <si>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</si>
  <si>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</si>
  <si>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</si>
  <si>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</si>
  <si>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</si>
  <si>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</si>
  <si>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</si>
  <si>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</si>
  <si>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</si>
  <si>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</si>
  <si>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</si>
  <si>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</si>
  <si>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</si>
  <si>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</si>
  <si>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</si>
  <si>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</si>
  <si>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</si>
  <si>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</si>
  <si>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</si>
  <si>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</si>
  <si>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</si>
  <si>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</si>
  <si>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</si>
  <si>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</si>
  <si>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</si>
  <si>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</si>
  <si>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</si>
  <si>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</si>
  <si>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</si>
  <si>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</si>
  <si>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</si>
  <si>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</si>
  <si>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</si>
  <si>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</si>
  <si>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</si>
  <si>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</si>
  <si>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</si>
  <si>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</si>
  <si>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</si>
  <si>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</si>
  <si>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</si>
  <si>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</si>
  <si>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</si>
  <si>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</si>
  <si>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</si>
  <si>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</si>
  <si>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</si>
  <si>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</si>
  <si>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</si>
  <si>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</si>
  <si>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</si>
  <si>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</si>
  <si>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</si>
  <si>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</si>
  <si>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</si>
  <si>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</si>
  <si>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</si>
  <si>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</si>
  <si>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</si>
  <si>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</si>
  <si>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</si>
  <si>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</si>
  <si>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</si>
  <si>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</si>
  <si>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</si>
  <si>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</si>
  <si>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</si>
  <si>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</si>
  <si>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</si>
  <si>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</si>
  <si>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</si>
  <si>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</si>
  <si>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</si>
  <si>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</si>
  <si>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</si>
  <si>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</si>
  <si>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</si>
  <si>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</si>
  <si>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</si>
  <si>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</si>
  <si>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</si>
  <si>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</si>
  <si>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</si>
  <si>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</si>
  <si>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</si>
  <si>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</si>
  <si>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</si>
  <si>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</si>
  <si>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</si>
  <si>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</si>
  <si>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</si>
  <si>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</si>
  <si>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</si>
  <si>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</si>
  <si>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</si>
  <si>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</si>
  <si>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</si>
  <si>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</si>
  <si>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</si>
  <si>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</si>
  <si>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</si>
  <si>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</si>
  <si>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</si>
  <si>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</si>
  <si>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</si>
  <si>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</si>
  <si>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</si>
  <si>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</si>
  <si>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</si>
  <si>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</si>
  <si>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</si>
  <si>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</si>
  <si>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</si>
  <si>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</si>
  <si>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</si>
  <si>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</si>
  <si>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</si>
  <si>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</si>
  <si>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</si>
  <si>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</si>
  <si>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</si>
  <si>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</si>
  <si>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</si>
  <si>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</si>
  <si>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</si>
  <si>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</si>
  <si>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</si>
  <si>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</si>
  <si>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</si>
  <si>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</si>
  <si>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</si>
  <si>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</si>
  <si>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</si>
  <si>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</si>
  <si>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</si>
  <si>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</si>
  <si>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</si>
  <si>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</si>
  <si>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</si>
  <si>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</si>
  <si>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</si>
  <si>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</si>
  <si>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</si>
  <si>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</si>
  <si>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</si>
  <si>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</si>
  <si>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</si>
  <si>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</si>
  <si>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</si>
  <si>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</si>
  <si>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</si>
  <si>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</si>
  <si>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</si>
  <si>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</si>
  <si>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</si>
  <si>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</si>
  <si>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</si>
  <si>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</si>
  <si>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</si>
  <si>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</si>
  <si>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</si>
  <si>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</si>
  <si>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</si>
  <si>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</si>
  <si>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</si>
  <si>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</si>
  <si>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</si>
  <si>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</si>
  <si>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</si>
  <si>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</si>
  <si>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</si>
  <si>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</si>
  <si>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</si>
  <si>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</si>
  <si>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</si>
  <si>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</si>
  <si>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</si>
  <si>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</si>
  <si>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</si>
  <si>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</si>
  <si>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</si>
  <si>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</si>
  <si>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</si>
  <si>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</si>
  <si>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</si>
  <si>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</si>
  <si>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</si>
  <si>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</si>
  <si>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</si>
  <si>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</si>
  <si>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</si>
  <si>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</si>
  <si>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</si>
  <si>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</si>
  <si>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</si>
  <si>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</si>
  <si>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</si>
  <si>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</si>
  <si>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</si>
  <si>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</si>
  <si>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</si>
  <si>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</si>
  <si>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</si>
  <si>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</si>
  <si>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</si>
  <si>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</si>
  <si>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</si>
  <si>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</si>
  <si>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</si>
  <si>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projection</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</si>
  <si>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</si>
  <si>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</si>
  <si>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</si>
  <si>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</si>
  <si>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</si>
  <si>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</si>
  <si>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</si>
  <si>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</si>
  <si>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</si>
  <si>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</si>
  <si>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</si>
  <si>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</si>
  <si>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</si>
  <si>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</si>
  <si>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</si>
  <si>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</si>
  <si>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</si>
  <si>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</si>
  <si>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</si>
  <si>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</si>
  <si>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</si>
  <si>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</si>
  <si>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</si>
  <si>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</si>
  <si>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</si>
  <si>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</si>
  <si>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</si>
  <si>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</si>
  <si>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</si>
  <si>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</si>
  <si>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</si>
  <si>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</si>
  <si>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</si>
  <si>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</si>
  <si>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</si>
  <si>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</si>
  <si>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</si>
  <si>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</si>
  <si>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</si>
  <si>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Add factor  for one-time state refunds</t>
  </si>
  <si>
    <t xml:space="preserve">CBO (original) </t>
  </si>
  <si>
    <t>CBO (with payment delay)</t>
  </si>
  <si>
    <t>Federal Tax Base Growth Rates</t>
  </si>
  <si>
    <t>jc_growth</t>
  </si>
  <si>
    <t>jgf_growth</t>
  </si>
  <si>
    <t>jgs_growth</t>
  </si>
  <si>
    <t>jgse_growth</t>
  </si>
  <si>
    <t>jgsi_growth</t>
  </si>
  <si>
    <t>Add factor for total medicaid</t>
  </si>
  <si>
    <t>NOT USED - GROWTH RATES OF BEA TAX BASES</t>
  </si>
  <si>
    <t>Deflators</t>
  </si>
  <si>
    <t>We pull in the deflators in Table 1 and adjust them in Table 2. Table 2 is read into the overrides sheet and used in the forecast</t>
  </si>
  <si>
    <t>Consumption deflator growth</t>
  </si>
  <si>
    <t>Deflator growth</t>
  </si>
  <si>
    <t xml:space="preserve">Consumption </t>
  </si>
  <si>
    <t>Federal purchases</t>
  </si>
  <si>
    <t>State purchases</t>
  </si>
  <si>
    <t>Consumption grants</t>
  </si>
  <si>
    <t>Investment grants</t>
  </si>
  <si>
    <t>Personal consumption expenditures</t>
  </si>
  <si>
    <t xml:space="preserve">    "c"</t>
  </si>
  <si>
    <t xml:space="preserve">    "gf"</t>
  </si>
  <si>
    <t xml:space="preserve">    "ch"</t>
  </si>
  <si>
    <t xml:space="preserve">    "gfh"</t>
  </si>
  <si>
    <t xml:space="preserve">    "gsh"</t>
  </si>
  <si>
    <t>Final deflator growth</t>
  </si>
  <si>
    <t>Federal purchases deflator growth</t>
  </si>
  <si>
    <t>State purchases deflator growth</t>
  </si>
  <si>
    <t>Consumption grants deflator growth</t>
  </si>
  <si>
    <t>Investment grants deflator growth</t>
  </si>
  <si>
    <t>consumption_deflator_growth_override</t>
  </si>
  <si>
    <t>federal_purchases_deflator_growth_override</t>
  </si>
  <si>
    <t>state_purchases_deflator_growth_override</t>
  </si>
  <si>
    <t>consumption_grants_deflator_growth_override</t>
  </si>
  <si>
    <t>investment_grants_deflator_growth_override</t>
  </si>
  <si>
    <t>Annualized</t>
  </si>
  <si>
    <t>Table 2: Overrides (the table we edit in the forecast period)</t>
  </si>
  <si>
    <t>HISTORY - BEA data</t>
  </si>
  <si>
    <t>Table 1a (uses cbo variables for forecast period in table 1)</t>
  </si>
  <si>
    <t>Quarterly (do not touch)</t>
  </si>
  <si>
    <t>Social insurance add factor</t>
  </si>
  <si>
    <t>2022</t>
  </si>
  <si>
    <t>Goods</t>
  </si>
  <si>
    <t>Services</t>
  </si>
  <si>
    <t>Addenda:</t>
  </si>
  <si>
    <t>PROJECTION -- CBO forecast</t>
  </si>
  <si>
    <t>Consumption add factor</t>
  </si>
  <si>
    <t>Federal purchases add factor</t>
  </si>
  <si>
    <t>State purchases add factor</t>
  </si>
  <si>
    <t>Consumption grants add factor</t>
  </si>
  <si>
    <t>Investment grants add factor</t>
  </si>
  <si>
    <t>PROJECTION (CBO forecast plus any add factors)</t>
  </si>
  <si>
    <t>2021</t>
  </si>
  <si>
    <t xml:space="preserve">This sheet allows us to see how the raw inputs to the FIM have changed; it can help us parse out which changes to our forecast are due to BEA data and which are due to our own formulas. </t>
  </si>
  <si>
    <t>February 2023 CBO Unemployment Rate Projection</t>
  </si>
  <si>
    <t>Add factor for corporate income tax</t>
  </si>
  <si>
    <t>NOT USED (DOES NOT INCLUDE PAYMENT DELAYS)</t>
  </si>
  <si>
    <t>Personal income add factor</t>
  </si>
  <si>
    <r>
      <t>July</t>
    </r>
    <r>
      <rPr>
        <vertAlign val="superscript"/>
        <sz val="11"/>
        <rFont val="Calibri"/>
        <family val="2"/>
      </rPr>
      <t xml:space="preserve"> r</t>
    </r>
    <r>
      <rPr>
        <sz val="11"/>
        <rFont val="Calibri"/>
        <family val="2"/>
      </rPr>
      <t/>
    </r>
  </si>
  <si>
    <t>Compensation of employees</t>
  </si>
  <si>
    <t>Wages and salaries</t>
  </si>
  <si>
    <t>Private industries</t>
  </si>
  <si>
    <t>Goods-producing industries</t>
  </si>
  <si>
    <t>Manufacturing</t>
  </si>
  <si>
    <t>Services-producing industries</t>
  </si>
  <si>
    <t>Trade, transportation, and utilities</t>
  </si>
  <si>
    <t>Other services-producing industries</t>
  </si>
  <si>
    <t>Government</t>
  </si>
  <si>
    <t>Supplements to wages and salaries</t>
  </si>
  <si>
    <r>
      <t>Employer contributions for employee pension and insurance funds</t>
    </r>
    <r>
      <rPr>
        <vertAlign val="superscript"/>
        <sz val="11"/>
        <rFont val="Calibri"/>
        <family val="2"/>
      </rPr>
      <t xml:space="preserve"> 1</t>
    </r>
  </si>
  <si>
    <t>Employer contributions for government social insurance</t>
  </si>
  <si>
    <t>Proprietors' income with inventory valuation and capital consumption adjustments</t>
  </si>
  <si>
    <t>Farm</t>
  </si>
  <si>
    <t>Nonfarm</t>
  </si>
  <si>
    <t>Rental income of persons with capital consumption adjustment</t>
  </si>
  <si>
    <t>Personal income receipts on assets</t>
  </si>
  <si>
    <t>Personal interest income</t>
  </si>
  <si>
    <t>Personal dividend income</t>
  </si>
  <si>
    <t>Personal current transfer receipts</t>
  </si>
  <si>
    <t>Government social benefits to persons</t>
  </si>
  <si>
    <r>
      <t>Social security</t>
    </r>
    <r>
      <rPr>
        <vertAlign val="superscript"/>
        <sz val="11"/>
        <rFont val="Calibri"/>
        <family val="2"/>
      </rPr>
      <t xml:space="preserve"> 2</t>
    </r>
  </si>
  <si>
    <r>
      <t>Medicare</t>
    </r>
    <r>
      <rPr>
        <vertAlign val="superscript"/>
        <sz val="11"/>
        <rFont val="Calibri"/>
        <family val="2"/>
      </rPr>
      <t xml:space="preserve"> 3</t>
    </r>
  </si>
  <si>
    <t>Veterans' benefits</t>
  </si>
  <si>
    <t>Other current transfer receipts, from business (net)</t>
  </si>
  <si>
    <t>Less: Contributions for government social insurance, domestic</t>
  </si>
  <si>
    <t>Equals: Disposable personal income</t>
  </si>
  <si>
    <t>Durable goods</t>
  </si>
  <si>
    <t>Nondurable goods</t>
  </si>
  <si>
    <r>
      <t>Personal interest payments</t>
    </r>
    <r>
      <rPr>
        <vertAlign val="superscript"/>
        <sz val="11"/>
        <rFont val="Calibri"/>
        <family val="2"/>
      </rPr>
      <t xml:space="preserve"> 4</t>
    </r>
  </si>
  <si>
    <t>Personal current transfer payments</t>
  </si>
  <si>
    <t>To government</t>
  </si>
  <si>
    <t>To the rest of the world (net)</t>
  </si>
  <si>
    <t>Personal saving as a percentage of disposable personal income</t>
  </si>
  <si>
    <r>
      <t>Personal income excluding current transfer receipts, billions of chained (2012) dollars</t>
    </r>
    <r>
      <rPr>
        <vertAlign val="superscript"/>
        <sz val="11"/>
        <rFont val="Calibri"/>
        <family val="2"/>
      </rPr>
      <t xml:space="preserve"> 5</t>
    </r>
  </si>
  <si>
    <t>Disposable personal income:</t>
  </si>
  <si>
    <r>
      <t>Total, billions of chained (2012) dollars</t>
    </r>
    <r>
      <rPr>
        <vertAlign val="superscript"/>
        <sz val="11"/>
        <rFont val="Calibri"/>
        <family val="2"/>
      </rPr>
      <t xml:space="preserve"> 5</t>
    </r>
  </si>
  <si>
    <t>Per capita:</t>
  </si>
  <si>
    <t>Current dollars</t>
  </si>
  <si>
    <t>Chained (2012) dollars</t>
  </si>
  <si>
    <r>
      <t>Population (midperiod, thousands)</t>
    </r>
    <r>
      <rPr>
        <vertAlign val="superscript"/>
        <sz val="11"/>
        <rFont val="Calibri"/>
        <family val="2"/>
      </rPr>
      <t xml:space="preserve"> 6</t>
    </r>
  </si>
  <si>
    <t>p Preliminary</t>
  </si>
  <si>
    <t>r Revised. Revisions include changes to series affected by the incorporation of revised wage and salary estimates for the third quarter of 2022.</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</si>
  <si>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</si>
  <si>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</si>
  <si>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</si>
  <si>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</si>
  <si>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</si>
  <si>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</si>
  <si>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 xml:space="preserve">CBO projection of social security </t>
  </si>
  <si>
    <r>
      <t xml:space="preserve">Counterfactual Social Benefits linear growth factor </t>
    </r>
    <r>
      <rPr>
        <i/>
        <sz val="11"/>
        <color theme="1"/>
        <rFont val="Arial"/>
        <family val="2"/>
      </rPr>
      <t>(based on growth Q1-Q4 2019 growth)</t>
    </r>
  </si>
  <si>
    <r>
      <t xml:space="preserve">Social Security COLA adjustment amount </t>
    </r>
    <r>
      <rPr>
        <i/>
        <sz val="11"/>
        <color theme="1"/>
        <rFont val="Arial"/>
        <family val="2"/>
      </rPr>
      <t>(percentage*social security_[t-1])</t>
    </r>
  </si>
  <si>
    <t>Total Social Security linear growth factor</t>
  </si>
  <si>
    <t>Total Counterfactual Social Benefits growth</t>
  </si>
  <si>
    <t>Adjustment to CBO UR</t>
  </si>
  <si>
    <r>
      <t>Social Security linear growth factor</t>
    </r>
    <r>
      <rPr>
        <i/>
        <sz val="11"/>
        <color theme="1"/>
        <rFont val="Arial"/>
        <family val="2"/>
      </rPr>
      <t xml:space="preserve"> (hardcoded-judgemental)</t>
    </r>
  </si>
  <si>
    <r>
      <t xml:space="preserve">Social Security COLA adjustment </t>
    </r>
    <r>
      <rPr>
        <i/>
        <sz val="11"/>
        <color theme="1"/>
        <rFont val="Arial"/>
        <family val="2"/>
      </rPr>
      <t>(one time percentage added to total benefits)</t>
    </r>
  </si>
  <si>
    <t>Table 1. Personal Income and Its Disposition (Months)</t>
  </si>
  <si>
    <t>Row Labels</t>
  </si>
  <si>
    <t>Qtr1</t>
  </si>
  <si>
    <t>Qtr2</t>
  </si>
  <si>
    <t>Qtr3</t>
  </si>
  <si>
    <t>Qtr4</t>
  </si>
  <si>
    <t>Average of Monthly UR</t>
  </si>
  <si>
    <t>2023</t>
  </si>
  <si>
    <t>2024</t>
  </si>
  <si>
    <t>2025</t>
  </si>
  <si>
    <t>2026</t>
  </si>
  <si>
    <t>Quarter (helper row)</t>
  </si>
  <si>
    <t>Year (helper row)</t>
  </si>
  <si>
    <t>The data came in 13B higher than expectations.</t>
  </si>
  <si>
    <t>Prepare the Forecast Comparison and Forecast sheets</t>
  </si>
  <si>
    <t>The forecast comparison sheet shows us how much our forecast (what is read into the code) has changed since the last update, in level and percent differences.</t>
  </si>
  <si>
    <t>Table 1: BEA and CBO -- historical data are read in and formulas should be updated when there's a new quarter update</t>
  </si>
  <si>
    <t>Prepare the Historical Overrides and deflators_override sheets</t>
  </si>
  <si>
    <t>We have a few overrides to historical data that we include in these sheets</t>
  </si>
  <si>
    <t>Our projection of UR (based on CBO)</t>
  </si>
  <si>
    <t>Aug.</t>
  </si>
  <si>
    <t>Sept.</t>
  </si>
  <si>
    <t>In the Historical Overrides sheet, add the new quarter to the last column and drag the formulas to the right. In the deflators_override sheet, delete the first column. Add a new quarter to the last column and drag the formula over to the right. (all the quarters in this sheet should be in the forecast period)</t>
  </si>
  <si>
    <r>
      <t xml:space="preserve">Methodology: </t>
    </r>
    <r>
      <rPr>
        <sz val="11"/>
        <color theme="1"/>
        <rFont val="Arial"/>
        <family val="2"/>
      </rPr>
      <t xml:space="preserve">We take Haver's historical investment grants data and hold grants flat at the FY2020 average. </t>
    </r>
  </si>
  <si>
    <t>*note that the medicaid annual growth rate has to be switched to the new fy in q4</t>
  </si>
  <si>
    <r>
      <t>Oct.</t>
    </r>
    <r>
      <rPr>
        <vertAlign val="superscript"/>
        <sz val="11"/>
        <rFont val="Calibri"/>
        <family val="2"/>
      </rPr>
      <t xml:space="preserve"> r</t>
    </r>
    <r>
      <rPr>
        <sz val="11"/>
        <rFont val="Calibri"/>
        <family val="2"/>
      </rPr>
      <t/>
    </r>
  </si>
  <si>
    <r>
      <t>Nov.</t>
    </r>
    <r>
      <rPr>
        <vertAlign val="superscript"/>
        <sz val="11"/>
        <rFont val="Calibri"/>
        <family val="2"/>
      </rPr>
      <t xml:space="preserve"> r</t>
    </r>
    <r>
      <rPr>
        <sz val="11"/>
        <rFont val="Calibri"/>
        <family val="2"/>
      </rPr>
      <t/>
    </r>
  </si>
  <si>
    <r>
      <t>Dec.</t>
    </r>
    <r>
      <rPr>
        <vertAlign val="superscript"/>
        <sz val="11"/>
        <rFont val="Calibri"/>
        <family val="2"/>
      </rPr>
      <t xml:space="preserve"> r</t>
    </r>
    <r>
      <rPr>
        <sz val="11"/>
        <rFont val="Calibri"/>
        <family val="2"/>
      </rPr>
      <t/>
    </r>
  </si>
  <si>
    <t>Medicare add factor</t>
  </si>
  <si>
    <t>https://www.cbo.gov/system/files/2023-03/58983-IDR.pdf</t>
  </si>
  <si>
    <t>On supreme court decision:</t>
  </si>
  <si>
    <t>Total Unemployment Insurance (Federal + State)</t>
  </si>
  <si>
    <t>ARP rebate checks</t>
  </si>
  <si>
    <t>non-ARP rebate checks</t>
  </si>
  <si>
    <t>Eventual 1828</t>
  </si>
  <si>
    <t>(Residual) eventual 1970</t>
  </si>
  <si>
    <t>CTC + UI + Medicare</t>
  </si>
  <si>
    <t>everything else "we've accounted for in detail" (pandemic) = rebate checks (ARP and non-ARP) + ARP other direct aid + SNAP + PPP to NPISH</t>
  </si>
  <si>
    <t>Portion of Social Benefits we've accounted for CTC + UI + medicare pre-pandemic + all other pandemic stuff we've accounted for</t>
  </si>
  <si>
    <t>used in code</t>
  </si>
  <si>
    <t>CTC + UI + Medicare (pre-pandemic stuff we've "accounted for")</t>
  </si>
  <si>
    <t>Everything we've accounted for</t>
  </si>
  <si>
    <t>HAVER</t>
  </si>
  <si>
    <t>(RESIDUAL) Everything we haven't accounted for</t>
  </si>
  <si>
    <t>Supply side effects of CHIPS/IRA</t>
  </si>
  <si>
    <t>Put it in tax category as lower taxes (higher FIM)</t>
  </si>
  <si>
    <t>Assume75% of increase over 2019 levels is due to legislation</t>
  </si>
  <si>
    <t xml:space="preserve">USE GS estimates (read from chart) </t>
  </si>
  <si>
    <t>https://publishing.gs.com/content/research/en/reports/2023/08/18/f5dffb24-0fd6-48a4-8b5b-724c33d4268b.html</t>
  </si>
  <si>
    <t>Add on for equipment using Goldman Sachs estimate - assume delay is 3 quarters</t>
  </si>
  <si>
    <t>Assume levels off after Q2 of 2025</t>
  </si>
  <si>
    <t>Quarterly Real Tax Change</t>
  </si>
  <si>
    <t>PCE Deflator</t>
  </si>
  <si>
    <t>Nominal Corporate Tax Change</t>
  </si>
  <si>
    <t>READ OFF GS Chart (Exhibit 1)</t>
  </si>
  <si>
    <t>Monthly Real 2022</t>
  </si>
  <si>
    <t xml:space="preserve">Use deflator from below </t>
  </si>
  <si>
    <t>Quarterly</t>
  </si>
  <si>
    <t>Reading from GS chart</t>
  </si>
  <si>
    <t>Incremental in 2022 dollars</t>
  </si>
  <si>
    <t>Real</t>
  </si>
  <si>
    <t>Use PCE Deflator to make nominal</t>
  </si>
  <si>
    <t>Federal Reserve Bank of St. Louis</t>
  </si>
  <si>
    <t>C307RX1Q020SBEA</t>
  </si>
  <si>
    <t>Real private fixed investment: Nonresidential: Structures: Manufacturing, Billions of Chained 2012 Dollars, Quarterly, Seasonally Adjusted Annual Rate</t>
  </si>
  <si>
    <t>Private fixed investment: Nonresidential: Structures: Manufacturing, Billions of Dollars, Quarterly, Seasonally Adjusted Annual Rate</t>
  </si>
  <si>
    <t>Frequency: Quarterly</t>
  </si>
  <si>
    <t>observation_date</t>
  </si>
  <si>
    <t>C307RC1Q027SBEA</t>
  </si>
  <si>
    <t>Deflator</t>
  </si>
  <si>
    <t>Code</t>
  </si>
  <si>
    <t>Spreadsheet</t>
  </si>
  <si>
    <t>Federal Social Benefits from Haver</t>
  </si>
  <si>
    <t>U.I.</t>
  </si>
  <si>
    <t>-</t>
  </si>
  <si>
    <t>Nonprofit Provider Relief Fund</t>
  </si>
  <si>
    <t>Child Tax Credit</t>
  </si>
  <si>
    <t>+</t>
  </si>
  <si>
    <t>SNAP due to COVID</t>
  </si>
  <si>
    <t>Other Vulnerable Excluding SNAP</t>
  </si>
  <si>
    <t>Inflation Reduction Act</t>
  </si>
  <si>
    <t>Code Transfers Contains:</t>
  </si>
  <si>
    <t>Federal Health Outlays</t>
  </si>
  <si>
    <t>ARP Federal Aid to Small Businesses</t>
  </si>
  <si>
    <t>Code definition of Federal Social Benefits</t>
  </si>
  <si>
    <t>Taken out with override</t>
  </si>
  <si>
    <t>Student Loans</t>
  </si>
  <si>
    <t>State Health Outlays</t>
  </si>
  <si>
    <t>Other transfers never included in Federal Social Benefits</t>
  </si>
  <si>
    <t>This is equal to Federal Social Benefits MINUS U.I., Medicare, Rebate Checks, Nonprofit Provider Relief Fund, Other Vulnerable Excluding SNAP, ARP Other Direct Aid, and Inflation Reduction Act</t>
  </si>
  <si>
    <t>This is equal to Federal Social Benefits MINUS U.I., Medicare, Rebate Checks, and Nonprofit Provider Relief Fund before override</t>
  </si>
  <si>
    <t>NIPA consistent corporate taxes</t>
  </si>
  <si>
    <t>Data (Billions)</t>
  </si>
  <si>
    <t>Supply Side IRA Override</t>
  </si>
  <si>
    <t>supply_side_ira_override</t>
  </si>
  <si>
    <t>supply_side_ira</t>
  </si>
  <si>
    <t>Equipment</t>
  </si>
  <si>
    <t>Smoothed Total</t>
  </si>
  <si>
    <t>March</t>
  </si>
  <si>
    <t>40% from leg</t>
  </si>
  <si>
    <t>Federal Student Loans Override</t>
  </si>
  <si>
    <t>federal_student_loans_override</t>
  </si>
  <si>
    <t>Personal add factor</t>
  </si>
  <si>
    <t>Individual income growth rate Hutchins Center adjustment</t>
  </si>
  <si>
    <t>Federal + State Non-Corporate</t>
  </si>
  <si>
    <t>what we thought it would be</t>
  </si>
  <si>
    <t>what it actually was</t>
  </si>
  <si>
    <r>
      <t>April</t>
    </r>
    <r>
      <rPr>
        <vertAlign val="superscript"/>
        <sz val="11"/>
        <rFont val="Calibri"/>
        <family val="2"/>
      </rPr>
      <t xml:space="preserve"> r</t>
    </r>
    <r>
      <rPr>
        <sz val="11"/>
        <rFont val="Calibri"/>
        <family val="2"/>
      </rPr>
      <t/>
    </r>
  </si>
  <si>
    <r>
      <t>May</t>
    </r>
    <r>
      <rPr>
        <vertAlign val="superscript"/>
        <sz val="11"/>
        <rFont val="Calibri"/>
        <family val="2"/>
      </rPr>
      <t xml:space="preserve"> r</t>
    </r>
    <r>
      <rPr>
        <sz val="11"/>
        <rFont val="Calibri"/>
        <family val="2"/>
      </rPr>
      <t/>
    </r>
  </si>
  <si>
    <t>Deflators (annualized)</t>
  </si>
  <si>
    <t>these are measured as percentage point diffs</t>
  </si>
  <si>
    <t>state local</t>
  </si>
  <si>
    <t>No</t>
  </si>
  <si>
    <t xml:space="preserve">No </t>
  </si>
  <si>
    <t>state + local</t>
  </si>
  <si>
    <t>Assume75% of increase in private fixed incestment:manufacturing over 2019 levels is due to legislation</t>
  </si>
  <si>
    <t xml:space="preserve">February 2024 CBO projection of social security </t>
  </si>
  <si>
    <t>June</t>
  </si>
  <si>
    <t>July</t>
  </si>
  <si>
    <t>PCE deflator (2.8.4 top line)</t>
  </si>
  <si>
    <t>Consumption (CBO)</t>
  </si>
  <si>
    <t>FIM consumption deflator forecast</t>
  </si>
  <si>
    <t>consumption deflator add factor</t>
  </si>
  <si>
    <t xml:space="preserve">2024 Q1 </t>
  </si>
  <si>
    <t xml:space="preserve">2026 Q1 </t>
  </si>
  <si>
    <t>lasgova@usecon</t>
  </si>
  <si>
    <t>Our forecast for Q2</t>
  </si>
  <si>
    <t>purchases deflator add factor</t>
  </si>
  <si>
    <t>Federal + State Personal</t>
  </si>
  <si>
    <t>Federal + State Social Insurance</t>
  </si>
  <si>
    <t>Supply side ira</t>
  </si>
  <si>
    <r>
      <t xml:space="preserve">Methodology: Assume75% of increase over 2019 levels is due to legislation. </t>
    </r>
    <r>
      <rPr>
        <sz val="11"/>
        <color theme="1"/>
        <rFont val="Arial"/>
        <family val="2"/>
      </rPr>
      <t xml:space="preserve">	USE GS estimates (read from chart) 		https://publishing.gs.com/content/research/en/reports/2023/08/18/f5dffb24-0fd6-48a4-8b5b-724c33d4268b.html	     Add on for equipment using Goldman Sachs estimate - assume delay is 3 quarters		   Assume levels off after Q2 of 2025			    Note that an MPC of (1, 0, 0) is applied to all of the values in the code													
												</t>
    </r>
    <r>
      <rPr>
        <b/>
        <sz val="11"/>
        <color theme="1"/>
        <rFont val="Arial"/>
        <family val="2"/>
      </rPr>
      <t xml:space="preserve">											
																							</t>
    </r>
  </si>
  <si>
    <t>2024 Q1 initial update</t>
  </si>
  <si>
    <t>2024 Q1 first revision</t>
  </si>
  <si>
    <t>2024 Q1 first revision (May 2024)</t>
  </si>
  <si>
    <t>name</t>
  </si>
  <si>
    <t>1970 Q1</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</si>
  <si>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</si>
  <si>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</si>
  <si>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</si>
  <si>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</si>
  <si>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</si>
  <si>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</si>
  <si>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</si>
  <si>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</si>
  <si>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</si>
  <si>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</si>
  <si>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</si>
  <si>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</si>
  <si>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</si>
  <si>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</si>
  <si>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</si>
  <si>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</si>
  <si>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</si>
  <si>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</si>
  <si>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</si>
  <si>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</si>
  <si>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</si>
  <si>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</si>
  <si>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</si>
  <si>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</si>
  <si>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</si>
  <si>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</si>
  <si>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</si>
  <si>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</si>
  <si>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</si>
  <si>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</si>
  <si>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</si>
  <si>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</si>
  <si>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</si>
  <si>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</si>
  <si>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</si>
  <si>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</si>
  <si>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</si>
  <si>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</si>
  <si>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</si>
  <si>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</si>
  <si>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</si>
  <si>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</si>
  <si>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</si>
  <si>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</si>
  <si>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</si>
  <si>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</si>
  <si>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</si>
  <si>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</si>
  <si>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</si>
  <si>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</si>
  <si>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</si>
  <si>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</si>
  <si>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</si>
  <si>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</si>
  <si>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</si>
  <si>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</si>
  <si>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</si>
  <si>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</si>
  <si>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</si>
  <si>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</si>
  <si>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</si>
  <si>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</si>
  <si>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</si>
  <si>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</si>
  <si>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</si>
  <si>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</si>
  <si>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</si>
  <si>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</si>
  <si>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</si>
  <si>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</si>
  <si>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</si>
  <si>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</si>
  <si>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</si>
  <si>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</si>
  <si>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</si>
  <si>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</si>
  <si>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</si>
  <si>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</si>
  <si>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</si>
  <si>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</si>
  <si>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</si>
  <si>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</si>
  <si>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</si>
  <si>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</si>
  <si>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</si>
  <si>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</si>
  <si>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</si>
  <si>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</si>
  <si>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</si>
  <si>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</si>
  <si>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</si>
  <si>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</si>
  <si>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</si>
  <si>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</si>
  <si>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</si>
  <si>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</si>
  <si>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</si>
  <si>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</si>
  <si>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</si>
  <si>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</si>
  <si>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</si>
  <si>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</si>
  <si>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</si>
  <si>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</si>
  <si>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</si>
  <si>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</si>
  <si>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</si>
  <si>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</si>
  <si>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</si>
  <si>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</si>
  <si>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</si>
  <si>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</si>
  <si>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</si>
  <si>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</si>
  <si>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</si>
  <si>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</si>
  <si>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</si>
  <si>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</si>
  <si>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</si>
  <si>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</si>
  <si>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</si>
  <si>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</si>
  <si>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</si>
  <si>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</si>
  <si>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</si>
  <si>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</si>
  <si>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</si>
  <si>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</si>
  <si>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</si>
  <si>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</si>
  <si>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</si>
  <si>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</si>
  <si>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</si>
  <si>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</si>
  <si>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</si>
  <si>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</si>
  <si>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</si>
  <si>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</si>
  <si>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</si>
  <si>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</si>
  <si>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</si>
  <si>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</si>
  <si>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</si>
  <si>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</si>
  <si>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</si>
  <si>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</si>
  <si>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</si>
  <si>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</si>
  <si>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</si>
  <si>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</si>
  <si>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</si>
  <si>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</si>
  <si>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</si>
  <si>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</si>
  <si>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</si>
  <si>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</si>
  <si>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</si>
  <si>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</si>
  <si>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</si>
  <si>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</si>
  <si>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</si>
  <si>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</si>
  <si>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</si>
  <si>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</si>
  <si>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</si>
  <si>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</si>
  <si>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</si>
  <si>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</si>
  <si>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</si>
  <si>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</si>
  <si>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</si>
  <si>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</si>
  <si>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</si>
  <si>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</si>
  <si>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</si>
  <si>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</si>
  <si>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</si>
  <si>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</si>
  <si>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</si>
  <si>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</si>
  <si>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</si>
  <si>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</si>
  <si>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</si>
  <si>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</si>
  <si>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</si>
  <si>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</si>
  <si>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</si>
  <si>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</si>
  <si>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</si>
  <si>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</si>
  <si>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</si>
  <si>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</si>
  <si>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</si>
  <si>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</si>
  <si>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</si>
  <si>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</si>
  <si>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</si>
  <si>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</si>
  <si>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</si>
  <si>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</si>
  <si>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</si>
  <si>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</si>
  <si>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</si>
  <si>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</si>
  <si>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</si>
  <si>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</si>
  <si>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</si>
  <si>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</si>
  <si>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</si>
  <si>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</si>
  <si>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</si>
  <si>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</si>
  <si>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</si>
  <si>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2023 Q3</t>
  </si>
  <si>
    <t>2023 Q4</t>
  </si>
  <si>
    <t>2024 Q1</t>
  </si>
  <si>
    <t>gdp</t>
  </si>
  <si>
    <t>gdph</t>
  </si>
  <si>
    <t>jgdp</t>
  </si>
  <si>
    <t>c</t>
  </si>
  <si>
    <t>ch</t>
  </si>
  <si>
    <t>jc</t>
  </si>
  <si>
    <t>jgf</t>
  </si>
  <si>
    <t>jgs</t>
  </si>
  <si>
    <t>jgse</t>
  </si>
  <si>
    <t>jgsi</t>
  </si>
  <si>
    <t>yptmr</t>
  </si>
  <si>
    <t>yptmd</t>
  </si>
  <si>
    <t>yptu</t>
  </si>
  <si>
    <t>gtfp</t>
  </si>
  <si>
    <t>ypog</t>
  </si>
  <si>
    <t>yptx</t>
  </si>
  <si>
    <t>ytpi</t>
  </si>
  <si>
    <t>yctlg</t>
  </si>
  <si>
    <t>g</t>
  </si>
  <si>
    <t>grcsi</t>
  </si>
  <si>
    <t>dc</t>
  </si>
  <si>
    <t>gf</t>
  </si>
  <si>
    <t>gs</t>
  </si>
  <si>
    <t>gfh</t>
  </si>
  <si>
    <t>gsh</t>
  </si>
  <si>
    <t>gfrpt</t>
  </si>
  <si>
    <t>gfrpri</t>
  </si>
  <si>
    <t>gfrcp</t>
  </si>
  <si>
    <t>gfrs</t>
  </si>
  <si>
    <t>gftfp</t>
  </si>
  <si>
    <t>gfeg</t>
  </si>
  <si>
    <t>gsrpt</t>
  </si>
  <si>
    <t>gsrpri</t>
  </si>
  <si>
    <t>gsrcp</t>
  </si>
  <si>
    <t>gsrs</t>
  </si>
  <si>
    <t>gstfp</t>
  </si>
  <si>
    <t>gset</t>
  </si>
  <si>
    <t>gfeghhx</t>
  </si>
  <si>
    <t>gfeghdx</t>
  </si>
  <si>
    <t>gfeigx</t>
  </si>
  <si>
    <t>gfsub</t>
  </si>
  <si>
    <t>gssub</t>
  </si>
  <si>
    <t>gsub</t>
  </si>
  <si>
    <t>gftfpe</t>
  </si>
  <si>
    <t>gftfpr</t>
  </si>
  <si>
    <t>gftfpp</t>
  </si>
  <si>
    <t>gftfpv</t>
  </si>
  <si>
    <t>gfsubp</t>
  </si>
  <si>
    <t>gfsubg</t>
  </si>
  <si>
    <t>gfsube</t>
  </si>
  <si>
    <t>gfsubs</t>
  </si>
  <si>
    <t>gfsubf</t>
  </si>
  <si>
    <t>gfsubv</t>
  </si>
  <si>
    <t>gfsubk</t>
  </si>
  <si>
    <t>gfegc</t>
  </si>
  <si>
    <t>gfege</t>
  </si>
  <si>
    <t>gfegv</t>
  </si>
  <si>
    <t>yptue</t>
  </si>
  <si>
    <t>yptup</t>
  </si>
  <si>
    <t>yptuc</t>
  </si>
  <si>
    <t>gftfpu</t>
  </si>
  <si>
    <t>yptub</t>
  </si>
  <si>
    <t>yptol</t>
  </si>
  <si>
    <t>gfctp</t>
  </si>
  <si>
    <t>gftffx</t>
  </si>
  <si>
    <t>cpiu</t>
  </si>
  <si>
    <t>pcw</t>
  </si>
  <si>
    <t>gdppothq</t>
  </si>
  <si>
    <t>gdppotq</t>
  </si>
  <si>
    <t>recessq</t>
  </si>
  <si>
    <t>lasgova</t>
  </si>
  <si>
    <t>lalgova</t>
  </si>
  <si>
    <t>cpgs</t>
  </si>
  <si>
    <t>jgdp_growth</t>
  </si>
  <si>
    <t>jc_growth</t>
  </si>
  <si>
    <t>jgf_growth</t>
  </si>
  <si>
    <t>jgs_growth</t>
  </si>
  <si>
    <t>jgse_growth</t>
  </si>
  <si>
    <t>jgsi_growth</t>
  </si>
  <si>
    <t>ylwsd</t>
  </si>
  <si>
    <t>yop</t>
  </si>
  <si>
    <t>yri</t>
  </si>
  <si>
    <t>ypiar</t>
  </si>
  <si>
    <t>ycpd</t>
  </si>
  <si>
    <t>gfsubr</t>
  </si>
  <si>
    <t>gfsubd</t>
  </si>
  <si>
    <t>gftfbdx</t>
  </si>
  <si>
    <t>yptocm</t>
  </si>
  <si>
    <t>We haven't put in the CBO rate because the CBO assumes the TCJA expires</t>
  </si>
  <si>
    <t>Customs</t>
  </si>
  <si>
    <t>Excise</t>
  </si>
  <si>
    <t>Corporate Profits with IVA and CCAdj</t>
  </si>
  <si>
    <t>Taxable Personal Income</t>
  </si>
  <si>
    <t>add 5</t>
  </si>
  <si>
    <t>add 15</t>
  </si>
  <si>
    <t>take off 10</t>
  </si>
  <si>
    <t>add 30</t>
  </si>
  <si>
    <t>June 2024 CBO Unemployment Rate Projection</t>
  </si>
  <si>
    <t>June 2024 CBO Projection of Federal Purchases</t>
  </si>
  <si>
    <t>June 2024 CBO Federal Purchases Growth</t>
  </si>
  <si>
    <t>June 2024 CBO Projection of State and Local purchases</t>
  </si>
  <si>
    <t>June 2024 CBO State and Local Purchases Growth</t>
  </si>
  <si>
    <t>Judgmental Growth Rate</t>
  </si>
  <si>
    <t>2024 Q1 second revision (June 2024)</t>
  </si>
  <si>
    <t>June 2024 CBO Projection of Federal Medicaid Outlays</t>
  </si>
  <si>
    <t>Note from Lorae in June 2024: These are almost the same as the former estimate</t>
  </si>
  <si>
    <t>June 2024 CBO Annual Medicare Spending</t>
  </si>
  <si>
    <t>Note from Lorae June 2024: 2024 and 2025 projections are up by about 50 B!</t>
  </si>
  <si>
    <t>*Note from Lorae June 2024: income taxes are up by 200ish</t>
  </si>
  <si>
    <t>June 2024 CBO Projections of Federal Taxes (Fiscal Years)</t>
  </si>
  <si>
    <t>June 2024 CBO projection of the annual tax base</t>
  </si>
  <si>
    <t>June 2024 CBO Tax Base Quarterly Projections</t>
  </si>
  <si>
    <t xml:space="preserve"> Corporate Profits</t>
  </si>
  <si>
    <t>Personal Consumption Expenditures</t>
  </si>
  <si>
    <t>June 2024 CBO economic release</t>
  </si>
  <si>
    <t>Federal government consumption expenditures</t>
  </si>
  <si>
    <t>State and local government consumption expenditures</t>
  </si>
  <si>
    <t>Real Personal consumption expenditures, chained 2017 dollars</t>
  </si>
  <si>
    <t>Real Federal government consumption expenditures, chained 2017 dollars</t>
  </si>
  <si>
    <t>Real State and local government consumption expenditures, chained 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</si>
</sst>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4" formatCode="_(&quot;$&quot;* #,##0.00_);_(&quot;$&quot;* \(#,##0.00\);_(&quot;$&quot;* &quot;-&quot;??_);_(@_)"/>
    <numFmt numFmtId="43" formatCode="_(* #,##0.00_);_(* \(#,##0.00\);_(* &quot;-&quot;??_);_(@_)"/>
    <numFmt numFmtId="164" formatCode="0.000%"/>
    <numFmt numFmtId="165" formatCode="#,##0.0"/>
    <numFmt numFmtId="166" formatCode="yyyy\-mm\-dd"/>
    <numFmt numFmtId="167" formatCode="0.0%"/>
    <numFmt numFmtId="168" formatCode="0.0"/>
    <numFmt numFmtId="169" formatCode="0.000"/>
    <numFmt numFmtId="170" formatCode="#,##0.000"/>
    <numFmt numFmtId="171" formatCode="#,##0.0000"/>
    <numFmt numFmtId="172" formatCode="0.00000000000000"/>
    <numFmt numFmtId="173" formatCode="0.0000000000000"/>
    <numFmt numFmtId="174" formatCode="0_);\(0\)"/>
    <numFmt numFmtId="175" formatCode="0.00_);\(0.00\)"/>
    <numFmt numFmtId="176" formatCode="0.0000%"/>
    <numFmt numFmtId="177" formatCode="[$-409]mmm\-yy;@"/>
  </numFmts>
  <fonts count="98" x14ac:knownFonts="1">
    <font>
      <sz val="11"/>
      <color theme="1"/>
      <name val="Calibri"/>
      <family val="2"/>
      <scheme val="minor"/>
    </font>
    <font>
      <sz val="11"/>
      <color theme="1"/>
      <name val="Calibri"/>
      <family val="2"/>
    </font>
    <font>
      <i/>
      <sz val="11"/>
      <color theme="1"/>
      <name val="Calibri"/>
      <family val="2"/>
    </font>
    <font>
      <sz val="11"/>
      <color theme="1"/>
      <name val="Arial"/>
      <family val="2"/>
    </font>
    <font>
      <b/>
      <sz val="11"/>
      <color theme="1"/>
      <name val="Calibri"/>
      <family val="2"/>
    </font>
    <font>
      <b/>
      <i/>
      <sz val="11"/>
      <color theme="1"/>
      <name val="Calibri"/>
      <family val="2"/>
    </font>
    <font>
      <b/>
      <i/>
      <sz val="11"/>
      <color rgb="FF000000"/>
      <name val="Calibri"/>
      <family val="2"/>
    </font>
    <font>
      <sz val="11"/>
      <color rgb="FF000000"/>
      <name val="Calibri"/>
      <family val="2"/>
    </font>
    <font>
      <b/>
      <sz val="11"/>
      <color rgb="FF000000"/>
      <name val="Calibri"/>
      <family val="2"/>
    </font>
    <font>
      <sz val="11"/>
      <color rgb="FF44546A"/>
      <name val="Arial"/>
      <family val="2"/>
    </font>
    <font>
      <sz val="7"/>
      <color theme="1"/>
      <name val="Segoe UI"/>
      <family val="2"/>
    </font>
    <font>
      <sz val="11"/>
      <color theme="3"/>
      <name val="Arial"/>
      <family val="2"/>
    </font>
    <font>
      <b/>
      <sz val="11"/>
      <color theme="1"/>
      <name val="Arial"/>
      <family val="2"/>
    </font>
    <font>
      <b/>
      <sz val="16"/>
      <color theme="1"/>
      <name val="Calibri"/>
      <family val="2"/>
    </font>
    <font>
      <b/>
      <sz val="11"/>
      <color rgb="FF4F4F4F"/>
      <name val="Segoe UI"/>
      <family val="2"/>
    </font>
    <font>
      <u/>
      <sz val="11"/>
      <color theme="10"/>
      <name val="Calibri"/>
      <family val="2"/>
      <scheme val="minor"/>
    </font>
    <font>
      <u/>
      <sz val="11"/>
      <color theme="10"/>
      <name val="Calibri"/>
      <family val="2"/>
    </font>
    <font>
      <sz val="11"/>
      <color theme="1"/>
      <name val="Calibri"/>
    </font>
    <font>
      <b/>
      <sz val="11"/>
      <color theme="1"/>
      <name val="Calibri"/>
      <family val="2"/>
      <scheme val="minor"/>
    </font>
    <font>
      <sz val="12"/>
      <color theme="1"/>
      <name val="Calibri"/>
      <family val="2"/>
    </font>
    <font>
      <b/>
      <sz val="12"/>
      <color theme="1"/>
      <name val="Calibri"/>
      <family val="2"/>
    </font>
    <font>
      <i/>
      <sz val="11"/>
      <color theme="1"/>
      <name val="Arial"/>
      <family val="2"/>
    </font>
    <font>
      <sz val="11"/>
      <color rgb="FFFF0000"/>
      <name val="Arial"/>
      <family val="2"/>
    </font>
    <font>
      <sz val="11"/>
      <color rgb="FF393B3E"/>
      <name val="Arial"/>
      <family val="2"/>
    </font>
    <font>
      <b/>
      <i/>
      <sz val="11"/>
      <color theme="1"/>
      <name val="Arial"/>
      <family val="2"/>
    </font>
    <font>
      <sz val="11"/>
      <color rgb="FF000000"/>
      <name val="Arial"/>
      <family val="2"/>
    </font>
    <font>
      <sz val="7"/>
      <color rgb="FF242424"/>
      <name val="Segoe UI"/>
      <family val="2"/>
    </font>
    <font>
      <b/>
      <sz val="10"/>
      <color theme="1"/>
      <name val="Arial"/>
      <family val="2"/>
    </font>
    <font>
      <b/>
      <i/>
      <sz val="10"/>
      <color theme="1"/>
      <name val="Arial"/>
      <family val="2"/>
    </font>
    <font>
      <b/>
      <sz val="9"/>
      <color theme="1"/>
      <name val="Arial"/>
      <family val="2"/>
    </font>
    <font>
      <sz val="11"/>
      <color indexed="8"/>
      <name val="Arial"/>
      <family val="2"/>
    </font>
    <font>
      <sz val="11"/>
      <color rgb="FF0070C0"/>
      <name val="Arial"/>
      <family val="2"/>
    </font>
    <font>
      <sz val="11"/>
      <color theme="8" tint="-0.249977111117893"/>
      <name val="Arial"/>
      <family val="2"/>
    </font>
    <font>
      <sz val="11"/>
      <color rgb="FF000000"/>
      <name val="Calibri"/>
      <family val="2"/>
      <scheme val="minor"/>
    </font>
    <font>
      <sz val="11"/>
      <color theme="1"/>
      <name val="Calibri"/>
      <family val="2"/>
      <scheme val="minor"/>
    </font>
    <font>
      <sz val="11"/>
      <color rgb="FFFF0000"/>
      <name val="Calibri"/>
      <family val="2"/>
      <scheme val="minor"/>
    </font>
    <font>
      <b/>
      <sz val="11"/>
      <color rgb="FF000000"/>
      <name val="Arial"/>
      <family val="2"/>
    </font>
    <font>
      <sz val="11"/>
      <color rgb="FF242424"/>
      <name val="Arial"/>
      <family val="2"/>
    </font>
    <font>
      <b/>
      <sz val="11"/>
      <color theme="0"/>
      <name val="Arial"/>
      <family val="2"/>
    </font>
    <font>
      <i/>
      <sz val="11"/>
      <color rgb="FF000000"/>
      <name val="Arial"/>
      <family val="2"/>
    </font>
    <font>
      <sz val="10"/>
      <color theme="1"/>
      <name val="Arial"/>
      <family val="2"/>
    </font>
    <font>
      <sz val="10"/>
      <color theme="1"/>
      <name val="Calibri"/>
      <family val="2"/>
    </font>
    <font>
      <i/>
      <sz val="10"/>
      <color theme="1"/>
      <name val="Arial"/>
      <family val="2"/>
    </font>
    <font>
      <sz val="11"/>
      <color theme="1"/>
      <name val="Calibri Light"/>
      <family val="2"/>
    </font>
    <font>
      <sz val="11"/>
      <color rgb="FF1F497D"/>
      <name val="Arial"/>
      <family val="2"/>
    </font>
    <font>
      <sz val="9"/>
      <color theme="1"/>
      <name val="Arial"/>
      <family val="2"/>
    </font>
    <font>
      <sz val="9"/>
      <color rgb="FF000000"/>
      <name val="Arial"/>
      <family val="2"/>
    </font>
    <font>
      <sz val="8.5"/>
      <color rgb="FF000000"/>
      <name val="Arial"/>
      <family val="2"/>
    </font>
    <font>
      <sz val="8.5"/>
      <color theme="1"/>
      <name val="Arial"/>
      <family val="2"/>
    </font>
    <font>
      <u/>
      <sz val="9"/>
      <color theme="10"/>
      <name val="Arial"/>
      <family val="2"/>
    </font>
    <font>
      <sz val="8"/>
      <color theme="1"/>
      <name val="Calibri"/>
      <family val="2"/>
    </font>
    <font>
      <sz val="9"/>
      <color theme="1"/>
      <name val="Calibri"/>
      <family val="2"/>
    </font>
    <font>
      <sz val="11"/>
      <color rgb="FF333333"/>
      <name val="Arial"/>
      <family val="2"/>
    </font>
    <font>
      <sz val="16"/>
      <color theme="1"/>
      <name val="Arial"/>
      <family val="2"/>
    </font>
    <font>
      <sz val="8"/>
      <color rgb="FF000000"/>
      <name val="Arial"/>
      <family val="2"/>
    </font>
    <font>
      <b/>
      <i/>
      <sz val="8"/>
      <color rgb="FF980000"/>
      <name val="Arial"/>
      <family val="2"/>
    </font>
    <font>
      <sz val="10"/>
      <color rgb="FF000000"/>
      <name val="Arial"/>
      <family val="2"/>
    </font>
    <font>
      <sz val="10"/>
      <color rgb="FF980000"/>
      <name val="Arial"/>
      <family val="2"/>
    </font>
    <font>
      <b/>
      <i/>
      <sz val="8"/>
      <color rgb="FF000000"/>
      <name val="Arial"/>
      <family val="2"/>
    </font>
    <font>
      <sz val="11"/>
      <color rgb="FF980000"/>
      <name val="Calibri"/>
      <family val="2"/>
    </font>
    <font>
      <vertAlign val="superscript"/>
      <sz val="11"/>
      <color theme="1"/>
      <name val="Calibri"/>
      <family val="2"/>
      <scheme val="minor"/>
    </font>
    <font>
      <vertAlign val="superscript"/>
      <sz val="11"/>
      <name val="Arial"/>
      <family val="2"/>
    </font>
    <font>
      <b/>
      <sz val="11"/>
      <name val="Calibri"/>
      <family val="2"/>
      <scheme val="minor"/>
    </font>
    <font>
      <sz val="11"/>
      <name val="Calibri"/>
      <family val="2"/>
      <scheme val="minor"/>
    </font>
    <font>
      <vertAlign val="superscript"/>
      <sz val="11"/>
      <name val="Calibri"/>
      <family val="2"/>
    </font>
    <font>
      <sz val="11"/>
      <name val="Calibri"/>
      <family val="2"/>
    </font>
    <font>
      <sz val="8.5"/>
      <name val="Arial"/>
      <family val="2"/>
    </font>
    <font>
      <sz val="10"/>
      <name val="Arial"/>
      <family val="2"/>
    </font>
    <font>
      <sz val="11"/>
      <name val="Arial"/>
      <family val="2"/>
    </font>
    <font>
      <b/>
      <sz val="11"/>
      <name val="Calibri"/>
      <family val="2"/>
    </font>
    <font>
      <sz val="11"/>
      <color rgb="FF4F4F4F"/>
      <name val="Segoe UI"/>
      <family val="2"/>
    </font>
    <font>
      <sz val="8"/>
      <name val="Calibri"/>
      <family val="2"/>
      <scheme val="minor"/>
    </font>
    <font>
      <sz val="9"/>
      <color indexed="81"/>
      <name val="Tahoma"/>
      <charset val="1"/>
    </font>
    <font>
      <sz val="12"/>
      <name val="Arial"/>
    </font>
    <font>
      <sz val="12"/>
      <color theme="1"/>
      <name val="Calibri"/>
      <family val="2"/>
      <scheme val="minor"/>
    </font>
    <font>
      <sz val="12"/>
      <name val="Arial"/>
      <family val="2"/>
    </font>
    <font>
      <u/>
      <sz val="12"/>
      <color theme="10"/>
      <name val="Arial"/>
      <family val="2"/>
    </font>
    <font>
      <u/>
      <sz val="10"/>
      <color theme="10"/>
      <name val="Arial"/>
      <family val="2"/>
    </font>
    <font>
      <u/>
      <sz val="10"/>
      <color indexed="12"/>
      <name val="Arial"/>
      <family val="2"/>
    </font>
    <font>
      <sz val="10"/>
      <color theme="0"/>
      <name val="Arial"/>
      <family val="2"/>
    </font>
    <font>
      <sz val="10"/>
      <color rgb="FF9C0006"/>
      <name val="Arial"/>
      <family val="2"/>
    </font>
    <font>
      <b/>
      <sz val="10"/>
      <color rgb="FFFA7D00"/>
      <name val="Arial"/>
      <family val="2"/>
    </font>
    <font>
      <b/>
      <sz val="10"/>
      <color theme="0"/>
      <name val="Arial"/>
      <family val="2"/>
    </font>
    <font>
      <sz val="11"/>
      <color indexed="8"/>
      <name val="Calibri"/>
      <family val="2"/>
    </font>
    <font>
      <i/>
      <sz val="10"/>
      <color rgb="FF7F7F7F"/>
      <name val="Arial"/>
      <family val="2"/>
    </font>
    <font>
      <sz val="10"/>
      <color rgb="FF006100"/>
      <name val="Arial"/>
      <family val="2"/>
    </font>
    <font>
      <b/>
      <sz val="15"/>
      <color theme="3"/>
      <name val="Arial"/>
      <family val="2"/>
    </font>
    <font>
      <b/>
      <sz val="13"/>
      <color theme="3"/>
      <name val="Arial"/>
      <family val="2"/>
    </font>
    <font>
      <b/>
      <sz val="11"/>
      <color theme="3"/>
      <name val="Arial"/>
      <family val="2"/>
    </font>
    <font>
      <sz val="10"/>
      <color rgb="FF3F3F76"/>
      <name val="Arial"/>
      <family val="2"/>
    </font>
    <font>
      <sz val="10"/>
      <color rgb="FFFA7D00"/>
      <name val="Arial"/>
      <family val="2"/>
    </font>
    <font>
      <sz val="10"/>
      <color rgb="FF9C6500"/>
      <name val="Arial"/>
      <family val="2"/>
    </font>
    <font>
      <sz val="12"/>
      <name val="Times New Roman"/>
      <family val="1"/>
    </font>
    <font>
      <sz val="10"/>
      <name val="MS Sans Serif"/>
      <family val="2"/>
    </font>
    <font>
      <b/>
      <sz val="10"/>
      <color rgb="FF3F3F3F"/>
      <name val="Arial"/>
      <family val="2"/>
    </font>
    <font>
      <sz val="10"/>
      <color rgb="FFFF0000"/>
      <name val="Arial"/>
      <family val="2"/>
    </font>
    <font>
      <sz val="12"/>
      <name val="Courier"/>
      <family val="3"/>
    </font>
    <font>
      <sz val="10"/>
      <color indexed="8"/>
      <name val="Arial"/>
      <family val="2"/>
    </font>
  </fonts>
  <fills count="76">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rgb="FFFFF2CC"/>
        <bgColor rgb="FF000000"/>
      </patternFill>
    </fill>
    <fill>
      <patternFill patternType="solid">
        <fgColor rgb="FFD9E1F2"/>
        <bgColor rgb="FF000000"/>
      </patternFill>
    </fill>
    <fill>
      <patternFill patternType="solid">
        <fgColor theme="4" tint="0.79998168889431442"/>
        <bgColor indexed="64"/>
      </patternFill>
    </fill>
    <fill>
      <patternFill patternType="solid">
        <fgColor theme="9" tint="0.59999389629810485"/>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rgb="FFFFFFFF"/>
        <bgColor indexed="64"/>
      </patternFill>
    </fill>
    <fill>
      <patternFill patternType="solid">
        <fgColor rgb="FFFFFF00"/>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rgb="FFFF0000"/>
        <bgColor indexed="64"/>
      </patternFill>
    </fill>
    <fill>
      <patternFill patternType="solid">
        <fgColor rgb="FFC6E0B4"/>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rgb="FF00B0F0"/>
        <bgColor indexed="64"/>
      </patternFill>
    </fill>
    <fill>
      <patternFill patternType="solid">
        <fgColor theme="5"/>
        <bgColor indexed="64"/>
      </patternFill>
    </fill>
    <fill>
      <patternFill patternType="solid">
        <fgColor rgb="FFFDFDCB"/>
        <bgColor rgb="FF000000"/>
      </patternFill>
    </fill>
    <fill>
      <patternFill patternType="solid">
        <fgColor theme="8" tint="0.39997558519241921"/>
        <bgColor indexed="64"/>
      </patternFill>
    </fill>
    <fill>
      <patternFill patternType="solid">
        <fgColor rgb="FFFDFDCB"/>
        <bgColor indexed="64"/>
      </patternFill>
    </fill>
    <fill>
      <patternFill patternType="solid">
        <fgColor rgb="FFB0C4FE"/>
        <bgColor indexed="64"/>
      </patternFill>
    </fill>
    <fill>
      <patternFill patternType="solid">
        <fgColor rgb="FFE7E6E6"/>
      </patternFill>
    </fill>
    <fill>
      <patternFill patternType="solid">
        <fgColor rgb="FF92D050"/>
        <bgColor indexed="64"/>
      </patternFill>
    </fill>
    <fill>
      <patternFill patternType="solid">
        <fgColor rgb="FF00B050"/>
        <bgColor indexed="64"/>
      </patternFill>
    </fill>
    <fill>
      <patternFill patternType="solid">
        <fgColor rgb="FFCC66FF"/>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rgb="FF00CC99"/>
        <bgColor indexed="64"/>
      </patternFill>
    </fill>
    <fill>
      <patternFill patternType="solid">
        <fgColor theme="0" tint="-0.14999847407452621"/>
        <bgColor indexed="64"/>
      </patternFill>
    </fill>
    <fill>
      <patternFill patternType="solid">
        <fgColor theme="7"/>
        <bgColor indexed="64"/>
      </patternFill>
    </fill>
    <fill>
      <patternFill patternType="solid">
        <fgColor rgb="FFFFFFFF"/>
        <bgColor rgb="FFFFFFFF"/>
      </patternFill>
    </fill>
    <fill>
      <patternFill patternType="solid">
        <fgColor rgb="FFFFEFF5"/>
        <bgColor indexed="64"/>
      </patternFill>
    </fill>
    <fill>
      <patternFill patternType="solid">
        <fgColor rgb="FFA9D08E"/>
        <bgColor rgb="FFA9D08E"/>
      </patternFill>
    </fill>
    <fill>
      <patternFill patternType="solid">
        <fgColor rgb="FFFADCBC"/>
        <bgColor indexed="64"/>
      </patternFill>
    </fill>
    <fill>
      <patternFill patternType="solid">
        <fgColor rgb="FFB4C6E7"/>
        <bgColor rgb="FFB4C6E7"/>
      </patternFill>
    </fill>
    <fill>
      <patternFill patternType="solid">
        <fgColor rgb="FFBF8F00"/>
        <bgColor rgb="FFBF8F00"/>
      </patternFill>
    </fill>
    <fill>
      <patternFill patternType="solid">
        <fgColor theme="9"/>
        <bgColor theme="9"/>
      </patternFill>
    </fill>
    <fill>
      <patternFill patternType="solid">
        <fgColor rgb="FFFFC000"/>
        <bgColor rgb="FFFFC000"/>
      </patternFill>
    </fill>
    <fill>
      <patternFill patternType="solid">
        <fgColor rgb="FFB3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59">
    <border>
      <left/>
      <right/>
      <top/>
      <bottom/>
      <diagonal/>
    </border>
    <border>
      <left style="thin">
        <color indexed="64"/>
      </left>
      <right/>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auto="1"/>
      </top>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top/>
      <bottom style="hair">
        <color indexed="64"/>
      </bottom>
      <diagonal/>
    </border>
    <border>
      <left/>
      <right/>
      <top style="hair">
        <color indexed="64"/>
      </top>
      <bottom/>
      <diagonal/>
    </border>
    <border>
      <left/>
      <right style="thin">
        <color indexed="64"/>
      </right>
      <top style="thin">
        <color auto="1"/>
      </top>
      <bottom style="thin">
        <color indexed="64"/>
      </bottom>
      <diagonal/>
    </border>
    <border>
      <left style="hair">
        <color auto="1"/>
      </left>
      <right style="hair">
        <color auto="1"/>
      </right>
      <top style="hair">
        <color auto="1"/>
      </top>
      <bottom style="hair">
        <color auto="1"/>
      </bottom>
      <diagonal/>
    </border>
    <border>
      <left style="hair">
        <color auto="1"/>
      </left>
      <right/>
      <top style="hair">
        <color auto="1"/>
      </top>
      <bottom/>
      <diagonal/>
    </border>
    <border>
      <left style="hair">
        <color auto="1"/>
      </left>
      <right/>
      <top/>
      <bottom/>
      <diagonal/>
    </border>
    <border>
      <left style="hair">
        <color auto="1"/>
      </left>
      <right/>
      <top/>
      <bottom style="hair">
        <color auto="1"/>
      </bottom>
      <diagonal/>
    </border>
    <border>
      <left/>
      <right style="hair">
        <color auto="1"/>
      </right>
      <top/>
      <bottom/>
      <diagonal/>
    </border>
    <border>
      <left/>
      <right style="hair">
        <color auto="1"/>
      </right>
      <top style="hair">
        <color auto="1"/>
      </top>
      <bottom/>
      <diagonal/>
    </border>
    <border>
      <left/>
      <right style="hair">
        <color auto="1"/>
      </right>
      <top/>
      <bottom style="hair">
        <color auto="1"/>
      </bottom>
      <diagonal/>
    </border>
    <border>
      <left/>
      <right style="thin">
        <color indexed="64"/>
      </right>
      <top style="thin">
        <color theme="0" tint="-0.14999847407452621"/>
      </top>
      <bottom style="thin">
        <color theme="0" tint="-0.14999847407452621"/>
      </bottom>
      <diagonal/>
    </border>
    <border>
      <left/>
      <right/>
      <top/>
      <bottom style="medium">
        <color theme="0" tint="-0.499984740745262"/>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right/>
      <top style="hair">
        <color indexed="64"/>
      </top>
      <bottom style="hair">
        <color indexed="64"/>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right/>
      <top style="thin">
        <color indexed="64"/>
      </top>
      <bottom/>
      <diagonal/>
    </border>
    <border>
      <left/>
      <right/>
      <top style="thin">
        <color auto="1"/>
      </top>
      <bottom style="thin">
        <color indexed="64"/>
      </bottom>
      <diagonal/>
    </border>
    <border>
      <left/>
      <right/>
      <top/>
      <bottom style="thin">
        <color rgb="FFFFFF00"/>
      </bottom>
      <diagonal/>
    </border>
    <border>
      <left style="thin">
        <color indexed="64"/>
      </left>
      <right/>
      <top/>
      <bottom style="thin">
        <color rgb="FFFFFF00"/>
      </bottom>
      <diagonal/>
    </border>
    <border>
      <left/>
      <right style="thin">
        <color rgb="FFFFFF00"/>
      </right>
      <top/>
      <bottom style="thin">
        <color rgb="FFFFFF00"/>
      </bottom>
      <diagonal/>
    </border>
    <border>
      <left style="thin">
        <color indexed="64"/>
      </left>
      <right/>
      <top style="thin">
        <color auto="1"/>
      </top>
      <bottom style="thin">
        <color indexed="64"/>
      </bottom>
      <diagonal/>
    </border>
    <border>
      <left style="thin">
        <color auto="1"/>
      </left>
      <right style="thin">
        <color auto="1"/>
      </right>
      <top style="thin">
        <color auto="1"/>
      </top>
      <bottom style="thin">
        <color auto="1"/>
      </bottom>
      <diagonal/>
    </border>
    <border>
      <left/>
      <right style="thin">
        <color auto="1"/>
      </right>
      <top/>
      <bottom/>
      <diagonal/>
    </border>
    <border>
      <left style="thin">
        <color indexed="64"/>
      </left>
      <right/>
      <top style="hair">
        <color indexed="64"/>
      </top>
      <bottom/>
      <diagonal/>
    </border>
    <border>
      <left style="thin">
        <color indexed="64"/>
      </left>
      <right/>
      <top/>
      <bottom style="hair">
        <color indexed="64"/>
      </bottom>
      <diagonal/>
    </border>
    <border>
      <left style="thick">
        <color theme="9"/>
      </left>
      <right style="thick">
        <color theme="9"/>
      </right>
      <top style="thick">
        <color theme="9"/>
      </top>
      <bottom style="thick">
        <color theme="9"/>
      </bottom>
      <diagonal/>
    </border>
    <border>
      <left/>
      <right style="thin">
        <color indexed="9"/>
      </right>
      <top/>
      <bottom/>
      <diagonal/>
    </border>
    <border>
      <left style="thin">
        <color indexed="64"/>
      </left>
      <right/>
      <top/>
      <bottom style="dashed">
        <color indexed="64"/>
      </bottom>
      <diagonal/>
    </border>
    <border>
      <left/>
      <right/>
      <top/>
      <bottom style="dashed">
        <color indexed="64"/>
      </bottom>
      <diagonal/>
    </border>
    <border>
      <left/>
      <right style="thin">
        <color indexed="64"/>
      </right>
      <top/>
      <bottom style="dashed">
        <color indexed="64"/>
      </bottom>
      <diagonal/>
    </border>
    <border>
      <left/>
      <right/>
      <top/>
      <bottom style="thin">
        <color rgb="FF000000"/>
      </bottom>
      <diagonal/>
    </border>
    <border>
      <left/>
      <right/>
      <top style="thin">
        <color rgb="FF000000"/>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3083">
    <xf numFmtId="0" fontId="0" fillId="0" borderId="0"/>
    <xf numFmtId="0" fontId="67" fillId="0" borderId="0"/>
    <xf numFmtId="0" fontId="73" fillId="0" borderId="0"/>
    <xf numFmtId="0" fontId="67" fillId="0" borderId="0"/>
    <xf numFmtId="0" fontId="75" fillId="0" borderId="0"/>
    <xf numFmtId="0" fontId="34" fillId="0" borderId="0"/>
    <xf numFmtId="0" fontId="75" fillId="0" borderId="0"/>
    <xf numFmtId="9" fontId="75"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67" fillId="0" borderId="0"/>
    <xf numFmtId="0" fontId="74" fillId="0" borderId="0"/>
    <xf numFmtId="0" fontId="67" fillId="0" borderId="0"/>
    <xf numFmtId="0" fontId="75" fillId="0" borderId="0"/>
    <xf numFmtId="0" fontId="34" fillId="0" borderId="0"/>
    <xf numFmtId="0" fontId="76" fillId="0" borderId="0" applyNumberFormat="0" applyFill="0" applyBorder="0" applyAlignment="0" applyProtection="0"/>
    <xf numFmtId="0" fontId="34" fillId="0" borderId="0"/>
    <xf numFmtId="0" fontId="34" fillId="0" borderId="0"/>
    <xf numFmtId="43" fontId="34" fillId="0" borderId="0" applyFont="0" applyFill="0" applyBorder="0" applyAlignment="0" applyProtection="0"/>
    <xf numFmtId="0" fontId="34" fillId="0" borderId="0"/>
    <xf numFmtId="0" fontId="75" fillId="0" borderId="0"/>
    <xf numFmtId="0" fontId="11" fillId="0" borderId="0" applyNumberFormat="0" applyFill="0" applyBorder="0" applyAlignment="0" applyProtection="0"/>
    <xf numFmtId="0" fontId="34" fillId="0" borderId="0"/>
    <xf numFmtId="0" fontId="34" fillId="0" borderId="0"/>
    <xf numFmtId="43" fontId="75" fillId="0" borderId="0" applyFont="0" applyFill="0" applyBorder="0" applyAlignment="0" applyProtection="0"/>
    <xf numFmtId="0" fontId="34" fillId="0" borderId="0"/>
    <xf numFmtId="43" fontId="34" fillId="0" borderId="0" applyFont="0" applyFill="0" applyBorder="0" applyAlignment="0" applyProtection="0"/>
    <xf numFmtId="0" fontId="11" fillId="0" borderId="0" applyNumberFormat="0" applyFill="0" applyBorder="0" applyAlignment="0" applyProtection="0"/>
    <xf numFmtId="0" fontId="75" fillId="0" borderId="0"/>
    <xf numFmtId="0" fontId="11" fillId="0" borderId="0">
      <alignment vertical="top"/>
      <protection locked="0"/>
    </xf>
    <xf numFmtId="0" fontId="11" fillId="0" borderId="0"/>
    <xf numFmtId="0" fontId="67" fillId="0" borderId="0"/>
    <xf numFmtId="0" fontId="11" fillId="0" borderId="0" applyNumberFormat="0" applyFill="0" applyBorder="0" applyAlignment="0" applyProtection="0">
      <alignment vertical="top"/>
      <protection locked="0"/>
    </xf>
    <xf numFmtId="0" fontId="67" fillId="0" borderId="0"/>
    <xf numFmtId="0" fontId="67" fillId="0" borderId="0"/>
    <xf numFmtId="0" fontId="34" fillId="0" borderId="0"/>
    <xf numFmtId="0" fontId="75" fillId="0" borderId="0"/>
    <xf numFmtId="43" fontId="67" fillId="0" borderId="0" applyFont="0" applyFill="0" applyBorder="0" applyAlignment="0" applyProtection="0"/>
    <xf numFmtId="0" fontId="74" fillId="0" borderId="0"/>
    <xf numFmtId="0" fontId="67" fillId="0" borderId="0"/>
    <xf numFmtId="9" fontId="67" fillId="0" borderId="0" applyFont="0" applyFill="0" applyBorder="0" applyAlignment="0" applyProtection="0"/>
    <xf numFmtId="0" fontId="75" fillId="0" borderId="0"/>
    <xf numFmtId="43" fontId="67" fillId="0" borderId="0" applyFont="0" applyFill="0" applyBorder="0" applyAlignment="0" applyProtection="0"/>
    <xf numFmtId="43" fontId="67" fillId="0" borderId="0" applyFont="0" applyFill="0" applyBorder="0" applyAlignment="0" applyProtection="0"/>
    <xf numFmtId="0" fontId="16" fillId="0" borderId="0" applyNumberFormat="0" applyFill="0" applyBorder="0" applyAlignment="0" applyProtection="0">
      <alignment vertical="top"/>
      <protection locked="0"/>
    </xf>
    <xf numFmtId="0" fontId="67" fillId="0" borderId="0"/>
    <xf numFmtId="0" fontId="76" fillId="0" borderId="0" applyNumberFormat="0" applyFill="0" applyBorder="0" applyAlignment="0" applyProtection="0"/>
    <xf numFmtId="9" fontId="34" fillId="0" borderId="0" applyFont="0" applyFill="0" applyBorder="0" applyAlignment="0" applyProtection="0"/>
    <xf numFmtId="0" fontId="67" fillId="0" borderId="0"/>
    <xf numFmtId="0" fontId="34" fillId="0" borderId="0"/>
    <xf numFmtId="0" fontId="75" fillId="0" borderId="0"/>
    <xf numFmtId="0" fontId="78" fillId="0" borderId="0" applyNumberFormat="0" applyFill="0" applyBorder="0" applyAlignment="0" applyProtection="0">
      <alignment vertical="top"/>
      <protection locked="0"/>
    </xf>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67" fillId="0" borderId="0"/>
    <xf numFmtId="0" fontId="34" fillId="0" borderId="0"/>
    <xf numFmtId="0" fontId="34" fillId="0" borderId="0"/>
    <xf numFmtId="0" fontId="67"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67" fillId="0" borderId="0"/>
    <xf numFmtId="0" fontId="67" fillId="0" borderId="0"/>
    <xf numFmtId="0" fontId="67"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 fillId="0" borderId="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0" fontId="40" fillId="53" borderId="0" applyNumberFormat="0" applyBorder="0" applyAlignment="0" applyProtection="0"/>
    <xf numFmtId="0" fontId="40" fillId="57" borderId="0" applyNumberFormat="0" applyBorder="0" applyAlignment="0" applyProtection="0"/>
    <xf numFmtId="0" fontId="40" fillId="61" borderId="0" applyNumberFormat="0" applyBorder="0" applyAlignment="0" applyProtection="0"/>
    <xf numFmtId="0" fontId="40" fillId="65" borderId="0" applyNumberFormat="0" applyBorder="0" applyAlignment="0" applyProtection="0"/>
    <xf numFmtId="0" fontId="40" fillId="69" borderId="0" applyNumberFormat="0" applyBorder="0" applyAlignment="0" applyProtection="0"/>
    <xf numFmtId="0" fontId="40" fillId="73" borderId="0" applyNumberFormat="0" applyBorder="0" applyAlignment="0" applyProtection="0"/>
    <xf numFmtId="0" fontId="40" fillId="54" borderId="0" applyNumberFormat="0" applyBorder="0" applyAlignment="0" applyProtection="0"/>
    <xf numFmtId="0" fontId="40" fillId="58" borderId="0" applyNumberFormat="0" applyBorder="0" applyAlignment="0" applyProtection="0"/>
    <xf numFmtId="0" fontId="40" fillId="62" borderId="0" applyNumberFormat="0" applyBorder="0" applyAlignment="0" applyProtection="0"/>
    <xf numFmtId="0" fontId="40" fillId="66" borderId="0" applyNumberFormat="0" applyBorder="0" applyAlignment="0" applyProtection="0"/>
    <xf numFmtId="0" fontId="40" fillId="70" borderId="0" applyNumberFormat="0" applyBorder="0" applyAlignment="0" applyProtection="0"/>
    <xf numFmtId="0" fontId="40" fillId="74" borderId="0" applyNumberFormat="0" applyBorder="0" applyAlignment="0" applyProtection="0"/>
    <xf numFmtId="0" fontId="79" fillId="55" borderId="0" applyNumberFormat="0" applyBorder="0" applyAlignment="0" applyProtection="0"/>
    <xf numFmtId="0" fontId="79" fillId="59" borderId="0" applyNumberFormat="0" applyBorder="0" applyAlignment="0" applyProtection="0"/>
    <xf numFmtId="0" fontId="79" fillId="63" borderId="0" applyNumberFormat="0" applyBorder="0" applyAlignment="0" applyProtection="0"/>
    <xf numFmtId="0" fontId="79" fillId="67" borderId="0" applyNumberFormat="0" applyBorder="0" applyAlignment="0" applyProtection="0"/>
    <xf numFmtId="0" fontId="79" fillId="71" borderId="0" applyNumberFormat="0" applyBorder="0" applyAlignment="0" applyProtection="0"/>
    <xf numFmtId="0" fontId="79" fillId="75" borderId="0" applyNumberFormat="0" applyBorder="0" applyAlignment="0" applyProtection="0"/>
    <xf numFmtId="0" fontId="79" fillId="52" borderId="0" applyNumberFormat="0" applyBorder="0" applyAlignment="0" applyProtection="0"/>
    <xf numFmtId="0" fontId="79" fillId="56" borderId="0" applyNumberFormat="0" applyBorder="0" applyAlignment="0" applyProtection="0"/>
    <xf numFmtId="0" fontId="79" fillId="60" borderId="0" applyNumberFormat="0" applyBorder="0" applyAlignment="0" applyProtection="0"/>
    <xf numFmtId="0" fontId="79" fillId="64" borderId="0" applyNumberFormat="0" applyBorder="0" applyAlignment="0" applyProtection="0"/>
    <xf numFmtId="0" fontId="79" fillId="68" borderId="0" applyNumberFormat="0" applyBorder="0" applyAlignment="0" applyProtection="0"/>
    <xf numFmtId="0" fontId="79" fillId="72" borderId="0" applyNumberFormat="0" applyBorder="0" applyAlignment="0" applyProtection="0"/>
    <xf numFmtId="0" fontId="80" fillId="46" borderId="0" applyNumberFormat="0" applyBorder="0" applyAlignment="0" applyProtection="0"/>
    <xf numFmtId="0" fontId="81" fillId="49" borderId="53" applyNumberFormat="0" applyAlignment="0" applyProtection="0"/>
    <xf numFmtId="0" fontId="82" fillId="50" borderId="56" applyNumberFormat="0" applyAlignment="0" applyProtection="0"/>
    <xf numFmtId="43" fontId="83" fillId="0" borderId="0" applyFont="0" applyFill="0" applyBorder="0" applyAlignment="0" applyProtection="0"/>
    <xf numFmtId="43" fontId="83" fillId="0" borderId="0" applyFont="0" applyFill="0" applyBorder="0" applyAlignment="0" applyProtection="0"/>
    <xf numFmtId="43" fontId="83" fillId="0" borderId="0" applyFont="0" applyFill="0" applyBorder="0" applyAlignment="0" applyProtection="0"/>
    <xf numFmtId="43" fontId="83"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3" fontId="67" fillId="0" borderId="0" applyFont="0" applyFill="0" applyBorder="0" applyAlignment="0" applyProtection="0"/>
    <xf numFmtId="44" fontId="83" fillId="0" borderId="0" applyFont="0" applyFill="0" applyBorder="0" applyAlignment="0" applyProtection="0"/>
    <xf numFmtId="44" fontId="83" fillId="0" borderId="0" applyFont="0" applyFill="0" applyBorder="0" applyAlignment="0" applyProtection="0"/>
    <xf numFmtId="0" fontId="84" fillId="0" borderId="0" applyNumberFormat="0" applyFill="0" applyBorder="0" applyAlignment="0" applyProtection="0"/>
    <xf numFmtId="0" fontId="85" fillId="45" borderId="0" applyNumberFormat="0" applyBorder="0" applyAlignment="0" applyProtection="0"/>
    <xf numFmtId="0" fontId="86" fillId="0" borderId="50" applyNumberFormat="0" applyFill="0" applyAlignment="0" applyProtection="0"/>
    <xf numFmtId="0" fontId="87" fillId="0" borderId="51" applyNumberFormat="0" applyFill="0" applyAlignment="0" applyProtection="0"/>
    <xf numFmtId="0" fontId="88" fillId="0" borderId="52" applyNumberFormat="0" applyFill="0" applyAlignment="0" applyProtection="0"/>
    <xf numFmtId="0" fontId="88" fillId="0" borderId="0" applyNumberFormat="0" applyFill="0" applyBorder="0" applyAlignment="0" applyProtection="0"/>
    <xf numFmtId="0" fontId="89" fillId="48" borderId="53" applyNumberFormat="0" applyAlignment="0" applyProtection="0"/>
    <xf numFmtId="0" fontId="90" fillId="0" borderId="55" applyNumberFormat="0" applyFill="0" applyAlignment="0" applyProtection="0"/>
    <xf numFmtId="0" fontId="91" fillId="47" borderId="0" applyNumberFormat="0" applyBorder="0" applyAlignment="0" applyProtection="0"/>
    <xf numFmtId="0" fontId="67" fillId="0" borderId="0"/>
    <xf numFmtId="0" fontId="34" fillId="0" borderId="0"/>
    <xf numFmtId="0" fontId="34" fillId="0" borderId="0"/>
    <xf numFmtId="0" fontId="34" fillId="0" borderId="0"/>
    <xf numFmtId="0" fontId="67" fillId="0" borderId="0"/>
    <xf numFmtId="0" fontId="34" fillId="0" borderId="0"/>
    <xf numFmtId="0" fontId="34" fillId="0" borderId="0"/>
    <xf numFmtId="0" fontId="34" fillId="0" borderId="0"/>
    <xf numFmtId="0" fontId="67" fillId="0" borderId="0"/>
    <xf numFmtId="0" fontId="34" fillId="0" borderId="0"/>
    <xf numFmtId="0" fontId="34" fillId="0" borderId="0"/>
    <xf numFmtId="0" fontId="34" fillId="0" borderId="0"/>
    <xf numFmtId="0" fontId="67" fillId="0" borderId="0"/>
    <xf numFmtId="0" fontId="67" fillId="0" borderId="0"/>
    <xf numFmtId="0" fontId="67" fillId="0" borderId="0"/>
    <xf numFmtId="0" fontId="67" fillId="0" borderId="0"/>
    <xf numFmtId="0" fontId="40" fillId="0" borderId="0"/>
    <xf numFmtId="0" fontId="67" fillId="0" borderId="0"/>
    <xf numFmtId="0" fontId="92" fillId="0" borderId="0"/>
    <xf numFmtId="0" fontId="92" fillId="0" borderId="0"/>
    <xf numFmtId="0" fontId="92" fillId="0" borderId="0"/>
    <xf numFmtId="0" fontId="92" fillId="0" borderId="0"/>
    <xf numFmtId="0" fontId="92" fillId="0" borderId="0"/>
    <xf numFmtId="0" fontId="92" fillId="0" borderId="0"/>
    <xf numFmtId="0" fontId="92" fillId="0" borderId="0"/>
    <xf numFmtId="0" fontId="92" fillId="0" borderId="0"/>
    <xf numFmtId="0" fontId="92" fillId="0" borderId="0"/>
    <xf numFmtId="0" fontId="92" fillId="0" borderId="0"/>
    <xf numFmtId="0" fontId="92" fillId="0" borderId="0"/>
    <xf numFmtId="0" fontId="67" fillId="0" borderId="0"/>
    <xf numFmtId="0" fontId="93" fillId="0" borderId="0"/>
    <xf numFmtId="0" fontId="93" fillId="0" borderId="0"/>
    <xf numFmtId="0" fontId="93" fillId="0" borderId="0"/>
    <xf numFmtId="0" fontId="93" fillId="0" borderId="0"/>
    <xf numFmtId="0" fontId="75" fillId="0" borderId="0"/>
    <xf numFmtId="0" fontId="75" fillId="0" borderId="0"/>
    <xf numFmtId="0" fontId="75" fillId="0" borderId="0"/>
    <xf numFmtId="0" fontId="67" fillId="0" borderId="0"/>
    <xf numFmtId="0" fontId="67" fillId="0" borderId="0"/>
    <xf numFmtId="0" fontId="34" fillId="0" borderId="0"/>
    <xf numFmtId="0" fontId="67" fillId="0" borderId="0"/>
    <xf numFmtId="0" fontId="34" fillId="51" borderId="57" applyNumberFormat="0" applyFont="0" applyAlignment="0" applyProtection="0"/>
    <xf numFmtId="0" fontId="34" fillId="51" borderId="57" applyNumberFormat="0" applyFont="0" applyAlignment="0" applyProtection="0"/>
    <xf numFmtId="0" fontId="34" fillId="51" borderId="57" applyNumberFormat="0" applyFont="0" applyAlignment="0" applyProtection="0"/>
    <xf numFmtId="0" fontId="40" fillId="51" borderId="57" applyNumberFormat="0" applyFont="0" applyAlignment="0" applyProtection="0"/>
    <xf numFmtId="0" fontId="94" fillId="49" borderId="54" applyNumberFormat="0" applyAlignment="0" applyProtection="0"/>
    <xf numFmtId="9" fontId="83" fillId="0" borderId="0" applyFont="0" applyFill="0" applyBorder="0" applyAlignment="0" applyProtection="0"/>
    <xf numFmtId="9" fontId="83" fillId="0" borderId="0" applyFont="0" applyFill="0" applyBorder="0" applyAlignment="0" applyProtection="0"/>
    <xf numFmtId="9" fontId="83" fillId="0" borderId="0" applyFont="0" applyFill="0" applyBorder="0" applyAlignment="0" applyProtection="0"/>
    <xf numFmtId="9" fontId="83" fillId="0" borderId="0" applyFont="0" applyFill="0" applyBorder="0" applyAlignment="0" applyProtection="0"/>
    <xf numFmtId="9" fontId="83" fillId="0" borderId="0" applyFont="0" applyFill="0" applyBorder="0" applyAlignment="0" applyProtection="0"/>
    <xf numFmtId="9" fontId="83" fillId="0" borderId="0" applyFont="0" applyFill="0" applyBorder="0" applyAlignment="0" applyProtection="0"/>
    <xf numFmtId="9" fontId="83" fillId="0" borderId="0" applyFont="0" applyFill="0" applyBorder="0" applyAlignment="0" applyProtection="0"/>
    <xf numFmtId="9" fontId="83" fillId="0" borderId="0" applyFont="0" applyFill="0" applyBorder="0" applyAlignment="0" applyProtection="0"/>
    <xf numFmtId="9" fontId="83" fillId="0" borderId="0" applyFont="0" applyFill="0" applyBorder="0" applyAlignment="0" applyProtection="0"/>
    <xf numFmtId="9" fontId="83" fillId="0" borderId="0" applyFont="0" applyFill="0" applyBorder="0" applyAlignment="0" applyProtection="0"/>
    <xf numFmtId="9" fontId="83" fillId="0" borderId="0" applyFont="0" applyFill="0" applyBorder="0" applyAlignment="0" applyProtection="0"/>
    <xf numFmtId="9" fontId="83" fillId="0" borderId="0" applyFont="0" applyFill="0" applyBorder="0" applyAlignment="0" applyProtection="0"/>
    <xf numFmtId="9" fontId="83" fillId="0" borderId="0" applyFont="0" applyFill="0" applyBorder="0" applyAlignment="0" applyProtection="0"/>
    <xf numFmtId="9" fontId="83" fillId="0" borderId="0" applyFont="0" applyFill="0" applyBorder="0" applyAlignment="0" applyProtection="0"/>
    <xf numFmtId="9" fontId="83" fillId="0" borderId="0" applyFont="0" applyFill="0" applyBorder="0" applyAlignment="0" applyProtection="0"/>
    <xf numFmtId="9" fontId="83" fillId="0" borderId="0" applyFont="0" applyFill="0" applyBorder="0" applyAlignment="0" applyProtection="0"/>
    <xf numFmtId="9" fontId="83" fillId="0" borderId="0" applyFont="0" applyFill="0" applyBorder="0" applyAlignment="0" applyProtection="0"/>
    <xf numFmtId="9" fontId="83" fillId="0" borderId="0" applyFont="0" applyFill="0" applyBorder="0" applyAlignment="0" applyProtection="0"/>
    <xf numFmtId="9" fontId="83" fillId="0" borderId="0" applyFont="0" applyFill="0" applyBorder="0" applyAlignment="0" applyProtection="0"/>
    <xf numFmtId="9" fontId="83" fillId="0" borderId="0" applyFont="0" applyFill="0" applyBorder="0" applyAlignment="0" applyProtection="0"/>
    <xf numFmtId="9" fontId="83" fillId="0" borderId="0" applyFont="0" applyFill="0" applyBorder="0" applyAlignment="0" applyProtection="0"/>
    <xf numFmtId="9" fontId="83" fillId="0" borderId="0" applyFont="0" applyFill="0" applyBorder="0" applyAlignment="0" applyProtection="0"/>
    <xf numFmtId="9" fontId="83" fillId="0" borderId="0" applyFont="0" applyFill="0" applyBorder="0" applyAlignment="0" applyProtection="0"/>
    <xf numFmtId="9" fontId="83" fillId="0" borderId="0" applyFont="0" applyFill="0" applyBorder="0" applyAlignment="0" applyProtection="0"/>
    <xf numFmtId="9" fontId="83" fillId="0" borderId="0" applyFont="0" applyFill="0" applyBorder="0" applyAlignment="0" applyProtection="0"/>
    <xf numFmtId="9" fontId="83" fillId="0" borderId="0" applyFont="0" applyFill="0" applyBorder="0" applyAlignment="0" applyProtection="0"/>
    <xf numFmtId="9" fontId="83"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0" fontId="27" fillId="0" borderId="58" applyNumberFormat="0" applyFill="0" applyAlignment="0" applyProtection="0"/>
    <xf numFmtId="0" fontId="95" fillId="0" borderId="0" applyNumberFormat="0" applyFill="0" applyBorder="0" applyAlignment="0" applyProtection="0"/>
    <xf numFmtId="0" fontId="15" fillId="0" borderId="0" applyNumberFormat="0" applyFill="0" applyBorder="0" applyAlignment="0" applyProtection="0"/>
    <xf numFmtId="0" fontId="40"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67" fillId="0" borderId="0"/>
    <xf numFmtId="0" fontId="34" fillId="0" borderId="0"/>
    <xf numFmtId="0" fontId="34" fillId="0" borderId="0"/>
    <xf numFmtId="0" fontId="67"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67" fillId="0" borderId="0"/>
    <xf numFmtId="0" fontId="75"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67" fillId="0" borderId="0"/>
    <xf numFmtId="9" fontId="67"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0" fontId="77" fillId="0" borderId="0" applyNumberFormat="0" applyFill="0" applyBorder="0" applyAlignment="0" applyProtection="0"/>
    <xf numFmtId="0" fontId="75" fillId="0" borderId="0"/>
    <xf numFmtId="0" fontId="67" fillId="0" borderId="0"/>
    <xf numFmtId="0" fontId="96" fillId="0" borderId="0" applyFont="0" applyFill="0" applyBorder="0" applyAlignment="0" applyProtection="0"/>
    <xf numFmtId="0" fontId="97" fillId="0" borderId="0"/>
    <xf numFmtId="43" fontId="75" fillId="0" borderId="0" applyFont="0" applyFill="0" applyBorder="0" applyAlignment="0" applyProtection="0"/>
    <xf numFmtId="9" fontId="75" fillId="0" borderId="0" applyFont="0" applyFill="0" applyBorder="0" applyAlignment="0" applyProtection="0"/>
    <xf numFmtId="9" fontId="75" fillId="0" borderId="0" applyFont="0" applyFill="0" applyBorder="0" applyAlignment="0" applyProtection="0"/>
    <xf numFmtId="43" fontId="75" fillId="0" borderId="0" applyFont="0" applyFill="0" applyBorder="0" applyAlignment="0" applyProtection="0"/>
    <xf numFmtId="0" fontId="34" fillId="0" borderId="0"/>
    <xf numFmtId="0" fontId="76" fillId="0" borderId="0" applyNumberForma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51" borderId="57" applyNumberFormat="0" applyFont="0" applyAlignment="0" applyProtection="0"/>
    <xf numFmtId="0" fontId="34" fillId="51" borderId="57" applyNumberFormat="0" applyFont="0" applyAlignment="0" applyProtection="0"/>
    <xf numFmtId="0" fontId="34" fillId="51" borderId="57" applyNumberFormat="0" applyFont="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0" fontId="34" fillId="0" borderId="0"/>
    <xf numFmtId="0" fontId="11" fillId="0" borderId="0" applyNumberFormat="0" applyFill="0" applyBorder="0" applyAlignment="0" applyProtection="0"/>
    <xf numFmtId="0" fontId="74" fillId="0" borderId="0"/>
    <xf numFmtId="43" fontId="34" fillId="0" borderId="0" applyFont="0" applyFill="0" applyBorder="0" applyAlignment="0" applyProtection="0"/>
    <xf numFmtId="43" fontId="75" fillId="0" borderId="0" applyFont="0" applyFill="0" applyBorder="0" applyAlignment="0" applyProtection="0"/>
    <xf numFmtId="0" fontId="75" fillId="0" borderId="0"/>
    <xf numFmtId="0" fontId="75" fillId="0" borderId="0"/>
    <xf numFmtId="43" fontId="34" fillId="0" borderId="0" applyFont="0" applyFill="0" applyBorder="0" applyAlignment="0" applyProtection="0"/>
    <xf numFmtId="9" fontId="75"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43" fontId="34" fillId="0" borderId="0" applyFont="0" applyFill="0" applyBorder="0" applyAlignment="0" applyProtection="0"/>
    <xf numFmtId="0" fontId="34" fillId="0" borderId="0"/>
    <xf numFmtId="0" fontId="75" fillId="0" borderId="0"/>
    <xf numFmtId="0" fontId="34" fillId="0" borderId="0"/>
    <xf numFmtId="0" fontId="34" fillId="0" borderId="0"/>
    <xf numFmtId="0" fontId="34" fillId="0" borderId="0"/>
    <xf numFmtId="43" fontId="34" fillId="0" borderId="0" applyFont="0" applyFill="0" applyBorder="0" applyAlignment="0" applyProtection="0"/>
    <xf numFmtId="0" fontId="67" fillId="0" borderId="0"/>
    <xf numFmtId="0" fontId="34" fillId="0" borderId="0"/>
    <xf numFmtId="0" fontId="76" fillId="0" borderId="0" applyNumberForma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51" borderId="57" applyNumberFormat="0" applyFont="0" applyAlignment="0" applyProtection="0"/>
    <xf numFmtId="0" fontId="34" fillId="51" borderId="57" applyNumberFormat="0" applyFont="0" applyAlignment="0" applyProtection="0"/>
    <xf numFmtId="0" fontId="34" fillId="51" borderId="57" applyNumberFormat="0" applyFont="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0" fontId="34" fillId="0" borderId="0"/>
    <xf numFmtId="9"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51" borderId="57" applyNumberFormat="0" applyFont="0" applyAlignment="0" applyProtection="0"/>
    <xf numFmtId="0" fontId="34" fillId="51" borderId="57" applyNumberFormat="0" applyFont="0" applyAlignment="0" applyProtection="0"/>
    <xf numFmtId="0" fontId="34" fillId="51" borderId="57" applyNumberFormat="0" applyFont="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0" fontId="34" fillId="0" borderId="0"/>
    <xf numFmtId="43" fontId="34" fillId="0" borderId="0" applyFont="0" applyFill="0" applyBorder="0" applyAlignment="0" applyProtection="0"/>
    <xf numFmtId="43" fontId="34" fillId="0" borderId="0" applyFont="0" applyFill="0" applyBorder="0" applyAlignment="0" applyProtection="0"/>
    <xf numFmtId="9" fontId="75"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43" fontId="34" fillId="0" borderId="0" applyFont="0" applyFill="0" applyBorder="0" applyAlignment="0" applyProtection="0"/>
    <xf numFmtId="0" fontId="34" fillId="0" borderId="0"/>
    <xf numFmtId="9"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51" borderId="57" applyNumberFormat="0" applyFont="0" applyAlignment="0" applyProtection="0"/>
    <xf numFmtId="0" fontId="34" fillId="51" borderId="57" applyNumberFormat="0" applyFont="0" applyAlignment="0" applyProtection="0"/>
    <xf numFmtId="0" fontId="34" fillId="51" borderId="57" applyNumberFormat="0" applyFont="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0" fontId="34" fillId="0" borderId="0"/>
    <xf numFmtId="9"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51" borderId="57" applyNumberFormat="0" applyFont="0" applyAlignment="0" applyProtection="0"/>
    <xf numFmtId="0" fontId="34" fillId="51" borderId="57" applyNumberFormat="0" applyFont="0" applyAlignment="0" applyProtection="0"/>
    <xf numFmtId="0" fontId="34" fillId="51" borderId="57" applyNumberFormat="0" applyFont="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0" fontId="34" fillId="0" borderId="0"/>
    <xf numFmtId="43"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43" fontId="34" fillId="0" borderId="0" applyFont="0" applyFill="0" applyBorder="0" applyAlignment="0" applyProtection="0"/>
    <xf numFmtId="0" fontId="34" fillId="0" borderId="0"/>
    <xf numFmtId="9"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51" borderId="57" applyNumberFormat="0" applyFont="0" applyAlignment="0" applyProtection="0"/>
    <xf numFmtId="0" fontId="34" fillId="51" borderId="57" applyNumberFormat="0" applyFont="0" applyAlignment="0" applyProtection="0"/>
    <xf numFmtId="0" fontId="34" fillId="51" borderId="57" applyNumberFormat="0" applyFont="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0" fontId="34" fillId="0" borderId="0"/>
    <xf numFmtId="9"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51" borderId="57" applyNumberFormat="0" applyFont="0" applyAlignment="0" applyProtection="0"/>
    <xf numFmtId="0" fontId="34" fillId="51" borderId="57" applyNumberFormat="0" applyFont="0" applyAlignment="0" applyProtection="0"/>
    <xf numFmtId="0" fontId="34" fillId="51" borderId="57" applyNumberFormat="0" applyFont="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0" fontId="34" fillId="0" borderId="0"/>
    <xf numFmtId="43"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0" fontId="34" fillId="0" borderId="0"/>
    <xf numFmtId="0" fontId="34" fillId="0" borderId="0"/>
    <xf numFmtId="0" fontId="34" fillId="0" borderId="0"/>
    <xf numFmtId="0" fontId="74" fillId="0" borderId="0"/>
  </cellStyleXfs>
  <cellXfs count="1460">
    <xf numFmtId="0" fontId="0" fillId="0" borderId="0" xfId="0"/>
    <xf numFmtId="0" fontId="1" fillId="2" borderId="1" xfId="0" applyFont="1" applyFill="1" applyBorder="1" applyAlignment="1">
      <alignment vertical="top" wrapText="1"/>
    </xf>
    <xf numFmtId="0" fontId="1" fillId="2" borderId="2" xfId="0" applyFont="1" applyFill="1" applyBorder="1" applyAlignment="1">
      <alignment vertical="top"/>
    </xf>
    <xf numFmtId="0" fontId="2" fillId="2" borderId="1" xfId="0" applyFont="1" applyFill="1" applyBorder="1" applyAlignment="1">
      <alignment vertical="top"/>
    </xf>
    <xf numFmtId="0" fontId="3" fillId="0" borderId="0" xfId="0" applyFont="1" applyAlignment="1">
      <alignment vertical="top" wrapText="1"/>
    </xf>
    <xf numFmtId="0" fontId="1" fillId="2" borderId="3" xfId="0" applyFont="1" applyFill="1" applyBorder="1" applyAlignment="1">
      <alignment vertical="top"/>
    </xf>
    <xf numFmtId="0" fontId="1" fillId="2" borderId="0" xfId="0" applyFont="1" applyFill="1" applyAlignment="1">
      <alignment vertical="top"/>
    </xf>
    <xf numFmtId="0" fontId="1" fillId="2" borderId="6" xfId="0" applyFont="1" applyFill="1" applyBorder="1" applyAlignment="1">
      <alignment vertical="top"/>
    </xf>
    <xf numFmtId="0" fontId="1" fillId="2" borderId="7" xfId="0" applyFont="1" applyFill="1" applyBorder="1" applyAlignment="1">
      <alignment vertical="top"/>
    </xf>
    <xf numFmtId="0" fontId="1" fillId="2" borderId="1" xfId="0" applyFont="1" applyFill="1" applyBorder="1" applyAlignment="1">
      <alignment vertical="top"/>
    </xf>
    <xf numFmtId="0" fontId="4" fillId="2" borderId="5" xfId="0" applyFont="1" applyFill="1" applyBorder="1" applyAlignment="1">
      <alignment vertical="top"/>
    </xf>
    <xf numFmtId="0" fontId="4" fillId="2" borderId="1" xfId="0" applyFont="1" applyFill="1" applyBorder="1" applyAlignment="1">
      <alignment vertical="top"/>
    </xf>
    <xf numFmtId="0" fontId="1" fillId="2" borderId="8" xfId="0" applyFont="1" applyFill="1" applyBorder="1" applyAlignment="1">
      <alignment vertical="top"/>
    </xf>
    <xf numFmtId="0" fontId="1" fillId="2" borderId="4" xfId="0" applyFont="1" applyFill="1" applyBorder="1" applyAlignment="1">
      <alignment vertical="top"/>
    </xf>
    <xf numFmtId="0" fontId="1" fillId="0" borderId="0" xfId="0" applyFont="1" applyAlignment="1">
      <alignment wrapText="1"/>
    </xf>
    <xf numFmtId="0" fontId="1" fillId="0" borderId="12" xfId="0" applyFont="1" applyBorder="1" applyAlignment="1">
      <alignment wrapText="1"/>
    </xf>
    <xf numFmtId="0" fontId="8" fillId="0" borderId="0" xfId="0" applyFont="1" applyAlignment="1">
      <alignment wrapText="1"/>
    </xf>
    <xf numFmtId="0" fontId="1" fillId="0" borderId="0" xfId="0" applyFont="1" applyAlignment="1">
      <alignment horizontal="left" vertical="top" wrapText="1"/>
    </xf>
    <xf numFmtId="0" fontId="7" fillId="0" borderId="1" xfId="0" applyFont="1" applyBorder="1" applyAlignment="1">
      <alignment wrapText="1"/>
    </xf>
    <xf numFmtId="0" fontId="1" fillId="0" borderId="1" xfId="0" applyFont="1" applyBorder="1" applyAlignment="1">
      <alignment wrapText="1"/>
    </xf>
    <xf numFmtId="0" fontId="7" fillId="0" borderId="1" xfId="0" applyFont="1" applyBorder="1" applyAlignment="1">
      <alignment horizontal="left" wrapText="1"/>
    </xf>
    <xf numFmtId="0" fontId="1" fillId="0" borderId="7" xfId="0" applyFont="1" applyBorder="1" applyAlignment="1">
      <alignment wrapText="1"/>
    </xf>
    <xf numFmtId="0" fontId="1" fillId="0" borderId="8" xfId="0" applyFont="1" applyBorder="1" applyAlignment="1">
      <alignment wrapText="1"/>
    </xf>
    <xf numFmtId="0" fontId="1" fillId="0" borderId="13" xfId="0" applyFont="1" applyBorder="1" applyAlignment="1">
      <alignment wrapText="1"/>
    </xf>
    <xf numFmtId="0" fontId="1" fillId="0" borderId="14" xfId="0" applyFont="1" applyBorder="1" applyAlignment="1">
      <alignment wrapText="1"/>
    </xf>
    <xf numFmtId="0" fontId="8" fillId="5" borderId="9" xfId="0" applyFont="1" applyFill="1" applyBorder="1" applyAlignment="1">
      <alignment horizontal="center" wrapText="1"/>
    </xf>
    <xf numFmtId="0" fontId="8" fillId="5" borderId="10" xfId="0" applyFont="1" applyFill="1" applyBorder="1" applyAlignment="1">
      <alignment horizontal="center" wrapText="1"/>
    </xf>
    <xf numFmtId="0" fontId="8" fillId="5" borderId="11" xfId="0" applyFont="1" applyFill="1" applyBorder="1" applyAlignment="1">
      <alignment horizontal="center" wrapText="1"/>
    </xf>
    <xf numFmtId="0" fontId="9" fillId="0" borderId="0" xfId="0" applyFont="1" applyAlignment="1">
      <alignment wrapText="1"/>
    </xf>
    <xf numFmtId="0" fontId="10" fillId="0" borderId="0" xfId="0" applyFont="1" applyAlignment="1">
      <alignment vertical="center" wrapText="1"/>
    </xf>
    <xf numFmtId="0" fontId="4" fillId="0" borderId="0" xfId="0" applyFont="1" applyAlignment="1">
      <alignment wrapText="1"/>
    </xf>
    <xf numFmtId="0" fontId="6" fillId="0" borderId="14" xfId="0" applyFont="1" applyBorder="1" applyAlignment="1">
      <alignment horizontal="center" wrapText="1"/>
    </xf>
    <xf numFmtId="0" fontId="11" fillId="0" borderId="0" xfId="0" applyFont="1" applyAlignment="1">
      <alignment wrapText="1"/>
    </xf>
    <xf numFmtId="0" fontId="7" fillId="0" borderId="0" xfId="0" applyFont="1" applyAlignment="1">
      <alignment wrapText="1"/>
    </xf>
    <xf numFmtId="0" fontId="7" fillId="0" borderId="13" xfId="0" applyFont="1" applyBorder="1" applyAlignment="1">
      <alignment wrapText="1"/>
    </xf>
    <xf numFmtId="0" fontId="1" fillId="0" borderId="0" xfId="0" applyFont="1"/>
    <xf numFmtId="0" fontId="1" fillId="0" borderId="8" xfId="0" applyFont="1" applyBorder="1"/>
    <xf numFmtId="0" fontId="1" fillId="0" borderId="0" xfId="0" applyFont="1" applyAlignment="1">
      <alignment vertical="top" wrapText="1"/>
    </xf>
    <xf numFmtId="0" fontId="1" fillId="0" borderId="14" xfId="0" applyFont="1" applyBorder="1"/>
    <xf numFmtId="0" fontId="1" fillId="0" borderId="13" xfId="0" applyFont="1" applyBorder="1"/>
    <xf numFmtId="0" fontId="1" fillId="0" borderId="12" xfId="0" applyFont="1" applyBorder="1"/>
    <xf numFmtId="0" fontId="1" fillId="0" borderId="5" xfId="0" applyFont="1" applyBorder="1" applyAlignment="1">
      <alignment wrapText="1"/>
    </xf>
    <xf numFmtId="0" fontId="1" fillId="0" borderId="6" xfId="0" applyFont="1" applyBorder="1" applyAlignment="1">
      <alignment wrapText="1"/>
    </xf>
    <xf numFmtId="0" fontId="1" fillId="0" borderId="8" xfId="0" applyFont="1" applyBorder="1" applyAlignment="1">
      <alignment vertical="center" wrapText="1"/>
    </xf>
    <xf numFmtId="0" fontId="4" fillId="6" borderId="9" xfId="0" applyFont="1" applyFill="1" applyBorder="1" applyAlignment="1">
      <alignment horizontal="center" wrapText="1"/>
    </xf>
    <xf numFmtId="0" fontId="4" fillId="6" borderId="10" xfId="0" applyFont="1" applyFill="1" applyBorder="1" applyAlignment="1">
      <alignment horizontal="center" wrapText="1"/>
    </xf>
    <xf numFmtId="0" fontId="4" fillId="6" borderId="11" xfId="0" applyFont="1" applyFill="1" applyBorder="1" applyAlignment="1">
      <alignment horizontal="center" wrapText="1"/>
    </xf>
    <xf numFmtId="0" fontId="1" fillId="0" borderId="1" xfId="0" applyFont="1" applyBorder="1"/>
    <xf numFmtId="0" fontId="2" fillId="0" borderId="0" xfId="0" applyFont="1" applyAlignment="1">
      <alignment vertical="center" wrapText="1"/>
    </xf>
    <xf numFmtId="3" fontId="3" fillId="0" borderId="0" xfId="0" applyNumberFormat="1" applyFont="1" applyAlignment="1">
      <alignment horizontal="center" vertical="top" wrapText="1"/>
    </xf>
    <xf numFmtId="3" fontId="3" fillId="0" borderId="0" xfId="0" applyNumberFormat="1" applyFont="1" applyAlignment="1">
      <alignment horizontal="center" wrapText="1"/>
    </xf>
    <xf numFmtId="164" fontId="1" fillId="0" borderId="0" xfId="0" applyNumberFormat="1" applyFont="1" applyAlignment="1">
      <alignment horizontal="left"/>
    </xf>
    <xf numFmtId="165" fontId="3" fillId="0" borderId="0" xfId="0" applyNumberFormat="1" applyFont="1" applyAlignment="1">
      <alignment horizontal="center" vertical="top" wrapText="1"/>
    </xf>
    <xf numFmtId="0" fontId="7" fillId="0" borderId="0" xfId="0" applyFont="1" applyAlignment="1">
      <alignment horizontal="left"/>
    </xf>
    <xf numFmtId="0" fontId="1" fillId="0" borderId="1" xfId="0" applyFont="1" applyBorder="1" applyAlignment="1">
      <alignment horizontal="left"/>
    </xf>
    <xf numFmtId="0" fontId="1" fillId="0" borderId="0" xfId="0" applyFont="1" applyAlignment="1">
      <alignment horizontal="left" vertical="top"/>
    </xf>
    <xf numFmtId="0" fontId="1" fillId="0" borderId="0" xfId="0" applyFont="1" applyAlignment="1">
      <alignment horizontal="left"/>
    </xf>
    <xf numFmtId="0" fontId="7" fillId="0" borderId="0" xfId="0" applyFont="1" applyAlignment="1">
      <alignment horizontal="left" indent="2"/>
    </xf>
    <xf numFmtId="0" fontId="1" fillId="0" borderId="0" xfId="0" applyFont="1" applyAlignment="1">
      <alignment horizontal="left" indent="2"/>
    </xf>
    <xf numFmtId="0" fontId="1" fillId="0" borderId="1" xfId="0" applyFont="1" applyBorder="1" applyAlignment="1">
      <alignment horizontal="left" vertical="top"/>
    </xf>
    <xf numFmtId="0" fontId="4" fillId="0" borderId="0" xfId="0" applyFont="1" applyAlignment="1">
      <alignment horizontal="left"/>
    </xf>
    <xf numFmtId="166" fontId="1" fillId="0" borderId="0" xfId="0" applyNumberFormat="1" applyFont="1" applyAlignment="1">
      <alignment horizontal="left"/>
    </xf>
    <xf numFmtId="0" fontId="1" fillId="0" borderId="0" xfId="0" applyFont="1" applyAlignment="1">
      <alignment horizontal="left" wrapText="1"/>
    </xf>
    <xf numFmtId="10" fontId="1" fillId="0" borderId="0" xfId="0" applyNumberFormat="1" applyFont="1" applyAlignment="1">
      <alignment horizontal="left"/>
    </xf>
    <xf numFmtId="165" fontId="1" fillId="0" borderId="0" xfId="0" applyNumberFormat="1" applyFont="1" applyAlignment="1">
      <alignment horizontal="left" vertical="top" wrapText="1"/>
    </xf>
    <xf numFmtId="3" fontId="1" fillId="0" borderId="0" xfId="0" applyNumberFormat="1" applyFont="1" applyAlignment="1">
      <alignment horizontal="left" vertical="top" wrapText="1"/>
    </xf>
    <xf numFmtId="0" fontId="1" fillId="0" borderId="6" xfId="0" applyFont="1" applyBorder="1" applyAlignment="1">
      <alignment horizontal="left"/>
    </xf>
    <xf numFmtId="165" fontId="1" fillId="0" borderId="0" xfId="0" applyNumberFormat="1" applyFont="1" applyAlignment="1">
      <alignment horizontal="left"/>
    </xf>
    <xf numFmtId="1" fontId="3" fillId="0" borderId="0" xfId="0" applyNumberFormat="1" applyFont="1" applyAlignment="1">
      <alignment horizontal="center" wrapText="1"/>
    </xf>
    <xf numFmtId="0" fontId="12" fillId="0" borderId="0" xfId="0" applyFont="1" applyAlignment="1">
      <alignment horizontal="center" vertical="top" wrapText="1"/>
    </xf>
    <xf numFmtId="1" fontId="1" fillId="0" borderId="0" xfId="0" applyNumberFormat="1" applyFont="1" applyAlignment="1">
      <alignment horizontal="center"/>
    </xf>
    <xf numFmtId="164" fontId="1" fillId="0" borderId="0" xfId="0" applyNumberFormat="1" applyFont="1"/>
    <xf numFmtId="167" fontId="1" fillId="0" borderId="0" xfId="0" applyNumberFormat="1" applyFont="1" applyAlignment="1">
      <alignment horizontal="center"/>
    </xf>
    <xf numFmtId="10" fontId="1" fillId="0" borderId="0" xfId="0" applyNumberFormat="1" applyFont="1"/>
    <xf numFmtId="1" fontId="1" fillId="0" borderId="0" xfId="0" applyNumberFormat="1" applyFont="1"/>
    <xf numFmtId="167" fontId="1" fillId="0" borderId="0" xfId="0" applyNumberFormat="1" applyFont="1"/>
    <xf numFmtId="0" fontId="4" fillId="0" borderId="0" xfId="0" applyFont="1"/>
    <xf numFmtId="164" fontId="1" fillId="0" borderId="0" xfId="0" applyNumberFormat="1" applyFont="1" applyAlignment="1">
      <alignment horizontal="center"/>
    </xf>
    <xf numFmtId="10" fontId="1" fillId="0" borderId="1" xfId="0" applyNumberFormat="1" applyFont="1" applyBorder="1"/>
    <xf numFmtId="0" fontId="4" fillId="7" borderId="0" xfId="0" applyFont="1" applyFill="1" applyAlignment="1">
      <alignment horizontal="center"/>
    </xf>
    <xf numFmtId="3" fontId="1" fillId="8" borderId="15" xfId="0" applyNumberFormat="1" applyFont="1" applyFill="1" applyBorder="1" applyAlignment="1">
      <alignment horizontal="right"/>
    </xf>
    <xf numFmtId="168" fontId="1" fillId="0" borderId="0" xfId="0" applyNumberFormat="1" applyFont="1" applyAlignment="1">
      <alignment horizontal="center"/>
    </xf>
    <xf numFmtId="17" fontId="12" fillId="3" borderId="17" xfId="0" applyNumberFormat="1" applyFont="1" applyFill="1" applyBorder="1" applyAlignment="1">
      <alignment horizontal="left" wrapText="1"/>
    </xf>
    <xf numFmtId="49" fontId="1" fillId="0" borderId="0" xfId="0" applyNumberFormat="1" applyFont="1" applyAlignment="1">
      <alignment horizontal="left" wrapText="1" indent="1"/>
    </xf>
    <xf numFmtId="168" fontId="1" fillId="0" borderId="0" xfId="0" applyNumberFormat="1" applyFont="1" applyAlignment="1">
      <alignment horizontal="left" wrapText="1" indent="1"/>
    </xf>
    <xf numFmtId="0" fontId="1" fillId="0" borderId="0" xfId="0" applyFont="1" applyAlignment="1">
      <alignment horizontal="left" indent="1"/>
    </xf>
    <xf numFmtId="168" fontId="13" fillId="0" borderId="0" xfId="0" applyNumberFormat="1" applyFont="1" applyAlignment="1">
      <alignment horizontal="center"/>
    </xf>
    <xf numFmtId="10" fontId="1" fillId="8" borderId="0" xfId="0" applyNumberFormat="1" applyFont="1" applyFill="1"/>
    <xf numFmtId="0" fontId="14" fillId="10" borderId="0" xfId="0" applyFont="1" applyFill="1" applyAlignment="1">
      <alignment horizontal="right" vertical="center"/>
    </xf>
    <xf numFmtId="168" fontId="1" fillId="0" borderId="0" xfId="0" applyNumberFormat="1" applyFont="1" applyAlignment="1">
      <alignment horizontal="left" indent="1"/>
    </xf>
    <xf numFmtId="168" fontId="1" fillId="0" borderId="18" xfId="0" applyNumberFormat="1" applyFont="1" applyBorder="1" applyAlignment="1">
      <alignment horizontal="center"/>
    </xf>
    <xf numFmtId="165" fontId="4" fillId="0" borderId="19" xfId="0" applyNumberFormat="1" applyFont="1" applyBorder="1" applyAlignment="1">
      <alignment horizontal="right"/>
    </xf>
    <xf numFmtId="165" fontId="4" fillId="0" borderId="16" xfId="0" applyNumberFormat="1" applyFont="1" applyBorder="1" applyAlignment="1">
      <alignment horizontal="right"/>
    </xf>
    <xf numFmtId="165" fontId="4" fillId="0" borderId="20" xfId="0" applyNumberFormat="1" applyFont="1" applyBorder="1" applyAlignment="1">
      <alignment horizontal="right"/>
    </xf>
    <xf numFmtId="165" fontId="4" fillId="0" borderId="0" xfId="0" applyNumberFormat="1" applyFont="1" applyAlignment="1">
      <alignment horizontal="right"/>
    </xf>
    <xf numFmtId="165" fontId="1" fillId="0" borderId="20" xfId="0" applyNumberFormat="1" applyFont="1" applyBorder="1" applyAlignment="1">
      <alignment horizontal="right"/>
    </xf>
    <xf numFmtId="165" fontId="1" fillId="0" borderId="0" xfId="0" applyNumberFormat="1" applyFont="1" applyAlignment="1">
      <alignment horizontal="right"/>
    </xf>
    <xf numFmtId="3" fontId="1" fillId="0" borderId="20" xfId="0" applyNumberFormat="1" applyFont="1" applyBorder="1" applyAlignment="1">
      <alignment horizontal="right"/>
    </xf>
    <xf numFmtId="3" fontId="1" fillId="0" borderId="0" xfId="0" applyNumberFormat="1" applyFont="1" applyAlignment="1">
      <alignment horizontal="right"/>
    </xf>
    <xf numFmtId="3" fontId="1" fillId="0" borderId="21" xfId="0" applyNumberFormat="1" applyFont="1" applyBorder="1" applyAlignment="1">
      <alignment horizontal="right"/>
    </xf>
    <xf numFmtId="3" fontId="1" fillId="0" borderId="15" xfId="0" applyNumberFormat="1" applyFont="1" applyBorder="1" applyAlignment="1">
      <alignment horizontal="right"/>
    </xf>
    <xf numFmtId="0" fontId="4" fillId="0" borderId="0" xfId="0" applyFont="1" applyAlignment="1">
      <alignment horizontal="center"/>
    </xf>
    <xf numFmtId="168" fontId="1" fillId="9" borderId="18" xfId="0" applyNumberFormat="1" applyFont="1" applyFill="1" applyBorder="1" applyAlignment="1">
      <alignment horizontal="center"/>
    </xf>
    <xf numFmtId="168" fontId="1" fillId="8" borderId="18" xfId="0" applyNumberFormat="1" applyFont="1" applyFill="1" applyBorder="1" applyAlignment="1">
      <alignment horizontal="center"/>
    </xf>
    <xf numFmtId="165" fontId="4" fillId="8" borderId="16" xfId="0" applyNumberFormat="1" applyFont="1" applyFill="1" applyBorder="1" applyAlignment="1">
      <alignment horizontal="right"/>
    </xf>
    <xf numFmtId="165" fontId="4" fillId="8" borderId="0" xfId="0" applyNumberFormat="1" applyFont="1" applyFill="1" applyAlignment="1">
      <alignment horizontal="right"/>
    </xf>
    <xf numFmtId="165" fontId="1" fillId="8" borderId="0" xfId="0" applyNumberFormat="1" applyFont="1" applyFill="1" applyAlignment="1">
      <alignment horizontal="right"/>
    </xf>
    <xf numFmtId="3" fontId="1" fillId="8" borderId="0" xfId="0" applyNumberFormat="1" applyFont="1" applyFill="1" applyAlignment="1">
      <alignment horizontal="right"/>
    </xf>
    <xf numFmtId="1" fontId="1" fillId="11" borderId="22" xfId="0" applyNumberFormat="1" applyFont="1" applyFill="1" applyBorder="1" applyAlignment="1">
      <alignment horizontal="center"/>
    </xf>
    <xf numFmtId="168" fontId="1" fillId="12" borderId="18" xfId="0" applyNumberFormat="1" applyFont="1" applyFill="1" applyBorder="1" applyAlignment="1">
      <alignment horizontal="center"/>
    </xf>
    <xf numFmtId="165" fontId="4" fillId="12" borderId="0" xfId="0" applyNumberFormat="1" applyFont="1" applyFill="1" applyAlignment="1">
      <alignment horizontal="right"/>
    </xf>
    <xf numFmtId="165" fontId="4" fillId="12" borderId="16" xfId="0" applyNumberFormat="1" applyFont="1" applyFill="1" applyBorder="1" applyAlignment="1">
      <alignment horizontal="right"/>
    </xf>
    <xf numFmtId="165" fontId="1" fillId="12" borderId="0" xfId="0" applyNumberFormat="1" applyFont="1" applyFill="1" applyAlignment="1">
      <alignment horizontal="right"/>
    </xf>
    <xf numFmtId="3" fontId="1" fillId="12" borderId="0" xfId="0" applyNumberFormat="1" applyFont="1" applyFill="1" applyAlignment="1">
      <alignment horizontal="right"/>
    </xf>
    <xf numFmtId="3" fontId="1" fillId="12" borderId="15" xfId="0" applyNumberFormat="1" applyFont="1" applyFill="1" applyBorder="1" applyAlignment="1">
      <alignment horizontal="right"/>
    </xf>
    <xf numFmtId="165" fontId="1" fillId="0" borderId="0" xfId="0" applyNumberFormat="1" applyFont="1"/>
    <xf numFmtId="0" fontId="15" fillId="0" borderId="0" xfId="0" applyFont="1"/>
    <xf numFmtId="0" fontId="1" fillId="11" borderId="0" xfId="0" applyFont="1" applyFill="1" applyAlignment="1">
      <alignment horizontal="left" indent="3"/>
    </xf>
    <xf numFmtId="165" fontId="1" fillId="11" borderId="20" xfId="0" applyNumberFormat="1" applyFont="1" applyFill="1" applyBorder="1" applyAlignment="1">
      <alignment horizontal="right"/>
    </xf>
    <xf numFmtId="165" fontId="1" fillId="11" borderId="0" xfId="0" applyNumberFormat="1" applyFont="1" applyFill="1" applyAlignment="1">
      <alignment horizontal="right"/>
    </xf>
    <xf numFmtId="2" fontId="1" fillId="11" borderId="4" xfId="0" applyNumberFormat="1" applyFont="1" applyFill="1" applyBorder="1"/>
    <xf numFmtId="2" fontId="1" fillId="11" borderId="25" xfId="0" applyNumberFormat="1" applyFont="1" applyFill="1" applyBorder="1"/>
    <xf numFmtId="168" fontId="1" fillId="0" borderId="28" xfId="0" applyNumberFormat="1" applyFont="1" applyBorder="1" applyAlignment="1">
      <alignment horizontal="center"/>
    </xf>
    <xf numFmtId="0" fontId="4" fillId="11" borderId="0" xfId="0" applyFont="1" applyFill="1" applyAlignment="1">
      <alignment horizontal="left" wrapText="1" indent="1"/>
    </xf>
    <xf numFmtId="165" fontId="4" fillId="11" borderId="20" xfId="0" applyNumberFormat="1" applyFont="1" applyFill="1" applyBorder="1" applyAlignment="1">
      <alignment horizontal="right"/>
    </xf>
    <xf numFmtId="165" fontId="4" fillId="11" borderId="0" xfId="0" applyNumberFormat="1" applyFont="1" applyFill="1" applyAlignment="1">
      <alignment horizontal="right"/>
    </xf>
    <xf numFmtId="0" fontId="4" fillId="11" borderId="0" xfId="0" applyFont="1" applyFill="1" applyAlignment="1">
      <alignment horizontal="left"/>
    </xf>
    <xf numFmtId="0" fontId="1" fillId="0" borderId="0" xfId="0" applyFont="1" applyAlignment="1">
      <alignment horizontal="left" vertical="center" indent="2"/>
    </xf>
    <xf numFmtId="168" fontId="1" fillId="0" borderId="20" xfId="0" applyNumberFormat="1" applyFont="1" applyBorder="1" applyAlignment="1">
      <alignment horizontal="center"/>
    </xf>
    <xf numFmtId="0" fontId="4" fillId="0" borderId="0" xfId="0" applyFont="1" applyAlignment="1">
      <alignment horizontal="left" indent="1"/>
    </xf>
    <xf numFmtId="0" fontId="4" fillId="0" borderId="0" xfId="0" applyFont="1" applyAlignment="1">
      <alignment horizontal="left" indent="2"/>
    </xf>
    <xf numFmtId="0" fontId="1" fillId="0" borderId="0" xfId="0" applyFont="1" applyAlignment="1">
      <alignment horizontal="left" indent="4"/>
    </xf>
    <xf numFmtId="0" fontId="1" fillId="0" borderId="0" xfId="0" applyFont="1" applyAlignment="1">
      <alignment horizontal="left" wrapText="1" indent="2"/>
    </xf>
    <xf numFmtId="168" fontId="13" fillId="9" borderId="0" xfId="0" applyNumberFormat="1" applyFont="1" applyFill="1" applyAlignment="1">
      <alignment horizontal="center"/>
    </xf>
    <xf numFmtId="0" fontId="4" fillId="9" borderId="0" xfId="0" applyFont="1" applyFill="1"/>
    <xf numFmtId="0" fontId="1" fillId="0" borderId="0" xfId="0" applyFont="1" applyAlignment="1">
      <alignment horizontal="left" indent="3"/>
    </xf>
    <xf numFmtId="0" fontId="4" fillId="9" borderId="0" xfId="0" applyFont="1" applyFill="1" applyAlignment="1">
      <alignment horizontal="center"/>
    </xf>
    <xf numFmtId="168" fontId="1" fillId="9" borderId="0" xfId="0" applyNumberFormat="1" applyFont="1" applyFill="1" applyAlignment="1">
      <alignment horizontal="center"/>
    </xf>
    <xf numFmtId="1" fontId="1" fillId="9" borderId="0" xfId="0" applyNumberFormat="1" applyFont="1" applyFill="1" applyAlignment="1">
      <alignment horizontal="center"/>
    </xf>
    <xf numFmtId="168" fontId="1" fillId="9" borderId="0" xfId="0" applyNumberFormat="1" applyFont="1" applyFill="1" applyAlignment="1">
      <alignment horizontal="left" indent="1"/>
    </xf>
    <xf numFmtId="49" fontId="1" fillId="9" borderId="0" xfId="0" applyNumberFormat="1" applyFont="1" applyFill="1" applyAlignment="1">
      <alignment horizontal="left" wrapText="1" indent="1"/>
    </xf>
    <xf numFmtId="168" fontId="1" fillId="9" borderId="0" xfId="0" applyNumberFormat="1" applyFont="1" applyFill="1" applyAlignment="1">
      <alignment horizontal="left" wrapText="1" indent="1"/>
    </xf>
    <xf numFmtId="0" fontId="1" fillId="9" borderId="0" xfId="0" applyFont="1" applyFill="1" applyAlignment="1">
      <alignment horizontal="left" indent="1"/>
    </xf>
    <xf numFmtId="0" fontId="1" fillId="9" borderId="0" xfId="0" applyFont="1" applyFill="1"/>
    <xf numFmtId="17" fontId="12" fillId="9" borderId="17" xfId="0" applyNumberFormat="1" applyFont="1" applyFill="1" applyBorder="1" applyAlignment="1">
      <alignment horizontal="left" wrapText="1"/>
    </xf>
    <xf numFmtId="0" fontId="1" fillId="0" borderId="0" xfId="0" applyFont="1" applyAlignment="1">
      <alignment horizontal="left" indent="5"/>
    </xf>
    <xf numFmtId="168" fontId="13" fillId="8" borderId="0" xfId="0" applyNumberFormat="1" applyFont="1" applyFill="1" applyAlignment="1">
      <alignment horizontal="center"/>
    </xf>
    <xf numFmtId="0" fontId="4" fillId="8" borderId="0" xfId="0" applyFont="1" applyFill="1"/>
    <xf numFmtId="0" fontId="4" fillId="8" borderId="0" xfId="0" applyFont="1" applyFill="1" applyAlignment="1">
      <alignment horizontal="center"/>
    </xf>
    <xf numFmtId="168" fontId="1" fillId="8" borderId="0" xfId="0" applyNumberFormat="1" applyFont="1" applyFill="1" applyAlignment="1">
      <alignment horizontal="center"/>
    </xf>
    <xf numFmtId="1" fontId="1" fillId="8" borderId="0" xfId="0" applyNumberFormat="1" applyFont="1" applyFill="1" applyAlignment="1">
      <alignment horizontal="center"/>
    </xf>
    <xf numFmtId="0" fontId="1" fillId="0" borderId="0" xfId="0" applyFont="1" applyAlignment="1">
      <alignment horizontal="left" wrapText="1" indent="5"/>
    </xf>
    <xf numFmtId="168" fontId="1" fillId="8" borderId="0" xfId="0" applyNumberFormat="1" applyFont="1" applyFill="1" applyAlignment="1">
      <alignment horizontal="left" indent="1"/>
    </xf>
    <xf numFmtId="49" fontId="1" fillId="8" borderId="0" xfId="0" applyNumberFormat="1" applyFont="1" applyFill="1" applyAlignment="1">
      <alignment horizontal="left" wrapText="1" indent="1"/>
    </xf>
    <xf numFmtId="168" fontId="1" fillId="8" borderId="0" xfId="0" applyNumberFormat="1" applyFont="1" applyFill="1" applyAlignment="1">
      <alignment horizontal="left" wrapText="1" indent="1"/>
    </xf>
    <xf numFmtId="0" fontId="1" fillId="8" borderId="0" xfId="0" applyFont="1" applyFill="1" applyAlignment="1">
      <alignment horizontal="left" indent="1"/>
    </xf>
    <xf numFmtId="0" fontId="1" fillId="8" borderId="0" xfId="0" applyFont="1" applyFill="1"/>
    <xf numFmtId="17" fontId="12" fillId="8" borderId="17" xfId="0" applyNumberFormat="1" applyFont="1" applyFill="1" applyBorder="1" applyAlignment="1">
      <alignment horizontal="left" wrapText="1"/>
    </xf>
    <xf numFmtId="168" fontId="13" fillId="12" borderId="0" xfId="0" applyNumberFormat="1" applyFont="1" applyFill="1" applyAlignment="1">
      <alignment horizontal="center"/>
    </xf>
    <xf numFmtId="0" fontId="4" fillId="12" borderId="0" xfId="0" applyFont="1" applyFill="1"/>
    <xf numFmtId="0" fontId="4" fillId="12" borderId="0" xfId="0" applyFont="1" applyFill="1" applyAlignment="1">
      <alignment horizontal="center"/>
    </xf>
    <xf numFmtId="0" fontId="4" fillId="0" borderId="0" xfId="0" applyFont="1" applyAlignment="1">
      <alignment horizontal="left" wrapText="1" indent="1"/>
    </xf>
    <xf numFmtId="168" fontId="1" fillId="12" borderId="0" xfId="0" applyNumberFormat="1" applyFont="1" applyFill="1" applyAlignment="1">
      <alignment horizontal="center"/>
    </xf>
    <xf numFmtId="1" fontId="1" fillId="12" borderId="0" xfId="0" applyNumberFormat="1" applyFont="1" applyFill="1" applyAlignment="1">
      <alignment horizontal="center"/>
    </xf>
    <xf numFmtId="165" fontId="4" fillId="9" borderId="19" xfId="0" applyNumberFormat="1" applyFont="1" applyFill="1" applyBorder="1" applyAlignment="1">
      <alignment horizontal="right"/>
    </xf>
    <xf numFmtId="165" fontId="4" fillId="9" borderId="20" xfId="0" applyNumberFormat="1" applyFont="1" applyFill="1" applyBorder="1" applyAlignment="1">
      <alignment horizontal="right"/>
    </xf>
    <xf numFmtId="165" fontId="1" fillId="9" borderId="20" xfId="0" applyNumberFormat="1" applyFont="1" applyFill="1" applyBorder="1" applyAlignment="1">
      <alignment horizontal="right"/>
    </xf>
    <xf numFmtId="3" fontId="1" fillId="9" borderId="20" xfId="0" applyNumberFormat="1" applyFont="1" applyFill="1" applyBorder="1" applyAlignment="1">
      <alignment horizontal="right"/>
    </xf>
    <xf numFmtId="3" fontId="1" fillId="9" borderId="21" xfId="0" applyNumberFormat="1" applyFont="1" applyFill="1" applyBorder="1" applyAlignment="1">
      <alignment horizontal="right"/>
    </xf>
    <xf numFmtId="168" fontId="1" fillId="12" borderId="0" xfId="0" applyNumberFormat="1" applyFont="1" applyFill="1" applyAlignment="1">
      <alignment horizontal="left" indent="1"/>
    </xf>
    <xf numFmtId="49" fontId="1" fillId="12" borderId="0" xfId="0" applyNumberFormat="1" applyFont="1" applyFill="1" applyAlignment="1">
      <alignment horizontal="left" wrapText="1" indent="1"/>
    </xf>
    <xf numFmtId="0" fontId="1" fillId="0" borderId="0" xfId="0" applyFont="1" applyAlignment="1">
      <alignment horizontal="left" wrapText="1" indent="3"/>
    </xf>
    <xf numFmtId="168" fontId="1" fillId="12" borderId="0" xfId="0" applyNumberFormat="1" applyFont="1" applyFill="1" applyAlignment="1">
      <alignment horizontal="left" wrapText="1" indent="1"/>
    </xf>
    <xf numFmtId="0" fontId="1" fillId="12" borderId="0" xfId="0" applyFont="1" applyFill="1" applyAlignment="1">
      <alignment horizontal="left" indent="1"/>
    </xf>
    <xf numFmtId="0" fontId="1" fillId="12" borderId="0" xfId="0" applyFont="1" applyFill="1"/>
    <xf numFmtId="17" fontId="12" fillId="12" borderId="17" xfId="0" applyNumberFormat="1" applyFont="1" applyFill="1" applyBorder="1" applyAlignment="1">
      <alignment horizontal="left" wrapText="1"/>
    </xf>
    <xf numFmtId="1" fontId="1" fillId="0" borderId="23" xfId="0" applyNumberFormat="1" applyFont="1" applyBorder="1" applyAlignment="1">
      <alignment horizontal="center"/>
    </xf>
    <xf numFmtId="1" fontId="1" fillId="0" borderId="22" xfId="0" applyNumberFormat="1" applyFont="1" applyBorder="1" applyAlignment="1">
      <alignment horizontal="center"/>
    </xf>
    <xf numFmtId="1" fontId="1" fillId="0" borderId="22" xfId="0" applyNumberFormat="1" applyFont="1" applyBorder="1" applyAlignment="1">
      <alignment horizontal="center" vertical="top"/>
    </xf>
    <xf numFmtId="1" fontId="1" fillId="0" borderId="24" xfId="0" applyNumberFormat="1" applyFont="1" applyBorder="1" applyAlignment="1">
      <alignment horizontal="center"/>
    </xf>
    <xf numFmtId="165" fontId="4" fillId="8" borderId="19" xfId="0" applyNumberFormat="1" applyFont="1" applyFill="1" applyBorder="1" applyAlignment="1">
      <alignment horizontal="right"/>
    </xf>
    <xf numFmtId="165" fontId="4" fillId="8" borderId="20" xfId="0" applyNumberFormat="1" applyFont="1" applyFill="1" applyBorder="1" applyAlignment="1">
      <alignment horizontal="right"/>
    </xf>
    <xf numFmtId="165" fontId="1" fillId="8" borderId="20" xfId="0" applyNumberFormat="1" applyFont="1" applyFill="1" applyBorder="1" applyAlignment="1">
      <alignment horizontal="right"/>
    </xf>
    <xf numFmtId="3" fontId="1" fillId="8" borderId="20" xfId="0" applyNumberFormat="1" applyFont="1" applyFill="1" applyBorder="1" applyAlignment="1">
      <alignment horizontal="right"/>
    </xf>
    <xf numFmtId="3" fontId="1" fillId="8" borderId="21" xfId="0" applyNumberFormat="1" applyFont="1" applyFill="1" applyBorder="1" applyAlignment="1">
      <alignment horizontal="right"/>
    </xf>
    <xf numFmtId="2" fontId="1" fillId="0" borderId="0" xfId="0" applyNumberFormat="1" applyFont="1"/>
    <xf numFmtId="0" fontId="17" fillId="13" borderId="0" xfId="0" applyFont="1" applyFill="1"/>
    <xf numFmtId="0" fontId="1" fillId="13" borderId="0" xfId="0" applyFont="1" applyFill="1"/>
    <xf numFmtId="3" fontId="1" fillId="13" borderId="0" xfId="0" applyNumberFormat="1" applyFont="1" applyFill="1"/>
    <xf numFmtId="1" fontId="1" fillId="13" borderId="0" xfId="0" applyNumberFormat="1" applyFont="1" applyFill="1"/>
    <xf numFmtId="0" fontId="12" fillId="0" borderId="0" xfId="0" applyFont="1" applyAlignment="1">
      <alignment horizontal="center"/>
    </xf>
    <xf numFmtId="3" fontId="1" fillId="0" borderId="0" xfId="0" applyNumberFormat="1" applyFont="1"/>
    <xf numFmtId="0" fontId="18" fillId="7" borderId="0" xfId="0" applyFont="1" applyFill="1" applyAlignment="1">
      <alignment horizontal="center"/>
    </xf>
    <xf numFmtId="167" fontId="1" fillId="13" borderId="0" xfId="0" applyNumberFormat="1" applyFont="1" applyFill="1" applyAlignment="1">
      <alignment horizontal="center"/>
    </xf>
    <xf numFmtId="0" fontId="20" fillId="0" borderId="0" xfId="0" applyFont="1"/>
    <xf numFmtId="0" fontId="19" fillId="0" borderId="0" xfId="0" applyFont="1" applyAlignment="1">
      <alignment horizontal="left" indent="1"/>
    </xf>
    <xf numFmtId="0" fontId="19" fillId="0" borderId="0" xfId="0" applyFont="1" applyAlignment="1">
      <alignment horizontal="left" wrapText="1" indent="1"/>
    </xf>
    <xf numFmtId="0" fontId="19" fillId="0" borderId="0" xfId="0" applyFont="1" applyAlignment="1">
      <alignment horizontal="left" indent="2"/>
    </xf>
    <xf numFmtId="0" fontId="19" fillId="0" borderId="0" xfId="0" applyFont="1" applyAlignment="1">
      <alignment horizontal="center" wrapText="1"/>
    </xf>
    <xf numFmtId="9" fontId="19" fillId="0" borderId="0" xfId="0" applyNumberFormat="1" applyFont="1" applyAlignment="1">
      <alignment horizontal="center"/>
    </xf>
    <xf numFmtId="0" fontId="20" fillId="0" borderId="0" xfId="0" applyFont="1" applyAlignment="1">
      <alignment horizontal="center"/>
    </xf>
    <xf numFmtId="167" fontId="19" fillId="0" borderId="0" xfId="0" applyNumberFormat="1" applyFont="1" applyAlignment="1">
      <alignment horizontal="center"/>
    </xf>
    <xf numFmtId="0" fontId="12" fillId="3" borderId="0" xfId="0" applyFont="1" applyFill="1" applyAlignment="1">
      <alignment horizontal="center"/>
    </xf>
    <xf numFmtId="0" fontId="12" fillId="0" borderId="0" xfId="0" applyFont="1" applyAlignment="1">
      <alignment horizontal="left" vertical="top" wrapText="1"/>
    </xf>
    <xf numFmtId="0" fontId="3" fillId="13" borderId="1" xfId="0" applyFont="1" applyFill="1" applyBorder="1" applyAlignment="1">
      <alignment horizontal="center"/>
    </xf>
    <xf numFmtId="0" fontId="3" fillId="13" borderId="0" xfId="0" applyFont="1" applyFill="1" applyAlignment="1">
      <alignment horizontal="center"/>
    </xf>
    <xf numFmtId="0" fontId="3" fillId="13" borderId="4" xfId="0" applyFont="1" applyFill="1" applyBorder="1" applyAlignment="1">
      <alignment horizontal="center"/>
    </xf>
    <xf numFmtId="0" fontId="3" fillId="7" borderId="33" xfId="0" applyFont="1" applyFill="1" applyBorder="1" applyAlignment="1">
      <alignment horizontal="center"/>
    </xf>
    <xf numFmtId="0" fontId="3" fillId="7" borderId="3" xfId="0" applyFont="1" applyFill="1" applyBorder="1" applyAlignment="1">
      <alignment horizontal="center"/>
    </xf>
    <xf numFmtId="0" fontId="3" fillId="13" borderId="5" xfId="0" applyFont="1" applyFill="1" applyBorder="1" applyAlignment="1">
      <alignment horizontal="center"/>
    </xf>
    <xf numFmtId="0" fontId="3" fillId="13" borderId="6" xfId="0" applyFont="1" applyFill="1" applyBorder="1" applyAlignment="1">
      <alignment horizontal="center"/>
    </xf>
    <xf numFmtId="0" fontId="3" fillId="13" borderId="3" xfId="0" applyFont="1" applyFill="1" applyBorder="1" applyAlignment="1">
      <alignment horizontal="center"/>
    </xf>
    <xf numFmtId="168" fontId="3" fillId="7" borderId="0" xfId="0" applyNumberFormat="1" applyFont="1" applyFill="1"/>
    <xf numFmtId="168" fontId="3" fillId="0" borderId="0" xfId="0" applyNumberFormat="1" applyFont="1"/>
    <xf numFmtId="0" fontId="1" fillId="0" borderId="4" xfId="0" applyFont="1" applyBorder="1"/>
    <xf numFmtId="0" fontId="1" fillId="0" borderId="2" xfId="0" applyFont="1" applyBorder="1"/>
    <xf numFmtId="165" fontId="3" fillId="0" borderId="0" xfId="0" applyNumberFormat="1" applyFont="1" applyAlignment="1">
      <alignment horizontal="center"/>
    </xf>
    <xf numFmtId="165" fontId="3" fillId="0" borderId="4" xfId="0" applyNumberFormat="1" applyFont="1" applyBorder="1" applyAlignment="1">
      <alignment horizontal="center"/>
    </xf>
    <xf numFmtId="165" fontId="21" fillId="0" borderId="0" xfId="0" applyNumberFormat="1" applyFont="1" applyAlignment="1">
      <alignment horizontal="center"/>
    </xf>
    <xf numFmtId="3" fontId="21" fillId="0" borderId="0" xfId="0" applyNumberFormat="1" applyFont="1" applyAlignment="1">
      <alignment horizontal="center"/>
    </xf>
    <xf numFmtId="0" fontId="3" fillId="0" borderId="0" xfId="0" applyFont="1" applyAlignment="1">
      <alignment horizontal="center" wrapText="1"/>
    </xf>
    <xf numFmtId="3" fontId="3" fillId="0" borderId="0" xfId="0" applyNumberFormat="1" applyFont="1" applyAlignment="1">
      <alignment horizontal="center"/>
    </xf>
    <xf numFmtId="165" fontId="3" fillId="14" borderId="0" xfId="0" applyNumberFormat="1" applyFont="1" applyFill="1" applyAlignment="1">
      <alignment horizontal="center"/>
    </xf>
    <xf numFmtId="168" fontId="3" fillId="14" borderId="0" xfId="0" applyNumberFormat="1" applyFont="1" applyFill="1"/>
    <xf numFmtId="0" fontId="3" fillId="0" borderId="0" xfId="0" applyFont="1" applyAlignment="1">
      <alignment horizontal="center"/>
    </xf>
    <xf numFmtId="0" fontId="3" fillId="13" borderId="0" xfId="0" applyFont="1" applyFill="1" applyAlignment="1">
      <alignment horizontal="center" wrapText="1"/>
    </xf>
    <xf numFmtId="165" fontId="3" fillId="7" borderId="0" xfId="0" applyNumberFormat="1" applyFont="1" applyFill="1" applyAlignment="1">
      <alignment horizontal="center"/>
    </xf>
    <xf numFmtId="165" fontId="21" fillId="7" borderId="0" xfId="0" applyNumberFormat="1" applyFont="1" applyFill="1" applyAlignment="1">
      <alignment horizontal="center"/>
    </xf>
    <xf numFmtId="0" fontId="12" fillId="7" borderId="0" xfId="0" applyFont="1" applyFill="1" applyAlignment="1">
      <alignment horizontal="center"/>
    </xf>
    <xf numFmtId="0" fontId="3" fillId="13" borderId="5" xfId="0" applyFont="1" applyFill="1" applyBorder="1"/>
    <xf numFmtId="0" fontId="3" fillId="0" borderId="0" xfId="0" applyFont="1"/>
    <xf numFmtId="168" fontId="3" fillId="11" borderId="0" xfId="0" applyNumberFormat="1" applyFont="1" applyFill="1"/>
    <xf numFmtId="2" fontId="1" fillId="3" borderId="5" xfId="0" applyNumberFormat="1" applyFont="1" applyFill="1" applyBorder="1"/>
    <xf numFmtId="0" fontId="3" fillId="3" borderId="33" xfId="0" applyFont="1" applyFill="1" applyBorder="1"/>
    <xf numFmtId="0" fontId="3" fillId="3" borderId="33" xfId="0" applyFont="1" applyFill="1" applyBorder="1" applyAlignment="1">
      <alignment horizontal="center"/>
    </xf>
    <xf numFmtId="0" fontId="3" fillId="3" borderId="3" xfId="0" applyFont="1" applyFill="1" applyBorder="1" applyAlignment="1">
      <alignment horizontal="center"/>
    </xf>
    <xf numFmtId="0" fontId="3" fillId="0" borderId="1" xfId="0" applyFont="1" applyBorder="1" applyAlignment="1">
      <alignment horizontal="left" vertical="top" wrapText="1"/>
    </xf>
    <xf numFmtId="0" fontId="3" fillId="0" borderId="0" xfId="0" applyFont="1" applyAlignment="1">
      <alignment horizontal="left" vertical="top" wrapText="1"/>
    </xf>
    <xf numFmtId="0" fontId="3" fillId="0" borderId="1" xfId="0" applyFont="1" applyBorder="1" applyAlignment="1">
      <alignment horizontal="left" wrapText="1"/>
    </xf>
    <xf numFmtId="0" fontId="3" fillId="0" borderId="0" xfId="0" applyFont="1" applyAlignment="1">
      <alignment horizontal="left" wrapText="1"/>
    </xf>
    <xf numFmtId="0" fontId="3" fillId="0" borderId="5" xfId="0" applyFont="1" applyBorder="1" applyAlignment="1">
      <alignment horizontal="left"/>
    </xf>
    <xf numFmtId="0" fontId="3" fillId="7" borderId="14" xfId="0" applyFont="1" applyFill="1" applyBorder="1" applyAlignment="1">
      <alignment horizontal="center"/>
    </xf>
    <xf numFmtId="4" fontId="3" fillId="0" borderId="0" xfId="0" applyNumberFormat="1" applyFont="1" applyAlignment="1">
      <alignment horizontal="center"/>
    </xf>
    <xf numFmtId="0" fontId="3" fillId="0" borderId="5" xfId="0" applyFont="1" applyBorder="1" applyAlignment="1">
      <alignment horizontal="center"/>
    </xf>
    <xf numFmtId="0" fontId="3" fillId="0" borderId="0" xfId="0" applyFont="1" applyAlignment="1">
      <alignment horizontal="left" vertical="top"/>
    </xf>
    <xf numFmtId="0" fontId="21" fillId="0" borderId="0" xfId="0" applyFont="1" applyAlignment="1">
      <alignment horizontal="left" wrapText="1"/>
    </xf>
    <xf numFmtId="0" fontId="1" fillId="3" borderId="7" xfId="0" applyFont="1" applyFill="1" applyBorder="1"/>
    <xf numFmtId="0" fontId="3" fillId="3" borderId="8" xfId="0" applyFont="1" applyFill="1" applyBorder="1"/>
    <xf numFmtId="0" fontId="3" fillId="3" borderId="8" xfId="0" applyFont="1" applyFill="1" applyBorder="1" applyAlignment="1">
      <alignment horizontal="center"/>
    </xf>
    <xf numFmtId="0" fontId="3" fillId="3" borderId="2" xfId="0" applyFont="1" applyFill="1" applyBorder="1" applyAlignment="1">
      <alignment horizontal="center"/>
    </xf>
    <xf numFmtId="0" fontId="3" fillId="7" borderId="3" xfId="0" applyFont="1" applyFill="1" applyBorder="1"/>
    <xf numFmtId="0" fontId="3" fillId="13" borderId="0" xfId="0" applyFont="1" applyFill="1"/>
    <xf numFmtId="165" fontId="21" fillId="0" borderId="1" xfId="0" applyNumberFormat="1" applyFont="1" applyBorder="1" applyAlignment="1">
      <alignment horizontal="center"/>
    </xf>
    <xf numFmtId="0" fontId="21" fillId="0" borderId="0" xfId="0" applyFont="1"/>
    <xf numFmtId="0" fontId="3" fillId="0" borderId="1" xfId="0" applyFont="1" applyBorder="1" applyAlignment="1">
      <alignment horizontal="left" vertical="top"/>
    </xf>
    <xf numFmtId="0" fontId="3" fillId="0" borderId="0" xfId="0" applyFont="1" applyAlignment="1">
      <alignment horizontal="left" indent="1"/>
    </xf>
    <xf numFmtId="3" fontId="3" fillId="0" borderId="0" xfId="0" applyNumberFormat="1" applyFont="1" applyAlignment="1">
      <alignment horizontal="right"/>
    </xf>
    <xf numFmtId="3" fontId="3" fillId="7" borderId="8" xfId="0" applyNumberFormat="1" applyFont="1" applyFill="1" applyBorder="1" applyAlignment="1">
      <alignment horizontal="center"/>
    </xf>
    <xf numFmtId="0" fontId="21" fillId="0" borderId="1" xfId="0" applyFont="1" applyBorder="1" applyAlignment="1">
      <alignment horizontal="left" wrapText="1"/>
    </xf>
    <xf numFmtId="0" fontId="3" fillId="7" borderId="7" xfId="0" applyFont="1" applyFill="1" applyBorder="1" applyAlignment="1">
      <alignment horizontal="center"/>
    </xf>
    <xf numFmtId="0" fontId="3" fillId="7" borderId="8" xfId="0" applyFont="1" applyFill="1" applyBorder="1" applyAlignment="1">
      <alignment horizontal="center"/>
    </xf>
    <xf numFmtId="0" fontId="3" fillId="7" borderId="2" xfId="0" applyFont="1" applyFill="1" applyBorder="1" applyAlignment="1">
      <alignment horizontal="center"/>
    </xf>
    <xf numFmtId="0" fontId="3" fillId="7" borderId="12" xfId="0" applyFont="1" applyFill="1" applyBorder="1" applyAlignment="1">
      <alignment horizontal="center"/>
    </xf>
    <xf numFmtId="0" fontId="3" fillId="0" borderId="6" xfId="0" applyFont="1" applyBorder="1" applyAlignment="1">
      <alignment horizontal="left"/>
    </xf>
    <xf numFmtId="0" fontId="3" fillId="0" borderId="1" xfId="0" applyFont="1" applyBorder="1" applyAlignment="1">
      <alignment horizontal="center" wrapText="1"/>
    </xf>
    <xf numFmtId="0" fontId="3" fillId="0" borderId="1" xfId="0" applyFont="1" applyBorder="1" applyAlignment="1">
      <alignment horizontal="center"/>
    </xf>
    <xf numFmtId="14" fontId="1" fillId="0" borderId="1" xfId="0" applyNumberFormat="1" applyFont="1" applyBorder="1"/>
    <xf numFmtId="14" fontId="1" fillId="0" borderId="7" xfId="0" applyNumberFormat="1" applyFont="1" applyBorder="1"/>
    <xf numFmtId="165" fontId="3" fillId="7" borderId="6" xfId="0" applyNumberFormat="1" applyFont="1" applyFill="1" applyBorder="1" applyAlignment="1">
      <alignment horizontal="center"/>
    </xf>
    <xf numFmtId="0" fontId="4" fillId="0" borderId="0" xfId="0" applyFont="1" applyAlignment="1">
      <alignment horizontal="center" wrapText="1"/>
    </xf>
    <xf numFmtId="169" fontId="1" fillId="0" borderId="0" xfId="0" applyNumberFormat="1" applyFont="1"/>
    <xf numFmtId="0" fontId="4" fillId="3" borderId="5" xfId="0" applyFont="1" applyFill="1" applyBorder="1" applyAlignment="1">
      <alignment horizontal="center" wrapText="1"/>
    </xf>
    <xf numFmtId="0" fontId="4" fillId="3" borderId="3" xfId="0" applyFont="1" applyFill="1" applyBorder="1" applyAlignment="1">
      <alignment wrapText="1"/>
    </xf>
    <xf numFmtId="0" fontId="3" fillId="0" borderId="0" xfId="0" applyFont="1" applyAlignment="1">
      <alignment wrapText="1"/>
    </xf>
    <xf numFmtId="0" fontId="3" fillId="13" borderId="2" xfId="0" applyFont="1" applyFill="1" applyBorder="1" applyAlignment="1">
      <alignment horizontal="center"/>
    </xf>
    <xf numFmtId="0" fontId="3" fillId="13" borderId="7" xfId="0" applyFont="1" applyFill="1" applyBorder="1" applyAlignment="1">
      <alignment horizontal="center"/>
    </xf>
    <xf numFmtId="0" fontId="3" fillId="13" borderId="8" xfId="0" applyFont="1" applyFill="1" applyBorder="1" applyAlignment="1">
      <alignment horizontal="center"/>
    </xf>
    <xf numFmtId="0" fontId="3" fillId="0" borderId="6" xfId="0" applyFont="1" applyBorder="1" applyAlignment="1">
      <alignment horizontal="center"/>
    </xf>
    <xf numFmtId="0" fontId="3" fillId="13" borderId="33" xfId="0" applyFont="1" applyFill="1" applyBorder="1"/>
    <xf numFmtId="0" fontId="3" fillId="7" borderId="33" xfId="0" applyFont="1" applyFill="1" applyBorder="1"/>
    <xf numFmtId="0" fontId="12" fillId="0" borderId="1" xfId="0" applyFont="1" applyBorder="1"/>
    <xf numFmtId="0" fontId="3" fillId="7" borderId="6" xfId="0" applyFont="1" applyFill="1" applyBorder="1" applyAlignment="1">
      <alignment horizontal="center"/>
    </xf>
    <xf numFmtId="0" fontId="3" fillId="13" borderId="33" xfId="0" applyFont="1" applyFill="1" applyBorder="1" applyAlignment="1">
      <alignment horizontal="center"/>
    </xf>
    <xf numFmtId="3" fontId="3" fillId="13" borderId="0" xfId="0" applyNumberFormat="1" applyFont="1" applyFill="1" applyAlignment="1">
      <alignment horizontal="center"/>
    </xf>
    <xf numFmtId="3" fontId="21" fillId="13" borderId="0" xfId="0" applyNumberFormat="1" applyFont="1" applyFill="1" applyAlignment="1">
      <alignment horizontal="center"/>
    </xf>
    <xf numFmtId="165" fontId="3" fillId="7" borderId="3" xfId="0" applyNumberFormat="1" applyFont="1" applyFill="1" applyBorder="1" applyAlignment="1">
      <alignment horizontal="center"/>
    </xf>
    <xf numFmtId="0" fontId="3" fillId="13" borderId="3" xfId="0" applyFont="1" applyFill="1" applyBorder="1"/>
    <xf numFmtId="0" fontId="3" fillId="3" borderId="0" xfId="0" applyFont="1" applyFill="1"/>
    <xf numFmtId="0" fontId="3" fillId="3" borderId="0" xfId="0" applyFont="1" applyFill="1" applyAlignment="1">
      <alignment horizontal="center"/>
    </xf>
    <xf numFmtId="165" fontId="21" fillId="7" borderId="4" xfId="0" applyNumberFormat="1" applyFont="1" applyFill="1" applyBorder="1" applyAlignment="1">
      <alignment horizontal="center"/>
    </xf>
    <xf numFmtId="3" fontId="21" fillId="13" borderId="4" xfId="0" applyNumberFormat="1" applyFont="1" applyFill="1" applyBorder="1" applyAlignment="1">
      <alignment horizontal="center"/>
    </xf>
    <xf numFmtId="0" fontId="3" fillId="13" borderId="4" xfId="0" applyFont="1" applyFill="1" applyBorder="1" applyAlignment="1">
      <alignment horizontal="center" wrapText="1"/>
    </xf>
    <xf numFmtId="165" fontId="3" fillId="7" borderId="4" xfId="0" applyNumberFormat="1" applyFont="1" applyFill="1" applyBorder="1" applyAlignment="1">
      <alignment horizontal="center"/>
    </xf>
    <xf numFmtId="3" fontId="3" fillId="13" borderId="4" xfId="0" applyNumberFormat="1" applyFont="1" applyFill="1" applyBorder="1" applyAlignment="1">
      <alignment horizontal="center"/>
    </xf>
    <xf numFmtId="0" fontId="3" fillId="0" borderId="35" xfId="0" applyFont="1" applyBorder="1"/>
    <xf numFmtId="0" fontId="3" fillId="0" borderId="36" xfId="0" applyFont="1" applyBorder="1" applyAlignment="1">
      <alignment horizontal="center"/>
    </xf>
    <xf numFmtId="0" fontId="3" fillId="0" borderId="35" xfId="0" applyFont="1" applyBorder="1" applyAlignment="1">
      <alignment horizontal="center"/>
    </xf>
    <xf numFmtId="165" fontId="3" fillId="0" borderId="35" xfId="0" applyNumberFormat="1" applyFont="1" applyBorder="1" applyAlignment="1">
      <alignment horizontal="center"/>
    </xf>
    <xf numFmtId="0" fontId="3" fillId="0" borderId="33" xfId="0" applyFont="1" applyBorder="1" applyAlignment="1">
      <alignment horizontal="center"/>
    </xf>
    <xf numFmtId="2" fontId="1" fillId="3" borderId="0" xfId="0" applyNumberFormat="1" applyFont="1" applyFill="1"/>
    <xf numFmtId="0" fontId="1" fillId="3" borderId="0" xfId="0" applyFont="1" applyFill="1"/>
    <xf numFmtId="4" fontId="3" fillId="0" borderId="4" xfId="0" applyNumberFormat="1" applyFont="1" applyBorder="1" applyAlignment="1">
      <alignment horizontal="center"/>
    </xf>
    <xf numFmtId="168" fontId="3" fillId="7" borderId="35" xfId="0" applyNumberFormat="1" applyFont="1" applyFill="1" applyBorder="1"/>
    <xf numFmtId="168" fontId="3" fillId="7" borderId="37" xfId="0" applyNumberFormat="1" applyFont="1" applyFill="1" applyBorder="1"/>
    <xf numFmtId="3" fontId="3" fillId="0" borderId="8" xfId="0" applyNumberFormat="1" applyFont="1" applyBorder="1" applyAlignment="1">
      <alignment horizontal="center" vertical="top"/>
    </xf>
    <xf numFmtId="165" fontId="3" fillId="0" borderId="3" xfId="0" applyNumberFormat="1" applyFont="1" applyBorder="1" applyAlignment="1">
      <alignment horizontal="center"/>
    </xf>
    <xf numFmtId="168" fontId="3" fillId="0" borderId="4" xfId="0" applyNumberFormat="1" applyFont="1" applyBorder="1" applyAlignment="1">
      <alignment horizontal="center"/>
    </xf>
    <xf numFmtId="165" fontId="3" fillId="0" borderId="2" xfId="0" applyNumberFormat="1" applyFont="1" applyBorder="1" applyAlignment="1">
      <alignment horizontal="center"/>
    </xf>
    <xf numFmtId="165" fontId="3" fillId="0" borderId="0" xfId="0" applyNumberFormat="1" applyFont="1" applyAlignment="1">
      <alignment horizontal="center" vertical="top"/>
    </xf>
    <xf numFmtId="0" fontId="1" fillId="0" borderId="7" xfId="0" applyFont="1" applyBorder="1"/>
    <xf numFmtId="165" fontId="3" fillId="0" borderId="0" xfId="0" applyNumberFormat="1" applyFont="1" applyAlignment="1">
      <alignment horizontal="center" wrapText="1"/>
    </xf>
    <xf numFmtId="165" fontId="3" fillId="0" borderId="8" xfId="0" applyNumberFormat="1" applyFont="1" applyBorder="1" applyAlignment="1">
      <alignment horizontal="center" wrapText="1"/>
    </xf>
    <xf numFmtId="165" fontId="12" fillId="0" borderId="0" xfId="0" applyNumberFormat="1" applyFont="1" applyAlignment="1">
      <alignment horizontal="center" vertical="top" wrapText="1"/>
    </xf>
    <xf numFmtId="165" fontId="21" fillId="0" borderId="33" xfId="0" applyNumberFormat="1" applyFont="1" applyBorder="1" applyAlignment="1">
      <alignment horizontal="center"/>
    </xf>
    <xf numFmtId="2" fontId="3" fillId="0" borderId="8" xfId="0" applyNumberFormat="1" applyFont="1" applyBorder="1"/>
    <xf numFmtId="165" fontId="3" fillId="14" borderId="0" xfId="0" applyNumberFormat="1" applyFont="1" applyFill="1" applyAlignment="1">
      <alignment horizontal="center" wrapText="1"/>
    </xf>
    <xf numFmtId="0" fontId="3" fillId="7" borderId="0" xfId="0" applyFont="1" applyFill="1" applyAlignment="1">
      <alignment horizontal="center"/>
    </xf>
    <xf numFmtId="165" fontId="3" fillId="7" borderId="0" xfId="0" applyNumberFormat="1" applyFont="1" applyFill="1" applyAlignment="1">
      <alignment horizontal="center" wrapText="1"/>
    </xf>
    <xf numFmtId="165" fontId="3" fillId="15" borderId="0" xfId="0" applyNumberFormat="1" applyFont="1" applyFill="1" applyAlignment="1">
      <alignment horizontal="center" wrapText="1"/>
    </xf>
    <xf numFmtId="165" fontId="3" fillId="15" borderId="0" xfId="0" applyNumberFormat="1" applyFont="1" applyFill="1" applyAlignment="1">
      <alignment horizontal="center" vertical="top" wrapText="1"/>
    </xf>
    <xf numFmtId="1" fontId="3" fillId="13" borderId="0" xfId="0" applyNumberFormat="1" applyFont="1" applyFill="1" applyAlignment="1">
      <alignment horizontal="center" wrapText="1"/>
    </xf>
    <xf numFmtId="1" fontId="3" fillId="13" borderId="0" xfId="0" applyNumberFormat="1" applyFont="1" applyFill="1" applyAlignment="1">
      <alignment horizontal="center"/>
    </xf>
    <xf numFmtId="3" fontId="3" fillId="11" borderId="0" xfId="0" applyNumberFormat="1" applyFont="1" applyFill="1" applyAlignment="1">
      <alignment horizontal="center" wrapText="1"/>
    </xf>
    <xf numFmtId="3" fontId="3" fillId="7" borderId="0" xfId="0" applyNumberFormat="1" applyFont="1" applyFill="1" applyAlignment="1">
      <alignment horizontal="center"/>
    </xf>
    <xf numFmtId="3" fontId="3" fillId="7" borderId="0" xfId="0" applyNumberFormat="1" applyFont="1" applyFill="1" applyAlignment="1">
      <alignment horizontal="center" wrapText="1"/>
    </xf>
    <xf numFmtId="0" fontId="3" fillId="13" borderId="5" xfId="0" applyFont="1" applyFill="1" applyBorder="1" applyAlignment="1">
      <alignment wrapText="1"/>
    </xf>
    <xf numFmtId="0" fontId="3" fillId="13" borderId="33" xfId="0" applyFont="1" applyFill="1" applyBorder="1" applyAlignment="1">
      <alignment wrapText="1"/>
    </xf>
    <xf numFmtId="0" fontId="3" fillId="7" borderId="33" xfId="0" applyFont="1" applyFill="1" applyBorder="1" applyAlignment="1">
      <alignment wrapText="1"/>
    </xf>
    <xf numFmtId="0" fontId="3" fillId="7" borderId="3" xfId="0" applyFont="1" applyFill="1" applyBorder="1" applyAlignment="1">
      <alignment wrapText="1"/>
    </xf>
    <xf numFmtId="165" fontId="21" fillId="0" borderId="0" xfId="0" applyNumberFormat="1" applyFont="1" applyAlignment="1">
      <alignment horizontal="center" wrapText="1"/>
    </xf>
    <xf numFmtId="0" fontId="3" fillId="7" borderId="14" xfId="0" applyFont="1" applyFill="1" applyBorder="1"/>
    <xf numFmtId="3" fontId="3" fillId="7" borderId="12" xfId="0" applyNumberFormat="1" applyFont="1" applyFill="1" applyBorder="1" applyAlignment="1">
      <alignment horizontal="center"/>
    </xf>
    <xf numFmtId="0" fontId="3" fillId="0" borderId="0" xfId="0" applyFont="1" applyAlignment="1">
      <alignment horizontal="left" vertical="top" wrapText="1" indent="2"/>
    </xf>
    <xf numFmtId="3" fontId="3" fillId="7" borderId="13" xfId="0" applyNumberFormat="1" applyFont="1" applyFill="1" applyBorder="1" applyAlignment="1">
      <alignment horizontal="center"/>
    </xf>
    <xf numFmtId="165" fontId="12" fillId="7" borderId="0" xfId="0" applyNumberFormat="1" applyFont="1" applyFill="1" applyAlignment="1">
      <alignment horizontal="center" vertical="top" wrapText="1"/>
    </xf>
    <xf numFmtId="165" fontId="3" fillId="7" borderId="33" xfId="0" applyNumberFormat="1" applyFont="1" applyFill="1" applyBorder="1" applyAlignment="1">
      <alignment horizontal="center" wrapText="1"/>
    </xf>
    <xf numFmtId="168" fontId="3" fillId="7" borderId="0" xfId="0" applyNumberFormat="1" applyFont="1" applyFill="1" applyAlignment="1">
      <alignment horizontal="center" wrapText="1"/>
    </xf>
    <xf numFmtId="0" fontId="3" fillId="3" borderId="17" xfId="0" applyFont="1" applyFill="1" applyBorder="1" applyAlignment="1">
      <alignment horizontal="center" vertical="center" wrapText="1"/>
    </xf>
    <xf numFmtId="0" fontId="12" fillId="9" borderId="0" xfId="0" applyFont="1" applyFill="1" applyAlignment="1">
      <alignment horizontal="center" vertical="center" wrapText="1"/>
    </xf>
    <xf numFmtId="165" fontId="3" fillId="11" borderId="0" xfId="0" applyNumberFormat="1" applyFont="1" applyFill="1" applyAlignment="1">
      <alignment horizontal="center" vertical="top" wrapText="1"/>
    </xf>
    <xf numFmtId="165" fontId="3" fillId="2" borderId="0" xfId="0" applyNumberFormat="1" applyFont="1" applyFill="1" applyAlignment="1">
      <alignment horizontal="center" wrapText="1"/>
    </xf>
    <xf numFmtId="0" fontId="3" fillId="0" borderId="5" xfId="0" applyFont="1" applyBorder="1" applyAlignment="1">
      <alignment horizontal="left" wrapText="1"/>
    </xf>
    <xf numFmtId="0" fontId="3" fillId="0" borderId="5" xfId="0" applyFont="1" applyBorder="1" applyAlignment="1">
      <alignment horizontal="center" wrapText="1"/>
    </xf>
    <xf numFmtId="0" fontId="3" fillId="0" borderId="33" xfId="0" applyFont="1" applyBorder="1" applyAlignment="1">
      <alignment horizontal="center" wrapText="1"/>
    </xf>
    <xf numFmtId="165" fontId="3" fillId="0" borderId="33" xfId="0" applyNumberFormat="1" applyFont="1" applyBorder="1" applyAlignment="1">
      <alignment horizontal="center" wrapText="1"/>
    </xf>
    <xf numFmtId="165" fontId="3" fillId="13" borderId="0" xfId="0" applyNumberFormat="1" applyFont="1" applyFill="1" applyAlignment="1">
      <alignment horizontal="center" wrapText="1"/>
    </xf>
    <xf numFmtId="3" fontId="3" fillId="0" borderId="4" xfId="0" applyNumberFormat="1" applyFont="1" applyBorder="1" applyAlignment="1">
      <alignment horizontal="center" wrapText="1"/>
    </xf>
    <xf numFmtId="0" fontId="3" fillId="0" borderId="7" xfId="0" applyFont="1" applyBorder="1"/>
    <xf numFmtId="0" fontId="3" fillId="0" borderId="8" xfId="0" applyFont="1" applyBorder="1"/>
    <xf numFmtId="3" fontId="3" fillId="0" borderId="1" xfId="0" applyNumberFormat="1" applyFont="1" applyBorder="1" applyAlignment="1">
      <alignment horizontal="center" vertical="top" wrapText="1"/>
    </xf>
    <xf numFmtId="2" fontId="3" fillId="7" borderId="8" xfId="0" applyNumberFormat="1" applyFont="1" applyFill="1" applyBorder="1"/>
    <xf numFmtId="165" fontId="21" fillId="7" borderId="33" xfId="0" applyNumberFormat="1" applyFont="1" applyFill="1" applyBorder="1" applyAlignment="1">
      <alignment horizontal="center"/>
    </xf>
    <xf numFmtId="2" fontId="3" fillId="7" borderId="2" xfId="0" applyNumberFormat="1" applyFont="1" applyFill="1" applyBorder="1"/>
    <xf numFmtId="0" fontId="3" fillId="0" borderId="1" xfId="0" applyFont="1" applyBorder="1" applyAlignment="1">
      <alignment horizontal="left" vertical="top" wrapText="1" indent="2"/>
    </xf>
    <xf numFmtId="3" fontId="3" fillId="0" borderId="4" xfId="0" applyNumberFormat="1" applyFont="1" applyBorder="1" applyAlignment="1">
      <alignment horizontal="center"/>
    </xf>
    <xf numFmtId="3" fontId="3" fillId="13" borderId="8" xfId="0" applyNumberFormat="1" applyFont="1" applyFill="1" applyBorder="1" applyAlignment="1">
      <alignment horizontal="center" vertical="top" wrapText="1"/>
    </xf>
    <xf numFmtId="1" fontId="3" fillId="0" borderId="5" xfId="0" applyNumberFormat="1" applyFont="1" applyBorder="1" applyAlignment="1">
      <alignment horizontal="center"/>
    </xf>
    <xf numFmtId="1" fontId="3" fillId="0" borderId="33" xfId="0" applyNumberFormat="1" applyFont="1" applyBorder="1" applyAlignment="1">
      <alignment horizontal="center"/>
    </xf>
    <xf numFmtId="1" fontId="3" fillId="13" borderId="33" xfId="0" applyNumberFormat="1" applyFont="1" applyFill="1" applyBorder="1" applyAlignment="1">
      <alignment horizontal="center"/>
    </xf>
    <xf numFmtId="0" fontId="21" fillId="0" borderId="0" xfId="0" applyFont="1" applyAlignment="1">
      <alignment horizontal="left"/>
    </xf>
    <xf numFmtId="0" fontId="21" fillId="0" borderId="5" xfId="0" applyFont="1" applyBorder="1" applyAlignment="1">
      <alignment horizontal="left"/>
    </xf>
    <xf numFmtId="0" fontId="21" fillId="0" borderId="33" xfId="0" applyFont="1" applyBorder="1" applyAlignment="1">
      <alignment horizontal="left"/>
    </xf>
    <xf numFmtId="1" fontId="3" fillId="0" borderId="1" xfId="0" applyNumberFormat="1" applyFont="1" applyBorder="1" applyAlignment="1">
      <alignment horizontal="center" wrapText="1"/>
    </xf>
    <xf numFmtId="165" fontId="3" fillId="0" borderId="6" xfId="0" applyNumberFormat="1" applyFont="1" applyBorder="1" applyAlignment="1">
      <alignment horizontal="center" wrapText="1"/>
    </xf>
    <xf numFmtId="165" fontId="3" fillId="16" borderId="0" xfId="0" applyNumberFormat="1" applyFont="1" applyFill="1" applyAlignment="1">
      <alignment horizontal="center" wrapText="1"/>
    </xf>
    <xf numFmtId="165" fontId="3" fillId="0" borderId="0" xfId="0" applyNumberFormat="1" applyFont="1" applyAlignment="1">
      <alignment vertical="top" wrapText="1"/>
    </xf>
    <xf numFmtId="0" fontId="3" fillId="0" borderId="7" xfId="0" applyFont="1" applyBorder="1" applyAlignment="1">
      <alignment horizontal="left" vertical="top" wrapText="1" indent="2"/>
    </xf>
    <xf numFmtId="0" fontId="3" fillId="0" borderId="4" xfId="0" applyFont="1" applyBorder="1" applyAlignment="1">
      <alignment vertical="top" wrapText="1"/>
    </xf>
    <xf numFmtId="0" fontId="3" fillId="0" borderId="1" xfId="0" applyFont="1" applyBorder="1" applyAlignment="1">
      <alignment horizontal="left" wrapText="1" indent="4"/>
    </xf>
    <xf numFmtId="0" fontId="12" fillId="0" borderId="0" xfId="0" applyFont="1" applyAlignment="1">
      <alignment horizontal="left" wrapText="1"/>
    </xf>
    <xf numFmtId="3" fontId="3" fillId="0" borderId="0" xfId="0" applyNumberFormat="1" applyFont="1" applyAlignment="1">
      <alignment horizontal="center" vertical="top"/>
    </xf>
    <xf numFmtId="170" fontId="3" fillId="0" borderId="0" xfId="0" applyNumberFormat="1" applyFont="1" applyAlignment="1">
      <alignment horizontal="center" vertical="top" wrapText="1"/>
    </xf>
    <xf numFmtId="3" fontId="3" fillId="0" borderId="2" xfId="0" applyNumberFormat="1" applyFont="1" applyBorder="1" applyAlignment="1">
      <alignment horizontal="center" wrapText="1"/>
    </xf>
    <xf numFmtId="0" fontId="3" fillId="0" borderId="38" xfId="0" applyFont="1" applyBorder="1" applyAlignment="1">
      <alignment wrapText="1"/>
    </xf>
    <xf numFmtId="0" fontId="3" fillId="0" borderId="34" xfId="0" applyFont="1" applyBorder="1"/>
    <xf numFmtId="3" fontId="3" fillId="0" borderId="0" xfId="0" applyNumberFormat="1" applyFont="1" applyAlignment="1">
      <alignment vertical="top" wrapText="1"/>
    </xf>
    <xf numFmtId="3" fontId="3" fillId="0" borderId="3" xfId="0" applyNumberFormat="1" applyFont="1" applyBorder="1" applyAlignment="1">
      <alignment horizontal="center"/>
    </xf>
    <xf numFmtId="3" fontId="3" fillId="0" borderId="7" xfId="0" applyNumberFormat="1" applyFont="1" applyBorder="1" applyAlignment="1">
      <alignment horizontal="center" vertical="top" wrapText="1"/>
    </xf>
    <xf numFmtId="0" fontId="3" fillId="0" borderId="0" xfId="0" applyFont="1" applyAlignment="1">
      <alignment horizontal="left" wrapText="1" indent="2"/>
    </xf>
    <xf numFmtId="3" fontId="3" fillId="0" borderId="8" xfId="0" applyNumberFormat="1" applyFont="1" applyBorder="1" applyAlignment="1">
      <alignment horizontal="center" vertical="top" wrapText="1"/>
    </xf>
    <xf numFmtId="0" fontId="3" fillId="0" borderId="0" xfId="0" applyFont="1" applyAlignment="1">
      <alignment horizontal="left" wrapText="1" indent="4"/>
    </xf>
    <xf numFmtId="0" fontId="3" fillId="0" borderId="4" xfId="0" applyFont="1" applyBorder="1" applyAlignment="1">
      <alignment wrapText="1"/>
    </xf>
    <xf numFmtId="0" fontId="3" fillId="0" borderId="7" xfId="0" applyFont="1" applyBorder="1" applyAlignment="1">
      <alignment horizontal="left" wrapText="1" indent="4"/>
    </xf>
    <xf numFmtId="3" fontId="22" fillId="0" borderId="0" xfId="0" applyNumberFormat="1" applyFont="1" applyAlignment="1">
      <alignment horizontal="center" wrapText="1"/>
    </xf>
    <xf numFmtId="3" fontId="3" fillId="0" borderId="8" xfId="0" applyNumberFormat="1" applyFont="1" applyBorder="1" applyAlignment="1">
      <alignment horizontal="center" wrapText="1"/>
    </xf>
    <xf numFmtId="168" fontId="3" fillId="0" borderId="1" xfId="0" applyNumberFormat="1" applyFont="1" applyBorder="1" applyAlignment="1">
      <alignment horizontal="center" wrapText="1"/>
    </xf>
    <xf numFmtId="168" fontId="3" fillId="0" borderId="7" xfId="0" applyNumberFormat="1" applyFont="1" applyBorder="1" applyAlignment="1">
      <alignment horizontal="center" wrapText="1"/>
    </xf>
    <xf numFmtId="0" fontId="23" fillId="0" borderId="0" xfId="0" applyFont="1"/>
    <xf numFmtId="165" fontId="3" fillId="7" borderId="8" xfId="0" applyNumberFormat="1" applyFont="1" applyFill="1" applyBorder="1" applyAlignment="1">
      <alignment horizontal="center" wrapText="1"/>
    </xf>
    <xf numFmtId="0" fontId="12" fillId="0" borderId="0" xfId="0" applyFont="1" applyAlignment="1">
      <alignment wrapText="1"/>
    </xf>
    <xf numFmtId="3" fontId="3" fillId="0" borderId="0" xfId="0" applyNumberFormat="1" applyFont="1" applyAlignment="1">
      <alignment horizontal="left" vertical="top" wrapText="1"/>
    </xf>
    <xf numFmtId="168" fontId="3" fillId="0" borderId="0" xfId="0" applyNumberFormat="1" applyFont="1" applyAlignment="1">
      <alignment horizontal="center" wrapText="1"/>
    </xf>
    <xf numFmtId="165" fontId="3" fillId="0" borderId="0" xfId="0" applyNumberFormat="1" applyFont="1" applyAlignment="1">
      <alignment wrapText="1"/>
    </xf>
    <xf numFmtId="0" fontId="12" fillId="0" borderId="0" xfId="0" applyFont="1" applyAlignment="1">
      <alignment horizontal="left" vertical="top" wrapText="1" indent="2"/>
    </xf>
    <xf numFmtId="0" fontId="12" fillId="0" borderId="1" xfId="0" applyFont="1" applyBorder="1" applyAlignment="1">
      <alignment horizontal="left" vertical="top" wrapText="1"/>
    </xf>
    <xf numFmtId="3" fontId="12" fillId="0" borderId="17" xfId="0" applyNumberFormat="1" applyFont="1" applyBorder="1" applyAlignment="1">
      <alignment horizontal="left" wrapText="1"/>
    </xf>
    <xf numFmtId="165" fontId="3" fillId="0" borderId="13" xfId="0" applyNumberFormat="1" applyFont="1" applyBorder="1" applyAlignment="1">
      <alignment horizontal="center" wrapText="1"/>
    </xf>
    <xf numFmtId="168" fontId="3" fillId="0" borderId="13" xfId="0" applyNumberFormat="1" applyFont="1" applyBorder="1" applyAlignment="1">
      <alignment horizontal="center" wrapText="1"/>
    </xf>
    <xf numFmtId="3" fontId="3" fillId="0" borderId="12" xfId="0" applyNumberFormat="1" applyFont="1" applyBorder="1" applyAlignment="1">
      <alignment horizontal="center" vertical="top"/>
    </xf>
    <xf numFmtId="0" fontId="12" fillId="0" borderId="0" xfId="0" applyFont="1" applyAlignment="1">
      <alignment horizontal="center" vertical="center" wrapText="1"/>
    </xf>
    <xf numFmtId="165" fontId="3" fillId="0" borderId="2" xfId="0" applyNumberFormat="1" applyFont="1" applyBorder="1" applyAlignment="1">
      <alignment horizontal="center" wrapText="1"/>
    </xf>
    <xf numFmtId="3" fontId="3" fillId="0" borderId="2" xfId="0" applyNumberFormat="1" applyFont="1" applyBorder="1" applyAlignment="1">
      <alignment horizontal="center"/>
    </xf>
    <xf numFmtId="165" fontId="3" fillId="7" borderId="6" xfId="0" applyNumberFormat="1" applyFont="1" applyFill="1" applyBorder="1" applyAlignment="1">
      <alignment horizontal="center" wrapText="1"/>
    </xf>
    <xf numFmtId="0" fontId="12" fillId="0" borderId="1" xfId="0" applyFont="1" applyBorder="1" applyAlignment="1">
      <alignment horizontal="left" vertical="top" wrapText="1" indent="2"/>
    </xf>
    <xf numFmtId="3" fontId="3" fillId="0" borderId="6" xfId="0" applyNumberFormat="1" applyFont="1" applyBorder="1" applyAlignment="1">
      <alignment horizontal="center" wrapText="1"/>
    </xf>
    <xf numFmtId="165" fontId="3" fillId="15" borderId="8" xfId="0" applyNumberFormat="1" applyFont="1" applyFill="1" applyBorder="1" applyAlignment="1">
      <alignment horizontal="center" wrapText="1"/>
    </xf>
    <xf numFmtId="0" fontId="3" fillId="0" borderId="1" xfId="0" applyFont="1" applyBorder="1" applyAlignment="1">
      <alignment horizontal="left" wrapText="1" indent="2"/>
    </xf>
    <xf numFmtId="3" fontId="3" fillId="0" borderId="6" xfId="0" applyNumberFormat="1" applyFont="1" applyBorder="1" applyAlignment="1">
      <alignment horizontal="center" vertical="top" wrapText="1"/>
    </xf>
    <xf numFmtId="0" fontId="3" fillId="0" borderId="6" xfId="0" applyFont="1" applyBorder="1" applyAlignment="1">
      <alignment horizontal="center" wrapText="1"/>
    </xf>
    <xf numFmtId="0" fontId="3" fillId="0" borderId="14" xfId="0" applyFont="1" applyBorder="1" applyAlignment="1">
      <alignment horizontal="center"/>
    </xf>
    <xf numFmtId="0" fontId="12" fillId="0" borderId="38" xfId="0" applyFont="1" applyBorder="1" applyAlignment="1">
      <alignment horizontal="center" wrapText="1"/>
    </xf>
    <xf numFmtId="0" fontId="12" fillId="0" borderId="38" xfId="0" applyFont="1" applyBorder="1" applyAlignment="1">
      <alignment wrapText="1"/>
    </xf>
    <xf numFmtId="3" fontId="12" fillId="0" borderId="34" xfId="0" applyNumberFormat="1" applyFont="1" applyBorder="1" applyAlignment="1">
      <alignment horizontal="center" wrapText="1"/>
    </xf>
    <xf numFmtId="0" fontId="3" fillId="0" borderId="1" xfId="0" applyFont="1" applyBorder="1" applyAlignment="1">
      <alignment vertical="top" wrapText="1"/>
    </xf>
    <xf numFmtId="0" fontId="3" fillId="0" borderId="1" xfId="0" applyFont="1" applyBorder="1" applyAlignment="1">
      <alignment horizontal="left" vertical="top" wrapText="1" indent="1"/>
    </xf>
    <xf numFmtId="0" fontId="3" fillId="0" borderId="1" xfId="0" applyFont="1" applyBorder="1" applyAlignment="1">
      <alignment horizontal="left" wrapText="1" indent="1"/>
    </xf>
    <xf numFmtId="0" fontId="12" fillId="0" borderId="1" xfId="0" applyFont="1" applyBorder="1" applyAlignment="1">
      <alignment horizontal="left" wrapText="1"/>
    </xf>
    <xf numFmtId="3" fontId="3" fillId="0" borderId="5" xfId="0" applyNumberFormat="1" applyFont="1" applyBorder="1" applyAlignment="1">
      <alignment horizontal="center" vertical="top" wrapText="1"/>
    </xf>
    <xf numFmtId="3" fontId="3" fillId="0" borderId="1" xfId="0" applyNumberFormat="1" applyFont="1" applyBorder="1" applyAlignment="1">
      <alignment horizontal="center" wrapText="1"/>
    </xf>
    <xf numFmtId="0" fontId="21" fillId="0" borderId="1" xfId="0" applyFont="1" applyBorder="1" applyAlignment="1">
      <alignment wrapText="1"/>
    </xf>
    <xf numFmtId="165" fontId="3" fillId="0" borderId="1" xfId="0" applyNumberFormat="1" applyFont="1" applyBorder="1" applyAlignment="1">
      <alignment horizontal="center" vertical="top" wrapText="1"/>
    </xf>
    <xf numFmtId="0" fontId="3" fillId="0" borderId="2" xfId="0" applyFont="1" applyBorder="1"/>
    <xf numFmtId="0" fontId="3" fillId="7" borderId="4" xfId="0" applyFont="1" applyFill="1" applyBorder="1" applyAlignment="1">
      <alignment horizontal="center"/>
    </xf>
    <xf numFmtId="0" fontId="3" fillId="7" borderId="1" xfId="0" applyFont="1" applyFill="1" applyBorder="1" applyAlignment="1">
      <alignment horizontal="center"/>
    </xf>
    <xf numFmtId="165" fontId="3" fillId="0" borderId="33" xfId="0" applyNumberFormat="1" applyFont="1" applyBorder="1" applyAlignment="1">
      <alignment horizontal="center"/>
    </xf>
    <xf numFmtId="3" fontId="3" fillId="0" borderId="0" xfId="0" applyNumberFormat="1" applyFont="1" applyAlignment="1">
      <alignment vertical="top"/>
    </xf>
    <xf numFmtId="1" fontId="3" fillId="0" borderId="0" xfId="0" applyNumberFormat="1" applyFont="1" applyAlignment="1">
      <alignment horizontal="center"/>
    </xf>
    <xf numFmtId="0" fontId="3" fillId="13" borderId="5" xfId="0" applyFont="1" applyFill="1" applyBorder="1" applyAlignment="1">
      <alignment horizontal="center" vertical="center"/>
    </xf>
    <xf numFmtId="1" fontId="3" fillId="7" borderId="0" xfId="0" applyNumberFormat="1" applyFont="1" applyFill="1"/>
    <xf numFmtId="1" fontId="3" fillId="0" borderId="0" xfId="0" applyNumberFormat="1" applyFont="1"/>
    <xf numFmtId="165" fontId="3" fillId="13" borderId="0" xfId="0" applyNumberFormat="1" applyFont="1" applyFill="1" applyAlignment="1">
      <alignment horizontal="center"/>
    </xf>
    <xf numFmtId="0" fontId="3" fillId="0" borderId="6" xfId="0" applyFont="1" applyBorder="1"/>
    <xf numFmtId="17" fontId="12" fillId="3" borderId="39" xfId="0" applyNumberFormat="1" applyFont="1" applyFill="1" applyBorder="1" applyAlignment="1">
      <alignment horizontal="left" wrapText="1"/>
    </xf>
    <xf numFmtId="0" fontId="12" fillId="3" borderId="5" xfId="0" applyFont="1" applyFill="1" applyBorder="1" applyAlignment="1">
      <alignment horizontal="left" wrapText="1"/>
    </xf>
    <xf numFmtId="17" fontId="12" fillId="3" borderId="38" xfId="0" applyNumberFormat="1" applyFont="1" applyFill="1" applyBorder="1" applyAlignment="1">
      <alignment horizontal="left" wrapText="1"/>
    </xf>
    <xf numFmtId="17" fontId="12" fillId="3" borderId="34" xfId="0" applyNumberFormat="1" applyFont="1" applyFill="1" applyBorder="1" applyAlignment="1">
      <alignment horizontal="left" wrapText="1"/>
    </xf>
    <xf numFmtId="17" fontId="12" fillId="3" borderId="6" xfId="0" applyNumberFormat="1" applyFont="1" applyFill="1" applyBorder="1" applyAlignment="1">
      <alignment horizontal="left" vertical="top" wrapText="1"/>
    </xf>
    <xf numFmtId="0" fontId="1" fillId="0" borderId="3" xfId="0" applyFont="1" applyBorder="1"/>
    <xf numFmtId="0" fontId="1" fillId="0" borderId="6" xfId="0" applyFont="1" applyBorder="1"/>
    <xf numFmtId="3" fontId="3" fillId="0" borderId="6" xfId="0" applyNumberFormat="1" applyFont="1" applyBorder="1" applyAlignment="1">
      <alignment horizontal="center"/>
    </xf>
    <xf numFmtId="0" fontId="7" fillId="0" borderId="0" xfId="0" applyFont="1" applyAlignment="1">
      <alignment horizontal="right" vertical="center" wrapText="1"/>
    </xf>
    <xf numFmtId="3" fontId="3" fillId="0" borderId="8" xfId="0" applyNumberFormat="1" applyFont="1" applyBorder="1" applyAlignment="1">
      <alignment horizontal="center" vertical="center"/>
    </xf>
    <xf numFmtId="3" fontId="3" fillId="0" borderId="0" xfId="0" applyNumberFormat="1" applyFont="1" applyAlignment="1">
      <alignment horizontal="center" vertical="center"/>
    </xf>
    <xf numFmtId="168" fontId="3" fillId="0" borderId="0" xfId="0" applyNumberFormat="1" applyFont="1" applyAlignment="1">
      <alignment horizontal="center" vertical="center"/>
    </xf>
    <xf numFmtId="1" fontId="3" fillId="7" borderId="0" xfId="0" applyNumberFormat="1" applyFont="1" applyFill="1" applyAlignment="1">
      <alignment horizontal="center" vertical="center"/>
    </xf>
    <xf numFmtId="3" fontId="3" fillId="7" borderId="0" xfId="0" applyNumberFormat="1" applyFont="1" applyFill="1" applyAlignment="1">
      <alignment horizontal="center" vertical="center"/>
    </xf>
    <xf numFmtId="1" fontId="21" fillId="7" borderId="0" xfId="0" applyNumberFormat="1" applyFont="1" applyFill="1" applyAlignment="1">
      <alignment horizontal="center" vertical="center"/>
    </xf>
    <xf numFmtId="165" fontId="3" fillId="11" borderId="0" xfId="0" applyNumberFormat="1" applyFont="1" applyFill="1" applyAlignment="1">
      <alignment horizontal="center"/>
    </xf>
    <xf numFmtId="0" fontId="3" fillId="13" borderId="0" xfId="0" applyFont="1" applyFill="1" applyAlignment="1">
      <alignment horizontal="center" vertical="center"/>
    </xf>
    <xf numFmtId="3" fontId="21" fillId="7" borderId="0" xfId="0" applyNumberFormat="1" applyFont="1" applyFill="1" applyAlignment="1">
      <alignment horizontal="center"/>
    </xf>
    <xf numFmtId="0" fontId="3" fillId="0" borderId="1" xfId="0" applyFont="1" applyBorder="1" applyAlignment="1">
      <alignment horizontal="left"/>
    </xf>
    <xf numFmtId="3" fontId="3" fillId="0" borderId="33" xfId="0" applyNumberFormat="1" applyFont="1" applyBorder="1" applyAlignment="1">
      <alignment horizontal="center"/>
    </xf>
    <xf numFmtId="165" fontId="3" fillId="0" borderId="6" xfId="0" applyNumberFormat="1" applyFont="1" applyBorder="1" applyAlignment="1">
      <alignment horizontal="center"/>
    </xf>
    <xf numFmtId="165" fontId="3" fillId="0" borderId="8" xfId="0" applyNumberFormat="1" applyFont="1" applyBorder="1" applyAlignment="1">
      <alignment horizontal="center"/>
    </xf>
    <xf numFmtId="0" fontId="3" fillId="0" borderId="0" xfId="0" applyFont="1" applyAlignment="1">
      <alignment horizontal="center" vertical="center" wrapText="1"/>
    </xf>
    <xf numFmtId="165" fontId="3" fillId="0" borderId="0" xfId="0" applyNumberFormat="1" applyFont="1" applyAlignment="1">
      <alignment horizontal="center" vertical="center"/>
    </xf>
    <xf numFmtId="168" fontId="3" fillId="13" borderId="0" xfId="0" applyNumberFormat="1" applyFont="1" applyFill="1" applyAlignment="1">
      <alignment horizontal="center" vertical="center"/>
    </xf>
    <xf numFmtId="0" fontId="24" fillId="0" borderId="5" xfId="0" applyFont="1" applyBorder="1" applyAlignment="1">
      <alignment horizontal="center" vertical="center" wrapText="1"/>
    </xf>
    <xf numFmtId="0" fontId="3" fillId="0" borderId="33" xfId="0" applyFont="1" applyBorder="1" applyAlignment="1">
      <alignment horizontal="center" vertical="center"/>
    </xf>
    <xf numFmtId="3" fontId="3" fillId="0" borderId="33" xfId="0" applyNumberFormat="1" applyFont="1" applyBorder="1" applyAlignment="1">
      <alignment horizontal="center" vertical="center"/>
    </xf>
    <xf numFmtId="0" fontId="3" fillId="0" borderId="0" xfId="0" applyFont="1" applyAlignment="1">
      <alignment horizontal="left"/>
    </xf>
    <xf numFmtId="3" fontId="3" fillId="13" borderId="33" xfId="0" applyNumberFormat="1" applyFont="1" applyFill="1" applyBorder="1" applyAlignment="1">
      <alignment horizontal="center"/>
    </xf>
    <xf numFmtId="0" fontId="24" fillId="0" borderId="1" xfId="0" applyFont="1" applyBorder="1" applyAlignment="1">
      <alignment horizontal="center" vertical="center" wrapText="1"/>
    </xf>
    <xf numFmtId="0" fontId="3" fillId="13" borderId="1" xfId="0" applyFont="1" applyFill="1" applyBorder="1" applyAlignment="1">
      <alignment horizontal="center" vertical="center"/>
    </xf>
    <xf numFmtId="0" fontId="3" fillId="13" borderId="4" xfId="0" applyFont="1" applyFill="1" applyBorder="1" applyAlignment="1">
      <alignment horizontal="center" vertical="center"/>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3" fontId="3" fillId="7" borderId="8" xfId="0" applyNumberFormat="1" applyFont="1" applyFill="1" applyBorder="1" applyAlignment="1">
      <alignment horizontal="center" vertical="center"/>
    </xf>
    <xf numFmtId="0" fontId="3" fillId="0" borderId="1" xfId="0" applyFont="1" applyBorder="1" applyAlignment="1">
      <alignment horizontal="center" vertical="center" wrapText="1"/>
    </xf>
    <xf numFmtId="0" fontId="3" fillId="0" borderId="1" xfId="0" applyFont="1" applyBorder="1" applyAlignment="1">
      <alignment wrapText="1"/>
    </xf>
    <xf numFmtId="0" fontId="3" fillId="0" borderId="7" xfId="0" applyFont="1" applyBorder="1" applyAlignment="1">
      <alignment horizontal="left" wrapText="1"/>
    </xf>
    <xf numFmtId="0" fontId="3" fillId="0" borderId="8" xfId="0" applyFont="1" applyBorder="1" applyAlignment="1">
      <alignment horizontal="left" wrapText="1"/>
    </xf>
    <xf numFmtId="0" fontId="3" fillId="0" borderId="33" xfId="0" applyFont="1" applyBorder="1" applyAlignment="1">
      <alignment horizontal="left"/>
    </xf>
    <xf numFmtId="165" fontId="3" fillId="2" borderId="33" xfId="0" applyNumberFormat="1" applyFont="1" applyFill="1" applyBorder="1" applyAlignment="1">
      <alignment horizontal="center"/>
    </xf>
    <xf numFmtId="168" fontId="12" fillId="0" borderId="0" xfId="0" applyNumberFormat="1" applyFont="1"/>
    <xf numFmtId="171" fontId="3" fillId="0" borderId="0" xfId="0" applyNumberFormat="1" applyFont="1" applyAlignment="1">
      <alignment horizontal="center"/>
    </xf>
    <xf numFmtId="3" fontId="3" fillId="0" borderId="8" xfId="0" applyNumberFormat="1" applyFont="1" applyBorder="1" applyAlignment="1">
      <alignment horizontal="center"/>
    </xf>
    <xf numFmtId="165" fontId="3" fillId="0" borderId="0" xfId="0" applyNumberFormat="1" applyFont="1"/>
    <xf numFmtId="0" fontId="3" fillId="0" borderId="5" xfId="0" applyFont="1" applyBorder="1" applyAlignment="1">
      <alignment wrapText="1"/>
    </xf>
    <xf numFmtId="0" fontId="3" fillId="0" borderId="7" xfId="0" applyFont="1" applyBorder="1" applyAlignment="1">
      <alignment vertical="top" wrapText="1"/>
    </xf>
    <xf numFmtId="0" fontId="21" fillId="0" borderId="1" xfId="0" applyFont="1" applyBorder="1" applyAlignment="1">
      <alignment horizontal="left" vertical="top" wrapText="1"/>
    </xf>
    <xf numFmtId="0" fontId="24" fillId="0" borderId="1" xfId="0" applyFont="1" applyBorder="1" applyAlignment="1">
      <alignment wrapText="1"/>
    </xf>
    <xf numFmtId="0" fontId="12" fillId="0" borderId="5" xfId="0" applyFont="1" applyBorder="1" applyAlignment="1">
      <alignment horizontal="center" vertical="top" wrapText="1"/>
    </xf>
    <xf numFmtId="0" fontId="12" fillId="0" borderId="0" xfId="0" applyFont="1" applyAlignment="1">
      <alignment horizontal="center" wrapText="1"/>
    </xf>
    <xf numFmtId="0" fontId="12" fillId="13" borderId="38" xfId="0" applyFont="1" applyFill="1" applyBorder="1" applyAlignment="1">
      <alignment horizontal="center"/>
    </xf>
    <xf numFmtId="0" fontId="12" fillId="13" borderId="34" xfId="0" applyFont="1" applyFill="1" applyBorder="1" applyAlignment="1">
      <alignment horizontal="center"/>
    </xf>
    <xf numFmtId="168" fontId="12" fillId="0" borderId="0" xfId="0" applyNumberFormat="1" applyFont="1" applyAlignment="1">
      <alignment horizontal="center" wrapText="1"/>
    </xf>
    <xf numFmtId="168" fontId="12" fillId="0" borderId="8" xfId="0" applyNumberFormat="1" applyFont="1" applyBorder="1" applyAlignment="1">
      <alignment horizontal="center" wrapText="1"/>
    </xf>
    <xf numFmtId="0" fontId="2" fillId="0" borderId="0" xfId="0" applyFont="1"/>
    <xf numFmtId="0" fontId="1" fillId="0" borderId="33" xfId="0" applyFont="1" applyBorder="1"/>
    <xf numFmtId="3" fontId="12" fillId="0" borderId="0" xfId="0" applyNumberFormat="1" applyFont="1" applyAlignment="1">
      <alignment horizontal="center" wrapText="1"/>
    </xf>
    <xf numFmtId="3" fontId="12" fillId="0" borderId="8" xfId="0" applyNumberFormat="1" applyFont="1" applyBorder="1" applyAlignment="1">
      <alignment horizontal="center" wrapText="1"/>
    </xf>
    <xf numFmtId="0" fontId="1" fillId="14" borderId="0" xfId="0" applyFont="1" applyFill="1"/>
    <xf numFmtId="0" fontId="3" fillId="7" borderId="5" xfId="0" applyFont="1" applyFill="1" applyBorder="1"/>
    <xf numFmtId="0" fontId="1" fillId="7" borderId="33" xfId="0" applyFont="1" applyFill="1" applyBorder="1"/>
    <xf numFmtId="0" fontId="1" fillId="7" borderId="0" xfId="0" applyFont="1" applyFill="1"/>
    <xf numFmtId="3" fontId="21" fillId="7" borderId="0" xfId="0" applyNumberFormat="1" applyFont="1" applyFill="1" applyAlignment="1">
      <alignment horizontal="center" wrapText="1"/>
    </xf>
    <xf numFmtId="3" fontId="3" fillId="0" borderId="33" xfId="0" applyNumberFormat="1" applyFont="1" applyBorder="1" applyAlignment="1">
      <alignment horizontal="center" wrapText="1"/>
    </xf>
    <xf numFmtId="3" fontId="21" fillId="0" borderId="0" xfId="0" applyNumberFormat="1" applyFont="1" applyAlignment="1">
      <alignment horizontal="center" wrapText="1"/>
    </xf>
    <xf numFmtId="1" fontId="21" fillId="0" borderId="8" xfId="0" applyNumberFormat="1" applyFont="1" applyBorder="1" applyAlignment="1">
      <alignment horizontal="center"/>
    </xf>
    <xf numFmtId="3" fontId="3" fillId="7" borderId="33" xfId="0" applyNumberFormat="1" applyFont="1" applyFill="1" applyBorder="1" applyAlignment="1">
      <alignment horizontal="center" wrapText="1"/>
    </xf>
    <xf numFmtId="1" fontId="3" fillId="7" borderId="0" xfId="0" applyNumberFormat="1" applyFont="1" applyFill="1" applyAlignment="1">
      <alignment horizontal="center" wrapText="1"/>
    </xf>
    <xf numFmtId="3" fontId="12" fillId="7" borderId="0" xfId="0" applyNumberFormat="1" applyFont="1" applyFill="1" applyAlignment="1">
      <alignment horizontal="center" wrapText="1"/>
    </xf>
    <xf numFmtId="1" fontId="1" fillId="7" borderId="0" xfId="0" applyNumberFormat="1" applyFont="1" applyFill="1"/>
    <xf numFmtId="0" fontId="12" fillId="0" borderId="0" xfId="0" applyFont="1"/>
    <xf numFmtId="1" fontId="12" fillId="0" borderId="0" xfId="0" applyNumberFormat="1" applyFont="1"/>
    <xf numFmtId="3" fontId="12" fillId="0" borderId="0" xfId="0" applyNumberFormat="1" applyFont="1"/>
    <xf numFmtId="168" fontId="1" fillId="0" borderId="0" xfId="0" applyNumberFormat="1" applyFont="1"/>
    <xf numFmtId="1" fontId="1" fillId="11" borderId="0" xfId="0" applyNumberFormat="1" applyFont="1" applyFill="1"/>
    <xf numFmtId="3" fontId="21" fillId="11" borderId="0" xfId="0" applyNumberFormat="1" applyFont="1" applyFill="1" applyAlignment="1">
      <alignment horizontal="center"/>
    </xf>
    <xf numFmtId="0" fontId="21" fillId="0" borderId="0" xfId="0" applyFont="1" applyAlignment="1">
      <alignment horizontal="center" wrapText="1"/>
    </xf>
    <xf numFmtId="0" fontId="25" fillId="0" borderId="1" xfId="0" applyFont="1" applyBorder="1" applyAlignment="1">
      <alignment horizontal="left" indent="2"/>
    </xf>
    <xf numFmtId="0" fontId="3" fillId="0" borderId="8" xfId="0" applyFont="1" applyBorder="1" applyAlignment="1">
      <alignment horizontal="center" wrapText="1"/>
    </xf>
    <xf numFmtId="3" fontId="12" fillId="7" borderId="8" xfId="0" applyNumberFormat="1" applyFont="1" applyFill="1" applyBorder="1" applyAlignment="1">
      <alignment horizontal="center" wrapText="1"/>
    </xf>
    <xf numFmtId="0" fontId="12" fillId="0" borderId="1" xfId="0" applyFont="1" applyBorder="1" applyAlignment="1">
      <alignment horizontal="center" wrapText="1"/>
    </xf>
    <xf numFmtId="0" fontId="12" fillId="0" borderId="1" xfId="0" applyFont="1" applyBorder="1" applyAlignment="1">
      <alignment horizontal="center" vertical="top" wrapText="1"/>
    </xf>
    <xf numFmtId="0" fontId="3" fillId="0" borderId="7" xfId="0" applyFont="1" applyBorder="1" applyAlignment="1">
      <alignment wrapText="1"/>
    </xf>
    <xf numFmtId="0" fontId="3" fillId="0" borderId="8" xfId="0" applyFont="1" applyBorder="1" applyAlignment="1">
      <alignment wrapText="1"/>
    </xf>
    <xf numFmtId="170" fontId="3" fillId="0" borderId="0" xfId="0" applyNumberFormat="1" applyFont="1" applyAlignment="1">
      <alignment horizontal="center" wrapText="1"/>
    </xf>
    <xf numFmtId="0" fontId="21" fillId="0" borderId="0" xfId="0" applyFont="1" applyAlignment="1">
      <alignment wrapText="1"/>
    </xf>
    <xf numFmtId="170" fontId="21" fillId="0" borderId="0" xfId="0" applyNumberFormat="1" applyFont="1" applyAlignment="1">
      <alignment wrapText="1"/>
    </xf>
    <xf numFmtId="0" fontId="12" fillId="0" borderId="33" xfId="0" applyFont="1" applyBorder="1" applyAlignment="1">
      <alignment horizontal="center" vertical="top" wrapText="1"/>
    </xf>
    <xf numFmtId="170" fontId="3" fillId="0" borderId="8" xfId="0" applyNumberFormat="1" applyFont="1" applyBorder="1" applyAlignment="1">
      <alignment horizontal="center" wrapText="1"/>
    </xf>
    <xf numFmtId="1" fontId="12" fillId="0" borderId="0" xfId="0" applyNumberFormat="1" applyFont="1" applyAlignment="1">
      <alignment horizontal="center" wrapText="1"/>
    </xf>
    <xf numFmtId="0" fontId="26" fillId="0" borderId="0" xfId="0" applyFont="1"/>
    <xf numFmtId="1" fontId="3" fillId="0" borderId="33" xfId="0" applyNumberFormat="1" applyFont="1" applyBorder="1" applyAlignment="1">
      <alignment horizontal="center" wrapText="1"/>
    </xf>
    <xf numFmtId="1" fontId="3" fillId="13" borderId="33" xfId="0" applyNumberFormat="1" applyFont="1" applyFill="1" applyBorder="1" applyAlignment="1">
      <alignment horizontal="center" wrapText="1"/>
    </xf>
    <xf numFmtId="0" fontId="21" fillId="0" borderId="7" xfId="0" applyFont="1" applyBorder="1"/>
    <xf numFmtId="0" fontId="21" fillId="0" borderId="8" xfId="0" applyFont="1" applyBorder="1"/>
    <xf numFmtId="1" fontId="21" fillId="0" borderId="0" xfId="0" applyNumberFormat="1" applyFont="1" applyAlignment="1">
      <alignment horizontal="center"/>
    </xf>
    <xf numFmtId="1" fontId="21" fillId="7" borderId="8" xfId="0" applyNumberFormat="1" applyFont="1" applyFill="1" applyBorder="1" applyAlignment="1">
      <alignment horizontal="center"/>
    </xf>
    <xf numFmtId="0" fontId="25" fillId="0" borderId="1" xfId="0" applyFont="1" applyBorder="1" applyAlignment="1">
      <alignment horizontal="left" indent="5"/>
    </xf>
    <xf numFmtId="0" fontId="3" fillId="0" borderId="1" xfId="0" applyFont="1" applyBorder="1" applyAlignment="1">
      <alignment horizontal="left" vertical="top" wrapText="1" indent="5"/>
    </xf>
    <xf numFmtId="3" fontId="3" fillId="7" borderId="6" xfId="0" applyNumberFormat="1" applyFont="1" applyFill="1" applyBorder="1" applyAlignment="1">
      <alignment horizontal="center" wrapText="1"/>
    </xf>
    <xf numFmtId="168" fontId="3" fillId="13" borderId="0" xfId="0" applyNumberFormat="1" applyFont="1" applyFill="1" applyAlignment="1">
      <alignment horizontal="center" wrapText="1"/>
    </xf>
    <xf numFmtId="0" fontId="3" fillId="0" borderId="1" xfId="0" applyFont="1" applyBorder="1" applyAlignment="1">
      <alignment horizontal="left" wrapText="1" indent="3"/>
    </xf>
    <xf numFmtId="0" fontId="3" fillId="0" borderId="0" xfId="0" applyFont="1" applyAlignment="1">
      <alignment horizontal="left" wrapText="1" indent="3"/>
    </xf>
    <xf numFmtId="0" fontId="3" fillId="0" borderId="4" xfId="0" applyFont="1" applyBorder="1" applyAlignment="1">
      <alignment horizontal="left" wrapText="1" indent="3"/>
    </xf>
    <xf numFmtId="0" fontId="3" fillId="0" borderId="1" xfId="0" applyFont="1" applyBorder="1"/>
    <xf numFmtId="168" fontId="21" fillId="0" borderId="0" xfId="0" applyNumberFormat="1" applyFont="1" applyAlignment="1">
      <alignment horizontal="center"/>
    </xf>
    <xf numFmtId="168" fontId="21" fillId="16" borderId="33" xfId="0" applyNumberFormat="1" applyFont="1" applyFill="1" applyBorder="1" applyAlignment="1">
      <alignment horizontal="center"/>
    </xf>
    <xf numFmtId="168" fontId="3" fillId="0" borderId="8" xfId="0" applyNumberFormat="1" applyFont="1" applyBorder="1" applyAlignment="1">
      <alignment horizontal="center"/>
    </xf>
    <xf numFmtId="168" fontId="3" fillId="0" borderId="0" xfId="0" applyNumberFormat="1" applyFont="1" applyAlignment="1">
      <alignment horizontal="center"/>
    </xf>
    <xf numFmtId="0" fontId="3" fillId="7" borderId="6" xfId="0" applyFont="1" applyFill="1" applyBorder="1"/>
    <xf numFmtId="168" fontId="21" fillId="7" borderId="0" xfId="0" applyNumberFormat="1" applyFont="1" applyFill="1" applyAlignment="1">
      <alignment horizontal="center"/>
    </xf>
    <xf numFmtId="168" fontId="3" fillId="13" borderId="0" xfId="0" applyNumberFormat="1" applyFont="1" applyFill="1" applyAlignment="1">
      <alignment horizontal="center"/>
    </xf>
    <xf numFmtId="169" fontId="3" fillId="0" borderId="0" xfId="0" applyNumberFormat="1" applyFont="1" applyAlignment="1">
      <alignment horizontal="center"/>
    </xf>
    <xf numFmtId="0" fontId="3" fillId="13" borderId="6" xfId="0" applyFont="1" applyFill="1" applyBorder="1"/>
    <xf numFmtId="3" fontId="3" fillId="13" borderId="8" xfId="0" applyNumberFormat="1" applyFont="1" applyFill="1" applyBorder="1" applyAlignment="1">
      <alignment horizontal="center"/>
    </xf>
    <xf numFmtId="168" fontId="21" fillId="7" borderId="33" xfId="0" applyNumberFormat="1" applyFont="1" applyFill="1" applyBorder="1" applyAlignment="1">
      <alignment horizontal="center"/>
    </xf>
    <xf numFmtId="168" fontId="3" fillId="13" borderId="6" xfId="0" applyNumberFormat="1" applyFont="1" applyFill="1" applyBorder="1" applyAlignment="1">
      <alignment horizontal="center"/>
    </xf>
    <xf numFmtId="168" fontId="21" fillId="13" borderId="6" xfId="0" applyNumberFormat="1" applyFont="1" applyFill="1" applyBorder="1" applyAlignment="1">
      <alignment horizontal="center"/>
    </xf>
    <xf numFmtId="0" fontId="3" fillId="0" borderId="5" xfId="0" applyFont="1" applyBorder="1"/>
    <xf numFmtId="0" fontId="3" fillId="0" borderId="8" xfId="0" applyFont="1" applyBorder="1" applyAlignment="1">
      <alignment horizontal="center"/>
    </xf>
    <xf numFmtId="0" fontId="3" fillId="9" borderId="33" xfId="0" applyFont="1" applyFill="1" applyBorder="1" applyAlignment="1">
      <alignment horizontal="center"/>
    </xf>
    <xf numFmtId="0" fontId="3" fillId="9" borderId="3" xfId="0" applyFont="1" applyFill="1" applyBorder="1" applyAlignment="1">
      <alignment horizontal="center"/>
    </xf>
    <xf numFmtId="0" fontId="12" fillId="9" borderId="5" xfId="0" applyFont="1" applyFill="1" applyBorder="1"/>
    <xf numFmtId="168" fontId="21" fillId="16" borderId="6" xfId="0" applyNumberFormat="1" applyFont="1" applyFill="1" applyBorder="1" applyAlignment="1">
      <alignment horizontal="center"/>
    </xf>
    <xf numFmtId="0" fontId="1" fillId="16" borderId="0" xfId="0" applyFont="1" applyFill="1"/>
    <xf numFmtId="0" fontId="3" fillId="0" borderId="4" xfId="0" applyFont="1" applyBorder="1" applyAlignment="1">
      <alignment horizontal="center"/>
    </xf>
    <xf numFmtId="0" fontId="3" fillId="0" borderId="2" xfId="0" applyFont="1" applyBorder="1" applyAlignment="1">
      <alignment horizontal="center"/>
    </xf>
    <xf numFmtId="168" fontId="3" fillId="0" borderId="5" xfId="0" applyNumberFormat="1" applyFont="1" applyBorder="1" applyAlignment="1">
      <alignment horizontal="center"/>
    </xf>
    <xf numFmtId="168" fontId="3" fillId="0" borderId="33" xfId="0" applyNumberFormat="1" applyFont="1" applyBorder="1" applyAlignment="1">
      <alignment horizontal="center"/>
    </xf>
    <xf numFmtId="168" fontId="3" fillId="13" borderId="33" xfId="0" applyNumberFormat="1" applyFont="1" applyFill="1" applyBorder="1" applyAlignment="1">
      <alignment horizontal="center"/>
    </xf>
    <xf numFmtId="169" fontId="3" fillId="13" borderId="8" xfId="0" applyNumberFormat="1" applyFont="1" applyFill="1" applyBorder="1" applyAlignment="1">
      <alignment horizontal="center"/>
    </xf>
    <xf numFmtId="168" fontId="21" fillId="0" borderId="5" xfId="0" applyNumberFormat="1" applyFont="1" applyBorder="1" applyAlignment="1">
      <alignment horizontal="center"/>
    </xf>
    <xf numFmtId="168" fontId="21" fillId="0" borderId="33" xfId="0" applyNumberFormat="1" applyFont="1" applyBorder="1" applyAlignment="1">
      <alignment horizontal="center"/>
    </xf>
    <xf numFmtId="168" fontId="21" fillId="13" borderId="33" xfId="0" applyNumberFormat="1" applyFont="1" applyFill="1" applyBorder="1" applyAlignment="1">
      <alignment horizontal="center"/>
    </xf>
    <xf numFmtId="169" fontId="3" fillId="0" borderId="4" xfId="0" applyNumberFormat="1" applyFont="1" applyBorder="1" applyAlignment="1">
      <alignment horizontal="center"/>
    </xf>
    <xf numFmtId="169" fontId="3" fillId="0" borderId="8" xfId="0" applyNumberFormat="1" applyFont="1" applyBorder="1" applyAlignment="1">
      <alignment horizontal="center"/>
    </xf>
    <xf numFmtId="0" fontId="21" fillId="0" borderId="1" xfId="0" applyFont="1" applyBorder="1"/>
    <xf numFmtId="172" fontId="3" fillId="0" borderId="0" xfId="0" applyNumberFormat="1" applyFont="1"/>
    <xf numFmtId="0" fontId="12" fillId="3" borderId="38" xfId="0" applyFont="1" applyFill="1" applyBorder="1"/>
    <xf numFmtId="0" fontId="12" fillId="3" borderId="34" xfId="0" applyFont="1" applyFill="1" applyBorder="1"/>
    <xf numFmtId="0" fontId="12" fillId="3" borderId="17" xfId="0" applyFont="1" applyFill="1" applyBorder="1"/>
    <xf numFmtId="0" fontId="12" fillId="3" borderId="34" xfId="0" applyFont="1" applyFill="1" applyBorder="1" applyAlignment="1">
      <alignment horizontal="center"/>
    </xf>
    <xf numFmtId="0" fontId="12" fillId="3" borderId="17" xfId="0" applyFont="1" applyFill="1" applyBorder="1" applyAlignment="1">
      <alignment horizontal="center"/>
    </xf>
    <xf numFmtId="168" fontId="3" fillId="7" borderId="8" xfId="0" applyNumberFormat="1" applyFont="1" applyFill="1" applyBorder="1" applyAlignment="1">
      <alignment horizontal="center"/>
    </xf>
    <xf numFmtId="168" fontId="21" fillId="7" borderId="6" xfId="0" applyNumberFormat="1" applyFont="1" applyFill="1" applyBorder="1" applyAlignment="1">
      <alignment horizontal="center"/>
    </xf>
    <xf numFmtId="0" fontId="21" fillId="0" borderId="5" xfId="0" applyFont="1" applyBorder="1"/>
    <xf numFmtId="0" fontId="21" fillId="0" borderId="6" xfId="0" applyFont="1" applyBorder="1"/>
    <xf numFmtId="168" fontId="21" fillId="0" borderId="1" xfId="0" applyNumberFormat="1" applyFont="1" applyBorder="1" applyAlignment="1">
      <alignment horizontal="center"/>
    </xf>
    <xf numFmtId="168" fontId="3" fillId="0" borderId="1" xfId="0" applyNumberFormat="1" applyFont="1" applyBorder="1" applyAlignment="1">
      <alignment horizontal="center"/>
    </xf>
    <xf numFmtId="168" fontId="3" fillId="0" borderId="7" xfId="0" applyNumberFormat="1" applyFont="1" applyBorder="1" applyAlignment="1">
      <alignment horizontal="center"/>
    </xf>
    <xf numFmtId="0" fontId="28" fillId="0" borderId="1" xfId="0" applyFont="1" applyBorder="1" applyAlignment="1">
      <alignment horizontal="left" wrapText="1"/>
    </xf>
    <xf numFmtId="169" fontId="3" fillId="0" borderId="7" xfId="0" applyNumberFormat="1" applyFont="1" applyBorder="1" applyAlignment="1">
      <alignment horizontal="center"/>
    </xf>
    <xf numFmtId="0" fontId="12" fillId="0" borderId="0" xfId="0" applyFont="1" applyAlignment="1">
      <alignment vertical="top" wrapText="1"/>
    </xf>
    <xf numFmtId="169" fontId="3" fillId="0" borderId="2" xfId="0" applyNumberFormat="1" applyFont="1" applyBorder="1" applyAlignment="1">
      <alignment horizontal="center"/>
    </xf>
    <xf numFmtId="169" fontId="3" fillId="7" borderId="8" xfId="0" applyNumberFormat="1" applyFont="1" applyFill="1" applyBorder="1" applyAlignment="1">
      <alignment horizontal="center"/>
    </xf>
    <xf numFmtId="168" fontId="21" fillId="13" borderId="0" xfId="0" applyNumberFormat="1" applyFont="1" applyFill="1" applyAlignment="1">
      <alignment horizontal="center"/>
    </xf>
    <xf numFmtId="3" fontId="3" fillId="0" borderId="40" xfId="0" applyNumberFormat="1" applyFont="1" applyBorder="1" applyAlignment="1">
      <alignment horizontal="right"/>
    </xf>
    <xf numFmtId="0" fontId="21" fillId="0" borderId="1" xfId="0" applyFont="1" applyBorder="1" applyAlignment="1">
      <alignment horizontal="left"/>
    </xf>
    <xf numFmtId="169" fontId="3" fillId="0" borderId="0" xfId="0" applyNumberFormat="1" applyFont="1"/>
    <xf numFmtId="168" fontId="3" fillId="17" borderId="0" xfId="0" applyNumberFormat="1" applyFont="1" applyFill="1" applyAlignment="1">
      <alignment horizontal="center" wrapText="1"/>
    </xf>
    <xf numFmtId="169" fontId="3" fillId="16" borderId="8" xfId="0" applyNumberFormat="1" applyFont="1" applyFill="1" applyBorder="1" applyAlignment="1">
      <alignment horizontal="center"/>
    </xf>
    <xf numFmtId="2" fontId="3" fillId="0" borderId="0" xfId="0" applyNumberFormat="1" applyFont="1"/>
    <xf numFmtId="2" fontId="3" fillId="0" borderId="0" xfId="0" applyNumberFormat="1" applyFont="1" applyAlignment="1">
      <alignment horizontal="right"/>
    </xf>
    <xf numFmtId="2" fontId="3" fillId="0" borderId="6" xfId="0" applyNumberFormat="1" applyFont="1" applyBorder="1"/>
    <xf numFmtId="2" fontId="3" fillId="0" borderId="6" xfId="0" applyNumberFormat="1" applyFont="1" applyBorder="1" applyAlignment="1">
      <alignment horizontal="right"/>
    </xf>
    <xf numFmtId="0" fontId="12" fillId="0" borderId="14" xfId="0" applyFont="1" applyBorder="1"/>
    <xf numFmtId="0" fontId="12" fillId="0" borderId="13" xfId="0" applyFont="1" applyBorder="1"/>
    <xf numFmtId="0" fontId="3" fillId="0" borderId="13" xfId="0" applyFont="1" applyBorder="1" applyAlignment="1">
      <alignment horizontal="right"/>
    </xf>
    <xf numFmtId="0" fontId="3" fillId="0" borderId="12" xfId="0" applyFont="1" applyBorder="1"/>
    <xf numFmtId="168" fontId="3" fillId="18" borderId="0" xfId="0" applyNumberFormat="1" applyFont="1" applyFill="1" applyAlignment="1">
      <alignment horizontal="center"/>
    </xf>
    <xf numFmtId="168" fontId="3" fillId="18" borderId="0" xfId="0" applyNumberFormat="1" applyFont="1" applyFill="1" applyAlignment="1">
      <alignment horizontal="center" wrapText="1"/>
    </xf>
    <xf numFmtId="169" fontId="3" fillId="8" borderId="8" xfId="0" applyNumberFormat="1" applyFont="1" applyFill="1" applyBorder="1" applyAlignment="1">
      <alignment horizontal="center"/>
    </xf>
    <xf numFmtId="0" fontId="1" fillId="18" borderId="0" xfId="0" applyFont="1" applyFill="1"/>
    <xf numFmtId="0" fontId="3" fillId="0" borderId="0" xfId="0" applyFont="1" applyAlignment="1">
      <alignment horizontal="left" indent="4"/>
    </xf>
    <xf numFmtId="169" fontId="3" fillId="0" borderId="8" xfId="0" applyNumberFormat="1" applyFont="1" applyBorder="1"/>
    <xf numFmtId="0" fontId="3" fillId="0" borderId="7" xfId="0" applyFont="1" applyBorder="1" applyAlignment="1">
      <alignment horizontal="left" indent="4"/>
    </xf>
    <xf numFmtId="3" fontId="30" fillId="0" borderId="0" xfId="0" applyNumberFormat="1" applyFont="1"/>
    <xf numFmtId="0" fontId="3" fillId="0" borderId="4" xfId="0" applyFont="1" applyBorder="1"/>
    <xf numFmtId="173" fontId="3" fillId="0" borderId="0" xfId="0" applyNumberFormat="1" applyFont="1"/>
    <xf numFmtId="0" fontId="3" fillId="12" borderId="5" xfId="0" applyFont="1" applyFill="1" applyBorder="1"/>
    <xf numFmtId="0" fontId="3" fillId="12" borderId="6" xfId="0" applyFont="1" applyFill="1" applyBorder="1"/>
    <xf numFmtId="0" fontId="3" fillId="12" borderId="3" xfId="0" applyFont="1" applyFill="1" applyBorder="1"/>
    <xf numFmtId="0" fontId="3" fillId="18" borderId="1" xfId="0" applyFont="1" applyFill="1" applyBorder="1" applyAlignment="1">
      <alignment horizontal="left" vertical="top" wrapText="1" indent="3"/>
    </xf>
    <xf numFmtId="168" fontId="3" fillId="18" borderId="1" xfId="0" applyNumberFormat="1" applyFont="1" applyFill="1" applyBorder="1" applyAlignment="1">
      <alignment horizontal="center"/>
    </xf>
    <xf numFmtId="0" fontId="3" fillId="0" borderId="13" xfId="0" applyFont="1" applyBorder="1"/>
    <xf numFmtId="3" fontId="3" fillId="0" borderId="6" xfId="0" applyNumberFormat="1" applyFont="1" applyBorder="1" applyAlignment="1">
      <alignment horizontal="right"/>
    </xf>
    <xf numFmtId="0" fontId="16" fillId="0" borderId="0" xfId="0" applyFont="1"/>
    <xf numFmtId="0" fontId="1" fillId="0" borderId="0" xfId="0" applyFont="1" applyAlignment="1">
      <alignment horizontal="center"/>
    </xf>
    <xf numFmtId="0" fontId="21" fillId="0" borderId="0" xfId="0" applyFont="1" applyAlignment="1">
      <alignment horizontal="center"/>
    </xf>
    <xf numFmtId="10" fontId="3" fillId="0" borderId="0" xfId="0" applyNumberFormat="1" applyFont="1" applyAlignment="1">
      <alignment horizontal="center"/>
    </xf>
    <xf numFmtId="10" fontId="1" fillId="0" borderId="0" xfId="0" applyNumberFormat="1" applyFont="1" applyAlignment="1">
      <alignment horizontal="center"/>
    </xf>
    <xf numFmtId="10" fontId="1" fillId="0" borderId="33" xfId="0" applyNumberFormat="1" applyFont="1" applyBorder="1" applyAlignment="1">
      <alignment horizontal="center"/>
    </xf>
    <xf numFmtId="10" fontId="1" fillId="18" borderId="33" xfId="0" applyNumberFormat="1" applyFont="1" applyFill="1" applyBorder="1" applyAlignment="1">
      <alignment horizontal="center"/>
    </xf>
    <xf numFmtId="0" fontId="1" fillId="18" borderId="0" xfId="0" applyFont="1" applyFill="1" applyAlignment="1">
      <alignment horizontal="center"/>
    </xf>
    <xf numFmtId="10" fontId="1" fillId="18" borderId="0" xfId="0" applyNumberFormat="1" applyFont="1" applyFill="1" applyAlignment="1">
      <alignment horizontal="center"/>
    </xf>
    <xf numFmtId="10" fontId="3" fillId="18" borderId="6" xfId="0" applyNumberFormat="1" applyFont="1" applyFill="1" applyBorder="1"/>
    <xf numFmtId="10" fontId="3" fillId="18" borderId="5" xfId="0" applyNumberFormat="1" applyFont="1" applyFill="1" applyBorder="1"/>
    <xf numFmtId="10" fontId="3" fillId="18" borderId="6" xfId="0" applyNumberFormat="1" applyFont="1" applyFill="1" applyBorder="1" applyAlignment="1">
      <alignment horizontal="center"/>
    </xf>
    <xf numFmtId="10" fontId="1" fillId="18" borderId="6" xfId="0" applyNumberFormat="1" applyFont="1" applyFill="1" applyBorder="1" applyAlignment="1">
      <alignment horizontal="center"/>
    </xf>
    <xf numFmtId="0" fontId="21" fillId="18" borderId="0" xfId="0" applyFont="1" applyFill="1"/>
    <xf numFmtId="0" fontId="21" fillId="18" borderId="1" xfId="0" applyFont="1" applyFill="1" applyBorder="1"/>
    <xf numFmtId="0" fontId="21" fillId="18" borderId="0" xfId="0" applyFont="1" applyFill="1" applyAlignment="1">
      <alignment horizontal="center"/>
    </xf>
    <xf numFmtId="0" fontId="21" fillId="18" borderId="8" xfId="0" applyFont="1" applyFill="1" applyBorder="1"/>
    <xf numFmtId="0" fontId="21" fillId="18" borderId="7" xfId="0" applyFont="1" applyFill="1" applyBorder="1"/>
    <xf numFmtId="0" fontId="21" fillId="18" borderId="8" xfId="0" applyFont="1" applyFill="1" applyBorder="1" applyAlignment="1">
      <alignment horizontal="center"/>
    </xf>
    <xf numFmtId="0" fontId="1" fillId="18" borderId="8" xfId="0" applyFont="1" applyFill="1" applyBorder="1" applyAlignment="1">
      <alignment horizontal="center"/>
    </xf>
    <xf numFmtId="1" fontId="1" fillId="18" borderId="8" xfId="0" applyNumberFormat="1" applyFont="1" applyFill="1" applyBorder="1" applyAlignment="1">
      <alignment horizontal="center"/>
    </xf>
    <xf numFmtId="0" fontId="1" fillId="0" borderId="8" xfId="0" applyFont="1" applyBorder="1" applyAlignment="1">
      <alignment horizontal="center"/>
    </xf>
    <xf numFmtId="0" fontId="21" fillId="0" borderId="8" xfId="0" applyFont="1" applyBorder="1" applyAlignment="1">
      <alignment horizontal="center"/>
    </xf>
    <xf numFmtId="10" fontId="3" fillId="0" borderId="6" xfId="0" applyNumberFormat="1" applyFont="1" applyBorder="1"/>
    <xf numFmtId="10" fontId="3" fillId="0" borderId="5" xfId="0" applyNumberFormat="1" applyFont="1" applyBorder="1"/>
    <xf numFmtId="10" fontId="3" fillId="0" borderId="6" xfId="0" applyNumberFormat="1" applyFont="1" applyBorder="1" applyAlignment="1">
      <alignment horizontal="center"/>
    </xf>
    <xf numFmtId="1" fontId="1" fillId="0" borderId="8" xfId="0" applyNumberFormat="1" applyFont="1" applyBorder="1" applyAlignment="1">
      <alignment horizontal="center"/>
    </xf>
    <xf numFmtId="0" fontId="12" fillId="0" borderId="5" xfId="0" applyFont="1" applyBorder="1" applyAlignment="1">
      <alignment horizontal="center"/>
    </xf>
    <xf numFmtId="0" fontId="3" fillId="0" borderId="8" xfId="0" applyFont="1" applyBorder="1" applyAlignment="1">
      <alignment horizontal="left" vertical="top" wrapText="1"/>
    </xf>
    <xf numFmtId="0" fontId="3" fillId="0" borderId="38" xfId="0" applyFont="1" applyBorder="1"/>
    <xf numFmtId="0" fontId="12" fillId="0" borderId="7" xfId="0" applyFont="1" applyBorder="1" applyAlignment="1">
      <alignment wrapText="1"/>
    </xf>
    <xf numFmtId="0" fontId="1" fillId="13" borderId="0" xfId="0" applyFont="1" applyFill="1" applyAlignment="1">
      <alignment horizontal="center"/>
    </xf>
    <xf numFmtId="168" fontId="12" fillId="0" borderId="0" xfId="0" applyNumberFormat="1" applyFont="1" applyAlignment="1">
      <alignment horizontal="center"/>
    </xf>
    <xf numFmtId="1" fontId="3" fillId="0" borderId="16" xfId="0" applyNumberFormat="1" applyFont="1" applyBorder="1"/>
    <xf numFmtId="1" fontId="3" fillId="0" borderId="15" xfId="0" applyNumberFormat="1" applyFont="1" applyBorder="1"/>
    <xf numFmtId="167" fontId="3" fillId="0" borderId="15" xfId="0" applyNumberFormat="1" applyFont="1" applyBorder="1"/>
    <xf numFmtId="0" fontId="31" fillId="0" borderId="1" xfId="0" applyFont="1" applyBorder="1" applyAlignment="1">
      <alignment horizontal="left" wrapText="1" indent="1"/>
    </xf>
    <xf numFmtId="0" fontId="31" fillId="0" borderId="1" xfId="0" applyFont="1" applyBorder="1" applyAlignment="1">
      <alignment horizontal="left" indent="1"/>
    </xf>
    <xf numFmtId="0" fontId="3" fillId="0" borderId="1" xfId="0" applyFont="1" applyBorder="1" applyAlignment="1">
      <alignment horizontal="left" indent="2"/>
    </xf>
    <xf numFmtId="0" fontId="32" fillId="0" borderId="1" xfId="0" applyFont="1" applyBorder="1" applyAlignment="1">
      <alignment horizontal="left" indent="1"/>
    </xf>
    <xf numFmtId="0" fontId="3" fillId="19" borderId="1" xfId="0" applyFont="1" applyFill="1" applyBorder="1" applyAlignment="1">
      <alignment horizontal="left"/>
    </xf>
    <xf numFmtId="0" fontId="3" fillId="19" borderId="5" xfId="0" applyFont="1" applyFill="1" applyBorder="1"/>
    <xf numFmtId="168" fontId="3" fillId="7" borderId="0" xfId="0" applyNumberFormat="1" applyFont="1" applyFill="1" applyAlignment="1">
      <alignment horizontal="center"/>
    </xf>
    <xf numFmtId="0" fontId="3" fillId="14" borderId="0" xfId="0" applyFont="1" applyFill="1" applyAlignment="1">
      <alignment horizontal="left" wrapText="1" indent="1"/>
    </xf>
    <xf numFmtId="168" fontId="12" fillId="7" borderId="0" xfId="0" applyNumberFormat="1" applyFont="1" applyFill="1" applyAlignment="1">
      <alignment horizontal="center"/>
    </xf>
    <xf numFmtId="0" fontId="3" fillId="7" borderId="0" xfId="0" applyFont="1" applyFill="1"/>
    <xf numFmtId="0" fontId="3" fillId="0" borderId="0" xfId="0" applyFont="1" applyAlignment="1">
      <alignment horizontal="left" wrapText="1" indent="1"/>
    </xf>
    <xf numFmtId="0" fontId="3" fillId="0" borderId="0" xfId="0" applyFont="1" applyAlignment="1">
      <alignment horizontal="right"/>
    </xf>
    <xf numFmtId="1" fontId="3" fillId="13" borderId="0" xfId="0" applyNumberFormat="1" applyFont="1" applyFill="1"/>
    <xf numFmtId="1" fontId="3" fillId="3" borderId="0" xfId="0" applyNumberFormat="1" applyFont="1" applyFill="1"/>
    <xf numFmtId="167" fontId="3" fillId="13" borderId="15" xfId="0" applyNumberFormat="1" applyFont="1" applyFill="1" applyBorder="1"/>
    <xf numFmtId="167" fontId="3" fillId="0" borderId="0" xfId="0" applyNumberFormat="1" applyFont="1"/>
    <xf numFmtId="168" fontId="3" fillId="7" borderId="33" xfId="0" applyNumberFormat="1" applyFont="1" applyFill="1" applyBorder="1" applyAlignment="1">
      <alignment horizontal="center"/>
    </xf>
    <xf numFmtId="1" fontId="3" fillId="13" borderId="6" xfId="0" applyNumberFormat="1" applyFont="1" applyFill="1" applyBorder="1" applyAlignment="1">
      <alignment horizontal="center"/>
    </xf>
    <xf numFmtId="168" fontId="3" fillId="7" borderId="2" xfId="0" applyNumberFormat="1" applyFont="1" applyFill="1" applyBorder="1" applyAlignment="1">
      <alignment horizontal="center"/>
    </xf>
    <xf numFmtId="168" fontId="21" fillId="7" borderId="4" xfId="0" applyNumberFormat="1" applyFont="1" applyFill="1" applyBorder="1" applyAlignment="1">
      <alignment horizontal="center"/>
    </xf>
    <xf numFmtId="0" fontId="12" fillId="13" borderId="5" xfId="0" applyFont="1" applyFill="1" applyBorder="1" applyAlignment="1">
      <alignment horizontal="centerContinuous" vertical="center"/>
    </xf>
    <xf numFmtId="0" fontId="12" fillId="13" borderId="3" xfId="0" applyFont="1" applyFill="1" applyBorder="1" applyAlignment="1">
      <alignment horizontal="centerContinuous" vertical="center"/>
    </xf>
    <xf numFmtId="0" fontId="12" fillId="13" borderId="1" xfId="0" applyFont="1" applyFill="1" applyBorder="1" applyAlignment="1">
      <alignment horizontal="centerContinuous" vertical="center"/>
    </xf>
    <xf numFmtId="0" fontId="12" fillId="13" borderId="0" xfId="0" applyFont="1" applyFill="1" applyAlignment="1">
      <alignment horizontal="centerContinuous" vertical="center"/>
    </xf>
    <xf numFmtId="0" fontId="12" fillId="13" borderId="9" xfId="0" applyFont="1" applyFill="1" applyBorder="1" applyAlignment="1">
      <alignment horizontal="centerContinuous"/>
    </xf>
    <xf numFmtId="0" fontId="12" fillId="13" borderId="10" xfId="0" applyFont="1" applyFill="1" applyBorder="1" applyAlignment="1">
      <alignment horizontal="centerContinuous"/>
    </xf>
    <xf numFmtId="168" fontId="21" fillId="0" borderId="8" xfId="0" applyNumberFormat="1" applyFont="1" applyBorder="1" applyAlignment="1">
      <alignment horizontal="center"/>
    </xf>
    <xf numFmtId="1" fontId="3" fillId="7" borderId="6" xfId="0" applyNumberFormat="1" applyFont="1" applyFill="1" applyBorder="1"/>
    <xf numFmtId="0" fontId="3" fillId="0" borderId="19" xfId="0" applyFont="1" applyBorder="1"/>
    <xf numFmtId="0" fontId="3" fillId="0" borderId="16" xfId="0" applyFont="1" applyBorder="1"/>
    <xf numFmtId="1" fontId="3" fillId="7" borderId="16" xfId="0" applyNumberFormat="1" applyFont="1" applyFill="1" applyBorder="1"/>
    <xf numFmtId="0" fontId="3" fillId="0" borderId="20" xfId="0" applyFont="1" applyBorder="1" applyAlignment="1">
      <alignment horizontal="left" wrapText="1" indent="1"/>
    </xf>
    <xf numFmtId="0" fontId="3" fillId="0" borderId="20" xfId="0" applyFont="1" applyBorder="1" applyAlignment="1">
      <alignment horizontal="left" wrapText="1" indent="2"/>
    </xf>
    <xf numFmtId="0" fontId="3" fillId="0" borderId="21" xfId="0" applyFont="1" applyBorder="1" applyAlignment="1">
      <alignment horizontal="left" wrapText="1" indent="2"/>
    </xf>
    <xf numFmtId="0" fontId="3" fillId="0" borderId="15" xfId="0" applyFont="1" applyBorder="1"/>
    <xf numFmtId="1" fontId="3" fillId="0" borderId="41" xfId="0" applyNumberFormat="1" applyFont="1" applyBorder="1"/>
    <xf numFmtId="1" fontId="3" fillId="3" borderId="16" xfId="0" applyNumberFormat="1" applyFont="1" applyFill="1" applyBorder="1"/>
    <xf numFmtId="1" fontId="3" fillId="20" borderId="16" xfId="0" applyNumberFormat="1" applyFont="1" applyFill="1" applyBorder="1"/>
    <xf numFmtId="1" fontId="3" fillId="20" borderId="0" xfId="0" applyNumberFormat="1" applyFont="1" applyFill="1"/>
    <xf numFmtId="1" fontId="3" fillId="0" borderId="42" xfId="0" applyNumberFormat="1" applyFont="1" applyBorder="1"/>
    <xf numFmtId="1" fontId="3" fillId="3" borderId="15" xfId="0" applyNumberFormat="1" applyFont="1" applyFill="1" applyBorder="1"/>
    <xf numFmtId="1" fontId="3" fillId="20" borderId="15" xfId="0" applyNumberFormat="1" applyFont="1" applyFill="1" applyBorder="1"/>
    <xf numFmtId="1" fontId="3" fillId="7" borderId="15" xfId="0" applyNumberFormat="1" applyFont="1" applyFill="1" applyBorder="1"/>
    <xf numFmtId="1" fontId="3" fillId="13" borderId="15" xfId="0" applyNumberFormat="1" applyFont="1" applyFill="1" applyBorder="1"/>
    <xf numFmtId="167" fontId="3" fillId="7" borderId="15" xfId="0" applyNumberFormat="1" applyFont="1" applyFill="1" applyBorder="1"/>
    <xf numFmtId="1" fontId="3" fillId="0" borderId="1" xfId="0" applyNumberFormat="1" applyFont="1" applyBorder="1"/>
    <xf numFmtId="0" fontId="3" fillId="0" borderId="7" xfId="0" applyFont="1" applyBorder="1" applyAlignment="1">
      <alignment horizontal="right"/>
    </xf>
    <xf numFmtId="0" fontId="3" fillId="0" borderId="33" xfId="0" applyFont="1" applyBorder="1"/>
    <xf numFmtId="1" fontId="3" fillId="0" borderId="33" xfId="0" applyNumberFormat="1" applyFont="1" applyBorder="1"/>
    <xf numFmtId="168" fontId="3" fillId="0" borderId="3" xfId="0" applyNumberFormat="1" applyFont="1" applyBorder="1"/>
    <xf numFmtId="0" fontId="3" fillId="0" borderId="7" xfId="0" applyFont="1" applyBorder="1" applyAlignment="1">
      <alignment horizontal="center"/>
    </xf>
    <xf numFmtId="3" fontId="3" fillId="0" borderId="0" xfId="0" applyNumberFormat="1" applyFont="1"/>
    <xf numFmtId="168" fontId="3" fillId="7" borderId="4" xfId="0" applyNumberFormat="1" applyFont="1" applyFill="1" applyBorder="1" applyAlignment="1">
      <alignment horizontal="center"/>
    </xf>
    <xf numFmtId="0" fontId="12" fillId="0" borderId="33" xfId="0" applyFont="1" applyBorder="1" applyAlignment="1">
      <alignment horizontal="center"/>
    </xf>
    <xf numFmtId="0" fontId="21" fillId="0" borderId="1" xfId="0" applyFont="1" applyBorder="1" applyAlignment="1">
      <alignment horizontal="center"/>
    </xf>
    <xf numFmtId="168" fontId="3" fillId="7" borderId="6" xfId="0" applyNumberFormat="1" applyFont="1" applyFill="1" applyBorder="1" applyAlignment="1">
      <alignment horizontal="center"/>
    </xf>
    <xf numFmtId="3" fontId="3" fillId="0" borderId="6" xfId="0" applyNumberFormat="1" applyFont="1" applyBorder="1"/>
    <xf numFmtId="3" fontId="3" fillId="0" borderId="3" xfId="0" applyNumberFormat="1" applyFont="1" applyBorder="1"/>
    <xf numFmtId="3" fontId="3" fillId="0" borderId="1" xfId="0" applyNumberFormat="1" applyFont="1" applyBorder="1"/>
    <xf numFmtId="0" fontId="3" fillId="0" borderId="12" xfId="0" applyFont="1" applyBorder="1" applyAlignment="1">
      <alignment horizontal="left" wrapText="1" indent="8"/>
    </xf>
    <xf numFmtId="0" fontId="12" fillId="0" borderId="0" xfId="0" applyFont="1" applyAlignment="1">
      <alignment horizontal="left" indent="1"/>
    </xf>
    <xf numFmtId="0" fontId="12" fillId="0" borderId="34" xfId="0" applyFont="1" applyBorder="1"/>
    <xf numFmtId="0" fontId="12" fillId="0" borderId="17" xfId="0" applyFont="1" applyBorder="1"/>
    <xf numFmtId="169" fontId="3" fillId="11" borderId="8" xfId="0" applyNumberFormat="1" applyFont="1" applyFill="1" applyBorder="1"/>
    <xf numFmtId="4" fontId="3" fillId="0" borderId="0" xfId="0" applyNumberFormat="1" applyFont="1"/>
    <xf numFmtId="0" fontId="3" fillId="7" borderId="4" xfId="0" applyFont="1" applyFill="1" applyBorder="1"/>
    <xf numFmtId="3" fontId="3" fillId="0" borderId="4" xfId="0" applyNumberFormat="1" applyFont="1" applyBorder="1"/>
    <xf numFmtId="169" fontId="3" fillId="11" borderId="2" xfId="0" applyNumberFormat="1" applyFont="1" applyFill="1" applyBorder="1"/>
    <xf numFmtId="3" fontId="3" fillId="0" borderId="5" xfId="0" applyNumberFormat="1" applyFont="1" applyBorder="1"/>
    <xf numFmtId="1" fontId="3" fillId="7" borderId="33" xfId="0" applyNumberFormat="1" applyFont="1" applyFill="1" applyBorder="1"/>
    <xf numFmtId="168" fontId="3" fillId="11" borderId="0" xfId="0" applyNumberFormat="1" applyFont="1" applyFill="1" applyAlignment="1">
      <alignment horizontal="center"/>
    </xf>
    <xf numFmtId="168" fontId="3" fillId="21" borderId="0" xfId="0" applyNumberFormat="1" applyFont="1" applyFill="1" applyAlignment="1">
      <alignment horizontal="center"/>
    </xf>
    <xf numFmtId="168" fontId="21" fillId="22" borderId="0" xfId="0" applyNumberFormat="1" applyFont="1" applyFill="1" applyAlignment="1">
      <alignment horizontal="center"/>
    </xf>
    <xf numFmtId="0" fontId="3" fillId="19" borderId="1" xfId="0" applyFont="1" applyFill="1" applyBorder="1" applyAlignment="1">
      <alignment horizontal="left" wrapText="1"/>
    </xf>
    <xf numFmtId="0" fontId="3" fillId="0" borderId="43" xfId="0" applyFont="1" applyBorder="1" applyAlignment="1">
      <alignment horizontal="left" indent="1"/>
    </xf>
    <xf numFmtId="0" fontId="12" fillId="0" borderId="43" xfId="0" applyFont="1" applyBorder="1" applyAlignment="1">
      <alignment horizontal="left"/>
    </xf>
    <xf numFmtId="168" fontId="12" fillId="7" borderId="4" xfId="0" applyNumberFormat="1" applyFont="1" applyFill="1" applyBorder="1" applyAlignment="1">
      <alignment horizontal="center"/>
    </xf>
    <xf numFmtId="0" fontId="1" fillId="0" borderId="5" xfId="0" applyFont="1" applyBorder="1"/>
    <xf numFmtId="0" fontId="1" fillId="0" borderId="1" xfId="0" applyFont="1" applyBorder="1" applyAlignment="1">
      <alignment horizontal="left" indent="1"/>
    </xf>
    <xf numFmtId="0" fontId="1" fillId="0" borderId="4" xfId="0" applyFont="1" applyBorder="1" applyAlignment="1">
      <alignment horizontal="left" indent="1"/>
    </xf>
    <xf numFmtId="0" fontId="1" fillId="0" borderId="7" xfId="0" applyFont="1" applyBorder="1" applyAlignment="1">
      <alignment horizontal="left"/>
    </xf>
    <xf numFmtId="0" fontId="1" fillId="0" borderId="5" xfId="0" applyFont="1" applyBorder="1" applyAlignment="1">
      <alignment horizontal="left"/>
    </xf>
    <xf numFmtId="0" fontId="17" fillId="14" borderId="0" xfId="0" applyFont="1" applyFill="1"/>
    <xf numFmtId="0" fontId="33" fillId="0" borderId="0" xfId="0" applyFont="1"/>
    <xf numFmtId="2" fontId="17" fillId="0" borderId="0" xfId="0" applyNumberFormat="1" applyFont="1"/>
    <xf numFmtId="0" fontId="34" fillId="14" borderId="0" xfId="0" applyFont="1" applyFill="1"/>
    <xf numFmtId="2" fontId="34" fillId="14" borderId="0" xfId="0" applyNumberFormat="1" applyFont="1" applyFill="1"/>
    <xf numFmtId="0" fontId="35" fillId="0" borderId="0" xfId="0" applyFont="1"/>
    <xf numFmtId="0" fontId="7" fillId="0" borderId="0" xfId="0" applyFont="1"/>
    <xf numFmtId="0" fontId="7" fillId="23" borderId="0" xfId="0" applyFont="1" applyFill="1" applyAlignment="1">
      <alignment horizontal="center"/>
    </xf>
    <xf numFmtId="174" fontId="36" fillId="15" borderId="3" xfId="0" applyNumberFormat="1" applyFont="1" applyFill="1" applyBorder="1" applyAlignment="1">
      <alignment horizontal="center"/>
    </xf>
    <xf numFmtId="174" fontId="25" fillId="0" borderId="0" xfId="0" applyNumberFormat="1" applyFont="1" applyAlignment="1">
      <alignment horizontal="left"/>
    </xf>
    <xf numFmtId="0" fontId="25" fillId="0" borderId="1" xfId="0" applyFont="1" applyBorder="1" applyAlignment="1">
      <alignment horizontal="left" indent="1"/>
    </xf>
    <xf numFmtId="0" fontId="25" fillId="0" borderId="7" xfId="0" applyFont="1" applyBorder="1" applyAlignment="1">
      <alignment horizontal="left" indent="1"/>
    </xf>
    <xf numFmtId="167" fontId="3" fillId="0" borderId="0" xfId="0" applyNumberFormat="1" applyFont="1" applyAlignment="1">
      <alignment vertical="center" wrapText="1"/>
    </xf>
    <xf numFmtId="0" fontId="3" fillId="0" borderId="1" xfId="0" applyFont="1" applyBorder="1" applyAlignment="1">
      <alignment horizontal="left" indent="4"/>
    </xf>
    <xf numFmtId="0" fontId="12" fillId="3" borderId="0" xfId="0" applyFont="1" applyFill="1" applyAlignment="1">
      <alignment horizontal="left"/>
    </xf>
    <xf numFmtId="0" fontId="12" fillId="3" borderId="0" xfId="0" applyFont="1" applyFill="1"/>
    <xf numFmtId="168" fontId="21" fillId="0" borderId="1" xfId="0" applyNumberFormat="1" applyFont="1" applyBorder="1" applyAlignment="1">
      <alignment horizontal="center" vertical="top" wrapText="1"/>
    </xf>
    <xf numFmtId="168" fontId="21" fillId="0" borderId="7" xfId="0" applyNumberFormat="1" applyFont="1" applyBorder="1" applyAlignment="1">
      <alignment horizontal="center" vertical="top" wrapText="1"/>
    </xf>
    <xf numFmtId="0" fontId="3" fillId="0" borderId="5" xfId="0" applyFont="1" applyBorder="1" applyAlignment="1">
      <alignment horizontal="left" indent="2"/>
    </xf>
    <xf numFmtId="0" fontId="3" fillId="0" borderId="0" xfId="0" applyFont="1" applyAlignment="1">
      <alignment horizontal="left" indent="2"/>
    </xf>
    <xf numFmtId="174" fontId="25" fillId="0" borderId="2" xfId="0" applyNumberFormat="1" applyFont="1" applyBorder="1" applyAlignment="1">
      <alignment horizontal="center"/>
    </xf>
    <xf numFmtId="10" fontId="21" fillId="0" borderId="0" xfId="0" applyNumberFormat="1" applyFont="1" applyAlignment="1">
      <alignment horizontal="center" vertical="top" wrapText="1"/>
    </xf>
    <xf numFmtId="0" fontId="1" fillId="18" borderId="1" xfId="0" applyFont="1" applyFill="1" applyBorder="1"/>
    <xf numFmtId="0" fontId="1" fillId="18" borderId="7" xfId="0" applyFont="1" applyFill="1" applyBorder="1"/>
    <xf numFmtId="0" fontId="36" fillId="0" borderId="5" xfId="0" applyFont="1" applyBorder="1" applyAlignment="1">
      <alignment horizontal="left"/>
    </xf>
    <xf numFmtId="1" fontId="3" fillId="7" borderId="15" xfId="0" applyNumberFormat="1" applyFont="1" applyFill="1" applyBorder="1" applyAlignment="1">
      <alignment horizontal="center" vertical="top" wrapText="1"/>
    </xf>
    <xf numFmtId="168" fontId="3" fillId="0" borderId="5" xfId="0" applyNumberFormat="1" applyFont="1" applyBorder="1" applyAlignment="1">
      <alignment horizontal="right" vertical="top" wrapText="1"/>
    </xf>
    <xf numFmtId="168" fontId="3" fillId="0" borderId="6" xfId="0" applyNumberFormat="1" applyFont="1" applyBorder="1" applyAlignment="1">
      <alignment horizontal="right" vertical="top" wrapText="1"/>
    </xf>
    <xf numFmtId="168" fontId="3" fillId="7" borderId="6" xfId="0" applyNumberFormat="1" applyFont="1" applyFill="1" applyBorder="1" applyAlignment="1">
      <alignment horizontal="right" vertical="top" wrapText="1"/>
    </xf>
    <xf numFmtId="168" fontId="3" fillId="0" borderId="15" xfId="0" applyNumberFormat="1" applyFont="1" applyBorder="1" applyAlignment="1">
      <alignment horizontal="center" vertical="top" wrapText="1"/>
    </xf>
    <xf numFmtId="168" fontId="3" fillId="0" borderId="42" xfId="0" applyNumberFormat="1" applyFont="1" applyBorder="1" applyAlignment="1">
      <alignment horizontal="center" vertical="top" wrapText="1"/>
    </xf>
    <xf numFmtId="0" fontId="24" fillId="0" borderId="0" xfId="0" applyFont="1" applyAlignment="1">
      <alignment horizontal="center" vertical="top" wrapText="1"/>
    </xf>
    <xf numFmtId="0" fontId="12" fillId="0" borderId="5" xfId="0" applyFont="1" applyBorder="1" applyAlignment="1">
      <alignment horizontal="left" vertical="top" wrapText="1"/>
    </xf>
    <xf numFmtId="168" fontId="21" fillId="0" borderId="8" xfId="0" applyNumberFormat="1" applyFont="1" applyBorder="1" applyAlignment="1">
      <alignment horizontal="center" vertical="top" wrapText="1"/>
    </xf>
    <xf numFmtId="168" fontId="37" fillId="7" borderId="8" xfId="0" applyNumberFormat="1" applyFont="1" applyFill="1" applyBorder="1" applyAlignment="1">
      <alignment horizontal="center"/>
    </xf>
    <xf numFmtId="168" fontId="21" fillId="24" borderId="2" xfId="0" applyNumberFormat="1" applyFont="1" applyFill="1" applyBorder="1" applyAlignment="1">
      <alignment horizontal="center" vertical="top" wrapText="1"/>
    </xf>
    <xf numFmtId="1" fontId="3" fillId="0" borderId="6" xfId="0" applyNumberFormat="1" applyFont="1" applyBorder="1" applyAlignment="1">
      <alignment horizontal="center"/>
    </xf>
    <xf numFmtId="167" fontId="3" fillId="13" borderId="2" xfId="0" applyNumberFormat="1" applyFont="1" applyFill="1" applyBorder="1" applyAlignment="1">
      <alignment horizontal="center"/>
    </xf>
    <xf numFmtId="0" fontId="3" fillId="18" borderId="1" xfId="0" applyFont="1" applyFill="1" applyBorder="1" applyAlignment="1">
      <alignment horizontal="left" indent="2"/>
    </xf>
    <xf numFmtId="0" fontId="1" fillId="18" borderId="4" xfId="0" applyFont="1" applyFill="1" applyBorder="1"/>
    <xf numFmtId="167" fontId="3" fillId="18" borderId="0" xfId="0" applyNumberFormat="1" applyFont="1" applyFill="1" applyAlignment="1">
      <alignment horizontal="center"/>
    </xf>
    <xf numFmtId="0" fontId="3" fillId="18" borderId="0" xfId="0" applyFont="1" applyFill="1" applyAlignment="1">
      <alignment horizontal="center"/>
    </xf>
    <xf numFmtId="0" fontId="3" fillId="18" borderId="1" xfId="0" applyFont="1" applyFill="1" applyBorder="1" applyAlignment="1">
      <alignment horizontal="left" indent="4"/>
    </xf>
    <xf numFmtId="0" fontId="3" fillId="18" borderId="4" xfId="0" applyFont="1" applyFill="1" applyBorder="1"/>
    <xf numFmtId="0" fontId="3" fillId="18" borderId="7" xfId="0" applyFont="1" applyFill="1" applyBorder="1" applyAlignment="1">
      <alignment horizontal="left" indent="2"/>
    </xf>
    <xf numFmtId="0" fontId="3" fillId="18" borderId="2" xfId="0" applyFont="1" applyFill="1" applyBorder="1"/>
    <xf numFmtId="167" fontId="3" fillId="18" borderId="8" xfId="0" applyNumberFormat="1" applyFont="1" applyFill="1" applyBorder="1" applyAlignment="1">
      <alignment horizontal="center"/>
    </xf>
    <xf numFmtId="0" fontId="3" fillId="18" borderId="8" xfId="0" applyFont="1" applyFill="1" applyBorder="1" applyAlignment="1">
      <alignment horizontal="center"/>
    </xf>
    <xf numFmtId="0" fontId="3" fillId="7" borderId="13" xfId="0" applyFont="1" applyFill="1" applyBorder="1" applyAlignment="1">
      <alignment horizontal="center"/>
    </xf>
    <xf numFmtId="0" fontId="12" fillId="0" borderId="5" xfId="0" applyFont="1" applyBorder="1"/>
    <xf numFmtId="0" fontId="36" fillId="0" borderId="5" xfId="0" applyFont="1" applyBorder="1" applyAlignment="1">
      <alignment wrapText="1"/>
    </xf>
    <xf numFmtId="165" fontId="4" fillId="0" borderId="22" xfId="0" applyNumberFormat="1" applyFont="1" applyBorder="1" applyAlignment="1">
      <alignment horizontal="right"/>
    </xf>
    <xf numFmtId="174" fontId="36" fillId="0" borderId="33" xfId="0" applyNumberFormat="1" applyFont="1" applyBorder="1" applyAlignment="1">
      <alignment horizontal="center"/>
    </xf>
    <xf numFmtId="174" fontId="36" fillId="0" borderId="3" xfId="0" applyNumberFormat="1" applyFont="1" applyBorder="1" applyAlignment="1">
      <alignment horizontal="center"/>
    </xf>
    <xf numFmtId="0" fontId="25" fillId="0" borderId="5" xfId="0" applyFont="1" applyBorder="1" applyAlignment="1">
      <alignment wrapText="1"/>
    </xf>
    <xf numFmtId="1" fontId="25" fillId="0" borderId="33" xfId="0" applyNumberFormat="1" applyFont="1" applyBorder="1" applyAlignment="1">
      <alignment horizontal="center"/>
    </xf>
    <xf numFmtId="0" fontId="25" fillId="0" borderId="7" xfId="0" applyFont="1" applyBorder="1"/>
    <xf numFmtId="1" fontId="25" fillId="0" borderId="8" xfId="0" applyNumberFormat="1" applyFont="1" applyBorder="1" applyAlignment="1">
      <alignment horizontal="center"/>
    </xf>
    <xf numFmtId="174" fontId="36" fillId="15" borderId="33" xfId="0" applyNumberFormat="1" applyFont="1" applyFill="1" applyBorder="1" applyAlignment="1">
      <alignment horizontal="center"/>
    </xf>
    <xf numFmtId="1" fontId="3" fillId="0" borderId="8" xfId="0" applyNumberFormat="1" applyFont="1" applyBorder="1" applyAlignment="1">
      <alignment horizontal="center" vertical="center"/>
    </xf>
    <xf numFmtId="169" fontId="3" fillId="0" borderId="33" xfId="0" applyNumberFormat="1" applyFont="1" applyBorder="1"/>
    <xf numFmtId="168" fontId="21" fillId="0" borderId="0" xfId="0" applyNumberFormat="1" applyFont="1"/>
    <xf numFmtId="1" fontId="3" fillId="7" borderId="3" xfId="0" applyNumberFormat="1" applyFont="1" applyFill="1" applyBorder="1" applyAlignment="1">
      <alignment horizontal="center"/>
    </xf>
    <xf numFmtId="1" fontId="3" fillId="7" borderId="33" xfId="0" applyNumberFormat="1" applyFont="1" applyFill="1" applyBorder="1" applyAlignment="1">
      <alignment horizontal="center"/>
    </xf>
    <xf numFmtId="168" fontId="3" fillId="0" borderId="1" xfId="0" applyNumberFormat="1" applyFont="1" applyBorder="1" applyAlignment="1">
      <alignment horizontal="center" vertical="top" wrapText="1"/>
    </xf>
    <xf numFmtId="174" fontId="36" fillId="0" borderId="5" xfId="0" applyNumberFormat="1" applyFont="1" applyBorder="1" applyAlignment="1">
      <alignment horizontal="center"/>
    </xf>
    <xf numFmtId="1" fontId="3" fillId="0" borderId="8" xfId="0" applyNumberFormat="1" applyFont="1" applyBorder="1"/>
    <xf numFmtId="3" fontId="3" fillId="0" borderId="1" xfId="0" applyNumberFormat="1" applyFont="1" applyBorder="1" applyAlignment="1">
      <alignment horizontal="center"/>
    </xf>
    <xf numFmtId="1" fontId="3" fillId="7" borderId="8" xfId="0" applyNumberFormat="1" applyFont="1" applyFill="1" applyBorder="1"/>
    <xf numFmtId="1" fontId="3" fillId="7" borderId="4" xfId="0" applyNumberFormat="1" applyFont="1" applyFill="1" applyBorder="1"/>
    <xf numFmtId="1" fontId="3" fillId="7" borderId="2" xfId="0" applyNumberFormat="1" applyFont="1" applyFill="1" applyBorder="1"/>
    <xf numFmtId="168" fontId="21" fillId="24" borderId="0" xfId="0" applyNumberFormat="1" applyFont="1" applyFill="1" applyAlignment="1">
      <alignment horizontal="center" vertical="top" wrapText="1"/>
    </xf>
    <xf numFmtId="2" fontId="3" fillId="0" borderId="0" xfId="0" applyNumberFormat="1" applyFont="1" applyAlignment="1">
      <alignment horizontal="center"/>
    </xf>
    <xf numFmtId="9" fontId="1" fillId="0" borderId="0" xfId="0" applyNumberFormat="1" applyFont="1"/>
    <xf numFmtId="1" fontId="3" fillId="16" borderId="0" xfId="0" applyNumberFormat="1" applyFont="1" applyFill="1" applyAlignment="1">
      <alignment horizontal="center" vertical="top" wrapText="1"/>
    </xf>
    <xf numFmtId="0" fontId="24" fillId="0" borderId="0" xfId="0" applyFont="1" applyAlignment="1">
      <alignment horizontal="left" vertical="top" wrapText="1"/>
    </xf>
    <xf numFmtId="1" fontId="21" fillId="0" borderId="0" xfId="0" applyNumberFormat="1" applyFont="1" applyAlignment="1">
      <alignment horizontal="center" vertical="top" wrapText="1"/>
    </xf>
    <xf numFmtId="1" fontId="3" fillId="0" borderId="15" xfId="0" applyNumberFormat="1" applyFont="1" applyBorder="1" applyAlignment="1">
      <alignment horizontal="center" vertical="top" wrapText="1"/>
    </xf>
    <xf numFmtId="168" fontId="21" fillId="0" borderId="0" xfId="0" applyNumberFormat="1" applyFont="1" applyAlignment="1">
      <alignment horizontal="center" vertical="top" wrapText="1"/>
    </xf>
    <xf numFmtId="168" fontId="3" fillId="0" borderId="0" xfId="0" applyNumberFormat="1" applyFont="1" applyAlignment="1">
      <alignment horizontal="center" vertical="top" wrapText="1"/>
    </xf>
    <xf numFmtId="168" fontId="3" fillId="0" borderId="33" xfId="0" applyNumberFormat="1" applyFont="1" applyBorder="1" applyAlignment="1">
      <alignment horizontal="right" vertical="top" wrapText="1"/>
    </xf>
    <xf numFmtId="10" fontId="3" fillId="0" borderId="0" xfId="0" applyNumberFormat="1" applyFont="1"/>
    <xf numFmtId="0" fontId="3" fillId="0" borderId="7" xfId="0" applyFont="1" applyBorder="1" applyAlignment="1">
      <alignment horizontal="left" indent="1"/>
    </xf>
    <xf numFmtId="9" fontId="3" fillId="0" borderId="8" xfId="0" applyNumberFormat="1" applyFont="1" applyBorder="1"/>
    <xf numFmtId="2" fontId="3" fillId="0" borderId="1" xfId="0" applyNumberFormat="1" applyFont="1" applyBorder="1" applyAlignment="1">
      <alignment horizontal="center"/>
    </xf>
    <xf numFmtId="2" fontId="3" fillId="0" borderId="7" xfId="0" applyNumberFormat="1" applyFont="1" applyBorder="1" applyAlignment="1">
      <alignment horizontal="center"/>
    </xf>
    <xf numFmtId="2" fontId="3" fillId="0" borderId="8" xfId="0" applyNumberFormat="1" applyFont="1" applyBorder="1" applyAlignment="1">
      <alignment horizontal="center"/>
    </xf>
    <xf numFmtId="167" fontId="3" fillId="0" borderId="7" xfId="0" applyNumberFormat="1" applyFont="1" applyBorder="1" applyAlignment="1">
      <alignment horizontal="center"/>
    </xf>
    <xf numFmtId="167" fontId="3" fillId="0" borderId="8" xfId="0" applyNumberFormat="1" applyFont="1" applyBorder="1" applyAlignment="1">
      <alignment horizontal="center"/>
    </xf>
    <xf numFmtId="167" fontId="3" fillId="0" borderId="2" xfId="0" applyNumberFormat="1" applyFont="1" applyBorder="1" applyAlignment="1">
      <alignment horizontal="center"/>
    </xf>
    <xf numFmtId="1" fontId="3" fillId="0" borderId="1" xfId="0" applyNumberFormat="1" applyFont="1" applyBorder="1" applyAlignment="1">
      <alignment horizontal="center"/>
    </xf>
    <xf numFmtId="167" fontId="3" fillId="7" borderId="8" xfId="0" applyNumberFormat="1" applyFont="1" applyFill="1" applyBorder="1" applyAlignment="1">
      <alignment horizontal="center"/>
    </xf>
    <xf numFmtId="167" fontId="3" fillId="13" borderId="4" xfId="0" applyNumberFormat="1" applyFont="1" applyFill="1" applyBorder="1" applyAlignment="1">
      <alignment horizontal="center"/>
    </xf>
    <xf numFmtId="167" fontId="3" fillId="13" borderId="8" xfId="0" applyNumberFormat="1" applyFont="1" applyFill="1" applyBorder="1" applyAlignment="1">
      <alignment horizontal="center"/>
    </xf>
    <xf numFmtId="1" fontId="3" fillId="0" borderId="8" xfId="0" applyNumberFormat="1" applyFont="1" applyBorder="1" applyAlignment="1">
      <alignment horizontal="center"/>
    </xf>
    <xf numFmtId="167" fontId="3" fillId="0" borderId="1" xfId="0" applyNumberFormat="1" applyFont="1" applyBorder="1" applyAlignment="1">
      <alignment horizontal="center"/>
    </xf>
    <xf numFmtId="0" fontId="21" fillId="0" borderId="0" xfId="0" applyFont="1" applyAlignment="1">
      <alignment horizontal="center" vertical="top" wrapText="1"/>
    </xf>
    <xf numFmtId="3" fontId="21" fillId="0" borderId="0" xfId="0" applyNumberFormat="1" applyFont="1" applyAlignment="1">
      <alignment horizontal="center" vertical="top" wrapText="1"/>
    </xf>
    <xf numFmtId="0" fontId="21" fillId="0" borderId="0" xfId="0" applyFont="1" applyAlignment="1">
      <alignment horizontal="left" vertical="top" wrapText="1"/>
    </xf>
    <xf numFmtId="0" fontId="25" fillId="0" borderId="42" xfId="0" applyFont="1" applyBorder="1" applyAlignment="1">
      <alignment horizontal="left" indent="2"/>
    </xf>
    <xf numFmtId="165" fontId="3" fillId="0" borderId="15" xfId="0" applyNumberFormat="1" applyFont="1" applyBorder="1" applyAlignment="1">
      <alignment horizontal="center" vertical="top" wrapText="1"/>
    </xf>
    <xf numFmtId="0" fontId="3" fillId="0" borderId="5" xfId="0" applyFont="1" applyBorder="1" applyAlignment="1">
      <alignment horizontal="left" indent="1"/>
    </xf>
    <xf numFmtId="0" fontId="36" fillId="0" borderId="1" xfId="0" applyFont="1" applyBorder="1" applyAlignment="1">
      <alignment horizontal="left" wrapText="1"/>
    </xf>
    <xf numFmtId="0" fontId="38" fillId="0" borderId="0" xfId="0" applyFont="1"/>
    <xf numFmtId="0" fontId="25" fillId="0" borderId="0" xfId="0" applyFont="1"/>
    <xf numFmtId="0" fontId="36" fillId="0" borderId="0" xfId="0" applyFont="1"/>
    <xf numFmtId="0" fontId="39" fillId="0" borderId="1" xfId="0" applyFont="1" applyBorder="1" applyAlignment="1">
      <alignment horizontal="left"/>
    </xf>
    <xf numFmtId="167" fontId="21" fillId="0" borderId="0" xfId="0" applyNumberFormat="1" applyFont="1"/>
    <xf numFmtId="0" fontId="21" fillId="0" borderId="7" xfId="0" applyFont="1" applyBorder="1" applyAlignment="1">
      <alignment horizontal="left" vertical="top" wrapText="1"/>
    </xf>
    <xf numFmtId="0" fontId="3" fillId="0" borderId="44" xfId="0" applyFont="1" applyBorder="1"/>
    <xf numFmtId="168" fontId="21" fillId="0" borderId="0" xfId="0" applyNumberFormat="1" applyFont="1" applyAlignment="1">
      <alignment horizontal="right" vertical="top" wrapText="1"/>
    </xf>
    <xf numFmtId="174" fontId="36" fillId="0" borderId="0" xfId="0" applyNumberFormat="1" applyFont="1" applyAlignment="1">
      <alignment horizontal="center"/>
    </xf>
    <xf numFmtId="1" fontId="3" fillId="0" borderId="0" xfId="0" applyNumberFormat="1" applyFont="1" applyAlignment="1">
      <alignment horizontal="center" vertical="top" wrapText="1"/>
    </xf>
    <xf numFmtId="1" fontId="3" fillId="0" borderId="33" xfId="0" applyNumberFormat="1" applyFont="1" applyBorder="1" applyAlignment="1">
      <alignment horizontal="center" vertical="center"/>
    </xf>
    <xf numFmtId="168" fontId="3" fillId="13" borderId="0" xfId="0" applyNumberFormat="1" applyFont="1" applyFill="1" applyAlignment="1">
      <alignment horizontal="center" vertical="top" wrapText="1"/>
    </xf>
    <xf numFmtId="1" fontId="21" fillId="7" borderId="0" xfId="0" applyNumberFormat="1" applyFont="1" applyFill="1" applyAlignment="1">
      <alignment horizontal="center" vertical="top" wrapText="1"/>
    </xf>
    <xf numFmtId="1" fontId="3" fillId="7" borderId="0" xfId="0" applyNumberFormat="1" applyFont="1" applyFill="1" applyAlignment="1">
      <alignment horizontal="center" vertical="top" wrapText="1"/>
    </xf>
    <xf numFmtId="168" fontId="21" fillId="24" borderId="8" xfId="0" applyNumberFormat="1" applyFont="1" applyFill="1" applyBorder="1" applyAlignment="1">
      <alignment horizontal="center" vertical="top" wrapText="1"/>
    </xf>
    <xf numFmtId="168" fontId="21" fillId="15" borderId="0" xfId="0" applyNumberFormat="1" applyFont="1" applyFill="1" applyAlignment="1">
      <alignment horizontal="center" vertical="top" wrapText="1"/>
    </xf>
    <xf numFmtId="168" fontId="3" fillId="16" borderId="0" xfId="0" applyNumberFormat="1" applyFont="1" applyFill="1" applyAlignment="1">
      <alignment horizontal="center" vertical="top" wrapText="1"/>
    </xf>
    <xf numFmtId="167" fontId="3" fillId="13" borderId="0" xfId="0" applyNumberFormat="1" applyFont="1" applyFill="1" applyAlignment="1">
      <alignment horizontal="center"/>
    </xf>
    <xf numFmtId="167" fontId="3" fillId="7" borderId="0" xfId="0" applyNumberFormat="1" applyFont="1" applyFill="1" applyAlignment="1">
      <alignment horizontal="center"/>
    </xf>
    <xf numFmtId="167" fontId="3" fillId="0" borderId="0" xfId="0" applyNumberFormat="1" applyFont="1" applyAlignment="1">
      <alignment horizontal="center"/>
    </xf>
    <xf numFmtId="167" fontId="3" fillId="24" borderId="2" xfId="0" applyNumberFormat="1" applyFont="1" applyFill="1" applyBorder="1" applyAlignment="1">
      <alignment horizontal="center"/>
    </xf>
    <xf numFmtId="168" fontId="3" fillId="7" borderId="33" xfId="0" applyNumberFormat="1" applyFont="1" applyFill="1" applyBorder="1" applyAlignment="1">
      <alignment horizontal="right" vertical="top" wrapText="1"/>
    </xf>
    <xf numFmtId="168" fontId="3" fillId="0" borderId="0" xfId="0" applyNumberFormat="1" applyFont="1" applyAlignment="1">
      <alignment horizontal="right" vertical="top" wrapText="1"/>
    </xf>
    <xf numFmtId="0" fontId="3" fillId="0" borderId="1" xfId="0" applyFont="1" applyBorder="1" applyAlignment="1">
      <alignment horizontal="left" indent="1"/>
    </xf>
    <xf numFmtId="0" fontId="3" fillId="0" borderId="3" xfId="0" applyFont="1" applyBorder="1" applyAlignment="1">
      <alignment horizontal="center"/>
    </xf>
    <xf numFmtId="1" fontId="36" fillId="0" borderId="0" xfId="0" applyNumberFormat="1" applyFont="1" applyAlignment="1">
      <alignment horizontal="center"/>
    </xf>
    <xf numFmtId="174" fontId="36" fillId="0" borderId="0" xfId="0" applyNumberFormat="1" applyFont="1"/>
    <xf numFmtId="0" fontId="36" fillId="0" borderId="0" xfId="0" applyFont="1" applyAlignment="1">
      <alignment horizontal="left" indent="2"/>
    </xf>
    <xf numFmtId="175" fontId="36" fillId="0" borderId="0" xfId="0" applyNumberFormat="1" applyFont="1" applyAlignment="1">
      <alignment horizontal="center"/>
    </xf>
    <xf numFmtId="1" fontId="12" fillId="0" borderId="0" xfId="0" applyNumberFormat="1" applyFont="1" applyAlignment="1">
      <alignment horizontal="center"/>
    </xf>
    <xf numFmtId="168" fontId="3" fillId="0" borderId="1" xfId="0" applyNumberFormat="1" applyFont="1" applyBorder="1" applyAlignment="1">
      <alignment horizontal="right" vertical="top" wrapText="1"/>
    </xf>
    <xf numFmtId="3" fontId="21" fillId="0" borderId="8" xfId="0" applyNumberFormat="1" applyFont="1" applyBorder="1" applyAlignment="1">
      <alignment horizontal="center" vertical="top" wrapText="1"/>
    </xf>
    <xf numFmtId="175" fontId="25" fillId="0" borderId="0" xfId="0" applyNumberFormat="1" applyFont="1" applyAlignment="1">
      <alignment horizontal="center"/>
    </xf>
    <xf numFmtId="0" fontId="12" fillId="15" borderId="34" xfId="0" applyFont="1" applyFill="1" applyBorder="1" applyAlignment="1">
      <alignment horizontal="center"/>
    </xf>
    <xf numFmtId="0" fontId="12" fillId="15" borderId="17" xfId="0" applyFont="1" applyFill="1" applyBorder="1" applyAlignment="1">
      <alignment horizontal="center"/>
    </xf>
    <xf numFmtId="0" fontId="12" fillId="15" borderId="3" xfId="0" applyFont="1" applyFill="1" applyBorder="1" applyAlignment="1">
      <alignment horizontal="center"/>
    </xf>
    <xf numFmtId="0" fontId="25" fillId="0" borderId="1" xfId="0" applyFont="1" applyBorder="1"/>
    <xf numFmtId="10" fontId="40" fillId="0" borderId="7" xfId="0" applyNumberFormat="1" applyFont="1" applyBorder="1" applyAlignment="1">
      <alignment horizontal="center"/>
    </xf>
    <xf numFmtId="10" fontId="40" fillId="0" borderId="8" xfId="0" applyNumberFormat="1" applyFont="1" applyBorder="1" applyAlignment="1">
      <alignment horizontal="center"/>
    </xf>
    <xf numFmtId="10" fontId="40" fillId="0" borderId="2" xfId="0" applyNumberFormat="1" applyFont="1" applyBorder="1" applyAlignment="1">
      <alignment horizontal="center"/>
    </xf>
    <xf numFmtId="0" fontId="12" fillId="0" borderId="1" xfId="0" applyFont="1" applyBorder="1" applyAlignment="1">
      <alignment wrapText="1"/>
    </xf>
    <xf numFmtId="0" fontId="40" fillId="0" borderId="1" xfId="0" applyFont="1" applyBorder="1" applyAlignment="1">
      <alignment wrapText="1"/>
    </xf>
    <xf numFmtId="0" fontId="40" fillId="0" borderId="0" xfId="0" applyFont="1" applyAlignment="1">
      <alignment wrapText="1"/>
    </xf>
    <xf numFmtId="2" fontId="40" fillId="0" borderId="0" xfId="0" applyNumberFormat="1" applyFont="1" applyAlignment="1">
      <alignment horizontal="center"/>
    </xf>
    <xf numFmtId="2" fontId="41" fillId="0" borderId="0" xfId="0" applyNumberFormat="1" applyFont="1" applyAlignment="1">
      <alignment horizontal="center"/>
    </xf>
    <xf numFmtId="0" fontId="41" fillId="0" borderId="0" xfId="0" applyFont="1" applyAlignment="1">
      <alignment horizontal="center"/>
    </xf>
    <xf numFmtId="2" fontId="40" fillId="0" borderId="8" xfId="0" applyNumberFormat="1" applyFont="1" applyBorder="1" applyAlignment="1">
      <alignment horizontal="center"/>
    </xf>
    <xf numFmtId="2" fontId="40" fillId="0" borderId="6" xfId="0" applyNumberFormat="1" applyFont="1" applyBorder="1" applyAlignment="1">
      <alignment horizontal="center"/>
    </xf>
    <xf numFmtId="2" fontId="40" fillId="0" borderId="4" xfId="0" applyNumberFormat="1" applyFont="1" applyBorder="1" applyAlignment="1">
      <alignment horizontal="center"/>
    </xf>
    <xf numFmtId="2" fontId="40" fillId="0" borderId="2" xfId="0" applyNumberFormat="1" applyFont="1" applyBorder="1" applyAlignment="1">
      <alignment horizontal="center"/>
    </xf>
    <xf numFmtId="0" fontId="12" fillId="0" borderId="5" xfId="0" applyFont="1" applyBorder="1" applyAlignment="1">
      <alignment vertical="center" wrapText="1"/>
    </xf>
    <xf numFmtId="0" fontId="42" fillId="0" borderId="5" xfId="0" applyFont="1" applyBorder="1" applyAlignment="1">
      <alignment wrapText="1"/>
    </xf>
    <xf numFmtId="0" fontId="42" fillId="0" borderId="3" xfId="0" applyFont="1" applyBorder="1" applyAlignment="1">
      <alignment wrapText="1"/>
    </xf>
    <xf numFmtId="0" fontId="42" fillId="0" borderId="34" xfId="0" applyFont="1" applyBorder="1" applyAlignment="1">
      <alignment wrapText="1"/>
    </xf>
    <xf numFmtId="0" fontId="42" fillId="0" borderId="17" xfId="0" applyFont="1" applyBorder="1" applyAlignment="1">
      <alignment wrapText="1"/>
    </xf>
    <xf numFmtId="10" fontId="40" fillId="18" borderId="0" xfId="0" applyNumberFormat="1" applyFont="1" applyFill="1" applyAlignment="1">
      <alignment horizontal="center"/>
    </xf>
    <xf numFmtId="10" fontId="40" fillId="18" borderId="4" xfId="0" applyNumberFormat="1" applyFont="1" applyFill="1" applyBorder="1" applyAlignment="1">
      <alignment horizontal="center"/>
    </xf>
    <xf numFmtId="10" fontId="1" fillId="18" borderId="1" xfId="0" applyNumberFormat="1" applyFont="1" applyFill="1" applyBorder="1"/>
    <xf numFmtId="10" fontId="40" fillId="0" borderId="0" xfId="0" applyNumberFormat="1" applyFont="1" applyAlignment="1">
      <alignment horizontal="center"/>
    </xf>
    <xf numFmtId="10" fontId="40" fillId="11" borderId="0" xfId="0" applyNumberFormat="1" applyFont="1" applyFill="1" applyAlignment="1">
      <alignment horizontal="center"/>
    </xf>
    <xf numFmtId="0" fontId="2" fillId="0" borderId="0" xfId="0" applyFont="1" applyAlignment="1">
      <alignment horizontal="left"/>
    </xf>
    <xf numFmtId="10" fontId="40" fillId="13" borderId="0" xfId="0" applyNumberFormat="1" applyFont="1" applyFill="1" applyAlignment="1">
      <alignment horizontal="center"/>
    </xf>
    <xf numFmtId="0" fontId="3" fillId="0" borderId="0" xfId="0" applyFont="1" applyAlignment="1">
      <alignment vertical="top"/>
    </xf>
    <xf numFmtId="0" fontId="21" fillId="0" borderId="2" xfId="0" applyFont="1" applyBorder="1" applyAlignment="1">
      <alignment horizontal="center"/>
    </xf>
    <xf numFmtId="10" fontId="40" fillId="0" borderId="3" xfId="0" applyNumberFormat="1" applyFont="1" applyBorder="1" applyAlignment="1">
      <alignment horizontal="center"/>
    </xf>
    <xf numFmtId="10" fontId="40" fillId="13" borderId="6" xfId="0" applyNumberFormat="1" applyFont="1" applyFill="1" applyBorder="1" applyAlignment="1">
      <alignment horizontal="center"/>
    </xf>
    <xf numFmtId="10" fontId="40" fillId="0" borderId="33" xfId="0" applyNumberFormat="1" applyFont="1" applyBorder="1" applyAlignment="1">
      <alignment horizontal="center"/>
    </xf>
    <xf numFmtId="0" fontId="2" fillId="18" borderId="4" xfId="0" applyFont="1" applyFill="1" applyBorder="1" applyAlignment="1">
      <alignment horizontal="left"/>
    </xf>
    <xf numFmtId="0" fontId="2" fillId="18" borderId="2" xfId="0" applyFont="1" applyFill="1" applyBorder="1" applyAlignment="1">
      <alignment horizontal="left"/>
    </xf>
    <xf numFmtId="10" fontId="40" fillId="18" borderId="8" xfId="0" applyNumberFormat="1" applyFont="1" applyFill="1" applyBorder="1" applyAlignment="1">
      <alignment horizontal="center"/>
    </xf>
    <xf numFmtId="10" fontId="40" fillId="18" borderId="2" xfId="0" applyNumberFormat="1" applyFont="1" applyFill="1" applyBorder="1" applyAlignment="1">
      <alignment horizontal="center"/>
    </xf>
    <xf numFmtId="10" fontId="1" fillId="0" borderId="5" xfId="0" applyNumberFormat="1" applyFont="1" applyBorder="1"/>
    <xf numFmtId="0" fontId="2" fillId="0" borderId="3" xfId="0" applyFont="1" applyBorder="1" applyAlignment="1">
      <alignment horizontal="left"/>
    </xf>
    <xf numFmtId="0" fontId="2" fillId="0" borderId="2" xfId="0" applyFont="1" applyBorder="1" applyAlignment="1">
      <alignment horizontal="left"/>
    </xf>
    <xf numFmtId="10" fontId="40" fillId="0" borderId="45" xfId="0" applyNumberFormat="1" applyFont="1" applyBorder="1" applyAlignment="1">
      <alignment horizontal="center"/>
    </xf>
    <xf numFmtId="10" fontId="40" fillId="0" borderId="46" xfId="0" applyNumberFormat="1" applyFont="1" applyBorder="1" applyAlignment="1">
      <alignment horizontal="center"/>
    </xf>
    <xf numFmtId="10" fontId="40" fillId="0" borderId="47" xfId="0" applyNumberFormat="1" applyFont="1" applyBorder="1" applyAlignment="1">
      <alignment horizontal="center"/>
    </xf>
    <xf numFmtId="10" fontId="1" fillId="0" borderId="7" xfId="0" applyNumberFormat="1" applyFont="1" applyBorder="1"/>
    <xf numFmtId="0" fontId="12" fillId="0" borderId="33" xfId="0" applyFont="1" applyBorder="1" applyAlignment="1">
      <alignment vertical="center" wrapText="1"/>
    </xf>
    <xf numFmtId="10" fontId="40" fillId="13" borderId="8" xfId="0" applyNumberFormat="1" applyFont="1" applyFill="1" applyBorder="1" applyAlignment="1">
      <alignment horizontal="center"/>
    </xf>
    <xf numFmtId="10" fontId="40" fillId="0" borderId="5" xfId="0" applyNumberFormat="1" applyFont="1" applyBorder="1" applyAlignment="1">
      <alignment horizontal="center"/>
    </xf>
    <xf numFmtId="10" fontId="40" fillId="13" borderId="33" xfId="0" applyNumberFormat="1" applyFont="1" applyFill="1" applyBorder="1" applyAlignment="1">
      <alignment horizontal="center"/>
    </xf>
    <xf numFmtId="0" fontId="42" fillId="0" borderId="0" xfId="0" applyFont="1" applyAlignment="1">
      <alignment wrapText="1"/>
    </xf>
    <xf numFmtId="0" fontId="42" fillId="0" borderId="8" xfId="0" applyFont="1" applyBorder="1" applyAlignment="1">
      <alignment wrapText="1"/>
    </xf>
    <xf numFmtId="2" fontId="40" fillId="0" borderId="3" xfId="0" applyNumberFormat="1" applyFont="1" applyBorder="1" applyAlignment="1">
      <alignment horizontal="center"/>
    </xf>
    <xf numFmtId="167" fontId="4" fillId="0" borderId="0" xfId="0" applyNumberFormat="1" applyFont="1" applyAlignment="1">
      <alignment wrapText="1"/>
    </xf>
    <xf numFmtId="0" fontId="2" fillId="0" borderId="6" xfId="0" applyFont="1" applyBorder="1" applyAlignment="1">
      <alignment horizontal="left"/>
    </xf>
    <xf numFmtId="0" fontId="2" fillId="0" borderId="8" xfId="0" applyFont="1" applyBorder="1" applyAlignment="1">
      <alignment horizontal="left"/>
    </xf>
    <xf numFmtId="176" fontId="1" fillId="0" borderId="0" xfId="0" applyNumberFormat="1" applyFont="1"/>
    <xf numFmtId="10" fontId="40" fillId="0" borderId="6" xfId="0" applyNumberFormat="1" applyFont="1" applyBorder="1" applyAlignment="1">
      <alignment horizontal="center"/>
    </xf>
    <xf numFmtId="10" fontId="40" fillId="0" borderId="1" xfId="0" applyNumberFormat="1" applyFont="1" applyBorder="1" applyAlignment="1">
      <alignment horizontal="center"/>
    </xf>
    <xf numFmtId="10" fontId="40" fillId="0" borderId="4" xfId="0" applyNumberFormat="1" applyFont="1" applyBorder="1" applyAlignment="1">
      <alignment horizontal="center"/>
    </xf>
    <xf numFmtId="0" fontId="3" fillId="7" borderId="12" xfId="0" applyFont="1" applyFill="1" applyBorder="1" applyAlignment="1">
      <alignment horizontal="center" wrapText="1"/>
    </xf>
    <xf numFmtId="0" fontId="3" fillId="13" borderId="39" xfId="0" applyFont="1" applyFill="1" applyBorder="1" applyAlignment="1">
      <alignment horizontal="center" wrapText="1"/>
    </xf>
    <xf numFmtId="0" fontId="3" fillId="13" borderId="17" xfId="0" applyFont="1" applyFill="1" applyBorder="1" applyAlignment="1">
      <alignment horizontal="center" wrapText="1"/>
    </xf>
    <xf numFmtId="14" fontId="3" fillId="13" borderId="14" xfId="0" applyNumberFormat="1" applyFont="1" applyFill="1" applyBorder="1" applyAlignment="1">
      <alignment horizontal="right"/>
    </xf>
    <xf numFmtId="3" fontId="3" fillId="0" borderId="5" xfId="0" applyNumberFormat="1" applyFont="1" applyBorder="1" applyAlignment="1">
      <alignment horizontal="center"/>
    </xf>
    <xf numFmtId="3" fontId="3" fillId="0" borderId="0" xfId="0" applyNumberFormat="1" applyFont="1" applyAlignment="1">
      <alignment wrapText="1"/>
    </xf>
    <xf numFmtId="0" fontId="11" fillId="0" borderId="0" xfId="0" applyFont="1"/>
    <xf numFmtId="167" fontId="3" fillId="0" borderId="0" xfId="0" applyNumberFormat="1" applyFont="1" applyAlignment="1">
      <alignment horizontal="left"/>
    </xf>
    <xf numFmtId="14" fontId="3" fillId="0" borderId="0" xfId="0" applyNumberFormat="1" applyFont="1" applyAlignment="1">
      <alignment horizontal="center"/>
    </xf>
    <xf numFmtId="14" fontId="3" fillId="13" borderId="13" xfId="0" applyNumberFormat="1" applyFont="1" applyFill="1" applyBorder="1" applyAlignment="1">
      <alignment horizontal="right"/>
    </xf>
    <xf numFmtId="14" fontId="3" fillId="13" borderId="12" xfId="0" applyNumberFormat="1" applyFont="1" applyFill="1" applyBorder="1" applyAlignment="1">
      <alignment horizontal="right"/>
    </xf>
    <xf numFmtId="2" fontId="3" fillId="0" borderId="4" xfId="0" applyNumberFormat="1" applyFont="1" applyBorder="1" applyAlignment="1">
      <alignment horizontal="center"/>
    </xf>
    <xf numFmtId="2" fontId="3" fillId="0" borderId="2" xfId="0" applyNumberFormat="1" applyFont="1" applyBorder="1" applyAlignment="1">
      <alignment horizontal="center"/>
    </xf>
    <xf numFmtId="0" fontId="3" fillId="13" borderId="7" xfId="0" applyFont="1" applyFill="1" applyBorder="1" applyAlignment="1">
      <alignment horizontal="center" wrapText="1"/>
    </xf>
    <xf numFmtId="0" fontId="3" fillId="13" borderId="8" xfId="0" applyFont="1" applyFill="1" applyBorder="1" applyAlignment="1">
      <alignment horizontal="center" wrapText="1"/>
    </xf>
    <xf numFmtId="165" fontId="1" fillId="13" borderId="4" xfId="0" applyNumberFormat="1" applyFont="1" applyFill="1" applyBorder="1" applyAlignment="1">
      <alignment horizontal="center"/>
    </xf>
    <xf numFmtId="0" fontId="1" fillId="13" borderId="2" xfId="0" applyFont="1" applyFill="1" applyBorder="1" applyAlignment="1">
      <alignment horizontal="center"/>
    </xf>
    <xf numFmtId="0" fontId="1" fillId="0" borderId="1" xfId="0" applyFont="1" applyBorder="1" applyAlignment="1">
      <alignment horizontal="left" wrapText="1" indent="2"/>
    </xf>
    <xf numFmtId="0" fontId="1" fillId="0" borderId="1" xfId="0" applyFont="1" applyBorder="1" applyAlignment="1">
      <alignment horizontal="left" indent="2"/>
    </xf>
    <xf numFmtId="0" fontId="1" fillId="0" borderId="0" xfId="0" applyFont="1" applyAlignment="1">
      <alignment horizontal="right"/>
    </xf>
    <xf numFmtId="0" fontId="1" fillId="0" borderId="7" xfId="0" applyFont="1" applyBorder="1" applyAlignment="1">
      <alignment horizontal="left" indent="2"/>
    </xf>
    <xf numFmtId="0" fontId="1" fillId="13" borderId="14" xfId="0" applyFont="1" applyFill="1" applyBorder="1" applyAlignment="1">
      <alignment horizontal="center" wrapText="1"/>
    </xf>
    <xf numFmtId="0" fontId="1" fillId="3" borderId="17" xfId="0" applyFont="1" applyFill="1" applyBorder="1" applyAlignment="1">
      <alignment wrapText="1"/>
    </xf>
    <xf numFmtId="0" fontId="1" fillId="0" borderId="8" xfId="0" applyFont="1" applyBorder="1" applyAlignment="1">
      <alignment horizontal="left" indent="2"/>
    </xf>
    <xf numFmtId="0" fontId="1" fillId="0" borderId="6" xfId="0" applyFont="1" applyBorder="1" applyAlignment="1">
      <alignment horizontal="left" wrapText="1" indent="2"/>
    </xf>
    <xf numFmtId="0" fontId="1" fillId="13" borderId="13" xfId="0" applyFont="1" applyFill="1" applyBorder="1" applyAlignment="1">
      <alignment horizontal="center" wrapText="1"/>
    </xf>
    <xf numFmtId="0" fontId="1" fillId="13" borderId="1" xfId="0" applyFont="1" applyFill="1" applyBorder="1" applyAlignment="1">
      <alignment horizontal="center" wrapText="1"/>
    </xf>
    <xf numFmtId="0" fontId="1" fillId="13" borderId="4" xfId="0" applyFont="1" applyFill="1" applyBorder="1" applyAlignment="1">
      <alignment horizontal="center"/>
    </xf>
    <xf numFmtId="165" fontId="1" fillId="11" borderId="2" xfId="0" applyNumberFormat="1" applyFont="1" applyFill="1" applyBorder="1" applyAlignment="1">
      <alignment horizontal="center"/>
    </xf>
    <xf numFmtId="0" fontId="2" fillId="0" borderId="5" xfId="0" applyFont="1" applyBorder="1" applyAlignment="1">
      <alignment horizontal="left" wrapText="1" indent="2"/>
    </xf>
    <xf numFmtId="0" fontId="1" fillId="13" borderId="8" xfId="0" applyFont="1" applyFill="1" applyBorder="1" applyAlignment="1">
      <alignment horizontal="center"/>
    </xf>
    <xf numFmtId="165" fontId="1" fillId="0" borderId="33" xfId="0" applyNumberFormat="1" applyFont="1" applyBorder="1" applyAlignment="1">
      <alignment horizontal="center"/>
    </xf>
    <xf numFmtId="165" fontId="1" fillId="13" borderId="3" xfId="0" applyNumberFormat="1" applyFont="1" applyFill="1" applyBorder="1" applyAlignment="1">
      <alignment horizontal="center"/>
    </xf>
    <xf numFmtId="165" fontId="1" fillId="0" borderId="0" xfId="0" applyNumberFormat="1" applyFont="1" applyAlignment="1">
      <alignment horizontal="center"/>
    </xf>
    <xf numFmtId="0" fontId="1" fillId="3" borderId="11" xfId="0" applyFont="1" applyFill="1" applyBorder="1" applyAlignment="1">
      <alignment wrapText="1"/>
    </xf>
    <xf numFmtId="0" fontId="1" fillId="11" borderId="2" xfId="0" applyFont="1" applyFill="1" applyBorder="1" applyAlignment="1">
      <alignment horizontal="center"/>
    </xf>
    <xf numFmtId="165" fontId="1" fillId="13" borderId="0" xfId="0" applyNumberFormat="1" applyFont="1" applyFill="1" applyAlignment="1">
      <alignment horizontal="center"/>
    </xf>
    <xf numFmtId="165" fontId="1" fillId="13" borderId="33" xfId="0" applyNumberFormat="1" applyFont="1" applyFill="1" applyBorder="1" applyAlignment="1">
      <alignment horizontal="center"/>
    </xf>
    <xf numFmtId="0" fontId="1" fillId="0" borderId="5" xfId="0" applyFont="1" applyBorder="1" applyAlignment="1">
      <alignment horizontal="left" wrapText="1" indent="2"/>
    </xf>
    <xf numFmtId="0" fontId="1" fillId="0" borderId="33" xfId="0" applyFont="1" applyBorder="1" applyAlignment="1">
      <alignment horizontal="left" wrapText="1" indent="2"/>
    </xf>
    <xf numFmtId="0" fontId="21" fillId="13" borderId="4" xfId="0" applyFont="1" applyFill="1" applyBorder="1" applyAlignment="1">
      <alignment horizontal="center"/>
    </xf>
    <xf numFmtId="0" fontId="1" fillId="0" borderId="1" xfId="0" applyFont="1" applyBorder="1" applyAlignment="1">
      <alignment horizontal="center"/>
    </xf>
    <xf numFmtId="0" fontId="21" fillId="7" borderId="8" xfId="0" applyFont="1" applyFill="1" applyBorder="1" applyAlignment="1">
      <alignment horizontal="center"/>
    </xf>
    <xf numFmtId="0" fontId="21" fillId="7" borderId="2" xfId="0" applyFont="1" applyFill="1" applyBorder="1" applyAlignment="1">
      <alignment horizontal="center"/>
    </xf>
    <xf numFmtId="0" fontId="1" fillId="0" borderId="12" xfId="0" applyFont="1" applyBorder="1" applyAlignment="1">
      <alignment horizontal="left"/>
    </xf>
    <xf numFmtId="0" fontId="1" fillId="13" borderId="7" xfId="0" applyFont="1" applyFill="1" applyBorder="1" applyAlignment="1">
      <alignment horizontal="center"/>
    </xf>
    <xf numFmtId="165" fontId="1" fillId="0" borderId="8" xfId="0" applyNumberFormat="1" applyFont="1" applyBorder="1" applyAlignment="1">
      <alignment horizontal="center"/>
    </xf>
    <xf numFmtId="165" fontId="1" fillId="0" borderId="2" xfId="0" applyNumberFormat="1" applyFont="1" applyBorder="1" applyAlignment="1">
      <alignment horizontal="center"/>
    </xf>
    <xf numFmtId="0" fontId="21" fillId="7" borderId="0" xfId="0" applyFont="1" applyFill="1" applyAlignment="1">
      <alignment horizontal="center"/>
    </xf>
    <xf numFmtId="0" fontId="21" fillId="7" borderId="4" xfId="0" applyFont="1" applyFill="1" applyBorder="1" applyAlignment="1">
      <alignment horizontal="center"/>
    </xf>
    <xf numFmtId="0" fontId="21" fillId="13" borderId="0" xfId="0" applyFont="1" applyFill="1" applyAlignment="1">
      <alignment horizontal="center"/>
    </xf>
    <xf numFmtId="2" fontId="1" fillId="14" borderId="0" xfId="0" applyNumberFormat="1" applyFont="1" applyFill="1"/>
    <xf numFmtId="14" fontId="1" fillId="0" borderId="0" xfId="0" applyNumberFormat="1" applyFont="1"/>
    <xf numFmtId="0" fontId="1" fillId="25" borderId="0" xfId="0" applyFont="1" applyFill="1" applyAlignment="1">
      <alignment wrapText="1"/>
    </xf>
    <xf numFmtId="0" fontId="1" fillId="25" borderId="0" xfId="0" applyFont="1" applyFill="1"/>
    <xf numFmtId="0" fontId="1" fillId="0" borderId="0" xfId="0" applyFont="1" applyAlignment="1">
      <alignment vertical="center" wrapText="1"/>
    </xf>
    <xf numFmtId="0" fontId="1" fillId="25" borderId="0" xfId="0" applyFont="1" applyFill="1" applyAlignment="1">
      <alignment horizontal="center" wrapText="1"/>
    </xf>
    <xf numFmtId="177" fontId="1" fillId="0" borderId="0" xfId="0" applyNumberFormat="1" applyFont="1"/>
    <xf numFmtId="0" fontId="1" fillId="25" borderId="0" xfId="0" applyFont="1" applyFill="1" applyAlignment="1">
      <alignment horizontal="center"/>
    </xf>
    <xf numFmtId="2" fontId="1" fillId="25" borderId="0" xfId="0" applyNumberFormat="1" applyFont="1" applyFill="1"/>
    <xf numFmtId="0" fontId="40" fillId="0" borderId="0" xfId="0" applyFont="1"/>
    <xf numFmtId="166" fontId="1" fillId="0" borderId="0" xfId="0" applyNumberFormat="1" applyFont="1"/>
    <xf numFmtId="169" fontId="40" fillId="0" borderId="0" xfId="0" applyNumberFormat="1" applyFont="1"/>
    <xf numFmtId="2" fontId="7" fillId="0" borderId="0" xfId="0" applyNumberFormat="1" applyFont="1"/>
    <xf numFmtId="0" fontId="3" fillId="0" borderId="0" xfId="0" applyFont="1" applyAlignment="1">
      <alignment vertical="center"/>
    </xf>
    <xf numFmtId="0" fontId="3" fillId="0" borderId="0" xfId="0" applyFont="1" applyAlignment="1">
      <alignment horizontal="right" vertical="center"/>
    </xf>
    <xf numFmtId="0" fontId="3" fillId="0" borderId="8" xfId="0" applyFont="1" applyBorder="1" applyAlignment="1">
      <alignment vertical="center"/>
    </xf>
    <xf numFmtId="0" fontId="3" fillId="0" borderId="8" xfId="0" applyFont="1" applyBorder="1" applyAlignment="1">
      <alignment horizontal="right" vertical="center"/>
    </xf>
    <xf numFmtId="0" fontId="44" fillId="0" borderId="0" xfId="0" applyFont="1" applyAlignment="1">
      <alignment vertical="center"/>
    </xf>
    <xf numFmtId="0" fontId="11" fillId="0" borderId="0" xfId="0" applyFont="1" applyAlignment="1">
      <alignment horizontal="left"/>
    </xf>
    <xf numFmtId="165" fontId="3" fillId="0" borderId="0" xfId="0" applyNumberFormat="1" applyFont="1" applyAlignment="1">
      <alignment horizontal="right"/>
    </xf>
    <xf numFmtId="3" fontId="3" fillId="0" borderId="8" xfId="0" applyNumberFormat="1" applyFont="1" applyBorder="1"/>
    <xf numFmtId="1" fontId="3" fillId="0" borderId="0" xfId="0" applyNumberFormat="1" applyFont="1" applyAlignment="1">
      <alignment horizontal="right"/>
    </xf>
    <xf numFmtId="0" fontId="3" fillId="0" borderId="8" xfId="0" applyFont="1" applyBorder="1" applyAlignment="1">
      <alignment horizontal="right"/>
    </xf>
    <xf numFmtId="3" fontId="3" fillId="0" borderId="8" xfId="0" applyNumberFormat="1" applyFont="1" applyBorder="1" applyAlignment="1">
      <alignment horizontal="right"/>
    </xf>
    <xf numFmtId="0" fontId="45" fillId="0" borderId="0" xfId="0" applyFont="1" applyAlignment="1">
      <alignment horizontal="left"/>
    </xf>
    <xf numFmtId="0" fontId="45" fillId="0" borderId="0" xfId="0" applyFont="1" applyAlignment="1">
      <alignment horizontal="center" wrapText="1"/>
    </xf>
    <xf numFmtId="1" fontId="46" fillId="0" borderId="48" xfId="0" applyNumberFormat="1" applyFont="1" applyBorder="1" applyAlignment="1">
      <alignment horizontal="center" vertical="top"/>
    </xf>
    <xf numFmtId="0" fontId="45" fillId="27" borderId="48" xfId="0" applyFont="1" applyFill="1" applyBorder="1" applyAlignment="1">
      <alignment horizontal="center" vertical="top"/>
    </xf>
    <xf numFmtId="0" fontId="45" fillId="0" borderId="0" xfId="0" applyFont="1" applyAlignment="1">
      <alignment horizontal="center"/>
    </xf>
    <xf numFmtId="0" fontId="45" fillId="0" borderId="0" xfId="0" applyFont="1" applyAlignment="1">
      <alignment horizontal="left" wrapText="1"/>
    </xf>
    <xf numFmtId="0" fontId="46" fillId="0" borderId="0" xfId="0" applyFont="1" applyAlignment="1">
      <alignment horizontal="left" vertical="top"/>
    </xf>
    <xf numFmtId="0" fontId="46" fillId="0" borderId="0" xfId="0" applyFont="1" applyAlignment="1">
      <alignment horizontal="center" vertical="top" wrapText="1"/>
    </xf>
    <xf numFmtId="1" fontId="46" fillId="14" borderId="0" xfId="0" applyNumberFormat="1" applyFont="1" applyFill="1" applyAlignment="1">
      <alignment horizontal="center" vertical="top"/>
    </xf>
    <xf numFmtId="0" fontId="45" fillId="14" borderId="0" xfId="0" applyFont="1" applyFill="1" applyAlignment="1">
      <alignment horizontal="center" vertical="top"/>
    </xf>
    <xf numFmtId="0" fontId="45" fillId="14" borderId="0" xfId="0" applyFont="1" applyFill="1" applyAlignment="1">
      <alignment horizontal="left" vertical="top" wrapText="1"/>
    </xf>
    <xf numFmtId="0" fontId="45" fillId="0" borderId="0" xfId="0" applyFont="1" applyAlignment="1">
      <alignment horizontal="left" vertical="top" wrapText="1"/>
    </xf>
    <xf numFmtId="0" fontId="46" fillId="0" borderId="34" xfId="0" applyFont="1" applyBorder="1" applyAlignment="1">
      <alignment horizontal="left" vertical="top"/>
    </xf>
    <xf numFmtId="0" fontId="46" fillId="0" borderId="34" xfId="0" applyFont="1" applyBorder="1" applyAlignment="1">
      <alignment horizontal="center" vertical="top" wrapText="1"/>
    </xf>
    <xf numFmtId="1" fontId="46" fillId="3" borderId="34" xfId="0" applyNumberFormat="1" applyFont="1" applyFill="1" applyBorder="1" applyAlignment="1">
      <alignment horizontal="center" vertical="top"/>
    </xf>
    <xf numFmtId="3" fontId="46" fillId="3" borderId="34" xfId="0" applyNumberFormat="1" applyFont="1" applyFill="1" applyBorder="1" applyAlignment="1">
      <alignment horizontal="center" vertical="top"/>
    </xf>
    <xf numFmtId="0" fontId="45" fillId="3" borderId="34" xfId="0" applyFont="1" applyFill="1" applyBorder="1" applyAlignment="1">
      <alignment horizontal="center" vertical="top"/>
    </xf>
    <xf numFmtId="0" fontId="45" fillId="0" borderId="34" xfId="0" applyFont="1" applyBorder="1" applyAlignment="1">
      <alignment horizontal="left" vertical="top" wrapText="1"/>
    </xf>
    <xf numFmtId="0" fontId="46" fillId="0" borderId="6" xfId="0" applyFont="1" applyBorder="1" applyAlignment="1">
      <alignment horizontal="left" vertical="top"/>
    </xf>
    <xf numFmtId="0" fontId="46" fillId="0" borderId="6" xfId="0" applyFont="1" applyBorder="1" applyAlignment="1">
      <alignment horizontal="center" vertical="top" wrapText="1"/>
    </xf>
    <xf numFmtId="3" fontId="47" fillId="0" borderId="0" xfId="0" applyNumberFormat="1" applyFont="1" applyAlignment="1">
      <alignment vertical="top"/>
    </xf>
    <xf numFmtId="0" fontId="46" fillId="14" borderId="6" xfId="0" applyFont="1" applyFill="1" applyBorder="1" applyAlignment="1">
      <alignment horizontal="center" vertical="top"/>
    </xf>
    <xf numFmtId="0" fontId="45" fillId="0" borderId="6" xfId="0" applyFont="1" applyBorder="1" applyAlignment="1">
      <alignment horizontal="left" vertical="top" wrapText="1"/>
    </xf>
    <xf numFmtId="0" fontId="45" fillId="0" borderId="0" xfId="0" applyFont="1" applyAlignment="1">
      <alignment horizontal="left" vertical="top"/>
    </xf>
    <xf numFmtId="0" fontId="45" fillId="0" borderId="0" xfId="0" applyFont="1" applyAlignment="1">
      <alignment horizontal="center" vertical="top" wrapText="1"/>
    </xf>
    <xf numFmtId="3" fontId="46" fillId="14" borderId="0" xfId="0" applyNumberFormat="1" applyFont="1" applyFill="1" applyAlignment="1">
      <alignment horizontal="center" vertical="top"/>
    </xf>
    <xf numFmtId="0" fontId="46" fillId="14" borderId="0" xfId="0" applyFont="1" applyFill="1" applyAlignment="1">
      <alignment horizontal="center" vertical="top"/>
    </xf>
    <xf numFmtId="1" fontId="45" fillId="14" borderId="0" xfId="0" applyNumberFormat="1" applyFont="1" applyFill="1" applyAlignment="1">
      <alignment horizontal="center" vertical="top"/>
    </xf>
    <xf numFmtId="0" fontId="45" fillId="0" borderId="0" xfId="0" applyFont="1" applyAlignment="1">
      <alignment horizontal="center" vertical="top"/>
    </xf>
    <xf numFmtId="1" fontId="45" fillId="14" borderId="0" xfId="0" applyNumberFormat="1" applyFont="1" applyFill="1" applyAlignment="1">
      <alignment horizontal="center"/>
    </xf>
    <xf numFmtId="1" fontId="45" fillId="14" borderId="0" xfId="0" applyNumberFormat="1" applyFont="1" applyFill="1" applyAlignment="1">
      <alignment horizontal="center" vertical="center"/>
    </xf>
    <xf numFmtId="1" fontId="46" fillId="14" borderId="0" xfId="0" applyNumberFormat="1" applyFont="1" applyFill="1" applyAlignment="1">
      <alignment horizontal="center" vertical="center"/>
    </xf>
    <xf numFmtId="0" fontId="45" fillId="0" borderId="0" xfId="0" applyFont="1" applyAlignment="1">
      <alignment horizontal="left" vertical="center"/>
    </xf>
    <xf numFmtId="0" fontId="45" fillId="0" borderId="0" xfId="0" applyFont="1" applyAlignment="1">
      <alignment horizontal="center" vertical="center" wrapText="1"/>
    </xf>
    <xf numFmtId="0" fontId="46" fillId="0" borderId="0" xfId="0" applyFont="1" applyAlignment="1">
      <alignment horizontal="left" vertical="top" wrapText="1"/>
    </xf>
    <xf numFmtId="1" fontId="46" fillId="14" borderId="6" xfId="0" applyNumberFormat="1" applyFont="1" applyFill="1" applyBorder="1" applyAlignment="1">
      <alignment horizontal="center" vertical="top"/>
    </xf>
    <xf numFmtId="3" fontId="46" fillId="14" borderId="6" xfId="0" applyNumberFormat="1" applyFont="1" applyFill="1" applyBorder="1" applyAlignment="1">
      <alignment horizontal="center" vertical="top"/>
    </xf>
    <xf numFmtId="0" fontId="45" fillId="14" borderId="6" xfId="0" applyFont="1" applyFill="1" applyBorder="1" applyAlignment="1">
      <alignment horizontal="center" vertical="top"/>
    </xf>
    <xf numFmtId="0" fontId="16" fillId="14" borderId="6" xfId="0" applyFont="1" applyFill="1" applyBorder="1" applyAlignment="1">
      <alignment horizontal="left" vertical="top" wrapText="1"/>
    </xf>
    <xf numFmtId="0" fontId="46" fillId="27" borderId="0" xfId="0" applyFont="1" applyFill="1" applyAlignment="1">
      <alignment horizontal="center"/>
    </xf>
    <xf numFmtId="0" fontId="45" fillId="27" borderId="0" xfId="0" applyFont="1" applyFill="1" applyAlignment="1">
      <alignment horizontal="left" wrapText="1"/>
    </xf>
    <xf numFmtId="1" fontId="46" fillId="28" borderId="0" xfId="0" applyNumberFormat="1" applyFont="1" applyFill="1" applyAlignment="1">
      <alignment horizontal="center" vertical="top"/>
    </xf>
    <xf numFmtId="3" fontId="46" fillId="28" borderId="0" xfId="0" applyNumberFormat="1" applyFont="1" applyFill="1" applyAlignment="1">
      <alignment horizontal="center" vertical="top"/>
    </xf>
    <xf numFmtId="0" fontId="45" fillId="28" borderId="0" xfId="0" applyFont="1" applyFill="1" applyAlignment="1">
      <alignment horizontal="center" vertical="top"/>
    </xf>
    <xf numFmtId="0" fontId="45" fillId="28" borderId="0" xfId="0" applyFont="1" applyFill="1" applyAlignment="1">
      <alignment horizontal="left" vertical="top" wrapText="1"/>
    </xf>
    <xf numFmtId="1" fontId="45" fillId="29" borderId="0" xfId="0" applyNumberFormat="1" applyFont="1" applyFill="1" applyAlignment="1">
      <alignment horizontal="center" vertical="top"/>
    </xf>
    <xf numFmtId="0" fontId="45" fillId="29" borderId="0" xfId="0" applyFont="1" applyFill="1" applyAlignment="1">
      <alignment horizontal="center" vertical="top"/>
    </xf>
    <xf numFmtId="0" fontId="45" fillId="29" borderId="0" xfId="0" applyFont="1" applyFill="1" applyAlignment="1">
      <alignment horizontal="left" vertical="top" wrapText="1"/>
    </xf>
    <xf numFmtId="1" fontId="45" fillId="29" borderId="0" xfId="0" applyNumberFormat="1" applyFont="1" applyFill="1" applyAlignment="1">
      <alignment horizontal="center"/>
    </xf>
    <xf numFmtId="1" fontId="46" fillId="29" borderId="0" xfId="0" applyNumberFormat="1" applyFont="1" applyFill="1" applyAlignment="1">
      <alignment horizontal="center" vertical="top"/>
    </xf>
    <xf numFmtId="3" fontId="46" fillId="29" borderId="0" xfId="0" applyNumberFormat="1" applyFont="1" applyFill="1" applyAlignment="1">
      <alignment horizontal="center" vertical="top"/>
    </xf>
    <xf numFmtId="1" fontId="46" fillId="30" borderId="0" xfId="0" applyNumberFormat="1" applyFont="1" applyFill="1" applyAlignment="1">
      <alignment horizontal="center" vertical="top"/>
    </xf>
    <xf numFmtId="0" fontId="45" fillId="30" borderId="0" xfId="0" applyFont="1" applyFill="1" applyAlignment="1">
      <alignment horizontal="center" vertical="top"/>
    </xf>
    <xf numFmtId="3" fontId="46" fillId="30" borderId="0" xfId="0" applyNumberFormat="1" applyFont="1" applyFill="1" applyAlignment="1">
      <alignment horizontal="center" vertical="top"/>
    </xf>
    <xf numFmtId="0" fontId="46" fillId="30" borderId="0" xfId="0" applyFont="1" applyFill="1" applyAlignment="1">
      <alignment horizontal="center" vertical="top"/>
    </xf>
    <xf numFmtId="0" fontId="46" fillId="31" borderId="0" xfId="0" applyFont="1" applyFill="1" applyAlignment="1">
      <alignment horizontal="left" vertical="top"/>
    </xf>
    <xf numFmtId="0" fontId="46" fillId="31" borderId="0" xfId="0" applyFont="1" applyFill="1" applyAlignment="1">
      <alignment horizontal="center" vertical="top" wrapText="1"/>
    </xf>
    <xf numFmtId="0" fontId="45" fillId="31" borderId="0" xfId="0" applyFont="1" applyFill="1" applyAlignment="1">
      <alignment horizontal="left" vertical="top" wrapText="1"/>
    </xf>
    <xf numFmtId="1" fontId="46" fillId="30" borderId="38" xfId="0" applyNumberFormat="1" applyFont="1" applyFill="1" applyBorder="1" applyAlignment="1">
      <alignment horizontal="center" vertical="top"/>
    </xf>
    <xf numFmtId="1" fontId="46" fillId="30" borderId="34" xfId="0" applyNumberFormat="1" applyFont="1" applyFill="1" applyBorder="1" applyAlignment="1">
      <alignment horizontal="center" vertical="top"/>
    </xf>
    <xf numFmtId="3" fontId="46" fillId="30" borderId="34" xfId="0" applyNumberFormat="1" applyFont="1" applyFill="1" applyBorder="1" applyAlignment="1">
      <alignment horizontal="center" vertical="top"/>
    </xf>
    <xf numFmtId="0" fontId="45" fillId="30" borderId="17" xfId="0" applyFont="1" applyFill="1" applyBorder="1" applyAlignment="1">
      <alignment horizontal="center" vertical="top" wrapText="1"/>
    </xf>
    <xf numFmtId="1" fontId="46" fillId="13" borderId="0" xfId="0" applyNumberFormat="1" applyFont="1" applyFill="1" applyAlignment="1">
      <alignment horizontal="center" vertical="top"/>
    </xf>
    <xf numFmtId="1" fontId="45" fillId="13" borderId="0" xfId="0" applyNumberFormat="1" applyFont="1" applyFill="1" applyAlignment="1">
      <alignment horizontal="center" vertical="top"/>
    </xf>
    <xf numFmtId="1" fontId="47" fillId="0" borderId="0" xfId="0" applyNumberFormat="1" applyFont="1" applyAlignment="1">
      <alignment horizontal="center" vertical="top"/>
    </xf>
    <xf numFmtId="0" fontId="48" fillId="27" borderId="0" xfId="0" applyFont="1" applyFill="1" applyAlignment="1">
      <alignment vertical="top"/>
    </xf>
    <xf numFmtId="0" fontId="46" fillId="14" borderId="33" xfId="0" applyFont="1" applyFill="1" applyBorder="1" applyAlignment="1">
      <alignment horizontal="center" vertical="top"/>
    </xf>
    <xf numFmtId="0" fontId="45" fillId="14" borderId="33" xfId="0" applyFont="1" applyFill="1" applyBorder="1" applyAlignment="1">
      <alignment horizontal="center" vertical="top"/>
    </xf>
    <xf numFmtId="0" fontId="45" fillId="30" borderId="0" xfId="0" applyFont="1" applyFill="1" applyAlignment="1">
      <alignment horizontal="center" vertical="top" wrapText="1"/>
    </xf>
    <xf numFmtId="0" fontId="46" fillId="13" borderId="0" xfId="0" applyFont="1" applyFill="1" applyAlignment="1">
      <alignment horizontal="center" vertical="top"/>
    </xf>
    <xf numFmtId="0" fontId="16" fillId="0" borderId="0" xfId="0" applyFont="1" applyAlignment="1">
      <alignment horizontal="left" vertical="top" wrapText="1"/>
    </xf>
    <xf numFmtId="1" fontId="46" fillId="32" borderId="0" xfId="0" applyNumberFormat="1" applyFont="1" applyFill="1" applyAlignment="1">
      <alignment horizontal="center" vertical="top"/>
    </xf>
    <xf numFmtId="3" fontId="46" fillId="32" borderId="0" xfId="0" applyNumberFormat="1" applyFont="1" applyFill="1" applyAlignment="1">
      <alignment horizontal="center" vertical="top"/>
    </xf>
    <xf numFmtId="0" fontId="46" fillId="0" borderId="0" xfId="0" applyFont="1" applyAlignment="1">
      <alignment horizontal="center" vertical="top"/>
    </xf>
    <xf numFmtId="0" fontId="45" fillId="32" borderId="0" xfId="0" applyFont="1" applyFill="1" applyAlignment="1">
      <alignment horizontal="left" vertical="top" wrapText="1"/>
    </xf>
    <xf numFmtId="0" fontId="45" fillId="32" borderId="0" xfId="0" applyFont="1" applyFill="1" applyAlignment="1">
      <alignment horizontal="center" vertical="top"/>
    </xf>
    <xf numFmtId="0" fontId="46" fillId="32" borderId="0" xfId="0" applyFont="1" applyFill="1" applyAlignment="1">
      <alignment horizontal="center" vertical="top"/>
    </xf>
    <xf numFmtId="0" fontId="49" fillId="32" borderId="0" xfId="0" applyFont="1" applyFill="1" applyAlignment="1">
      <alignment horizontal="left" vertical="top" wrapText="1"/>
    </xf>
    <xf numFmtId="1" fontId="47" fillId="0" borderId="48" xfId="0" applyNumberFormat="1" applyFont="1" applyBorder="1" applyAlignment="1">
      <alignment vertical="top"/>
    </xf>
    <xf numFmtId="1" fontId="47" fillId="0" borderId="48" xfId="0" applyNumberFormat="1" applyFont="1" applyBorder="1" applyAlignment="1">
      <alignment horizontal="right" vertical="top"/>
    </xf>
    <xf numFmtId="0" fontId="48" fillId="27" borderId="48" xfId="0" applyFont="1" applyFill="1" applyBorder="1" applyAlignment="1">
      <alignment vertical="top"/>
    </xf>
    <xf numFmtId="0" fontId="1" fillId="0" borderId="38" xfId="0" applyFont="1" applyBorder="1"/>
    <xf numFmtId="0" fontId="1" fillId="0" borderId="34" xfId="0" applyFont="1" applyBorder="1"/>
    <xf numFmtId="3" fontId="1" fillId="0" borderId="34" xfId="0" applyNumberFormat="1" applyFont="1" applyBorder="1"/>
    <xf numFmtId="3" fontId="1" fillId="0" borderId="17" xfId="0" applyNumberFormat="1" applyFont="1" applyBorder="1"/>
    <xf numFmtId="1" fontId="47" fillId="0" borderId="0" xfId="0" applyNumberFormat="1" applyFont="1" applyAlignment="1">
      <alignment vertical="top"/>
    </xf>
    <xf numFmtId="1" fontId="47" fillId="0" borderId="0" xfId="0" applyNumberFormat="1" applyFont="1" applyAlignment="1">
      <alignment horizontal="right" vertical="top"/>
    </xf>
    <xf numFmtId="0" fontId="48" fillId="27" borderId="8" xfId="0" applyFont="1" applyFill="1" applyBorder="1" applyAlignment="1">
      <alignment vertical="top"/>
    </xf>
    <xf numFmtId="1" fontId="50" fillId="0" borderId="0" xfId="0" applyNumberFormat="1" applyFont="1"/>
    <xf numFmtId="1" fontId="45" fillId="32" borderId="0" xfId="0" applyNumberFormat="1" applyFont="1" applyFill="1" applyAlignment="1">
      <alignment horizontal="center"/>
    </xf>
    <xf numFmtId="0" fontId="46" fillId="27" borderId="0" xfId="0" applyFont="1" applyFill="1" applyAlignment="1">
      <alignment horizontal="center" vertical="center"/>
    </xf>
    <xf numFmtId="0" fontId="45" fillId="27" borderId="0" xfId="0" applyFont="1" applyFill="1" applyAlignment="1">
      <alignment horizontal="left" vertical="center" wrapText="1"/>
    </xf>
    <xf numFmtId="1" fontId="46" fillId="6" borderId="0" xfId="0" applyNumberFormat="1" applyFont="1" applyFill="1" applyAlignment="1">
      <alignment horizontal="center" vertical="top"/>
    </xf>
    <xf numFmtId="0" fontId="45" fillId="6" borderId="0" xfId="0" applyFont="1" applyFill="1" applyAlignment="1">
      <alignment horizontal="center" vertical="top"/>
    </xf>
    <xf numFmtId="0" fontId="50" fillId="0" borderId="0" xfId="0" applyFont="1"/>
    <xf numFmtId="0" fontId="4" fillId="14" borderId="0" xfId="0" applyFont="1" applyFill="1" applyAlignment="1">
      <alignment horizontal="left"/>
    </xf>
    <xf numFmtId="0" fontId="4" fillId="6" borderId="0" xfId="0" applyFont="1" applyFill="1" applyAlignment="1">
      <alignment horizontal="left"/>
    </xf>
    <xf numFmtId="0" fontId="4" fillId="7" borderId="0" xfId="0" applyFont="1" applyFill="1" applyAlignment="1">
      <alignment horizontal="left"/>
    </xf>
    <xf numFmtId="0" fontId="4" fillId="33" borderId="0" xfId="0" applyFont="1" applyFill="1" applyAlignment="1">
      <alignment horizontal="left"/>
    </xf>
    <xf numFmtId="0" fontId="4" fillId="30" borderId="0" xfId="0" applyFont="1" applyFill="1" applyAlignment="1">
      <alignment horizontal="left"/>
    </xf>
    <xf numFmtId="0" fontId="4" fillId="3" borderId="0" xfId="0" applyFont="1" applyFill="1" applyAlignment="1">
      <alignment horizontal="left"/>
    </xf>
    <xf numFmtId="169" fontId="50" fillId="0" borderId="0" xfId="0" applyNumberFormat="1" applyFont="1"/>
    <xf numFmtId="2" fontId="50" fillId="0" borderId="0" xfId="0" applyNumberFormat="1" applyFont="1"/>
    <xf numFmtId="0" fontId="51" fillId="0" borderId="0" xfId="0" applyFont="1"/>
    <xf numFmtId="0" fontId="3" fillId="2" borderId="0" xfId="0" applyFont="1" applyFill="1" applyAlignment="1">
      <alignment horizontal="left" indent="2"/>
    </xf>
    <xf numFmtId="0" fontId="3" fillId="2" borderId="0" xfId="0" applyFont="1" applyFill="1" applyAlignment="1">
      <alignment horizontal="right"/>
    </xf>
    <xf numFmtId="0" fontId="52" fillId="0" borderId="0" xfId="0" applyFont="1" applyAlignment="1">
      <alignment horizontal="left" vertical="top"/>
    </xf>
    <xf numFmtId="0" fontId="12" fillId="0" borderId="0" xfId="0" applyFont="1" applyAlignment="1">
      <alignment horizontal="left"/>
    </xf>
    <xf numFmtId="0" fontId="53" fillId="0" borderId="0" xfId="0" applyFont="1"/>
    <xf numFmtId="0" fontId="12" fillId="34" borderId="0" xfId="0" applyFont="1" applyFill="1"/>
    <xf numFmtId="0" fontId="12" fillId="34" borderId="0" xfId="0" applyFont="1" applyFill="1" applyAlignment="1">
      <alignment horizontal="left"/>
    </xf>
    <xf numFmtId="0" fontId="3" fillId="34" borderId="0" xfId="0" applyFont="1" applyFill="1" applyAlignment="1">
      <alignment horizontal="left" indent="2"/>
    </xf>
    <xf numFmtId="0" fontId="3" fillId="34" borderId="0" xfId="0" applyFont="1" applyFill="1" applyAlignment="1">
      <alignment horizontal="right"/>
    </xf>
    <xf numFmtId="0" fontId="54" fillId="0" borderId="0" xfId="0" applyFont="1" applyAlignment="1">
      <alignment horizontal="right" vertical="top"/>
    </xf>
    <xf numFmtId="3" fontId="40" fillId="0" borderId="0" xfId="0" applyNumberFormat="1" applyFont="1"/>
    <xf numFmtId="3" fontId="55" fillId="0" borderId="0" xfId="0" applyNumberFormat="1" applyFont="1" applyAlignment="1">
      <alignment horizontal="right" vertical="top"/>
    </xf>
    <xf numFmtId="0" fontId="56" fillId="36" borderId="0" xfId="0" applyFont="1" applyFill="1" applyAlignment="1">
      <alignment horizontal="right"/>
    </xf>
    <xf numFmtId="0" fontId="57" fillId="0" borderId="0" xfId="0" applyFont="1"/>
    <xf numFmtId="0" fontId="46" fillId="0" borderId="0" xfId="0" applyFont="1" applyAlignment="1">
      <alignment horizontal="right"/>
    </xf>
    <xf numFmtId="165" fontId="58" fillId="0" borderId="0" xfId="0" applyNumberFormat="1" applyFont="1" applyAlignment="1">
      <alignment horizontal="right" vertical="top"/>
    </xf>
    <xf numFmtId="165" fontId="56" fillId="36" borderId="0" xfId="0" applyNumberFormat="1" applyFont="1" applyFill="1" applyAlignment="1">
      <alignment horizontal="right"/>
    </xf>
    <xf numFmtId="3" fontId="7" fillId="0" borderId="0" xfId="0" applyNumberFormat="1" applyFont="1"/>
    <xf numFmtId="165" fontId="46" fillId="0" borderId="0" xfId="0" applyNumberFormat="1" applyFont="1" applyAlignment="1">
      <alignment horizontal="right"/>
    </xf>
    <xf numFmtId="3" fontId="46" fillId="0" borderId="0" xfId="0" applyNumberFormat="1" applyFont="1" applyAlignment="1">
      <alignment horizontal="right"/>
    </xf>
    <xf numFmtId="0" fontId="7" fillId="37" borderId="0" xfId="0" applyFont="1" applyFill="1" applyAlignment="1">
      <alignment wrapText="1"/>
    </xf>
    <xf numFmtId="0" fontId="8" fillId="37" borderId="0" xfId="0" applyFont="1" applyFill="1" applyAlignment="1">
      <alignment vertical="top"/>
    </xf>
    <xf numFmtId="0" fontId="7" fillId="37" borderId="0" xfId="0" applyFont="1" applyFill="1" applyAlignment="1">
      <alignment horizontal="right"/>
    </xf>
    <xf numFmtId="0" fontId="7" fillId="37" borderId="0" xfId="0" applyFont="1" applyFill="1"/>
    <xf numFmtId="168" fontId="7" fillId="37" borderId="0" xfId="0" applyNumberFormat="1" applyFont="1" applyFill="1" applyAlignment="1">
      <alignment horizontal="center"/>
    </xf>
    <xf numFmtId="0" fontId="1" fillId="37" borderId="0" xfId="0" applyFont="1" applyFill="1" applyAlignment="1">
      <alignment wrapText="1"/>
    </xf>
    <xf numFmtId="170" fontId="7" fillId="0" borderId="0" xfId="0" applyNumberFormat="1" applyFont="1" applyAlignment="1">
      <alignment horizontal="right"/>
    </xf>
    <xf numFmtId="0" fontId="41" fillId="37" borderId="0" xfId="0" applyFont="1" applyFill="1" applyAlignment="1">
      <alignment horizontal="center" wrapText="1"/>
    </xf>
    <xf numFmtId="0" fontId="7" fillId="37" borderId="0" xfId="0" applyFont="1" applyFill="1" applyAlignment="1">
      <alignment horizontal="center"/>
    </xf>
    <xf numFmtId="1" fontId="7" fillId="0" borderId="0" xfId="0" applyNumberFormat="1" applyFont="1" applyAlignment="1">
      <alignment horizontal="right"/>
    </xf>
    <xf numFmtId="0" fontId="8" fillId="0" borderId="0" xfId="0" applyFont="1" applyAlignment="1">
      <alignment vertical="top"/>
    </xf>
    <xf numFmtId="0" fontId="7" fillId="38" borderId="0" xfId="0" applyFont="1" applyFill="1" applyAlignment="1">
      <alignment horizontal="center" wrapText="1"/>
    </xf>
    <xf numFmtId="0" fontId="8" fillId="39" borderId="0" xfId="0" applyFont="1" applyFill="1" applyAlignment="1">
      <alignment vertical="top"/>
    </xf>
    <xf numFmtId="0" fontId="40" fillId="39" borderId="0" xfId="0" applyFont="1" applyFill="1"/>
    <xf numFmtId="0" fontId="7" fillId="39" borderId="0" xfId="0" applyFont="1" applyFill="1"/>
    <xf numFmtId="0" fontId="59" fillId="39" borderId="0" xfId="0" applyFont="1" applyFill="1"/>
    <xf numFmtId="0" fontId="7" fillId="39" borderId="0" xfId="0" applyFont="1" applyFill="1" applyAlignment="1">
      <alignment horizontal="right"/>
    </xf>
    <xf numFmtId="0" fontId="1" fillId="39" borderId="0" xfId="0" applyFont="1" applyFill="1" applyAlignment="1">
      <alignment horizontal="center" wrapText="1"/>
    </xf>
    <xf numFmtId="0" fontId="8" fillId="0" borderId="0" xfId="0" applyFont="1" applyAlignment="1">
      <alignment vertical="top" wrapText="1"/>
    </xf>
    <xf numFmtId="1" fontId="8" fillId="0" borderId="0" xfId="0" applyNumberFormat="1" applyFont="1" applyAlignment="1">
      <alignment vertical="top" wrapText="1"/>
    </xf>
    <xf numFmtId="0" fontId="8" fillId="39" borderId="0" xfId="0" applyFont="1" applyFill="1" applyAlignment="1">
      <alignment vertical="top" wrapText="1"/>
    </xf>
    <xf numFmtId="0" fontId="8" fillId="37" borderId="0" xfId="0" applyFont="1" applyFill="1" applyAlignment="1">
      <alignment wrapText="1"/>
    </xf>
    <xf numFmtId="0" fontId="59" fillId="0" borderId="0" xfId="0" applyFont="1"/>
    <xf numFmtId="1" fontId="8" fillId="0" borderId="0" xfId="0" applyNumberFormat="1" applyFont="1" applyAlignment="1">
      <alignment vertical="top"/>
    </xf>
    <xf numFmtId="0" fontId="7" fillId="0" borderId="0" xfId="0" applyFont="1" applyAlignment="1">
      <alignment horizontal="right"/>
    </xf>
    <xf numFmtId="0" fontId="40" fillId="0" borderId="0" xfId="0" applyFont="1" applyAlignment="1">
      <alignment horizontal="right"/>
    </xf>
    <xf numFmtId="0" fontId="1" fillId="11" borderId="0" xfId="0" applyFont="1" applyFill="1" applyAlignment="1">
      <alignment wrapText="1"/>
    </xf>
    <xf numFmtId="0" fontId="8" fillId="11" borderId="0" xfId="0" applyFont="1" applyFill="1" applyAlignment="1">
      <alignment vertical="top"/>
    </xf>
    <xf numFmtId="0" fontId="8" fillId="11" borderId="0" xfId="0" applyFont="1" applyFill="1" applyAlignment="1">
      <alignment vertical="top" wrapText="1"/>
    </xf>
    <xf numFmtId="0" fontId="7" fillId="40" borderId="0" xfId="0" applyFont="1" applyFill="1" applyAlignment="1">
      <alignment wrapText="1"/>
    </xf>
    <xf numFmtId="0" fontId="7" fillId="41" borderId="0" xfId="0" applyFont="1" applyFill="1" applyAlignment="1">
      <alignment horizontal="center" wrapText="1"/>
    </xf>
    <xf numFmtId="0" fontId="40" fillId="11" borderId="0" xfId="0" applyFont="1" applyFill="1" applyAlignment="1">
      <alignment horizontal="right"/>
    </xf>
    <xf numFmtId="0" fontId="7" fillId="11" borderId="0" xfId="0" applyFont="1" applyFill="1" applyAlignment="1">
      <alignment horizontal="right"/>
    </xf>
    <xf numFmtId="0" fontId="56" fillId="0" borderId="0" xfId="0" applyFont="1"/>
    <xf numFmtId="170" fontId="54" fillId="0" borderId="0" xfId="0" applyNumberFormat="1" applyFont="1" applyAlignment="1">
      <alignment horizontal="right" vertical="top"/>
    </xf>
    <xf numFmtId="1" fontId="7" fillId="0" borderId="0" xfId="0" applyNumberFormat="1" applyFont="1"/>
    <xf numFmtId="0" fontId="40" fillId="44" borderId="0" xfId="0" applyFont="1" applyFill="1" applyAlignment="1">
      <alignment wrapText="1"/>
    </xf>
    <xf numFmtId="0" fontId="1" fillId="44" borderId="0" xfId="0" applyFont="1" applyFill="1"/>
    <xf numFmtId="0" fontId="40" fillId="0" borderId="0" xfId="0" applyFont="1" applyAlignment="1">
      <alignment horizontal="center"/>
    </xf>
    <xf numFmtId="0" fontId="7" fillId="0" borderId="0" xfId="0" applyFont="1" applyAlignment="1">
      <alignment horizontal="center"/>
    </xf>
    <xf numFmtId="2" fontId="7" fillId="0" borderId="0" xfId="0" applyNumberFormat="1" applyFont="1" applyAlignment="1">
      <alignment horizontal="center"/>
    </xf>
    <xf numFmtId="0" fontId="41" fillId="0" borderId="0" xfId="0" applyFont="1" applyAlignment="1">
      <alignment horizontal="left" wrapText="1"/>
    </xf>
    <xf numFmtId="168" fontId="7" fillId="0" borderId="0" xfId="0" applyNumberFormat="1" applyFont="1" applyAlignment="1">
      <alignment horizontal="center"/>
    </xf>
    <xf numFmtId="1" fontId="7" fillId="0" borderId="0" xfId="0" applyNumberFormat="1" applyFont="1" applyAlignment="1">
      <alignment horizontal="center"/>
    </xf>
    <xf numFmtId="0" fontId="41" fillId="0" borderId="0" xfId="0" applyFont="1" applyAlignment="1">
      <alignment horizontal="center" wrapText="1"/>
    </xf>
    <xf numFmtId="0" fontId="7" fillId="15" borderId="0" xfId="0" applyFont="1" applyFill="1"/>
    <xf numFmtId="0" fontId="25" fillId="14" borderId="1" xfId="0" applyFont="1" applyFill="1" applyBorder="1" applyAlignment="1">
      <alignment horizontal="left" indent="2"/>
    </xf>
    <xf numFmtId="0" fontId="12" fillId="0" borderId="3" xfId="0" applyFont="1" applyBorder="1" applyAlignment="1">
      <alignment horizontal="center"/>
    </xf>
    <xf numFmtId="168" fontId="68" fillId="6" borderId="0" xfId="1" applyNumberFormat="1" applyFont="1" applyFill="1"/>
    <xf numFmtId="1" fontId="68" fillId="6" borderId="0" xfId="1" applyNumberFormat="1" applyFont="1" applyFill="1"/>
    <xf numFmtId="168" fontId="0" fillId="0" borderId="0" xfId="0" applyNumberFormat="1"/>
    <xf numFmtId="168" fontId="1" fillId="0" borderId="4" xfId="0" applyNumberFormat="1" applyFont="1" applyBorder="1"/>
    <xf numFmtId="174" fontId="36" fillId="7" borderId="5" xfId="0" applyNumberFormat="1" applyFont="1" applyFill="1" applyBorder="1" applyAlignment="1">
      <alignment horizontal="center"/>
    </xf>
    <xf numFmtId="174" fontId="36" fillId="7" borderId="33" xfId="0" applyNumberFormat="1" applyFont="1" applyFill="1" applyBorder="1" applyAlignment="1">
      <alignment horizontal="center"/>
    </xf>
    <xf numFmtId="174" fontId="36" fillId="7" borderId="3" xfId="0" applyNumberFormat="1" applyFont="1" applyFill="1" applyBorder="1" applyAlignment="1">
      <alignment horizontal="center"/>
    </xf>
    <xf numFmtId="1" fontId="25" fillId="0" borderId="0" xfId="0" applyNumberFormat="1" applyFont="1" applyAlignment="1">
      <alignment horizontal="center"/>
    </xf>
    <xf numFmtId="0" fontId="0" fillId="0" borderId="3" xfId="0" applyBorder="1"/>
    <xf numFmtId="0" fontId="0" fillId="0" borderId="40" xfId="0" applyBorder="1"/>
    <xf numFmtId="0" fontId="12" fillId="15" borderId="33" xfId="0" applyFont="1" applyFill="1" applyBorder="1" applyAlignment="1">
      <alignment horizontal="center"/>
    </xf>
    <xf numFmtId="174" fontId="25" fillId="0" borderId="0" xfId="0" applyNumberFormat="1" applyFont="1" applyAlignment="1">
      <alignment horizontal="center"/>
    </xf>
    <xf numFmtId="174" fontId="25" fillId="0" borderId="33" xfId="0" applyNumberFormat="1" applyFont="1" applyBorder="1" applyAlignment="1">
      <alignment horizontal="center"/>
    </xf>
    <xf numFmtId="174" fontId="25" fillId="0" borderId="8" xfId="0" applyNumberFormat="1" applyFont="1" applyBorder="1" applyAlignment="1">
      <alignment horizontal="center"/>
    </xf>
    <xf numFmtId="0" fontId="0" fillId="0" borderId="2" xfId="0" applyBorder="1"/>
    <xf numFmtId="0" fontId="25" fillId="0" borderId="5" xfId="0" applyFont="1" applyBorder="1" applyAlignment="1">
      <alignment horizontal="left" indent="1"/>
    </xf>
    <xf numFmtId="167" fontId="3" fillId="0" borderId="33" xfId="0" applyNumberFormat="1" applyFont="1" applyBorder="1" applyAlignment="1">
      <alignment horizontal="center"/>
    </xf>
    <xf numFmtId="167" fontId="3" fillId="0" borderId="3" xfId="0" applyNumberFormat="1" applyFont="1" applyBorder="1" applyAlignment="1">
      <alignment vertical="center" wrapText="1"/>
    </xf>
    <xf numFmtId="167" fontId="3" fillId="0" borderId="40" xfId="0" applyNumberFormat="1" applyFont="1" applyBorder="1" applyAlignment="1">
      <alignment vertical="center" wrapText="1"/>
    </xf>
    <xf numFmtId="167" fontId="3" fillId="0" borderId="2" xfId="0" applyNumberFormat="1" applyFont="1" applyBorder="1" applyAlignment="1">
      <alignment vertical="center" wrapText="1"/>
    </xf>
    <xf numFmtId="1" fontId="3" fillId="0" borderId="0" xfId="0" applyNumberFormat="1" applyFont="1" applyAlignment="1">
      <alignment horizontal="center" vertical="center"/>
    </xf>
    <xf numFmtId="0" fontId="12" fillId="0" borderId="14" xfId="0" applyFont="1" applyBorder="1" applyAlignment="1">
      <alignment horizontal="left" indent="1"/>
    </xf>
    <xf numFmtId="2" fontId="3" fillId="0" borderId="33" xfId="0" applyNumberFormat="1" applyFont="1" applyBorder="1" applyAlignment="1">
      <alignment horizontal="center"/>
    </xf>
    <xf numFmtId="9" fontId="3" fillId="0" borderId="0" xfId="0" applyNumberFormat="1" applyFont="1"/>
    <xf numFmtId="174" fontId="25" fillId="0" borderId="5" xfId="0" applyNumberFormat="1" applyFont="1" applyBorder="1" applyAlignment="1">
      <alignment horizontal="center"/>
    </xf>
    <xf numFmtId="174" fontId="25" fillId="0" borderId="1" xfId="0" applyNumberFormat="1" applyFont="1" applyBorder="1" applyAlignment="1">
      <alignment horizontal="center"/>
    </xf>
    <xf numFmtId="174" fontId="25" fillId="0" borderId="40" xfId="0" applyNumberFormat="1" applyFont="1" applyBorder="1" applyAlignment="1">
      <alignment horizontal="center"/>
    </xf>
    <xf numFmtId="0" fontId="17" fillId="0" borderId="0" xfId="0" applyFont="1"/>
    <xf numFmtId="168" fontId="65" fillId="9" borderId="18" xfId="0" applyNumberFormat="1" applyFont="1" applyFill="1" applyBorder="1" applyAlignment="1">
      <alignment horizontal="center"/>
    </xf>
    <xf numFmtId="165" fontId="69" fillId="9" borderId="19" xfId="1" applyNumberFormat="1" applyFont="1" applyFill="1" applyBorder="1" applyAlignment="1">
      <alignment horizontal="right"/>
    </xf>
    <xf numFmtId="165" fontId="69" fillId="9" borderId="20" xfId="1" applyNumberFormat="1" applyFont="1" applyFill="1" applyBorder="1" applyAlignment="1">
      <alignment horizontal="right"/>
    </xf>
    <xf numFmtId="165" fontId="65" fillId="9" borderId="20" xfId="1" applyNumberFormat="1" applyFont="1" applyFill="1" applyBorder="1" applyAlignment="1">
      <alignment horizontal="right"/>
    </xf>
    <xf numFmtId="3" fontId="65" fillId="9" borderId="20" xfId="1" applyNumberFormat="1" applyFont="1" applyFill="1" applyBorder="1" applyAlignment="1">
      <alignment horizontal="right"/>
    </xf>
    <xf numFmtId="3" fontId="65" fillId="9" borderId="21" xfId="1" applyNumberFormat="1" applyFont="1" applyFill="1" applyBorder="1" applyAlignment="1">
      <alignment horizontal="right"/>
    </xf>
    <xf numFmtId="165" fontId="69" fillId="9" borderId="16" xfId="1" applyNumberFormat="1" applyFont="1" applyFill="1" applyBorder="1" applyAlignment="1">
      <alignment horizontal="right"/>
    </xf>
    <xf numFmtId="165" fontId="69" fillId="9" borderId="0" xfId="1" applyNumberFormat="1" applyFont="1" applyFill="1" applyAlignment="1">
      <alignment horizontal="right"/>
    </xf>
    <xf numFmtId="165" fontId="65" fillId="9" borderId="0" xfId="1" applyNumberFormat="1" applyFont="1" applyFill="1" applyAlignment="1">
      <alignment horizontal="right"/>
    </xf>
    <xf numFmtId="3" fontId="65" fillId="9" borderId="0" xfId="1" applyNumberFormat="1" applyFont="1" applyFill="1" applyAlignment="1">
      <alignment horizontal="right"/>
    </xf>
    <xf numFmtId="3" fontId="65" fillId="9" borderId="15" xfId="1" applyNumberFormat="1" applyFont="1" applyFill="1" applyBorder="1" applyAlignment="1">
      <alignment horizontal="right"/>
    </xf>
    <xf numFmtId="168" fontId="65" fillId="8" borderId="18" xfId="0" applyNumberFormat="1" applyFont="1" applyFill="1" applyBorder="1" applyAlignment="1">
      <alignment horizontal="center"/>
    </xf>
    <xf numFmtId="165" fontId="69" fillId="8" borderId="16" xfId="1" applyNumberFormat="1" applyFont="1" applyFill="1" applyBorder="1" applyAlignment="1">
      <alignment horizontal="right"/>
    </xf>
    <xf numFmtId="165" fontId="69" fillId="8" borderId="0" xfId="1" applyNumberFormat="1" applyFont="1" applyFill="1" applyAlignment="1">
      <alignment horizontal="right"/>
    </xf>
    <xf numFmtId="165" fontId="65" fillId="8" borderId="0" xfId="1" applyNumberFormat="1" applyFont="1" applyFill="1" applyAlignment="1">
      <alignment horizontal="right"/>
    </xf>
    <xf numFmtId="3" fontId="65" fillId="8" borderId="0" xfId="1" applyNumberFormat="1" applyFont="1" applyFill="1" applyAlignment="1">
      <alignment horizontal="right"/>
    </xf>
    <xf numFmtId="3" fontId="65" fillId="8" borderId="15" xfId="1" applyNumberFormat="1" applyFont="1" applyFill="1" applyBorder="1" applyAlignment="1">
      <alignment horizontal="right"/>
    </xf>
    <xf numFmtId="165" fontId="69" fillId="8" borderId="23" xfId="1" applyNumberFormat="1" applyFont="1" applyFill="1" applyBorder="1" applyAlignment="1">
      <alignment horizontal="right"/>
    </xf>
    <xf numFmtId="165" fontId="69" fillId="8" borderId="22" xfId="1" applyNumberFormat="1" applyFont="1" applyFill="1" applyBorder="1" applyAlignment="1">
      <alignment horizontal="right"/>
    </xf>
    <xf numFmtId="165" fontId="65" fillId="8" borderId="22" xfId="1" applyNumberFormat="1" applyFont="1" applyFill="1" applyBorder="1" applyAlignment="1">
      <alignment horizontal="right"/>
    </xf>
    <xf numFmtId="3" fontId="65" fillId="8" borderId="22" xfId="1" applyNumberFormat="1" applyFont="1" applyFill="1" applyBorder="1" applyAlignment="1">
      <alignment horizontal="right"/>
    </xf>
    <xf numFmtId="3" fontId="65" fillId="8" borderId="24" xfId="1" applyNumberFormat="1" applyFont="1" applyFill="1" applyBorder="1" applyAlignment="1">
      <alignment horizontal="right"/>
    </xf>
    <xf numFmtId="168" fontId="65" fillId="12" borderId="18" xfId="0" applyNumberFormat="1" applyFont="1" applyFill="1" applyBorder="1" applyAlignment="1">
      <alignment horizontal="center"/>
    </xf>
    <xf numFmtId="165" fontId="69" fillId="12" borderId="16" xfId="1" applyNumberFormat="1" applyFont="1" applyFill="1" applyBorder="1" applyAlignment="1">
      <alignment horizontal="right"/>
    </xf>
    <xf numFmtId="165" fontId="69" fillId="12" borderId="0" xfId="1" applyNumberFormat="1" applyFont="1" applyFill="1" applyAlignment="1">
      <alignment horizontal="right"/>
    </xf>
    <xf numFmtId="165" fontId="65" fillId="12" borderId="0" xfId="1" applyNumberFormat="1" applyFont="1" applyFill="1" applyAlignment="1">
      <alignment horizontal="right"/>
    </xf>
    <xf numFmtId="3" fontId="65" fillId="12" borderId="0" xfId="1" applyNumberFormat="1" applyFont="1" applyFill="1" applyAlignment="1">
      <alignment horizontal="right"/>
    </xf>
    <xf numFmtId="3" fontId="65" fillId="12" borderId="15" xfId="1" applyNumberFormat="1" applyFont="1" applyFill="1" applyBorder="1" applyAlignment="1">
      <alignment horizontal="right"/>
    </xf>
    <xf numFmtId="0" fontId="70" fillId="10" borderId="0" xfId="0" applyFont="1" applyFill="1" applyAlignment="1">
      <alignment horizontal="right" vertical="center"/>
    </xf>
    <xf numFmtId="0" fontId="1" fillId="2" borderId="1" xfId="0" applyFont="1" applyFill="1" applyBorder="1" applyAlignment="1">
      <alignment horizontal="left" vertical="top" wrapText="1"/>
    </xf>
    <xf numFmtId="0" fontId="1" fillId="2" borderId="0" xfId="0" applyFont="1" applyFill="1" applyAlignment="1">
      <alignment horizontal="left" vertical="top" wrapText="1"/>
    </xf>
    <xf numFmtId="0" fontId="1" fillId="2" borderId="4" xfId="0" applyFont="1" applyFill="1" applyBorder="1" applyAlignment="1">
      <alignment horizontal="left" vertical="top" wrapText="1"/>
    </xf>
    <xf numFmtId="0" fontId="1" fillId="3" borderId="5" xfId="0" applyFont="1" applyFill="1" applyBorder="1" applyAlignment="1">
      <alignment horizontal="center"/>
    </xf>
    <xf numFmtId="0" fontId="1" fillId="3" borderId="6" xfId="0" applyFont="1" applyFill="1" applyBorder="1" applyAlignment="1">
      <alignment horizontal="center"/>
    </xf>
    <xf numFmtId="0" fontId="1" fillId="3" borderId="3" xfId="0" applyFont="1" applyFill="1" applyBorder="1" applyAlignment="1">
      <alignment horizontal="center"/>
    </xf>
    <xf numFmtId="0" fontId="1" fillId="3" borderId="7" xfId="0" applyFont="1" applyFill="1" applyBorder="1" applyAlignment="1">
      <alignment horizontal="center"/>
    </xf>
    <xf numFmtId="0" fontId="1" fillId="3" borderId="8" xfId="0" applyFont="1" applyFill="1" applyBorder="1" applyAlignment="1">
      <alignment horizontal="center"/>
    </xf>
    <xf numFmtId="0" fontId="1" fillId="3" borderId="2" xfId="0" applyFont="1" applyFill="1" applyBorder="1" applyAlignment="1">
      <alignment horizontal="center"/>
    </xf>
    <xf numFmtId="0" fontId="1" fillId="2" borderId="0" xfId="0" applyFont="1" applyFill="1" applyAlignment="1">
      <alignment horizontal="left" vertical="top"/>
    </xf>
    <xf numFmtId="0" fontId="1" fillId="2" borderId="4" xfId="0" applyFont="1" applyFill="1" applyBorder="1" applyAlignment="1">
      <alignment horizontal="left" vertical="top"/>
    </xf>
    <xf numFmtId="0" fontId="5" fillId="0" borderId="1" xfId="0" applyFont="1" applyBorder="1" applyAlignment="1">
      <alignment horizontal="center" wrapText="1"/>
    </xf>
    <xf numFmtId="0" fontId="5" fillId="0" borderId="0" xfId="0" applyFont="1" applyAlignment="1">
      <alignment horizontal="center" wrapText="1"/>
    </xf>
    <xf numFmtId="0" fontId="6" fillId="4" borderId="9" xfId="0" applyFont="1" applyFill="1" applyBorder="1" applyAlignment="1">
      <alignment horizontal="center" wrapText="1"/>
    </xf>
    <xf numFmtId="0" fontId="6" fillId="4" borderId="10" xfId="0" applyFont="1" applyFill="1" applyBorder="1" applyAlignment="1">
      <alignment horizontal="center" wrapText="1"/>
    </xf>
    <xf numFmtId="0" fontId="6" fillId="4" borderId="11" xfId="0" applyFont="1" applyFill="1" applyBorder="1" applyAlignment="1">
      <alignment horizontal="center" wrapText="1"/>
    </xf>
    <xf numFmtId="0" fontId="5" fillId="3" borderId="9" xfId="0" applyFont="1" applyFill="1" applyBorder="1" applyAlignment="1">
      <alignment horizontal="center" wrapText="1"/>
    </xf>
    <xf numFmtId="0" fontId="5" fillId="3" borderId="10" xfId="0" applyFont="1" applyFill="1" applyBorder="1" applyAlignment="1">
      <alignment horizontal="center" wrapText="1"/>
    </xf>
    <xf numFmtId="0" fontId="5" fillId="3" borderId="11" xfId="0" applyFont="1" applyFill="1" applyBorder="1" applyAlignment="1">
      <alignment horizontal="center" wrapText="1"/>
    </xf>
    <xf numFmtId="0" fontId="7" fillId="0" borderId="0" xfId="0" applyFont="1" applyAlignment="1">
      <alignment horizontal="left" wrapText="1"/>
    </xf>
    <xf numFmtId="0" fontId="5" fillId="0" borderId="5" xfId="0" applyFont="1" applyBorder="1" applyAlignment="1">
      <alignment horizontal="center" wrapText="1"/>
    </xf>
    <xf numFmtId="0" fontId="5" fillId="0" borderId="6" xfId="0" applyFont="1" applyBorder="1" applyAlignment="1">
      <alignment horizontal="center" wrapText="1"/>
    </xf>
    <xf numFmtId="0" fontId="5" fillId="0" borderId="3" xfId="0" applyFont="1" applyBorder="1" applyAlignment="1">
      <alignment horizontal="center" wrapText="1"/>
    </xf>
    <xf numFmtId="0" fontId="5" fillId="0" borderId="7" xfId="0" applyFont="1" applyBorder="1" applyAlignment="1">
      <alignment horizontal="center" wrapText="1"/>
    </xf>
    <xf numFmtId="0" fontId="5" fillId="0" borderId="8" xfId="0" applyFont="1" applyBorder="1" applyAlignment="1">
      <alignment horizontal="center" wrapText="1"/>
    </xf>
    <xf numFmtId="0" fontId="5" fillId="0" borderId="2" xfId="0" applyFont="1" applyBorder="1" applyAlignment="1">
      <alignment horizontal="center" wrapText="1"/>
    </xf>
    <xf numFmtId="0" fontId="7" fillId="0" borderId="6" xfId="0" applyFont="1" applyBorder="1" applyAlignment="1">
      <alignment horizontal="left" wrapText="1"/>
    </xf>
    <xf numFmtId="0" fontId="7" fillId="0" borderId="3" xfId="0" applyFont="1" applyBorder="1" applyAlignment="1">
      <alignment horizontal="left" wrapText="1"/>
    </xf>
    <xf numFmtId="0" fontId="4" fillId="3" borderId="0" xfId="0" applyFont="1" applyFill="1" applyAlignment="1">
      <alignment horizontal="center"/>
    </xf>
    <xf numFmtId="49" fontId="1" fillId="0" borderId="0" xfId="0" applyNumberFormat="1" applyFont="1" applyAlignment="1">
      <alignment horizontal="left" wrapText="1" indent="1"/>
    </xf>
    <xf numFmtId="168" fontId="13" fillId="0" borderId="0" xfId="0" applyNumberFormat="1" applyFont="1" applyAlignment="1">
      <alignment horizontal="center"/>
    </xf>
    <xf numFmtId="0" fontId="4" fillId="0" borderId="26" xfId="0" applyFont="1" applyBorder="1" applyAlignment="1">
      <alignment horizontal="center"/>
    </xf>
    <xf numFmtId="168" fontId="1" fillId="0" borderId="23" xfId="0" applyNumberFormat="1" applyFont="1" applyBorder="1" applyAlignment="1">
      <alignment horizontal="center" vertical="center"/>
    </xf>
    <xf numFmtId="168" fontId="1" fillId="0" borderId="22" xfId="0" applyNumberFormat="1" applyFont="1" applyBorder="1" applyAlignment="1">
      <alignment horizontal="center" vertical="center"/>
    </xf>
    <xf numFmtId="168" fontId="1" fillId="0" borderId="24" xfId="0" applyNumberFormat="1" applyFont="1" applyBorder="1" applyAlignment="1">
      <alignment horizontal="center" vertical="center"/>
    </xf>
    <xf numFmtId="168" fontId="1" fillId="0" borderId="27" xfId="0" applyNumberFormat="1" applyFont="1" applyBorder="1" applyAlignment="1">
      <alignment horizontal="center"/>
    </xf>
    <xf numFmtId="168" fontId="1" fillId="0" borderId="28" xfId="0" applyNumberFormat="1" applyFont="1" applyBorder="1" applyAlignment="1">
      <alignment horizontal="center"/>
    </xf>
    <xf numFmtId="168" fontId="1" fillId="0" borderId="29" xfId="0" applyNumberFormat="1" applyFont="1" applyBorder="1" applyAlignment="1">
      <alignment horizontal="center"/>
    </xf>
    <xf numFmtId="168" fontId="1" fillId="0" borderId="30" xfId="0" applyNumberFormat="1" applyFont="1" applyBorder="1" applyAlignment="1">
      <alignment horizontal="center"/>
    </xf>
    <xf numFmtId="168" fontId="1" fillId="0" borderId="31" xfId="0" applyNumberFormat="1" applyFont="1" applyBorder="1" applyAlignment="1">
      <alignment horizontal="center"/>
    </xf>
    <xf numFmtId="1" fontId="1" fillId="0" borderId="32" xfId="0" applyNumberFormat="1" applyFont="1" applyBorder="1" applyAlignment="1">
      <alignment horizontal="center"/>
    </xf>
    <xf numFmtId="1" fontId="1" fillId="0" borderId="30" xfId="0" applyNumberFormat="1" applyFont="1" applyBorder="1" applyAlignment="1">
      <alignment horizontal="center"/>
    </xf>
    <xf numFmtId="1" fontId="1" fillId="0" borderId="31" xfId="0" applyNumberFormat="1" applyFont="1" applyBorder="1" applyAlignment="1">
      <alignment horizontal="center"/>
    </xf>
    <xf numFmtId="168" fontId="1" fillId="0" borderId="16" xfId="0" applyNumberFormat="1" applyFont="1" applyBorder="1" applyAlignment="1">
      <alignment horizontal="left" indent="1"/>
    </xf>
    <xf numFmtId="0" fontId="1" fillId="0" borderId="0" xfId="0" applyFont="1" applyAlignment="1">
      <alignment horizontal="left" vertical="center" wrapText="1"/>
    </xf>
    <xf numFmtId="0" fontId="16" fillId="0" borderId="0" xfId="0" applyFont="1" applyAlignment="1">
      <alignment horizontal="left" vertical="center" wrapText="1"/>
    </xf>
    <xf numFmtId="0" fontId="16" fillId="0" borderId="0" xfId="0" applyFont="1" applyAlignment="1">
      <alignment horizontal="left" wrapText="1"/>
    </xf>
    <xf numFmtId="168" fontId="1" fillId="0" borderId="0" xfId="0" applyNumberFormat="1" applyFont="1" applyAlignment="1">
      <alignment horizontal="left" wrapText="1" indent="1"/>
    </xf>
    <xf numFmtId="0" fontId="1" fillId="0" borderId="0" xfId="0" applyFont="1" applyAlignment="1">
      <alignment horizontal="left" indent="1"/>
    </xf>
    <xf numFmtId="0" fontId="1" fillId="0" borderId="0" xfId="0" applyFont="1" applyAlignment="1">
      <alignment horizontal="left" wrapText="1"/>
    </xf>
    <xf numFmtId="0" fontId="19" fillId="0" borderId="0" xfId="0" applyFont="1" applyAlignment="1">
      <alignment horizontal="center"/>
    </xf>
    <xf numFmtId="0" fontId="12" fillId="3" borderId="0" xfId="0" applyFont="1" applyFill="1" applyAlignment="1">
      <alignment horizontal="center"/>
    </xf>
    <xf numFmtId="0" fontId="12" fillId="0" borderId="0" xfId="0" applyFont="1" applyAlignment="1">
      <alignment horizontal="left" vertical="top" wrapText="1"/>
    </xf>
    <xf numFmtId="0" fontId="3" fillId="13" borderId="1" xfId="0" applyFont="1" applyFill="1" applyBorder="1" applyAlignment="1">
      <alignment horizontal="center"/>
    </xf>
    <xf numFmtId="0" fontId="3" fillId="13" borderId="0" xfId="0" applyFont="1" applyFill="1" applyAlignment="1">
      <alignment horizontal="center"/>
    </xf>
    <xf numFmtId="0" fontId="3" fillId="13" borderId="4" xfId="0" applyFont="1" applyFill="1" applyBorder="1" applyAlignment="1">
      <alignment horizontal="center"/>
    </xf>
    <xf numFmtId="0" fontId="12" fillId="13" borderId="5" xfId="0" applyFont="1" applyFill="1" applyBorder="1" applyAlignment="1">
      <alignment horizontal="center"/>
    </xf>
    <xf numFmtId="0" fontId="12" fillId="13" borderId="3" xfId="0" applyFont="1" applyFill="1" applyBorder="1" applyAlignment="1">
      <alignment horizontal="center"/>
    </xf>
    <xf numFmtId="0" fontId="12" fillId="13" borderId="1" xfId="0" applyFont="1" applyFill="1" applyBorder="1" applyAlignment="1">
      <alignment horizontal="center"/>
    </xf>
    <xf numFmtId="0" fontId="12" fillId="13" borderId="4" xfId="0" applyFont="1" applyFill="1" applyBorder="1" applyAlignment="1">
      <alignment horizontal="center"/>
    </xf>
    <xf numFmtId="0" fontId="12" fillId="13" borderId="7" xfId="0" applyFont="1" applyFill="1" applyBorder="1" applyAlignment="1">
      <alignment horizontal="center"/>
    </xf>
    <xf numFmtId="0" fontId="12" fillId="13" borderId="2" xfId="0" applyFont="1" applyFill="1" applyBorder="1" applyAlignment="1">
      <alignment horizontal="center"/>
    </xf>
    <xf numFmtId="0" fontId="3" fillId="7" borderId="5" xfId="0" applyFont="1" applyFill="1" applyBorder="1" applyAlignment="1">
      <alignment horizontal="center"/>
    </xf>
    <xf numFmtId="0" fontId="3" fillId="7" borderId="33" xfId="0" applyFont="1" applyFill="1" applyBorder="1" applyAlignment="1">
      <alignment horizontal="center"/>
    </xf>
    <xf numFmtId="0" fontId="3" fillId="7" borderId="3" xfId="0" applyFont="1" applyFill="1" applyBorder="1" applyAlignment="1">
      <alignment horizontal="center"/>
    </xf>
    <xf numFmtId="0" fontId="3" fillId="13" borderId="5" xfId="0" applyFont="1" applyFill="1" applyBorder="1" applyAlignment="1">
      <alignment horizontal="center"/>
    </xf>
    <xf numFmtId="0" fontId="3" fillId="13" borderId="6" xfId="0" applyFont="1" applyFill="1" applyBorder="1" applyAlignment="1">
      <alignment horizontal="center"/>
    </xf>
    <xf numFmtId="0" fontId="3" fillId="13" borderId="3" xfId="0" applyFont="1" applyFill="1" applyBorder="1" applyAlignment="1">
      <alignment horizontal="center"/>
    </xf>
    <xf numFmtId="0" fontId="3" fillId="13" borderId="0" xfId="0" applyFont="1" applyFill="1" applyAlignment="1">
      <alignment horizontal="right"/>
    </xf>
    <xf numFmtId="0" fontId="12" fillId="7" borderId="5" xfId="0" applyFont="1" applyFill="1" applyBorder="1" applyAlignment="1">
      <alignment horizontal="center"/>
    </xf>
    <xf numFmtId="0" fontId="12" fillId="7" borderId="33" xfId="0" applyFont="1" applyFill="1" applyBorder="1" applyAlignment="1">
      <alignment horizontal="center"/>
    </xf>
    <xf numFmtId="0" fontId="12" fillId="7" borderId="34" xfId="0" applyFont="1" applyFill="1" applyBorder="1" applyAlignment="1">
      <alignment horizontal="center"/>
    </xf>
    <xf numFmtId="0" fontId="12" fillId="7" borderId="3" xfId="0" applyFont="1" applyFill="1" applyBorder="1" applyAlignment="1">
      <alignment horizontal="center"/>
    </xf>
    <xf numFmtId="0" fontId="12" fillId="13" borderId="8" xfId="0" applyFont="1" applyFill="1" applyBorder="1" applyAlignment="1">
      <alignment horizontal="center"/>
    </xf>
    <xf numFmtId="0" fontId="12" fillId="13" borderId="0" xfId="0" applyFont="1" applyFill="1" applyAlignment="1">
      <alignment horizontal="center"/>
    </xf>
    <xf numFmtId="0" fontId="3" fillId="7" borderId="6" xfId="0" applyFont="1" applyFill="1" applyBorder="1" applyAlignment="1">
      <alignment horizontal="center"/>
    </xf>
    <xf numFmtId="0" fontId="12" fillId="13" borderId="9" xfId="0" applyFont="1" applyFill="1" applyBorder="1" applyAlignment="1">
      <alignment horizontal="center"/>
    </xf>
    <xf numFmtId="0" fontId="12" fillId="13" borderId="10" xfId="0" applyFont="1" applyFill="1" applyBorder="1" applyAlignment="1">
      <alignment horizontal="center"/>
    </xf>
    <xf numFmtId="0" fontId="12" fillId="13" borderId="11" xfId="0" applyFont="1" applyFill="1" applyBorder="1" applyAlignment="1">
      <alignment horizontal="center"/>
    </xf>
    <xf numFmtId="0" fontId="12" fillId="7" borderId="9" xfId="0" applyFont="1" applyFill="1" applyBorder="1" applyAlignment="1">
      <alignment horizontal="center"/>
    </xf>
    <xf numFmtId="0" fontId="12" fillId="7" borderId="10" xfId="0" applyFont="1" applyFill="1" applyBorder="1" applyAlignment="1">
      <alignment horizontal="center"/>
    </xf>
    <xf numFmtId="0" fontId="12" fillId="7" borderId="11" xfId="0" applyFont="1" applyFill="1" applyBorder="1" applyAlignment="1">
      <alignment horizontal="center"/>
    </xf>
    <xf numFmtId="0" fontId="3" fillId="13" borderId="5" xfId="0" applyFont="1" applyFill="1" applyBorder="1" applyAlignment="1">
      <alignment horizontal="right"/>
    </xf>
    <xf numFmtId="0" fontId="3" fillId="13" borderId="33" xfId="0" applyFont="1" applyFill="1" applyBorder="1" applyAlignment="1">
      <alignment horizontal="right"/>
    </xf>
    <xf numFmtId="0" fontId="3" fillId="3" borderId="14" xfId="0" applyFont="1" applyFill="1" applyBorder="1" applyAlignment="1">
      <alignment horizontal="center" wrapText="1"/>
    </xf>
    <xf numFmtId="0" fontId="3" fillId="3" borderId="4" xfId="0" applyFont="1" applyFill="1" applyBorder="1" applyAlignment="1">
      <alignment horizontal="center" wrapText="1"/>
    </xf>
    <xf numFmtId="0" fontId="3" fillId="3" borderId="2" xfId="0" applyFont="1" applyFill="1" applyBorder="1" applyAlignment="1">
      <alignment horizontal="center" wrapText="1"/>
    </xf>
    <xf numFmtId="0" fontId="3" fillId="3" borderId="3" xfId="0" applyFont="1" applyFill="1" applyBorder="1" applyAlignment="1">
      <alignment horizontal="center" wrapText="1"/>
    </xf>
    <xf numFmtId="0" fontId="3" fillId="13" borderId="33" xfId="0" applyFont="1" applyFill="1" applyBorder="1" applyAlignment="1">
      <alignment horizontal="center"/>
    </xf>
    <xf numFmtId="0" fontId="12" fillId="7" borderId="38" xfId="0" applyFont="1" applyFill="1" applyBorder="1" applyAlignment="1">
      <alignment horizontal="center"/>
    </xf>
    <xf numFmtId="0" fontId="12" fillId="7" borderId="17" xfId="0" applyFont="1" applyFill="1" applyBorder="1" applyAlignment="1">
      <alignment horizontal="center"/>
    </xf>
    <xf numFmtId="0" fontId="12" fillId="7" borderId="1" xfId="0" applyFont="1" applyFill="1" applyBorder="1" applyAlignment="1">
      <alignment horizontal="center"/>
    </xf>
    <xf numFmtId="0" fontId="12" fillId="7" borderId="0" xfId="0" applyFont="1" applyFill="1" applyAlignment="1">
      <alignment horizontal="center"/>
    </xf>
    <xf numFmtId="0" fontId="12" fillId="7" borderId="8" xfId="0" applyFont="1" applyFill="1" applyBorder="1" applyAlignment="1">
      <alignment horizontal="center"/>
    </xf>
    <xf numFmtId="0" fontId="3" fillId="0" borderId="1" xfId="0" applyFont="1" applyBorder="1" applyAlignment="1">
      <alignment horizontal="left" vertical="top" wrapText="1"/>
    </xf>
    <xf numFmtId="0" fontId="3" fillId="0" borderId="0" xfId="0" applyFont="1" applyAlignment="1">
      <alignment horizontal="left" vertical="top" wrapText="1"/>
    </xf>
    <xf numFmtId="0" fontId="12" fillId="9" borderId="38" xfId="0" applyFont="1" applyFill="1" applyBorder="1" applyAlignment="1">
      <alignment horizontal="center" vertical="center" wrapText="1"/>
    </xf>
    <xf numFmtId="0" fontId="12" fillId="9" borderId="34" xfId="0" applyFont="1" applyFill="1" applyBorder="1" applyAlignment="1">
      <alignment horizontal="center" vertical="center" wrapText="1"/>
    </xf>
    <xf numFmtId="0" fontId="12" fillId="9" borderId="6" xfId="0" applyFont="1" applyFill="1" applyBorder="1" applyAlignment="1">
      <alignment horizontal="center" vertical="center" wrapText="1"/>
    </xf>
    <xf numFmtId="0" fontId="12" fillId="9" borderId="33" xfId="0" applyFont="1" applyFill="1" applyBorder="1" applyAlignment="1">
      <alignment horizontal="center" vertical="center" wrapText="1"/>
    </xf>
    <xf numFmtId="0" fontId="12" fillId="0" borderId="0" xfId="0" applyFont="1" applyAlignment="1">
      <alignment horizontal="center"/>
    </xf>
    <xf numFmtId="0" fontId="3" fillId="0" borderId="0" xfId="0" applyFont="1" applyAlignment="1">
      <alignment horizontal="center"/>
    </xf>
    <xf numFmtId="0" fontId="3" fillId="0" borderId="4" xfId="0" applyFont="1" applyBorder="1" applyAlignment="1">
      <alignment horizontal="center" wrapText="1"/>
    </xf>
    <xf numFmtId="0" fontId="12" fillId="7" borderId="7" xfId="0" applyFont="1" applyFill="1" applyBorder="1" applyAlignment="1">
      <alignment horizontal="center"/>
    </xf>
    <xf numFmtId="0" fontId="12" fillId="13" borderId="5" xfId="0" applyFont="1" applyFill="1" applyBorder="1" applyAlignment="1">
      <alignment horizontal="center" vertical="center"/>
    </xf>
    <xf numFmtId="0" fontId="12" fillId="13" borderId="3" xfId="0" applyFont="1" applyFill="1" applyBorder="1" applyAlignment="1">
      <alignment horizontal="center" vertical="center"/>
    </xf>
    <xf numFmtId="0" fontId="12" fillId="13" borderId="1" xfId="0" applyFont="1" applyFill="1" applyBorder="1" applyAlignment="1">
      <alignment horizontal="center" vertical="center"/>
    </xf>
    <xf numFmtId="0" fontId="12" fillId="13" borderId="4" xfId="0" applyFont="1" applyFill="1" applyBorder="1" applyAlignment="1">
      <alignment horizontal="center" vertical="center"/>
    </xf>
    <xf numFmtId="0" fontId="3" fillId="13" borderId="5" xfId="0" applyFont="1" applyFill="1" applyBorder="1" applyAlignment="1">
      <alignment horizontal="center" vertical="center"/>
    </xf>
    <xf numFmtId="0" fontId="3" fillId="13" borderId="6" xfId="0" applyFont="1" applyFill="1" applyBorder="1" applyAlignment="1">
      <alignment horizontal="center" vertical="center"/>
    </xf>
    <xf numFmtId="0" fontId="3" fillId="13" borderId="3" xfId="0" applyFont="1" applyFill="1" applyBorder="1" applyAlignment="1">
      <alignment horizontal="center" vertical="center"/>
    </xf>
    <xf numFmtId="0" fontId="3" fillId="13" borderId="33" xfId="0" applyFont="1" applyFill="1" applyBorder="1" applyAlignment="1">
      <alignment horizontal="center" vertical="center"/>
    </xf>
    <xf numFmtId="0" fontId="12" fillId="13" borderId="7" xfId="0" applyFont="1" applyFill="1" applyBorder="1" applyAlignment="1">
      <alignment horizontal="center" vertical="center"/>
    </xf>
    <xf numFmtId="0" fontId="12" fillId="13" borderId="8" xfId="0" applyFont="1" applyFill="1" applyBorder="1" applyAlignment="1">
      <alignment horizontal="center" vertical="center"/>
    </xf>
    <xf numFmtId="0" fontId="12" fillId="13" borderId="0" xfId="0" applyFont="1" applyFill="1" applyAlignment="1">
      <alignment horizontal="center" vertical="center"/>
    </xf>
    <xf numFmtId="0" fontId="12" fillId="0" borderId="0" xfId="0" applyFont="1" applyAlignment="1">
      <alignment horizontal="left" wrapText="1"/>
    </xf>
    <xf numFmtId="0" fontId="12" fillId="14" borderId="0" xfId="0" applyFont="1" applyFill="1" applyAlignment="1">
      <alignment horizontal="center"/>
    </xf>
    <xf numFmtId="0" fontId="12" fillId="13" borderId="6" xfId="0" applyFont="1" applyFill="1" applyBorder="1" applyAlignment="1">
      <alignment horizontal="center"/>
    </xf>
    <xf numFmtId="0" fontId="12" fillId="0" borderId="5" xfId="0" applyFont="1" applyBorder="1" applyAlignment="1">
      <alignment horizontal="center" vertical="top" wrapText="1"/>
    </xf>
    <xf numFmtId="0" fontId="12" fillId="0" borderId="6" xfId="0" applyFont="1" applyBorder="1" applyAlignment="1">
      <alignment horizontal="center" vertical="top" wrapText="1"/>
    </xf>
    <xf numFmtId="0" fontId="12" fillId="0" borderId="5" xfId="0" applyFont="1" applyBorder="1" applyAlignment="1">
      <alignment horizontal="center" wrapText="1"/>
    </xf>
    <xf numFmtId="0" fontId="12" fillId="0" borderId="0" xfId="0" applyFont="1" applyAlignment="1">
      <alignment horizontal="center" wrapText="1"/>
    </xf>
    <xf numFmtId="0" fontId="12" fillId="13" borderId="38" xfId="0" applyFont="1" applyFill="1" applyBorder="1" applyAlignment="1">
      <alignment horizontal="center"/>
    </xf>
    <xf numFmtId="0" fontId="12" fillId="13" borderId="34" xfId="0" applyFont="1" applyFill="1" applyBorder="1" applyAlignment="1">
      <alignment horizontal="center"/>
    </xf>
    <xf numFmtId="0" fontId="12" fillId="13" borderId="33" xfId="0" applyFont="1" applyFill="1" applyBorder="1" applyAlignment="1">
      <alignment horizontal="center"/>
    </xf>
    <xf numFmtId="0" fontId="27" fillId="0" borderId="0" xfId="0" applyFont="1" applyAlignment="1">
      <alignment horizontal="left" vertical="top" wrapText="1"/>
    </xf>
    <xf numFmtId="0" fontId="12" fillId="0" borderId="0" xfId="0" applyFont="1" applyAlignment="1">
      <alignment horizontal="center" vertical="top" wrapText="1"/>
    </xf>
    <xf numFmtId="0" fontId="3" fillId="0" borderId="7" xfId="0" applyFont="1" applyBorder="1" applyAlignment="1">
      <alignment horizontal="left" wrapText="1"/>
    </xf>
    <xf numFmtId="0" fontId="3" fillId="0" borderId="8" xfId="0" applyFont="1" applyBorder="1" applyAlignment="1">
      <alignment horizontal="left" wrapText="1"/>
    </xf>
    <xf numFmtId="0" fontId="3" fillId="0" borderId="2" xfId="0" applyFont="1" applyBorder="1" applyAlignment="1">
      <alignment horizontal="left" wrapText="1"/>
    </xf>
    <xf numFmtId="0" fontId="3" fillId="9" borderId="1" xfId="0" applyFont="1" applyFill="1" applyBorder="1" applyAlignment="1">
      <alignment horizontal="left" wrapText="1" indent="3"/>
    </xf>
    <xf numFmtId="0" fontId="3" fillId="9" borderId="0" xfId="0" applyFont="1" applyFill="1" applyAlignment="1">
      <alignment horizontal="left" wrapText="1" indent="3"/>
    </xf>
    <xf numFmtId="0" fontId="3" fillId="9" borderId="4" xfId="0" applyFont="1" applyFill="1" applyBorder="1" applyAlignment="1">
      <alignment horizontal="left" wrapText="1" indent="3"/>
    </xf>
    <xf numFmtId="0" fontId="3" fillId="0" borderId="1" xfId="0" applyFont="1" applyBorder="1" applyAlignment="1">
      <alignment horizontal="left" wrapText="1" indent="3"/>
    </xf>
    <xf numFmtId="0" fontId="3" fillId="0" borderId="0" xfId="0" applyFont="1" applyAlignment="1">
      <alignment horizontal="left" wrapText="1" indent="3"/>
    </xf>
    <xf numFmtId="0" fontId="3" fillId="0" borderId="4" xfId="0" applyFont="1" applyBorder="1" applyAlignment="1">
      <alignment horizontal="left" wrapText="1" indent="3"/>
    </xf>
    <xf numFmtId="0" fontId="3" fillId="0" borderId="1" xfId="0" applyFont="1" applyBorder="1" applyAlignment="1">
      <alignment horizontal="left" wrapText="1"/>
    </xf>
    <xf numFmtId="0" fontId="3" fillId="0" borderId="0" xfId="0" applyFont="1" applyAlignment="1">
      <alignment horizontal="left" wrapText="1"/>
    </xf>
    <xf numFmtId="0" fontId="3" fillId="0" borderId="4" xfId="0" applyFont="1" applyBorder="1" applyAlignment="1">
      <alignment horizontal="left" wrapText="1"/>
    </xf>
    <xf numFmtId="0" fontId="3" fillId="9" borderId="1" xfId="0" applyFont="1" applyFill="1" applyBorder="1" applyAlignment="1">
      <alignment horizontal="left" vertical="top" wrapText="1" indent="3"/>
    </xf>
    <xf numFmtId="0" fontId="3" fillId="9" borderId="0" xfId="0" applyFont="1" applyFill="1" applyAlignment="1">
      <alignment horizontal="left" vertical="top" wrapText="1" indent="3"/>
    </xf>
    <xf numFmtId="0" fontId="3" fillId="9" borderId="4" xfId="0" applyFont="1" applyFill="1" applyBorder="1" applyAlignment="1">
      <alignment horizontal="left" vertical="top" wrapText="1" indent="3"/>
    </xf>
    <xf numFmtId="0" fontId="3" fillId="0" borderId="5" xfId="0" applyFont="1" applyBorder="1" applyAlignment="1">
      <alignment horizontal="left" wrapText="1" indent="3"/>
    </xf>
    <xf numFmtId="0" fontId="3" fillId="0" borderId="6" xfId="0" applyFont="1" applyBorder="1" applyAlignment="1">
      <alignment horizontal="left" wrapText="1" indent="3"/>
    </xf>
    <xf numFmtId="0" fontId="3" fillId="0" borderId="3" xfId="0" applyFont="1" applyBorder="1" applyAlignment="1">
      <alignment horizontal="left" wrapText="1" indent="3"/>
    </xf>
    <xf numFmtId="0" fontId="29" fillId="0" borderId="0" xfId="0" applyFont="1" applyAlignment="1">
      <alignment horizontal="left" vertical="top" wrapText="1"/>
    </xf>
    <xf numFmtId="0" fontId="3" fillId="13" borderId="6" xfId="0" applyFont="1" applyFill="1" applyBorder="1" applyAlignment="1">
      <alignment horizontal="right"/>
    </xf>
    <xf numFmtId="0" fontId="12" fillId="13" borderId="17" xfId="0" applyFont="1" applyFill="1" applyBorder="1" applyAlignment="1">
      <alignment horizontal="center"/>
    </xf>
    <xf numFmtId="0" fontId="12" fillId="9" borderId="0" xfId="0" applyFont="1" applyFill="1" applyAlignment="1">
      <alignment horizontal="center"/>
    </xf>
    <xf numFmtId="0" fontId="1" fillId="0" borderId="0" xfId="0" applyFont="1" applyAlignment="1">
      <alignment horizontal="center" wrapText="1"/>
    </xf>
    <xf numFmtId="0" fontId="12" fillId="0" borderId="5" xfId="0" applyFont="1" applyBorder="1" applyAlignment="1">
      <alignment horizontal="center"/>
    </xf>
    <xf numFmtId="0" fontId="12" fillId="0" borderId="6" xfId="0" applyFont="1" applyBorder="1" applyAlignment="1">
      <alignment horizontal="center"/>
    </xf>
    <xf numFmtId="0" fontId="3" fillId="0" borderId="8" xfId="0" applyFont="1" applyBorder="1" applyAlignment="1">
      <alignment horizontal="left" vertical="top" wrapText="1"/>
    </xf>
    <xf numFmtId="0" fontId="12" fillId="13" borderId="5" xfId="0" applyFont="1" applyFill="1" applyBorder="1" applyAlignment="1">
      <alignment horizontal="center" wrapText="1"/>
    </xf>
    <xf numFmtId="0" fontId="12" fillId="13" borderId="3" xfId="0" applyFont="1" applyFill="1" applyBorder="1" applyAlignment="1">
      <alignment horizontal="center" wrapText="1"/>
    </xf>
    <xf numFmtId="0" fontId="12" fillId="13" borderId="1" xfId="0" applyFont="1" applyFill="1" applyBorder="1" applyAlignment="1">
      <alignment horizontal="center" wrapText="1"/>
    </xf>
    <xf numFmtId="0" fontId="12" fillId="13" borderId="0" xfId="0" applyFont="1" applyFill="1" applyAlignment="1">
      <alignment horizontal="center" wrapText="1"/>
    </xf>
    <xf numFmtId="0" fontId="5" fillId="0" borderId="8" xfId="0" applyFont="1" applyBorder="1" applyAlignment="1">
      <alignment horizontal="center"/>
    </xf>
    <xf numFmtId="0" fontId="12" fillId="0" borderId="3" xfId="0" applyFont="1" applyBorder="1" applyAlignment="1">
      <alignment horizontal="center"/>
    </xf>
    <xf numFmtId="0" fontId="12" fillId="0" borderId="5" xfId="0" applyFont="1" applyBorder="1" applyAlignment="1">
      <alignment horizontal="left"/>
    </xf>
    <xf numFmtId="0" fontId="12" fillId="0" borderId="6" xfId="0" applyFont="1" applyBorder="1" applyAlignment="1">
      <alignment horizontal="left"/>
    </xf>
    <xf numFmtId="0" fontId="12" fillId="0" borderId="1" xfId="0" applyFont="1" applyBorder="1" applyAlignment="1">
      <alignment horizontal="center"/>
    </xf>
    <xf numFmtId="0" fontId="12" fillId="0" borderId="4" xfId="0" applyFont="1" applyBorder="1" applyAlignment="1">
      <alignment horizontal="center"/>
    </xf>
    <xf numFmtId="0" fontId="12" fillId="0" borderId="38" xfId="0" applyFont="1" applyBorder="1" applyAlignment="1">
      <alignment horizontal="center"/>
    </xf>
    <xf numFmtId="0" fontId="12" fillId="0" borderId="34" xfId="0" applyFont="1" applyBorder="1" applyAlignment="1">
      <alignment horizontal="center"/>
    </xf>
    <xf numFmtId="0" fontId="12" fillId="0" borderId="17" xfId="0" applyFont="1" applyBorder="1" applyAlignment="1">
      <alignment horizontal="center"/>
    </xf>
    <xf numFmtId="0" fontId="12" fillId="13" borderId="7" xfId="0" applyFont="1" applyFill="1" applyBorder="1" applyAlignment="1">
      <alignment horizontal="center" wrapText="1"/>
    </xf>
    <xf numFmtId="0" fontId="12" fillId="13" borderId="8" xfId="0" applyFont="1" applyFill="1" applyBorder="1" applyAlignment="1">
      <alignment horizontal="center" wrapText="1"/>
    </xf>
    <xf numFmtId="0" fontId="12" fillId="13" borderId="2" xfId="0" applyFont="1" applyFill="1" applyBorder="1" applyAlignment="1">
      <alignment horizontal="center" wrapText="1"/>
    </xf>
    <xf numFmtId="0" fontId="2" fillId="18" borderId="1" xfId="0" applyFont="1" applyFill="1" applyBorder="1" applyAlignment="1">
      <alignment horizontal="center"/>
    </xf>
    <xf numFmtId="0" fontId="2" fillId="18" borderId="0" xfId="0" applyFont="1" applyFill="1" applyAlignment="1">
      <alignment horizontal="center"/>
    </xf>
    <xf numFmtId="0" fontId="21" fillId="0" borderId="8" xfId="0" applyFont="1" applyBorder="1" applyAlignment="1">
      <alignment horizontal="left" vertical="top" wrapText="1"/>
    </xf>
    <xf numFmtId="0" fontId="21" fillId="0" borderId="7" xfId="0" applyFont="1" applyBorder="1" applyAlignment="1">
      <alignment horizontal="center"/>
    </xf>
    <xf numFmtId="0" fontId="21" fillId="0" borderId="8" xfId="0" applyFont="1" applyBorder="1" applyAlignment="1">
      <alignment horizontal="center"/>
    </xf>
    <xf numFmtId="0" fontId="21" fillId="0" borderId="2" xfId="0" applyFont="1" applyBorder="1" applyAlignment="1">
      <alignment horizontal="center"/>
    </xf>
    <xf numFmtId="0" fontId="1" fillId="0" borderId="0" xfId="0" applyFont="1" applyAlignment="1">
      <alignment horizontal="left" vertical="top" wrapText="1"/>
    </xf>
    <xf numFmtId="0" fontId="4" fillId="13" borderId="5" xfId="0" applyFont="1" applyFill="1" applyBorder="1" applyAlignment="1">
      <alignment horizontal="center" wrapText="1"/>
    </xf>
    <xf numFmtId="0" fontId="4" fillId="13" borderId="6" xfId="0" applyFont="1" applyFill="1" applyBorder="1" applyAlignment="1">
      <alignment horizontal="center" wrapText="1"/>
    </xf>
    <xf numFmtId="0" fontId="4" fillId="13" borderId="1" xfId="0" applyFont="1" applyFill="1" applyBorder="1" applyAlignment="1">
      <alignment horizontal="center" wrapText="1"/>
    </xf>
    <xf numFmtId="0" fontId="4" fillId="13" borderId="0" xfId="0" applyFont="1" applyFill="1" applyAlignment="1">
      <alignment horizontal="center" wrapText="1"/>
    </xf>
    <xf numFmtId="0" fontId="1" fillId="13" borderId="5" xfId="0" applyFont="1" applyFill="1" applyBorder="1" applyAlignment="1">
      <alignment horizontal="center"/>
    </xf>
    <xf numFmtId="0" fontId="1" fillId="13" borderId="6" xfId="0" applyFont="1" applyFill="1" applyBorder="1" applyAlignment="1">
      <alignment horizontal="center"/>
    </xf>
    <xf numFmtId="0" fontId="1" fillId="13" borderId="5" xfId="0" applyFont="1" applyFill="1" applyBorder="1" applyAlignment="1">
      <alignment horizontal="center" wrapText="1"/>
    </xf>
    <xf numFmtId="0" fontId="1" fillId="13" borderId="6" xfId="0" applyFont="1" applyFill="1" applyBorder="1" applyAlignment="1">
      <alignment horizontal="center" wrapText="1"/>
    </xf>
    <xf numFmtId="0" fontId="1" fillId="13" borderId="3" xfId="0" applyFont="1" applyFill="1" applyBorder="1" applyAlignment="1">
      <alignment horizontal="center" wrapText="1"/>
    </xf>
    <xf numFmtId="0" fontId="43" fillId="13" borderId="5" xfId="0" applyFont="1" applyFill="1" applyBorder="1" applyAlignment="1">
      <alignment horizontal="center"/>
    </xf>
    <xf numFmtId="0" fontId="43" fillId="13" borderId="6" xfId="0" applyFont="1" applyFill="1" applyBorder="1" applyAlignment="1">
      <alignment horizontal="center"/>
    </xf>
    <xf numFmtId="0" fontId="43" fillId="13" borderId="3" xfId="0" applyFont="1" applyFill="1" applyBorder="1" applyAlignment="1">
      <alignment horizontal="center"/>
    </xf>
    <xf numFmtId="0" fontId="1" fillId="13" borderId="33" xfId="0" applyFont="1" applyFill="1" applyBorder="1" applyAlignment="1">
      <alignment horizontal="center"/>
    </xf>
    <xf numFmtId="0" fontId="1" fillId="13" borderId="3" xfId="0" applyFont="1" applyFill="1" applyBorder="1" applyAlignment="1">
      <alignment horizontal="center"/>
    </xf>
    <xf numFmtId="0" fontId="1" fillId="13" borderId="14" xfId="0" applyFont="1" applyFill="1" applyBorder="1" applyAlignment="1">
      <alignment horizontal="center"/>
    </xf>
    <xf numFmtId="0" fontId="1" fillId="13" borderId="12" xfId="0" applyFont="1" applyFill="1" applyBorder="1" applyAlignment="1">
      <alignment horizontal="center"/>
    </xf>
    <xf numFmtId="0" fontId="1" fillId="0" borderId="0" xfId="0" applyFont="1" applyAlignment="1">
      <alignment horizontal="center"/>
    </xf>
    <xf numFmtId="0" fontId="1" fillId="26" borderId="0" xfId="0" applyFont="1" applyFill="1" applyAlignment="1">
      <alignment horizontal="center"/>
    </xf>
    <xf numFmtId="0" fontId="3" fillId="0" borderId="0" xfId="0" applyFont="1" applyAlignment="1">
      <alignment horizontal="left" vertical="center" wrapText="1"/>
    </xf>
    <xf numFmtId="3" fontId="12" fillId="0" borderId="0" xfId="0" applyNumberFormat="1" applyFont="1" applyAlignment="1">
      <alignment horizontal="left" wrapText="1"/>
    </xf>
    <xf numFmtId="3" fontId="12" fillId="0" borderId="0" xfId="0" applyNumberFormat="1" applyFont="1" applyAlignment="1">
      <alignment horizontal="left"/>
    </xf>
    <xf numFmtId="0" fontId="3" fillId="0" borderId="8" xfId="0" applyFont="1" applyBorder="1" applyAlignment="1">
      <alignment horizontal="center"/>
    </xf>
    <xf numFmtId="0" fontId="3" fillId="0" borderId="0" xfId="0" applyFont="1" applyAlignment="1">
      <alignment vertical="center" wrapText="1"/>
    </xf>
    <xf numFmtId="0" fontId="3" fillId="0" borderId="0" xfId="0" applyFont="1" applyAlignment="1">
      <alignment vertical="center"/>
    </xf>
    <xf numFmtId="0" fontId="3" fillId="11" borderId="0" xfId="0" applyFont="1" applyFill="1" applyAlignment="1">
      <alignment horizontal="left" vertical="top" wrapText="1"/>
    </xf>
    <xf numFmtId="1" fontId="47" fillId="0" borderId="49" xfId="0" applyNumberFormat="1" applyFont="1" applyBorder="1" applyAlignment="1">
      <alignment horizontal="center" vertical="top"/>
    </xf>
    <xf numFmtId="1" fontId="47" fillId="0" borderId="0" xfId="0" applyNumberFormat="1" applyFont="1" applyAlignment="1">
      <alignment horizontal="center" vertical="top"/>
    </xf>
    <xf numFmtId="1" fontId="47" fillId="0" borderId="38" xfId="0" applyNumberFormat="1" applyFont="1" applyBorder="1" applyAlignment="1">
      <alignment horizontal="center" vertical="top"/>
    </xf>
    <xf numFmtId="1" fontId="47" fillId="0" borderId="34" xfId="0" applyNumberFormat="1" applyFont="1" applyBorder="1" applyAlignment="1">
      <alignment horizontal="center" vertical="top"/>
    </xf>
    <xf numFmtId="1" fontId="47" fillId="0" borderId="17" xfId="0" applyNumberFormat="1" applyFont="1" applyBorder="1" applyAlignment="1">
      <alignment horizontal="center" vertical="top"/>
    </xf>
    <xf numFmtId="0" fontId="12" fillId="35" borderId="0" xfId="0" applyFont="1" applyFill="1" applyAlignment="1">
      <alignment horizontal="center"/>
    </xf>
    <xf numFmtId="0" fontId="7" fillId="0" borderId="0" xfId="0" applyFont="1" applyAlignment="1">
      <alignment horizontal="center" wrapText="1"/>
    </xf>
    <xf numFmtId="0" fontId="7" fillId="40" borderId="0" xfId="0" applyFont="1" applyFill="1" applyAlignment="1">
      <alignment wrapText="1"/>
    </xf>
    <xf numFmtId="0" fontId="1" fillId="0" borderId="0" xfId="0" applyFont="1" applyAlignment="1">
      <alignment wrapText="1"/>
    </xf>
    <xf numFmtId="0" fontId="7" fillId="42" borderId="0" xfId="0" applyFont="1" applyFill="1" applyAlignment="1">
      <alignment horizontal="center" wrapText="1"/>
    </xf>
    <xf numFmtId="0" fontId="1" fillId="11" borderId="0" xfId="0" applyFont="1" applyFill="1" applyAlignment="1">
      <alignment horizontal="center" wrapText="1"/>
    </xf>
    <xf numFmtId="0" fontId="7" fillId="41" borderId="0" xfId="0" applyFont="1" applyFill="1" applyAlignment="1">
      <alignment horizontal="center" wrapText="1"/>
    </xf>
    <xf numFmtId="0" fontId="7" fillId="43" borderId="0" xfId="0" applyFont="1" applyFill="1" applyAlignment="1">
      <alignment horizontal="center" wrapText="1"/>
    </xf>
    <xf numFmtId="3" fontId="68" fillId="0" borderId="0" xfId="6" applyNumberFormat="1" applyFont="1" applyAlignment="1">
      <alignment horizontal="right"/>
    </xf>
    <xf numFmtId="0" fontId="3" fillId="0" borderId="0" xfId="0" applyFont="1" applyAlignment="1"/>
    <xf numFmtId="0" fontId="3" fillId="14" borderId="1" xfId="0" applyFont="1" applyFill="1" applyBorder="1"/>
    <xf numFmtId="1" fontId="3" fillId="14" borderId="0" xfId="0" applyNumberFormat="1" applyFont="1" applyFill="1" applyAlignment="1">
      <alignment horizontal="center"/>
    </xf>
    <xf numFmtId="0" fontId="3" fillId="14" borderId="1" xfId="0" applyFont="1" applyFill="1" applyBorder="1" applyAlignment="1">
      <alignment horizontal="left" indent="2"/>
    </xf>
    <xf numFmtId="1" fontId="25" fillId="14" borderId="0" xfId="0" applyNumberFormat="1" applyFont="1" applyFill="1" applyAlignment="1">
      <alignment horizontal="center"/>
    </xf>
    <xf numFmtId="37" fontId="3" fillId="14" borderId="0" xfId="0" applyNumberFormat="1" applyFont="1" applyFill="1" applyAlignment="1">
      <alignment horizontal="center" wrapText="1"/>
    </xf>
    <xf numFmtId="0" fontId="3" fillId="14" borderId="40" xfId="0" applyFont="1" applyFill="1" applyBorder="1" applyAlignment="1">
      <alignment horizontal="center"/>
    </xf>
    <xf numFmtId="174" fontId="25" fillId="14" borderId="40" xfId="0" applyNumberFormat="1" applyFont="1" applyFill="1" applyBorder="1" applyAlignment="1">
      <alignment horizontal="center"/>
    </xf>
  </cellXfs>
  <cellStyles count="3083">
    <cellStyle name="20% - Accent1 2" xfId="217" xr:uid="{5BF6EB83-D32F-4CAD-B979-F6BC73A0B566}"/>
    <cellStyle name="20% - Accent2 2" xfId="218" xr:uid="{669E74B5-1819-4D17-9204-07E6A85A5DF3}"/>
    <cellStyle name="20% - Accent3 2" xfId="219" xr:uid="{7B0B0262-DB74-4B51-B177-0B778F0C6ECD}"/>
    <cellStyle name="20% - Accent4 2" xfId="220" xr:uid="{BB288B02-CE41-478C-A96B-E52B7DB7F046}"/>
    <cellStyle name="20% - Accent5 2" xfId="221" xr:uid="{4AA90461-7A63-4DA6-85FB-9CDF4C16DC86}"/>
    <cellStyle name="20% - Accent6 2" xfId="222" xr:uid="{1A18284F-48A0-43B4-988B-367D8A984A13}"/>
    <cellStyle name="40% - Accent1 2" xfId="223" xr:uid="{5DE4D9D8-178D-4339-AFAC-92B43FBD06CD}"/>
    <cellStyle name="40% - Accent2 2" xfId="224" xr:uid="{A459B2B2-3323-4FCE-8EFB-E81E30D78987}"/>
    <cellStyle name="40% - Accent3 2" xfId="225" xr:uid="{3E39D1D0-7A78-41B8-846D-B4E9645D9AA6}"/>
    <cellStyle name="40% - Accent4 2" xfId="226" xr:uid="{A0DB37C1-083F-4362-8129-66DD5F48BFD7}"/>
    <cellStyle name="40% - Accent5 2" xfId="227" xr:uid="{44DECD80-BE9E-4F46-983D-49C540F18E74}"/>
    <cellStyle name="40% - Accent6 2" xfId="228" xr:uid="{0A61AC02-2A6D-4C96-88AD-E6CEAE488F7E}"/>
    <cellStyle name="60% - Accent1 2" xfId="229" xr:uid="{16DF4029-C4FB-4D57-9A54-50F97B192F22}"/>
    <cellStyle name="60% - Accent2 2" xfId="230" xr:uid="{9E41B021-C8DF-4737-A0AF-8D1E35484F9C}"/>
    <cellStyle name="60% - Accent3 2" xfId="231" xr:uid="{6F01F0B0-DB11-4835-AD9F-F07345203E31}"/>
    <cellStyle name="60% - Accent4 2" xfId="232" xr:uid="{1ABB19BD-CE30-43D2-AD08-B53D893CDB98}"/>
    <cellStyle name="60% - Accent5 2" xfId="233" xr:uid="{3474BF9F-385F-4B3F-A7DF-2F8F88DB984B}"/>
    <cellStyle name="60% - Accent6 2" xfId="234" xr:uid="{53C37F69-9F68-4423-9E23-4F4123FE5C54}"/>
    <cellStyle name="Accent1 2" xfId="235" xr:uid="{93FECAEC-B4FB-4C7B-8712-FD632E163777}"/>
    <cellStyle name="Accent2 2" xfId="236" xr:uid="{35442289-736A-4FC9-83C9-17AEF08CBA96}"/>
    <cellStyle name="Accent3 2" xfId="237" xr:uid="{01269CB0-4153-48FC-90C6-B56F708A1E58}"/>
    <cellStyle name="Accent4 2" xfId="238" xr:uid="{F9B77F77-99D3-4C3E-A952-E2E1DA5FF524}"/>
    <cellStyle name="Accent5 2" xfId="239" xr:uid="{3EB4D27C-D867-43AF-892E-6FE520320820}"/>
    <cellStyle name="Accent6 2" xfId="240" xr:uid="{D9974819-5CC3-48F9-9AF1-9C565EB5FFBA}"/>
    <cellStyle name="Bad 2" xfId="241" xr:uid="{D199CCBC-21FE-4017-820E-FB93D7E91CC2}"/>
    <cellStyle name="Calculation 2" xfId="242" xr:uid="{33D2DBD5-6AF2-4018-9284-8ED3717460DF}"/>
    <cellStyle name="Check Cell 2" xfId="243" xr:uid="{172DBA7E-E9F8-49D6-9D21-DB47E5C7A30C}"/>
    <cellStyle name="Comma 2" xfId="8" xr:uid="{33778D86-AC0E-483B-B609-A12AA89A0C17}"/>
    <cellStyle name="Comma 2 10" xfId="1632" xr:uid="{73A362FA-2772-4319-8434-4CBFB14265EC}"/>
    <cellStyle name="Comma 2 2" xfId="19" xr:uid="{ACCF223B-0494-4B96-9E8A-6E786947E843}"/>
    <cellStyle name="Comma 2 2 2" xfId="43" xr:uid="{DC6B8D2D-B7E4-4153-84A4-96AC0300D7AB}"/>
    <cellStyle name="Comma 2 2 3" xfId="908" xr:uid="{35AAA0CE-7783-4693-8A6D-6A802BA741AB}"/>
    <cellStyle name="Comma 2 2 3 2" xfId="2363" xr:uid="{51B9C005-5149-4611-AC81-197C8AD2732B}"/>
    <cellStyle name="Comma 2 2 4" xfId="1638" xr:uid="{8FC6F5BB-E676-4175-A33D-342CE44BB2D9}"/>
    <cellStyle name="Comma 2 3" xfId="244" xr:uid="{5BA3BE11-479D-4D4F-A9EC-F6A418E82AB5}"/>
    <cellStyle name="Comma 2 4" xfId="245" xr:uid="{43AB863D-DDDA-4514-BE7D-61317DC3FB1E}"/>
    <cellStyle name="Comma 2 5" xfId="246" xr:uid="{87DB457F-3204-4B7C-B570-C2652881A101}"/>
    <cellStyle name="Comma 2 6" xfId="247" xr:uid="{5B41DCC8-DC37-4CD3-8067-2E9526E1835D}"/>
    <cellStyle name="Comma 2 7" xfId="528" xr:uid="{ADE8A330-3286-4616-BA08-9446006C0489}"/>
    <cellStyle name="Comma 2 8" xfId="38" xr:uid="{ECE8D082-D199-4988-B997-EA94ECD78CE0}"/>
    <cellStyle name="Comma 2 8 2" xfId="890" xr:uid="{A465D5F9-C2F8-4EE9-9DB7-20984013E5E7}"/>
    <cellStyle name="Comma 2 8 2 2" xfId="898" xr:uid="{D84B148F-7DB7-4CEE-BE40-4842FEBB0837}"/>
    <cellStyle name="Comma 2 8 2 2 2" xfId="1627" xr:uid="{8235B017-7E82-40A3-932A-F6404F538BA2}"/>
    <cellStyle name="Comma 2 8 2 2 2 2" xfId="3078" xr:uid="{27C8D3D3-EFE8-401F-B4E7-2434A8C6D809}"/>
    <cellStyle name="Comma 2 8 2 2 3" xfId="2353" xr:uid="{CCC78769-A3C6-42B1-AA18-02E9E5057672}"/>
    <cellStyle name="Comma 2 8 2 3" xfId="1622" xr:uid="{C329ABE2-4048-49B2-93B9-AA45008E3075}"/>
    <cellStyle name="Comma 2 8 2 3 2" xfId="3074" xr:uid="{292469C2-6593-4CC9-9D94-814B09C8A95C}"/>
    <cellStyle name="Comma 2 8 2 4" xfId="2349" xr:uid="{98825CEC-0F85-466F-9A89-8233DAA01B3A}"/>
    <cellStyle name="Comma 2 9" xfId="902" xr:uid="{3C1CAEB0-7FD3-4E6D-B0EA-BEC9031B7CE0}"/>
    <cellStyle name="Comma 2 9 2" xfId="2357" xr:uid="{4FCFFDEB-4BB3-42C7-BC1C-0FCF717451F2}"/>
    <cellStyle name="Comma 3" xfId="25" xr:uid="{29892502-74A9-4AEC-B97C-550CF752A886}"/>
    <cellStyle name="Comma 3 2" xfId="44" xr:uid="{7E00F99E-9A94-4B97-851E-293A67477B90}"/>
    <cellStyle name="Comma 3 2 2" xfId="891" xr:uid="{609733FA-1ABD-4AAA-9B5F-76EB3D58950E}"/>
    <cellStyle name="Comma 4" xfId="27" xr:uid="{E7EE8AA7-5B77-455A-91BF-963E7B40257B}"/>
    <cellStyle name="Comma 4 2" xfId="248" xr:uid="{0EAA1673-EBE8-47BE-8ED1-F38DAF498BFD}"/>
    <cellStyle name="Comma 4 3" xfId="914" xr:uid="{D85DD42F-C952-436B-BC9B-F5E14446CB7E}"/>
    <cellStyle name="Comma 4 3 2" xfId="2368" xr:uid="{1DB97BB5-C0F6-4B41-936A-E949770B3D1A}"/>
    <cellStyle name="Comma 4 4" xfId="1643" xr:uid="{43375508-3FE5-4E33-A5D1-B9CB2E664423}"/>
    <cellStyle name="Comma 5" xfId="531" xr:uid="{A9F69A6B-A6E0-4192-B76A-219D9E5C0AFC}"/>
    <cellStyle name="Comma 6" xfId="894" xr:uid="{FE47BD55-5046-4969-BA54-7587C3DB88CC}"/>
    <cellStyle name="Comma 6 2" xfId="1623" xr:uid="{DF19C0E1-2583-443D-816C-DF9566653CDF}"/>
    <cellStyle name="Comma 6 2 2" xfId="3075" xr:uid="{669424E4-AA3E-43CF-96A9-ED7787AAF547}"/>
    <cellStyle name="Comma 6 3" xfId="2350" xr:uid="{22DC7E67-E801-49DC-8A59-D80202E4D1FD}"/>
    <cellStyle name="Comma 9" xfId="249" xr:uid="{64D24D79-452B-43C3-AE64-D1A1DFFBE5D1}"/>
    <cellStyle name="Comma0" xfId="250" xr:uid="{5C13735A-60E3-4E45-8E41-C68FBA42831C}"/>
    <cellStyle name="Currency 2" xfId="251" xr:uid="{8588C628-A705-47FD-9AB3-9B8E7DE715E6}"/>
    <cellStyle name="Currency 3" xfId="252" xr:uid="{DAC7619A-A317-4D1C-818A-1AF0E86074B9}"/>
    <cellStyle name="Currency0" xfId="526" xr:uid="{70BECBF0-144D-41C4-B8E1-93A21304109E}"/>
    <cellStyle name="Explanatory Text 2" xfId="253" xr:uid="{04629043-04CA-4DBF-B347-7698405FD072}"/>
    <cellStyle name="Good 2" xfId="254" xr:uid="{65DBBF58-0CED-4576-88F7-B1805E47CCCB}"/>
    <cellStyle name="Heading 1 2" xfId="255" xr:uid="{8774F9D3-B84F-49D8-B0D5-B300AFDA218D}"/>
    <cellStyle name="Heading 2 2" xfId="256" xr:uid="{F85C93CC-24B7-40E2-95AD-2E9C81F08707}"/>
    <cellStyle name="Heading 3 2" xfId="257" xr:uid="{00264E9B-B7DA-4C1D-B830-2E41599EAFD8}"/>
    <cellStyle name="Heading 4 2" xfId="258" xr:uid="{2FCD413C-C931-44CB-A981-3FADDED362BA}"/>
    <cellStyle name="Hyperlink 16" xfId="31" xr:uid="{951E3D06-2312-44AD-B2BD-12F7BE6E82A5}"/>
    <cellStyle name="Hyperlink 2" xfId="22" xr:uid="{E982A0B0-D998-4C7E-B84D-86E9B38FE71C}"/>
    <cellStyle name="Hyperlink 2 2" xfId="45" xr:uid="{C60D85D9-F3C2-4408-8219-85C4FC02E15C}"/>
    <cellStyle name="Hyperlink 2 2 2" xfId="888" xr:uid="{C5597FA0-42EC-4975-AAFA-94DB77379937}"/>
    <cellStyle name="Hyperlink 3" xfId="28" xr:uid="{60E92490-AB54-473F-A049-26B300A87473}"/>
    <cellStyle name="Hyperlink 3 2" xfId="47" xr:uid="{0D646A69-C964-4F31-AEB2-E7609F769EDD}"/>
    <cellStyle name="Hyperlink 3 2 2" xfId="917" xr:uid="{BA1AEC1D-FBA1-407E-AB96-3CFE2409AD8A}"/>
    <cellStyle name="Hyperlink 3 3" xfId="30" xr:uid="{6AEA7291-CD85-468B-BC70-7C38D70577C8}"/>
    <cellStyle name="Hyperlink 3 4" xfId="533" xr:uid="{79AEFC4B-F0C3-44F4-89E1-118D0E5F69E9}"/>
    <cellStyle name="Hyperlink 4" xfId="52" xr:uid="{BEF72CDC-17DF-4DAD-B90B-22F82A65B81B}"/>
    <cellStyle name="Hyperlink 5" xfId="339" xr:uid="{C080A197-8DDE-4C7F-A981-D5E05DBF5453}"/>
    <cellStyle name="Hyperlink 6" xfId="33" xr:uid="{C84C49F4-08E4-45E6-8677-44510628CCBC}"/>
    <cellStyle name="Hyperlink 6 2" xfId="523" xr:uid="{56C9AB40-EE80-4FD7-8748-BA3805981F44}"/>
    <cellStyle name="Hyperlink 7" xfId="16" xr:uid="{237C45F2-BDFA-42EB-B111-85645F15461F}"/>
    <cellStyle name="Input 2" xfId="259" xr:uid="{EF9D106C-645B-4E71-A1AF-CF90A020FDA1}"/>
    <cellStyle name="Linked Cell 2" xfId="260" xr:uid="{3FB8496F-6E1E-4EE9-9A98-25F9A63F53B0}"/>
    <cellStyle name="Neutral 2" xfId="261" xr:uid="{BB8E3CBC-9758-4AAE-BE89-3896EB876B0A}"/>
    <cellStyle name="Normal" xfId="0" builtinId="0"/>
    <cellStyle name="Normal 10" xfId="50" xr:uid="{3B39E246-3174-4895-85AA-38317EF46CA4}"/>
    <cellStyle name="Normal 10 2" xfId="341" xr:uid="{F264A728-9684-4E94-A66B-FBE003299C6E}"/>
    <cellStyle name="Normal 10 2 2" xfId="711" xr:uid="{F50E636D-C397-406D-8DAD-3DA83E57C972}"/>
    <cellStyle name="Normal 10 2 2 2" xfId="899" xr:uid="{FF123A75-6114-45AB-876B-6C8C76D84C03}"/>
    <cellStyle name="Normal 10 2 2 2 2" xfId="1628" xr:uid="{4B3240D8-1331-47D4-B203-CB77B3674E6D}"/>
    <cellStyle name="Normal 10 2 2 2 2 2" xfId="3079" xr:uid="{4316DD5F-F24A-4837-B101-EB97B3CC6B5C}"/>
    <cellStyle name="Normal 10 2 2 2 3" xfId="2354" xr:uid="{0B99035B-8ADB-433A-9364-AB42F0B844BB}"/>
    <cellStyle name="Normal 10 2 2 3" xfId="1445" xr:uid="{9DF39829-AB44-470C-B7B3-3918DDDB5190}"/>
    <cellStyle name="Normal 10 2 2 3 2" xfId="2897" xr:uid="{C39910E8-91B3-4BEC-8527-E2C5B7E921D3}"/>
    <cellStyle name="Normal 10 2 2 4" xfId="2172" xr:uid="{AFEEDCA1-D90A-45B4-8D95-67791DFB6A6C}"/>
    <cellStyle name="Normal 10 2 3" xfId="1091" xr:uid="{1264D8FE-A81E-43DE-A252-0219DF49944C}"/>
    <cellStyle name="Normal 10 2 3 2" xfId="2543" xr:uid="{04C3FA1B-1717-4E6E-92DA-91EA9892B99D}"/>
    <cellStyle name="Normal 10 2 4" xfId="1818" xr:uid="{80982C78-19CA-4CF3-8096-C8A247E7AE7C}"/>
    <cellStyle name="Normal 10 3" xfId="535" xr:uid="{05370628-7634-48E4-B503-A330977058BA}"/>
    <cellStyle name="Normal 10 3 2" xfId="1269" xr:uid="{D807E4AA-14AD-4170-855A-EF02790C4A1A}"/>
    <cellStyle name="Normal 10 3 2 2" xfId="2721" xr:uid="{FE9FDF98-8BD3-460E-A9E5-D193BE9EF78C}"/>
    <cellStyle name="Normal 10 3 3" xfId="1996" xr:uid="{76DE7091-8952-4584-BCDE-6407CA72D38E}"/>
    <cellStyle name="Normal 10 4" xfId="919" xr:uid="{0F6FEF26-A86D-489A-9915-2586CD18BAF7}"/>
    <cellStyle name="Normal 10 4 2" xfId="2371" xr:uid="{80EB6628-24C9-4CC1-B51F-2EA1A239AAB6}"/>
    <cellStyle name="Normal 10 5" xfId="1646" xr:uid="{CC127CB7-A59B-4964-A340-E99BE61FA4EE}"/>
    <cellStyle name="Normal 11" xfId="262" xr:uid="{FFBE27BE-7A78-41CC-A836-D51B18F09FF5}"/>
    <cellStyle name="Normal 11 2" xfId="263" xr:uid="{15267E5E-7CED-4AF3-ACBD-DFDBF45BCC3F}"/>
    <cellStyle name="Normal 11 2 2" xfId="698" xr:uid="{73B67FE4-45AC-4DB8-A196-D4F8833C5B61}"/>
    <cellStyle name="Normal 11 2 2 2" xfId="1432" xr:uid="{276775AC-C85F-4882-93D6-EFEBC3E27CA3}"/>
    <cellStyle name="Normal 11 2 2 2 2" xfId="2884" xr:uid="{83FE304A-9E33-447E-B3F6-43E91F26452A}"/>
    <cellStyle name="Normal 11 2 2 3" xfId="2159" xr:uid="{DA9E8C27-1BB6-462E-8534-0131CC5CA122}"/>
    <cellStyle name="Normal 11 2 3" xfId="1078" xr:uid="{2064BC1A-C5F1-4044-B379-0B8410C183A0}"/>
    <cellStyle name="Normal 11 2 3 2" xfId="2530" xr:uid="{B7A5A714-3260-4655-B787-1EBB31D88CF6}"/>
    <cellStyle name="Normal 11 2 4" xfId="1805" xr:uid="{A2A4D829-A742-4846-9848-B05C60A07DAD}"/>
    <cellStyle name="Normal 11 3" xfId="264" xr:uid="{CF3FD2B6-3903-40DB-9BB3-34DB749A8D75}"/>
    <cellStyle name="Normal 11 3 2" xfId="699" xr:uid="{9B7BA920-3AED-4E81-BA41-60A6F8E9BA4C}"/>
    <cellStyle name="Normal 11 3 2 2" xfId="1433" xr:uid="{9E24A2D4-B488-40E4-A37F-A169C0C09599}"/>
    <cellStyle name="Normal 11 3 2 2 2" xfId="2885" xr:uid="{21B6C7D8-FF93-4B6E-8673-00D687D96458}"/>
    <cellStyle name="Normal 11 3 2 3" xfId="2160" xr:uid="{33EAEFDC-1E69-40D3-8EDD-8684438CB359}"/>
    <cellStyle name="Normal 11 3 3" xfId="1079" xr:uid="{3A5BAC7B-040C-4F5E-A1FE-D9A13EF44E1D}"/>
    <cellStyle name="Normal 11 3 3 2" xfId="2531" xr:uid="{D9D171B8-3D1B-4AF0-BF02-BAE2D8F3B930}"/>
    <cellStyle name="Normal 11 3 4" xfId="1806" xr:uid="{7DA3972E-C615-489B-9D15-1F7F190DA102}"/>
    <cellStyle name="Normal 11 4" xfId="265" xr:uid="{19DC8DB0-E3C3-4402-B889-98BE32223B5C}"/>
    <cellStyle name="Normal 11 4 2" xfId="700" xr:uid="{55778F9D-EF3E-42C7-8EC3-0C4E151F517E}"/>
    <cellStyle name="Normal 11 4 2 2" xfId="1434" xr:uid="{B18D6842-23FC-4DE4-8041-51E8C9455601}"/>
    <cellStyle name="Normal 11 4 2 2 2" xfId="2886" xr:uid="{3AE4695B-3D85-4522-9CC0-A6F40FBD384B}"/>
    <cellStyle name="Normal 11 4 2 3" xfId="2161" xr:uid="{9866AB0A-B8ED-4ABE-A044-E8AD4745F7FB}"/>
    <cellStyle name="Normal 11 4 3" xfId="1080" xr:uid="{83E06FB8-FA82-48A1-88AA-803E5A59CDF2}"/>
    <cellStyle name="Normal 11 4 3 2" xfId="2532" xr:uid="{C3A34E03-9252-4E62-858D-C462D5D8F452}"/>
    <cellStyle name="Normal 11 4 4" xfId="1807" xr:uid="{B24CD088-37E6-4646-8109-E29BFFFA5159}"/>
    <cellStyle name="Normal 110" xfId="9" xr:uid="{1126D62C-866E-4556-9029-1371904D4AD0}"/>
    <cellStyle name="Normal 110 2" xfId="20" xr:uid="{ADC42367-98A5-4888-BC58-BFDDC621B5FB}"/>
    <cellStyle name="Normal 110 2 2" xfId="909" xr:uid="{5DD8E246-6714-42D4-BD92-AA0BBA1B6E8B}"/>
    <cellStyle name="Normal 110 2 2 2" xfId="2364" xr:uid="{DB749C2C-61FD-4983-9062-CC184D1FD5E8}"/>
    <cellStyle name="Normal 110 2 3" xfId="1639" xr:uid="{71E6A6CB-0E75-4DA5-A108-885F4282FAA1}"/>
    <cellStyle name="Normal 110 3" xfId="887" xr:uid="{7B54BE92-1D6F-4A87-A6FB-AF828DD89F4E}"/>
    <cellStyle name="Normal 110 3 2" xfId="1621" xr:uid="{F0288F67-4924-4E13-9305-B6169C919003}"/>
    <cellStyle name="Normal 110 3 2 2" xfId="3073" xr:uid="{9E76AEB6-73B2-425F-AB4D-ED6A57609B9B}"/>
    <cellStyle name="Normal 110 3 3" xfId="2348" xr:uid="{920100F8-48AB-4F9C-9201-107CB1B57E71}"/>
    <cellStyle name="Normal 110 4" xfId="903" xr:uid="{3D5A725E-6DE1-40B0-9AFD-5A3942CA0D9F}"/>
    <cellStyle name="Normal 110 4 2" xfId="2358" xr:uid="{93A6C06F-AD16-4682-994C-B2952EA5C178}"/>
    <cellStyle name="Normal 110 5" xfId="1633" xr:uid="{1C0881E4-64E9-4445-B386-5A5D7FFED8D3}"/>
    <cellStyle name="Normal 12" xfId="266" xr:uid="{80F5EDAE-668D-44F9-84B1-134F851C169A}"/>
    <cellStyle name="Normal 12 2" xfId="267" xr:uid="{8985A147-02A0-4BE8-BBCA-E6CDEB239BBF}"/>
    <cellStyle name="Normal 12 2 2" xfId="701" xr:uid="{32703AC4-211B-40F1-BB78-7619C51AFE8C}"/>
    <cellStyle name="Normal 12 2 2 2" xfId="1435" xr:uid="{6A8B926C-D2D1-4599-BD8F-BE0795E6F9E1}"/>
    <cellStyle name="Normal 12 2 2 2 2" xfId="2887" xr:uid="{C0ADF2B4-A6A3-4EEF-AC6F-77FDBFD56FF9}"/>
    <cellStyle name="Normal 12 2 2 3" xfId="2162" xr:uid="{D177C65A-330B-41E9-9394-B5D2DF434A0C}"/>
    <cellStyle name="Normal 12 2 3" xfId="1081" xr:uid="{ACE80D2F-EB5E-4EAB-8FEE-382ED42B3CF1}"/>
    <cellStyle name="Normal 12 2 3 2" xfId="2533" xr:uid="{69A8FC0C-E44C-4853-9369-4A88AC09E8CF}"/>
    <cellStyle name="Normal 12 2 4" xfId="1808" xr:uid="{1778DA2B-D83E-4D47-8940-1CED45C6716A}"/>
    <cellStyle name="Normal 12 3" xfId="268" xr:uid="{51500EEC-3A48-497C-9B05-2B48E54C1BBD}"/>
    <cellStyle name="Normal 12 3 2" xfId="702" xr:uid="{27B8C025-7508-4329-BD3E-78A3C9926E13}"/>
    <cellStyle name="Normal 12 3 2 2" xfId="1436" xr:uid="{50CF94BC-407F-4AD9-87AE-1F0AE9443702}"/>
    <cellStyle name="Normal 12 3 2 2 2" xfId="2888" xr:uid="{13A06B9E-63F9-44B7-AD92-77F07D0C8660}"/>
    <cellStyle name="Normal 12 3 2 3" xfId="2163" xr:uid="{C6DE1A4E-61A1-44F7-B00E-AE421715F61C}"/>
    <cellStyle name="Normal 12 3 3" xfId="1082" xr:uid="{BB3B5048-A2CC-4011-85CA-6FE618F23EB8}"/>
    <cellStyle name="Normal 12 3 3 2" xfId="2534" xr:uid="{A4F4C0F3-6833-4AC1-8AAA-C6C7B9F9A9E0}"/>
    <cellStyle name="Normal 12 3 4" xfId="1809" xr:uid="{239C46B1-E69E-45BA-BDF1-648C71530A49}"/>
    <cellStyle name="Normal 12 4" xfId="269" xr:uid="{119FA533-9477-4192-B198-8D7B5AFE35FC}"/>
    <cellStyle name="Normal 12 4 2" xfId="703" xr:uid="{FB4F9989-4444-420D-9629-2E8FA3802E6F}"/>
    <cellStyle name="Normal 12 4 2 2" xfId="1437" xr:uid="{8E11234B-984C-4121-98C9-5C053BB4B133}"/>
    <cellStyle name="Normal 12 4 2 2 2" xfId="2889" xr:uid="{8384BD35-E3AB-44ED-B5C7-6CE723787FFD}"/>
    <cellStyle name="Normal 12 4 2 3" xfId="2164" xr:uid="{A6DBF546-B921-41B6-BE4E-08032C6C1176}"/>
    <cellStyle name="Normal 12 4 3" xfId="1083" xr:uid="{25F9C0CC-C8E7-4513-844F-8763ACB29968}"/>
    <cellStyle name="Normal 12 4 3 2" xfId="2535" xr:uid="{05837521-C773-44DA-9A6B-84D16847B4EE}"/>
    <cellStyle name="Normal 12 4 4" xfId="1810" xr:uid="{CD5ACA17-07CD-4F08-82DA-BA5CBDA8D1AB}"/>
    <cellStyle name="Normal 13" xfId="270" xr:uid="{29D7A10A-CCDB-4F67-B2D9-A3F8E7BFA7FC}"/>
    <cellStyle name="Normal 13 2" xfId="271" xr:uid="{CA2EAB4C-6F3E-4EB7-810F-420C7B5AEBC4}"/>
    <cellStyle name="Normal 13 2 2" xfId="704" xr:uid="{C1E9FA6A-1E4F-4262-A1C6-F0226A3F97B4}"/>
    <cellStyle name="Normal 13 2 2 2" xfId="1438" xr:uid="{5A3F530A-F9A6-4DB5-8044-4A1BD500CC14}"/>
    <cellStyle name="Normal 13 2 2 2 2" xfId="2890" xr:uid="{A2127685-1D9E-42E3-B4A4-465C62A1DBFB}"/>
    <cellStyle name="Normal 13 2 2 3" xfId="2165" xr:uid="{EB72E6F5-DD43-4CE8-9D59-3DA913CB9343}"/>
    <cellStyle name="Normal 13 2 3" xfId="1084" xr:uid="{3D40D91D-9E8D-4B09-9FE0-7FEDFC39DAFD}"/>
    <cellStyle name="Normal 13 2 3 2" xfId="2536" xr:uid="{3C67BD86-BA8D-419A-9962-CA7F5B9FBCB3}"/>
    <cellStyle name="Normal 13 2 4" xfId="1811" xr:uid="{C36641E8-1C18-4D80-A4AA-499DD4B7C3D3}"/>
    <cellStyle name="Normal 13 3" xfId="272" xr:uid="{B7F17C05-90B7-407D-A03E-7737D4BC5055}"/>
    <cellStyle name="Normal 13 3 2" xfId="705" xr:uid="{403A8695-DCEA-482C-8EE3-102C72041361}"/>
    <cellStyle name="Normal 13 3 2 2" xfId="1439" xr:uid="{262E8F14-5223-4E8F-A33D-DC6F7AEE79FF}"/>
    <cellStyle name="Normal 13 3 2 2 2" xfId="2891" xr:uid="{B32144F6-B4B6-4BF9-9094-E4D4DFB35807}"/>
    <cellStyle name="Normal 13 3 2 3" xfId="2166" xr:uid="{B7A2DBE1-1B8C-408D-AB26-D0E869A8784E}"/>
    <cellStyle name="Normal 13 3 3" xfId="1085" xr:uid="{A47794EB-0183-49E7-A57D-EB1CE86C94F5}"/>
    <cellStyle name="Normal 13 3 3 2" xfId="2537" xr:uid="{0E6D6F2F-2EDE-4C9D-8E4C-AC39C45D47D7}"/>
    <cellStyle name="Normal 13 3 4" xfId="1812" xr:uid="{3C72F755-0283-4408-A54C-DDD03EBB26B2}"/>
    <cellStyle name="Normal 13 4" xfId="273" xr:uid="{C77A0E0E-20D5-49DB-8DDF-0E7E6E9B986D}"/>
    <cellStyle name="Normal 13 4 2" xfId="706" xr:uid="{9A6ACABD-784F-4467-9CF2-A56412C0C2F5}"/>
    <cellStyle name="Normal 13 4 2 2" xfId="1440" xr:uid="{FFBE2A66-D911-49EA-B558-17629D580A95}"/>
    <cellStyle name="Normal 13 4 2 2 2" xfId="2892" xr:uid="{E4A1C36E-1FC7-49FC-B077-3C9911AE2580}"/>
    <cellStyle name="Normal 13 4 2 3" xfId="2167" xr:uid="{E7072E1B-EFD1-4353-9E94-135E15C61D99}"/>
    <cellStyle name="Normal 13 4 3" xfId="1086" xr:uid="{929257E1-77B5-4523-866F-44BC6DCC96E0}"/>
    <cellStyle name="Normal 13 4 3 2" xfId="2538" xr:uid="{A962E3D0-BA51-4DA1-80B2-56C9FD5B0C1C}"/>
    <cellStyle name="Normal 13 4 4" xfId="1813" xr:uid="{9C3E9628-C33B-4CEC-8C40-EE527F467894}"/>
    <cellStyle name="Normal 14" xfId="274" xr:uid="{DC9B6433-58A0-4769-B664-884BD6056932}"/>
    <cellStyle name="Normal 14 2" xfId="275" xr:uid="{6AAD0C19-25F7-4572-8E5D-A58E99F517A9}"/>
    <cellStyle name="Normal 15" xfId="276" xr:uid="{CA73BB8F-B768-47EA-AE77-0675E827E43F}"/>
    <cellStyle name="Normal 16" xfId="277" xr:uid="{2E7F937C-1654-47F2-9475-DB07B95DF84B}"/>
    <cellStyle name="Normal 17" xfId="278" xr:uid="{8AC26482-559F-4F5D-B488-4638E3E6F265}"/>
    <cellStyle name="Normal 18" xfId="279" xr:uid="{BDD3E474-3520-4F0C-A9C1-5E780F0A38C7}"/>
    <cellStyle name="Normal 19" xfId="29" xr:uid="{2660CC7D-FF03-4577-8304-996136B057C1}"/>
    <cellStyle name="Normal 2" xfId="15" xr:uid="{DD7C2F36-94B9-43E7-BED6-492E7D5AD61B}"/>
    <cellStyle name="Normal 2 10" xfId="53" xr:uid="{239A77F9-49B6-4123-B6D1-823E69EE0C3C}"/>
    <cellStyle name="Normal 2 10 2" xfId="342" xr:uid="{1B5B59A9-80A1-4E73-A4BF-D3771B1019F7}"/>
    <cellStyle name="Normal 2 10 2 2" xfId="712" xr:uid="{7B574D3F-0E56-4E9B-9CA4-624B86A78E49}"/>
    <cellStyle name="Normal 2 10 2 2 2" xfId="1446" xr:uid="{A2A4C070-9D93-4D0E-9767-2CF37CBBF74D}"/>
    <cellStyle name="Normal 2 10 2 2 2 2" xfId="2898" xr:uid="{24717DBC-C601-4403-AF68-EE4013C09769}"/>
    <cellStyle name="Normal 2 10 2 2 3" xfId="2173" xr:uid="{FD227D2D-0EFD-49E5-83FD-B99805FE7356}"/>
    <cellStyle name="Normal 2 10 2 3" xfId="1092" xr:uid="{1352B25A-FD63-476E-A71D-483F2A43A3FE}"/>
    <cellStyle name="Normal 2 10 2 3 2" xfId="2544" xr:uid="{A9C81FB7-0C74-472F-989E-18C1932BF597}"/>
    <cellStyle name="Normal 2 10 2 4" xfId="1819" xr:uid="{D3D2FBDD-7ED7-4BAC-B495-1CA26BCB6BDC}"/>
    <cellStyle name="Normal 2 10 3" xfId="536" xr:uid="{1AF00EBD-B278-49F8-9351-4A0ADD180A57}"/>
    <cellStyle name="Normal 2 10 3 2" xfId="1270" xr:uid="{607C5D97-A5F3-47ED-9759-694C023D3E6D}"/>
    <cellStyle name="Normal 2 10 3 2 2" xfId="2722" xr:uid="{E6BD8860-0344-4D77-B76E-39FA790AF338}"/>
    <cellStyle name="Normal 2 10 3 3" xfId="1997" xr:uid="{8F074F6C-4915-4D14-B31B-16119C42C0A5}"/>
    <cellStyle name="Normal 2 10 4" xfId="920" xr:uid="{343074E1-F261-46ED-B32D-3ECEAAA3FA9A}"/>
    <cellStyle name="Normal 2 10 4 2" xfId="2372" xr:uid="{DCD6EBA0-E55E-41F7-A3A1-F0668CAE1D85}"/>
    <cellStyle name="Normal 2 10 5" xfId="1647" xr:uid="{B590FA03-E709-4969-A0F5-BD69D1164AE8}"/>
    <cellStyle name="Normal 2 11" xfId="54" xr:uid="{77A178C9-7EE1-4571-98E1-B5D1DB795F91}"/>
    <cellStyle name="Normal 2 11 2" xfId="343" xr:uid="{ACE1E7C4-ED50-439F-8FF9-58CEF359EFD4}"/>
    <cellStyle name="Normal 2 11 2 2" xfId="713" xr:uid="{2873B0AD-B25D-4DAB-B9DF-3246D6A0DCF9}"/>
    <cellStyle name="Normal 2 11 2 2 2" xfId="1447" xr:uid="{0E6EC333-11F1-4B5C-8512-BA7E0420B3F8}"/>
    <cellStyle name="Normal 2 11 2 2 2 2" xfId="2899" xr:uid="{7A801C1B-16A3-46F5-9165-402080A92D2E}"/>
    <cellStyle name="Normal 2 11 2 2 3" xfId="2174" xr:uid="{68D52659-8F9C-4F0F-9662-C81D2554EA0B}"/>
    <cellStyle name="Normal 2 11 2 3" xfId="1093" xr:uid="{C2839D1C-C09C-4609-A784-A4F971EF8680}"/>
    <cellStyle name="Normal 2 11 2 3 2" xfId="2545" xr:uid="{31C762B4-2592-4AB9-A50A-BB714BAC7729}"/>
    <cellStyle name="Normal 2 11 2 4" xfId="1820" xr:uid="{31AE9E48-E81A-4774-A4A9-43A41CDD6E3F}"/>
    <cellStyle name="Normal 2 11 3" xfId="537" xr:uid="{A3230C60-3AA3-46A6-909D-4B7E7D3FB0DD}"/>
    <cellStyle name="Normal 2 11 3 2" xfId="1271" xr:uid="{90988363-286A-46D0-865B-3A6BC44DBDCE}"/>
    <cellStyle name="Normal 2 11 3 2 2" xfId="2723" xr:uid="{12C5E747-D2BB-41CE-80E4-5EF9F27723D7}"/>
    <cellStyle name="Normal 2 11 3 3" xfId="1998" xr:uid="{6B54F9A7-DB86-439E-A8E9-12111D46E690}"/>
    <cellStyle name="Normal 2 11 4" xfId="921" xr:uid="{C478D74A-443F-419C-9DCD-C6EDFFF6C1D5}"/>
    <cellStyle name="Normal 2 11 4 2" xfId="2373" xr:uid="{E091DCC5-1898-4004-96EA-B0CA7D59727B}"/>
    <cellStyle name="Normal 2 11 5" xfId="1648" xr:uid="{3FB7ABDE-A33B-491B-8196-8CA3505F0A10}"/>
    <cellStyle name="Normal 2 12" xfId="280" xr:uid="{D5999543-F06B-4554-8B08-F107D49FD709}"/>
    <cellStyle name="Normal 2 13" xfId="281" xr:uid="{677D24E6-9D3F-46D0-B1AF-CCF41A781889}"/>
    <cellStyle name="Normal 2 14" xfId="282" xr:uid="{5DEEAFE8-3B5C-4278-97D9-398B5A9D0A62}"/>
    <cellStyle name="Normal 2 15" xfId="283" xr:uid="{90B26C07-804E-44EC-8E6D-F1C7C497404E}"/>
    <cellStyle name="Normal 2 16" xfId="284" xr:uid="{12C1833D-6514-40C1-8E29-30BC0C027C9E}"/>
    <cellStyle name="Normal 2 17" xfId="285" xr:uid="{EC23BB6E-0C2B-48A9-AF51-27407BE0A5DB}"/>
    <cellStyle name="Normal 2 18" xfId="286" xr:uid="{76F6620C-18BB-4654-BF60-271921CAA4CA}"/>
    <cellStyle name="Normal 2 19" xfId="287" xr:uid="{7875663E-AB98-4308-A7E1-20CF8E0C384F}"/>
    <cellStyle name="Normal 2 2" xfId="3" xr:uid="{B0AF2D5B-1D9C-44E8-A939-BE2DAC6763C9}"/>
    <cellStyle name="Normal 2 2 10" xfId="344" xr:uid="{33E299CF-995B-45A4-A5CD-F965FD06E848}"/>
    <cellStyle name="Normal 2 2 10 2" xfId="714" xr:uid="{C14A08B5-5E11-489A-ABEF-46D84B97CE82}"/>
    <cellStyle name="Normal 2 2 10 2 2" xfId="1448" xr:uid="{C2122792-14C6-4418-B59D-3AA4EF4B3482}"/>
    <cellStyle name="Normal 2 2 10 2 2 2" xfId="2900" xr:uid="{C3B2BDFA-A65F-4645-A43F-EF7A69A2C763}"/>
    <cellStyle name="Normal 2 2 10 2 3" xfId="2175" xr:uid="{037E300A-EF28-439D-9CAE-11906B3A4885}"/>
    <cellStyle name="Normal 2 2 10 3" xfId="1094" xr:uid="{59C6EE3E-22F7-44F4-AE6A-AB22C797A74A}"/>
    <cellStyle name="Normal 2 2 10 3 2" xfId="2546" xr:uid="{AE250987-BEBD-43A6-95BB-C5C7B62B95B6}"/>
    <cellStyle name="Normal 2 2 10 4" xfId="1821" xr:uid="{F5E81355-CBB4-47EB-ABA0-F84D3EAC07E7}"/>
    <cellStyle name="Normal 2 2 2" xfId="55" xr:uid="{85096237-282F-423C-8777-A32BAC838D44}"/>
    <cellStyle name="Normal 2 2 2 2" xfId="56" xr:uid="{6B0AE321-867F-4476-869C-37DA7199F1D0}"/>
    <cellStyle name="Normal 2 2 2 2 2" xfId="345" xr:uid="{40E59545-3A7B-428A-B916-78B4AE7759ED}"/>
    <cellStyle name="Normal 2 2 2 2 2 2" xfId="715" xr:uid="{2F006159-72AD-4BF9-B0B6-FF143DD2CBDB}"/>
    <cellStyle name="Normal 2 2 2 2 2 2 2" xfId="1449" xr:uid="{9C1557B0-C774-4E92-8347-CDA02C9D92F9}"/>
    <cellStyle name="Normal 2 2 2 2 2 2 2 2" xfId="2901" xr:uid="{65DB5438-2184-4A29-8A5C-3480E32CEABC}"/>
    <cellStyle name="Normal 2 2 2 2 2 2 3" xfId="2176" xr:uid="{9BBCAD99-99C1-43CB-BE10-93B381D30ACD}"/>
    <cellStyle name="Normal 2 2 2 2 2 3" xfId="1095" xr:uid="{C073973B-2FB8-41BF-B921-94740CAD7ED5}"/>
    <cellStyle name="Normal 2 2 2 2 2 3 2" xfId="2547" xr:uid="{037F3355-7855-4743-B11E-D6AC359AEEAE}"/>
    <cellStyle name="Normal 2 2 2 2 2 4" xfId="1822" xr:uid="{08FDCF5C-4B40-4A8C-9FF4-084546DB949B}"/>
    <cellStyle name="Normal 2 2 2 2 3" xfId="539" xr:uid="{3B32C47D-B22F-4097-9BE9-8A7EA14149CF}"/>
    <cellStyle name="Normal 2 2 2 2 3 2" xfId="1273" xr:uid="{FA84C035-43D6-419A-A47E-5193A8E88699}"/>
    <cellStyle name="Normal 2 2 2 2 3 2 2" xfId="2725" xr:uid="{8B2D8696-13AB-4B15-90F5-431B99F804C6}"/>
    <cellStyle name="Normal 2 2 2 2 3 3" xfId="2000" xr:uid="{1B955B39-65DA-4D24-9415-334A06B62A2C}"/>
    <cellStyle name="Normal 2 2 2 2 4" xfId="923" xr:uid="{EF6B5647-3354-410F-8F78-97ED90805D7E}"/>
    <cellStyle name="Normal 2 2 2 2 4 2" xfId="2375" xr:uid="{43E9F391-1914-4989-94A0-FE7E56481F81}"/>
    <cellStyle name="Normal 2 2 2 2 5" xfId="1650" xr:uid="{3E032C55-154D-4BD7-9347-5B391D8383CE}"/>
    <cellStyle name="Normal 2 2 2 3" xfId="57" xr:uid="{A3829EE6-8586-444D-BAC4-2CD89EAF1F05}"/>
    <cellStyle name="Normal 2 2 2 3 2" xfId="346" xr:uid="{7435552F-340F-4B1C-891B-2A1770F80275}"/>
    <cellStyle name="Normal 2 2 2 3 2 2" xfId="716" xr:uid="{7FB5BC97-1DEF-4B99-88A4-5F91852D5672}"/>
    <cellStyle name="Normal 2 2 2 3 2 2 2" xfId="1450" xr:uid="{EF905A3A-8ECC-47C7-9336-0E31B5E0C5AF}"/>
    <cellStyle name="Normal 2 2 2 3 2 2 2 2" xfId="2902" xr:uid="{1CD21507-F6E7-4657-86C4-8EF96AC3FE24}"/>
    <cellStyle name="Normal 2 2 2 3 2 2 3" xfId="2177" xr:uid="{45711B79-A0B4-4DF4-A81C-4AE042AC13CF}"/>
    <cellStyle name="Normal 2 2 2 3 2 3" xfId="1096" xr:uid="{E0FCB29F-2F65-4090-A0C7-84E5EB2EB272}"/>
    <cellStyle name="Normal 2 2 2 3 2 3 2" xfId="2548" xr:uid="{268B80C7-949A-47E3-BA50-72142BBD5CC1}"/>
    <cellStyle name="Normal 2 2 2 3 2 4" xfId="1823" xr:uid="{6384BBDE-1BC0-4CE9-95D7-E82D502AF35B}"/>
    <cellStyle name="Normal 2 2 2 3 3" xfId="540" xr:uid="{76E3EEA7-CD8C-414A-8EF5-1BF002C1C68E}"/>
    <cellStyle name="Normal 2 2 2 3 3 2" xfId="1274" xr:uid="{9EE9FC05-B0B3-42FE-8902-A4B5009B446D}"/>
    <cellStyle name="Normal 2 2 2 3 3 2 2" xfId="2726" xr:uid="{BBDCC5E7-58F9-43B8-9C94-5358650F3CA9}"/>
    <cellStyle name="Normal 2 2 2 3 3 3" xfId="2001" xr:uid="{72EF3E54-D530-4198-996D-60C5C2413765}"/>
    <cellStyle name="Normal 2 2 2 3 4" xfId="924" xr:uid="{9FB816D2-DAD4-4434-8326-13988701E30B}"/>
    <cellStyle name="Normal 2 2 2 3 4 2" xfId="2376" xr:uid="{633C353A-6531-4697-A713-27F5323C234B}"/>
    <cellStyle name="Normal 2 2 2 3 5" xfId="1651" xr:uid="{F77F8AA1-115E-4D33-8F02-96E97F3E2C8F}"/>
    <cellStyle name="Normal 2 2 2 4" xfId="347" xr:uid="{5E0A02BD-A5A1-483C-8B65-269A2C0FA7B9}"/>
    <cellStyle name="Normal 2 2 2 4 2" xfId="717" xr:uid="{7F0C80A7-186F-40EE-8B25-D7338ADF7512}"/>
    <cellStyle name="Normal 2 2 2 4 2 2" xfId="1451" xr:uid="{01A7731C-AA33-4CF5-BC73-170D6BCCA3B0}"/>
    <cellStyle name="Normal 2 2 2 4 2 2 2" xfId="2903" xr:uid="{ED31EE85-6F13-45FF-8001-BD831C004BB6}"/>
    <cellStyle name="Normal 2 2 2 4 2 3" xfId="2178" xr:uid="{623D536F-4BC9-4C97-B1F8-12261DD82C0F}"/>
    <cellStyle name="Normal 2 2 2 4 3" xfId="1097" xr:uid="{DA384813-79C7-481E-AA13-394FDF6378CA}"/>
    <cellStyle name="Normal 2 2 2 4 3 2" xfId="2549" xr:uid="{B9F0C09F-2244-4578-86C9-1B389859A1FE}"/>
    <cellStyle name="Normal 2 2 2 4 4" xfId="1824" xr:uid="{839CC2BE-B0F0-466B-9BB3-19437F80CCCD}"/>
    <cellStyle name="Normal 2 2 2 5" xfId="538" xr:uid="{AED85A40-4045-40A9-91EC-E7727FAF1278}"/>
    <cellStyle name="Normal 2 2 2 5 2" xfId="1272" xr:uid="{5976D176-E9A0-41C6-8E16-99FD9735A9A5}"/>
    <cellStyle name="Normal 2 2 2 5 2 2" xfId="2724" xr:uid="{ED881BD1-4B54-4728-9078-9E366995B7C0}"/>
    <cellStyle name="Normal 2 2 2 5 3" xfId="1999" xr:uid="{F28B6F2A-EF11-4332-9528-B92972E58385}"/>
    <cellStyle name="Normal 2 2 2 6" xfId="922" xr:uid="{A0109925-95E8-4AE8-9DCC-06E529E12C56}"/>
    <cellStyle name="Normal 2 2 2 6 2" xfId="2374" xr:uid="{00C802CD-C25A-458C-A49D-7EE275358458}"/>
    <cellStyle name="Normal 2 2 2 7" xfId="1649" xr:uid="{EF1B883B-224D-4FCF-BB27-79E1685CB8AC}"/>
    <cellStyle name="Normal 2 2 3" xfId="58" xr:uid="{5E8EF0F2-B71E-4906-90BA-7CFAB11A976A}"/>
    <cellStyle name="Normal 2 2 3 2" xfId="59" xr:uid="{AFFE033D-DC40-49D0-B535-3FBA160AB23A}"/>
    <cellStyle name="Normal 2 2 3 2 2" xfId="348" xr:uid="{05BABC26-A92A-45C6-8153-8BF55859E706}"/>
    <cellStyle name="Normal 2 2 3 2 2 2" xfId="718" xr:uid="{BD2C44EF-3495-4162-AFCC-14364FB2064E}"/>
    <cellStyle name="Normal 2 2 3 2 2 2 2" xfId="1452" xr:uid="{7E361D2A-A664-4F65-AB7D-E0BE20256BA9}"/>
    <cellStyle name="Normal 2 2 3 2 2 2 2 2" xfId="2904" xr:uid="{9B6541EE-5F7A-455F-844C-B06CBC45C21D}"/>
    <cellStyle name="Normal 2 2 3 2 2 2 3" xfId="2179" xr:uid="{6BA9C8EE-CBC4-49BC-825E-F590F89ABDE4}"/>
    <cellStyle name="Normal 2 2 3 2 2 3" xfId="1098" xr:uid="{52D8045B-7C6B-4B0B-A937-EF7E1BB0BCF3}"/>
    <cellStyle name="Normal 2 2 3 2 2 3 2" xfId="2550" xr:uid="{9282018C-4FC4-4BF0-B563-A5A020258B0A}"/>
    <cellStyle name="Normal 2 2 3 2 2 4" xfId="1825" xr:uid="{E16BBBDB-4012-4241-BBB4-BD54C61E738B}"/>
    <cellStyle name="Normal 2 2 3 2 3" xfId="542" xr:uid="{19131606-5404-47D4-BAE1-EB5E4D57DD29}"/>
    <cellStyle name="Normal 2 2 3 2 3 2" xfId="1276" xr:uid="{AEBD6AD6-BB70-4CBC-A326-2752D1DF14B4}"/>
    <cellStyle name="Normal 2 2 3 2 3 2 2" xfId="2728" xr:uid="{0CDA067C-DC6F-464C-B9BA-1BA76131FE43}"/>
    <cellStyle name="Normal 2 2 3 2 3 3" xfId="2003" xr:uid="{C4ECA184-D4BF-4D2F-9A02-FA8E54E0FA60}"/>
    <cellStyle name="Normal 2 2 3 2 4" xfId="926" xr:uid="{FA366F30-4DC1-407D-A96D-434CACED600A}"/>
    <cellStyle name="Normal 2 2 3 2 4 2" xfId="2378" xr:uid="{A184B392-2F24-4414-AA08-0AE6794DCF11}"/>
    <cellStyle name="Normal 2 2 3 2 5" xfId="1653" xr:uid="{605036A3-4B74-4F45-920B-D2C3C40C1DE0}"/>
    <cellStyle name="Normal 2 2 3 3" xfId="349" xr:uid="{2383E652-5517-40CD-84B3-E1D14C3F2AEA}"/>
    <cellStyle name="Normal 2 2 3 3 2" xfId="719" xr:uid="{FBD8D94F-D85A-46B2-A58C-2D2474582FC1}"/>
    <cellStyle name="Normal 2 2 3 3 2 2" xfId="1453" xr:uid="{338CCA93-60D4-4537-B5EA-9FB4961CE3D8}"/>
    <cellStyle name="Normal 2 2 3 3 2 2 2" xfId="2905" xr:uid="{F8CC32C7-4063-4730-A8A0-DB5817AD8660}"/>
    <cellStyle name="Normal 2 2 3 3 2 3" xfId="2180" xr:uid="{2041B0AB-262F-4F1E-A1DD-8690198896EF}"/>
    <cellStyle name="Normal 2 2 3 3 3" xfId="1099" xr:uid="{A14C9343-1910-40B0-9207-DFF22D59369D}"/>
    <cellStyle name="Normal 2 2 3 3 3 2" xfId="2551" xr:uid="{2BD796BC-25D6-423C-9958-F3BCA0A907B1}"/>
    <cellStyle name="Normal 2 2 3 3 4" xfId="1826" xr:uid="{CA91A4A7-738A-427C-8771-C0E33DF3CF8E}"/>
    <cellStyle name="Normal 2 2 3 4" xfId="541" xr:uid="{5FF6AB00-76EC-45D9-9122-60CB447C2E81}"/>
    <cellStyle name="Normal 2 2 3 4 2" xfId="1275" xr:uid="{B99CDA09-52F4-4B3D-B0B7-94A52610E7E3}"/>
    <cellStyle name="Normal 2 2 3 4 2 2" xfId="2727" xr:uid="{476B736B-6821-4B2A-9D36-E10A3E82FF25}"/>
    <cellStyle name="Normal 2 2 3 4 3" xfId="2002" xr:uid="{BB400D89-6060-4A59-8FF8-C4AD0F073802}"/>
    <cellStyle name="Normal 2 2 3 5" xfId="925" xr:uid="{C2FB94EE-FCBD-4E04-BB68-62CFC1B9D84C}"/>
    <cellStyle name="Normal 2 2 3 5 2" xfId="2377" xr:uid="{1AC4501A-B1CD-4DE0-A44B-3657551AF851}"/>
    <cellStyle name="Normal 2 2 3 6" xfId="1652" xr:uid="{1E8DF8B7-8C74-420C-B73D-079862637DF3}"/>
    <cellStyle name="Normal 2 2 4" xfId="60" xr:uid="{1D57E8B6-035C-4330-936C-4107E13CB6B9}"/>
    <cellStyle name="Normal 2 2 4 2" xfId="61" xr:uid="{CF2C93B6-D76C-47CC-804E-B5CBDB6883BA}"/>
    <cellStyle name="Normal 2 2 4 2 2" xfId="350" xr:uid="{1046142E-8C69-4D3D-9E9F-B8314F34C848}"/>
    <cellStyle name="Normal 2 2 4 2 2 2" xfId="720" xr:uid="{7118F09C-909B-4DBA-82E6-14E759CAAEA8}"/>
    <cellStyle name="Normal 2 2 4 2 2 2 2" xfId="1454" xr:uid="{62AA6F0F-2A6D-4ED7-A067-9E4A2BEE082D}"/>
    <cellStyle name="Normal 2 2 4 2 2 2 2 2" xfId="2906" xr:uid="{79FEC40A-027B-4A73-A3B2-DA492AB297D3}"/>
    <cellStyle name="Normal 2 2 4 2 2 2 3" xfId="2181" xr:uid="{E9FDA90D-7819-424C-8795-C5FAB00CEE43}"/>
    <cellStyle name="Normal 2 2 4 2 2 3" xfId="1100" xr:uid="{D02710CE-D8C1-4528-9376-C02114D48AA1}"/>
    <cellStyle name="Normal 2 2 4 2 2 3 2" xfId="2552" xr:uid="{0FEF33EB-6724-4CC3-A78F-0DAF68D9E5D3}"/>
    <cellStyle name="Normal 2 2 4 2 2 4" xfId="1827" xr:uid="{50CB8DE9-CC2A-43A3-8993-05BAA0602CE7}"/>
    <cellStyle name="Normal 2 2 4 2 3" xfId="544" xr:uid="{C2EFDE91-DDC8-434B-B942-CC6DA20ACF1F}"/>
    <cellStyle name="Normal 2 2 4 2 3 2" xfId="1278" xr:uid="{1C1F23EB-5369-469E-A670-A24B206E20EF}"/>
    <cellStyle name="Normal 2 2 4 2 3 2 2" xfId="2730" xr:uid="{5296F22C-DA19-4A80-943F-74E64A6392AA}"/>
    <cellStyle name="Normal 2 2 4 2 3 3" xfId="2005" xr:uid="{6F6C99F8-DCFA-4EEC-8A6C-990EEDE1400C}"/>
    <cellStyle name="Normal 2 2 4 2 4" xfId="928" xr:uid="{C01B9172-85B0-42F3-A6A3-B2B64B4CCF10}"/>
    <cellStyle name="Normal 2 2 4 2 4 2" xfId="2380" xr:uid="{4F41098F-8EF4-4A0C-B25B-EBC7BA5F6F56}"/>
    <cellStyle name="Normal 2 2 4 2 5" xfId="1655" xr:uid="{BD0CED5D-C2B6-494B-A881-C437F6DC4957}"/>
    <cellStyle name="Normal 2 2 4 3" xfId="351" xr:uid="{8B277F1D-F2F2-4F46-9A93-6B650DE475B4}"/>
    <cellStyle name="Normal 2 2 4 3 2" xfId="721" xr:uid="{F67FF67E-34B9-4279-8996-1AA693B510E5}"/>
    <cellStyle name="Normal 2 2 4 3 2 2" xfId="1455" xr:uid="{247E6F1E-D10E-406A-B690-B0D9A0A4443E}"/>
    <cellStyle name="Normal 2 2 4 3 2 2 2" xfId="2907" xr:uid="{682FFA4B-34F2-471D-BC5E-C4D0B314164A}"/>
    <cellStyle name="Normal 2 2 4 3 2 3" xfId="2182" xr:uid="{6AD4F345-8BD2-4426-A9EF-88F5E97E1E65}"/>
    <cellStyle name="Normal 2 2 4 3 3" xfId="1101" xr:uid="{8CBE1BEE-B4AD-40F2-8E7A-D4DDA9A5DFB3}"/>
    <cellStyle name="Normal 2 2 4 3 3 2" xfId="2553" xr:uid="{A34000DE-6AA5-40E1-A53A-D55D05A20171}"/>
    <cellStyle name="Normal 2 2 4 3 4" xfId="1828" xr:uid="{926A4E47-0F6C-4E5B-A351-8354FC659D85}"/>
    <cellStyle name="Normal 2 2 4 4" xfId="543" xr:uid="{00900337-42B4-4549-A86A-4D406C138B7F}"/>
    <cellStyle name="Normal 2 2 4 4 2" xfId="1277" xr:uid="{C1FA4194-36CA-4C9A-81EC-346F97E907D6}"/>
    <cellStyle name="Normal 2 2 4 4 2 2" xfId="2729" xr:uid="{7B1D8A37-D1DA-4B46-8F5E-8FA0F8B752A9}"/>
    <cellStyle name="Normal 2 2 4 4 3" xfId="2004" xr:uid="{A7F70DE8-49A9-4804-9E2A-ECBA0D27033D}"/>
    <cellStyle name="Normal 2 2 4 5" xfId="927" xr:uid="{BA988289-5389-4081-A586-B7DB3D2FFB45}"/>
    <cellStyle name="Normal 2 2 4 5 2" xfId="2379" xr:uid="{B93D2281-E243-46C2-B73E-47F5F564125A}"/>
    <cellStyle name="Normal 2 2 4 6" xfId="1654" xr:uid="{FB237B14-B573-4A96-8E6D-B91BEF79EC55}"/>
    <cellStyle name="Normal 2 2 5" xfId="62" xr:uid="{7015D290-C0A3-4D7F-862C-9B1C729E3629}"/>
    <cellStyle name="Normal 2 2 5 2" xfId="63" xr:uid="{F584877C-21D0-4740-9520-AEACE199F446}"/>
    <cellStyle name="Normal 2 2 5 2 2" xfId="352" xr:uid="{7E8E39CF-BFB0-4688-8187-521D00CB33C9}"/>
    <cellStyle name="Normal 2 2 5 2 2 2" xfId="722" xr:uid="{FA09C5B3-B502-4BF2-AACD-83D203CD2C14}"/>
    <cellStyle name="Normal 2 2 5 2 2 2 2" xfId="1456" xr:uid="{B4011B06-EC4B-415C-8FD0-9FD5327343C8}"/>
    <cellStyle name="Normal 2 2 5 2 2 2 2 2" xfId="2908" xr:uid="{4D36E164-8C76-4002-B2FF-2817D27E0BE0}"/>
    <cellStyle name="Normal 2 2 5 2 2 2 3" xfId="2183" xr:uid="{E47F274A-86B5-4277-9726-A1FD9279F7B9}"/>
    <cellStyle name="Normal 2 2 5 2 2 3" xfId="1102" xr:uid="{22AE1D05-FC00-40F0-BD13-A45F5468CF75}"/>
    <cellStyle name="Normal 2 2 5 2 2 3 2" xfId="2554" xr:uid="{52696A00-1FC2-462A-9800-D43C8286FDCE}"/>
    <cellStyle name="Normal 2 2 5 2 2 4" xfId="1829" xr:uid="{6A2B9AAE-96A8-4A7C-BF95-54355B6DB678}"/>
    <cellStyle name="Normal 2 2 5 2 3" xfId="546" xr:uid="{B8B29923-0C77-40F1-B4A4-D74779FDE493}"/>
    <cellStyle name="Normal 2 2 5 2 3 2" xfId="1280" xr:uid="{A5427BC3-F09D-4B68-86BA-382A8EEE0AAC}"/>
    <cellStyle name="Normal 2 2 5 2 3 2 2" xfId="2732" xr:uid="{B4CA185E-0E0A-478F-B931-8FBFC47A89D7}"/>
    <cellStyle name="Normal 2 2 5 2 3 3" xfId="2007" xr:uid="{B7A98EF4-1E36-458A-BE36-EDF4EABA2AF3}"/>
    <cellStyle name="Normal 2 2 5 2 4" xfId="930" xr:uid="{11E018F3-1B47-4FB0-B58B-CA53F3ECC99C}"/>
    <cellStyle name="Normal 2 2 5 2 4 2" xfId="2382" xr:uid="{B76E07C9-9479-41F5-93FF-573E4C859EA4}"/>
    <cellStyle name="Normal 2 2 5 2 5" xfId="1657" xr:uid="{5324638E-804F-4B1F-A3C9-AA47A2ED65DB}"/>
    <cellStyle name="Normal 2 2 5 3" xfId="353" xr:uid="{FB2AA044-B7F9-4D47-ACCD-FAEFC95A773D}"/>
    <cellStyle name="Normal 2 2 5 3 2" xfId="723" xr:uid="{1A1460EA-8D1C-43FD-AF98-F240BCEA964A}"/>
    <cellStyle name="Normal 2 2 5 3 2 2" xfId="1457" xr:uid="{44DC8309-2D45-440A-84F3-CF89B7F36425}"/>
    <cellStyle name="Normal 2 2 5 3 2 2 2" xfId="2909" xr:uid="{28B5320D-3424-4241-8729-36A5DF62868B}"/>
    <cellStyle name="Normal 2 2 5 3 2 3" xfId="2184" xr:uid="{CFD0F42A-E7C6-4415-96D6-0A59CB22AC29}"/>
    <cellStyle name="Normal 2 2 5 3 3" xfId="1103" xr:uid="{D2F4E9DB-781C-4071-9D47-CE5B02435BD5}"/>
    <cellStyle name="Normal 2 2 5 3 3 2" xfId="2555" xr:uid="{487CD422-6FE5-4B57-959D-A9E3E293CD9C}"/>
    <cellStyle name="Normal 2 2 5 3 4" xfId="1830" xr:uid="{25F85DC0-06C6-4568-9611-204BC3CE369B}"/>
    <cellStyle name="Normal 2 2 5 4" xfId="545" xr:uid="{F19A53CB-0F51-470C-B49F-A98D9D46C1FC}"/>
    <cellStyle name="Normal 2 2 5 4 2" xfId="1279" xr:uid="{F127FF36-1FCA-42CF-BDF8-B68CAC092C5D}"/>
    <cellStyle name="Normal 2 2 5 4 2 2" xfId="2731" xr:uid="{08E9F166-5E16-498B-96FC-B64BAA5FEC2A}"/>
    <cellStyle name="Normal 2 2 5 4 3" xfId="2006" xr:uid="{01153188-32A4-47B1-AF99-4BC0CCDE7CAF}"/>
    <cellStyle name="Normal 2 2 5 5" xfId="929" xr:uid="{4205E127-7128-4FC3-9074-E39369D78529}"/>
    <cellStyle name="Normal 2 2 5 5 2" xfId="2381" xr:uid="{7D25BFFF-8324-46F8-94A5-E4C96F97C0A9}"/>
    <cellStyle name="Normal 2 2 5 6" xfId="1656" xr:uid="{7B41BEC4-803C-43B0-83AD-F240107799DC}"/>
    <cellStyle name="Normal 2 2 6" xfId="64" xr:uid="{6FF5BFFC-C9D4-4E75-81DE-53624AEFEDFE}"/>
    <cellStyle name="Normal 2 2 6 2" xfId="354" xr:uid="{D427C3BF-2047-4EAE-874C-902193EC4AC9}"/>
    <cellStyle name="Normal 2 2 6 2 2" xfId="724" xr:uid="{3B2B497B-1169-4463-AD76-A36BAD354AB4}"/>
    <cellStyle name="Normal 2 2 6 2 2 2" xfId="1458" xr:uid="{AAA12846-6DE9-41C1-93A6-1E8C63F0AB02}"/>
    <cellStyle name="Normal 2 2 6 2 2 2 2" xfId="2910" xr:uid="{77B7507A-BCF3-4EDA-B90B-9E29FEB24338}"/>
    <cellStyle name="Normal 2 2 6 2 2 3" xfId="2185" xr:uid="{1061AF8A-DC59-4DA7-99F7-4F5E47E520FF}"/>
    <cellStyle name="Normal 2 2 6 2 3" xfId="1104" xr:uid="{C4B7C9A7-BDF0-45D5-8EF7-0D1FF6EB84F0}"/>
    <cellStyle name="Normal 2 2 6 2 3 2" xfId="2556" xr:uid="{C8B1395A-85BF-44EB-84A4-DF5863681EA8}"/>
    <cellStyle name="Normal 2 2 6 2 4" xfId="1831" xr:uid="{2F571348-4855-4457-AF78-E7780960F9CF}"/>
    <cellStyle name="Normal 2 2 6 3" xfId="547" xr:uid="{F2B84843-9088-41F9-B696-DADA4BBBF21A}"/>
    <cellStyle name="Normal 2 2 6 3 2" xfId="1281" xr:uid="{5E5DFE13-01EB-43F7-9DA5-C94E4867646C}"/>
    <cellStyle name="Normal 2 2 6 3 2 2" xfId="2733" xr:uid="{5867DB62-B699-4875-BD80-925FA1CB3B26}"/>
    <cellStyle name="Normal 2 2 6 3 3" xfId="2008" xr:uid="{E05F1B72-905E-4D1E-B8E6-550C29D8FEB5}"/>
    <cellStyle name="Normal 2 2 6 4" xfId="931" xr:uid="{13A237C4-6D3A-4C47-AF3B-6C42DC0A54CE}"/>
    <cellStyle name="Normal 2 2 6 4 2" xfId="2383" xr:uid="{F80126AD-3207-4971-B6ED-AC8AAE936E13}"/>
    <cellStyle name="Normal 2 2 6 5" xfId="1658" xr:uid="{0EC6D6E0-85E0-4851-BC21-2962E3321F70}"/>
    <cellStyle name="Normal 2 2 7" xfId="65" xr:uid="{D1507728-E394-478C-85C3-1FBE32FD9322}"/>
    <cellStyle name="Normal 2 2 7 2" xfId="355" xr:uid="{55E05013-5C6C-49D3-9266-99E430014D0F}"/>
    <cellStyle name="Normal 2 2 7 2 2" xfId="725" xr:uid="{D68903D1-63CD-4675-A7F2-423ECF1FC0C7}"/>
    <cellStyle name="Normal 2 2 7 2 2 2" xfId="1459" xr:uid="{905A7E26-C590-4251-8C0C-84D210D8F907}"/>
    <cellStyle name="Normal 2 2 7 2 2 2 2" xfId="2911" xr:uid="{D8E8D7AF-893F-4B3C-A274-509E6907774B}"/>
    <cellStyle name="Normal 2 2 7 2 2 3" xfId="2186" xr:uid="{863BDB7B-01F9-46B7-9390-325A5BB28833}"/>
    <cellStyle name="Normal 2 2 7 2 3" xfId="1105" xr:uid="{C41ABEF4-4ACB-48B7-9485-1A219E8908A6}"/>
    <cellStyle name="Normal 2 2 7 2 3 2" xfId="2557" xr:uid="{D0E79807-615F-4493-96C7-8A8E6E4EDA4C}"/>
    <cellStyle name="Normal 2 2 7 2 4" xfId="1832" xr:uid="{C0A5CC7C-6F81-4742-A124-9A1076AC0AE5}"/>
    <cellStyle name="Normal 2 2 7 3" xfId="548" xr:uid="{07C8238A-B521-4A3A-9D56-67D341C56047}"/>
    <cellStyle name="Normal 2 2 7 3 2" xfId="1282" xr:uid="{AD579CB6-7DA6-4F6E-901A-9884CFDC6E97}"/>
    <cellStyle name="Normal 2 2 7 3 2 2" xfId="2734" xr:uid="{F55F99A1-4876-4D43-B360-23618B35FCB0}"/>
    <cellStyle name="Normal 2 2 7 3 3" xfId="2009" xr:uid="{14E1EA0D-B550-4020-8151-6AF8DC5528BF}"/>
    <cellStyle name="Normal 2 2 7 4" xfId="932" xr:uid="{32569D87-AE2E-4A04-B5F5-9CCF85AD886B}"/>
    <cellStyle name="Normal 2 2 7 4 2" xfId="2384" xr:uid="{B9877C4A-E80F-44EE-96A4-E10CC31EF7EB}"/>
    <cellStyle name="Normal 2 2 7 5" xfId="1659" xr:uid="{B202D07A-385F-4991-B52A-39303218C81C}"/>
    <cellStyle name="Normal 2 2 8" xfId="66" xr:uid="{16A29012-89C7-4852-A9D0-5631F56AF2B1}"/>
    <cellStyle name="Normal 2 2 8 2" xfId="356" xr:uid="{C6E0F07E-DFC7-456C-A772-06BF0FA42BA0}"/>
    <cellStyle name="Normal 2 2 8 2 2" xfId="726" xr:uid="{B2CBB7AB-E66E-44CE-952A-D1AA6A41278F}"/>
    <cellStyle name="Normal 2 2 8 2 2 2" xfId="1460" xr:uid="{FD8CBB45-80D7-47EA-90BC-A81C0F4D7DD5}"/>
    <cellStyle name="Normal 2 2 8 2 2 2 2" xfId="2912" xr:uid="{4A93B822-8B88-4A00-B5E3-2D8130E29B4B}"/>
    <cellStyle name="Normal 2 2 8 2 2 3" xfId="2187" xr:uid="{18E3ED4F-9D7D-4426-BEB2-389038C2C82C}"/>
    <cellStyle name="Normal 2 2 8 2 3" xfId="1106" xr:uid="{394BBA11-B14E-4F95-A0E0-1B671AB680D0}"/>
    <cellStyle name="Normal 2 2 8 2 3 2" xfId="2558" xr:uid="{0A657747-E141-4600-B1FB-C6383BAB527B}"/>
    <cellStyle name="Normal 2 2 8 2 4" xfId="1833" xr:uid="{855BB16B-6DFD-4B95-9B98-7DA9C1AAF869}"/>
    <cellStyle name="Normal 2 2 8 3" xfId="549" xr:uid="{619909C5-4DD2-4796-B394-8FB7E800DFA3}"/>
    <cellStyle name="Normal 2 2 8 3 2" xfId="1283" xr:uid="{9E0EF338-7A48-4DC7-A735-5F538A948604}"/>
    <cellStyle name="Normal 2 2 8 3 2 2" xfId="2735" xr:uid="{004A911B-AF59-4560-A299-11A9763B1D13}"/>
    <cellStyle name="Normal 2 2 8 3 3" xfId="2010" xr:uid="{35DFD420-29A0-47DF-909A-0E6E00943569}"/>
    <cellStyle name="Normal 2 2 8 4" xfId="933" xr:uid="{59326AE2-E08E-4038-B82F-5A47479DF943}"/>
    <cellStyle name="Normal 2 2 8 4 2" xfId="2385" xr:uid="{6F307CF8-39EE-41BD-812E-64BEC307FA59}"/>
    <cellStyle name="Normal 2 2 8 5" xfId="1660" xr:uid="{85C15457-ECFE-4CF4-B186-78C0C09C5D07}"/>
    <cellStyle name="Normal 2 2 9" xfId="357" xr:uid="{57601A12-5BB8-4DA5-8A99-5A5DAC2D85EB}"/>
    <cellStyle name="Normal 2 20" xfId="288" xr:uid="{B6096C03-E3A6-494F-8251-F6FFC97C59AB}"/>
    <cellStyle name="Normal 2 21" xfId="289" xr:uid="{1C4BB388-2A26-4828-B924-369B999B96CE}"/>
    <cellStyle name="Normal 2 22" xfId="290" xr:uid="{ABD5B5E2-95ED-4071-9990-5C62CC1DDF99}"/>
    <cellStyle name="Normal 2 23" xfId="291" xr:uid="{A96A497C-A424-41D7-8FAA-008C5A0EF641}"/>
    <cellStyle name="Normal 2 24" xfId="340" xr:uid="{9431E4AB-0C37-48D4-904E-48ED7EC5E724}"/>
    <cellStyle name="Normal 2 25" xfId="527" xr:uid="{BE0D07F2-EE9B-4C7F-AF2F-FAD9D5044CE7}"/>
    <cellStyle name="Normal 2 26" xfId="896" xr:uid="{67201067-9CB7-43DA-9D8F-3CE0B671C011}"/>
    <cellStyle name="Normal 2 26 2" xfId="1625" xr:uid="{85D28C4E-FDE7-4780-9A41-CDA44BC6AC25}"/>
    <cellStyle name="Normal 2 26 2 2" xfId="3076" xr:uid="{2116A17A-CFF4-48FF-BF6D-32EF117989CD}"/>
    <cellStyle name="Normal 2 26 3" xfId="2351" xr:uid="{73352295-51B1-4F64-9125-866B3A3384B6}"/>
    <cellStyle name="Normal 2 27" xfId="900" xr:uid="{3F29A8AA-EF0A-4E37-A5D4-5869AE3AB8FE}"/>
    <cellStyle name="Normal 2 27 2" xfId="1629" xr:uid="{5299C646-1815-4AB4-A9DE-0E442FB040A9}"/>
    <cellStyle name="Normal 2 27 2 2" xfId="3080" xr:uid="{50C59327-8DC1-4B00-AFD3-24E97B782544}"/>
    <cellStyle name="Normal 2 27 3" xfId="2355" xr:uid="{D20FADA7-54B1-44A5-8CA0-BA47B86A9DB0}"/>
    <cellStyle name="Normal 2 28" xfId="905" xr:uid="{224C4B0B-17DD-48FF-8AA9-6D9AD57AEDC2}"/>
    <cellStyle name="Normal 2 28 2" xfId="2360" xr:uid="{AB1B19E5-9EDA-4404-8BD1-92635281088E}"/>
    <cellStyle name="Normal 2 29" xfId="1635" xr:uid="{A4332813-100C-4759-BEEC-E6A1385912C2}"/>
    <cellStyle name="Normal 2 3" xfId="1" xr:uid="{B0FA50DF-1720-4E6A-A35A-2FF22447597D}"/>
    <cellStyle name="Normal 2 3 11" xfId="6" xr:uid="{AB570F27-9D92-4A54-809C-38D70D20766C}"/>
    <cellStyle name="Normal 2 3 2" xfId="14" xr:uid="{30AFD9C4-A56E-43FC-AB7E-CFD6B6A2C326}"/>
    <cellStyle name="Normal 2 3 2 2" xfId="67" xr:uid="{A624697F-97C8-4C8B-A318-E82F54E4BA01}"/>
    <cellStyle name="Normal 2 3 2 2 2" xfId="358" xr:uid="{19573902-BD9D-49BE-8063-10211A5E1F71}"/>
    <cellStyle name="Normal 2 3 2 2 2 2" xfId="727" xr:uid="{32444E18-26A9-48B9-B8AE-63AADEDFCEFB}"/>
    <cellStyle name="Normal 2 3 2 2 2 2 2" xfId="1461" xr:uid="{4886D1A4-AD87-4689-B2F0-3362F0110482}"/>
    <cellStyle name="Normal 2 3 2 2 2 2 2 2" xfId="2913" xr:uid="{1CEC3280-1DAD-4F39-9C8D-39EF7FF2EF26}"/>
    <cellStyle name="Normal 2 3 2 2 2 2 3" xfId="2188" xr:uid="{1EE6BD7A-B9D4-48CC-B02B-CDE9F94AB6CD}"/>
    <cellStyle name="Normal 2 3 2 2 2 3" xfId="1107" xr:uid="{9EE4773F-1F83-407F-8276-26EDA098F012}"/>
    <cellStyle name="Normal 2 3 2 2 2 3 2" xfId="2559" xr:uid="{2A71BA7F-9067-4DEB-8DB8-8F6EDB58DCFF}"/>
    <cellStyle name="Normal 2 3 2 2 2 4" xfId="1834" xr:uid="{BA47AA08-100C-49EF-A871-D3E97C917980}"/>
    <cellStyle name="Normal 2 3 2 2 3" xfId="550" xr:uid="{7286C8A2-3CE8-46A0-8DF9-6DC1C272FB1D}"/>
    <cellStyle name="Normal 2 3 2 2 3 2" xfId="1284" xr:uid="{B5566C49-45B4-424A-8A6A-E0F5E191F7FF}"/>
    <cellStyle name="Normal 2 3 2 2 3 2 2" xfId="2736" xr:uid="{835F89F5-26A4-4108-9338-6BF28A54C525}"/>
    <cellStyle name="Normal 2 3 2 2 3 3" xfId="2011" xr:uid="{98D2A36B-1A2F-4AF7-A547-F167A91786E2}"/>
    <cellStyle name="Normal 2 3 2 2 4" xfId="934" xr:uid="{B0CC1947-A676-4523-8565-7E8E2BD91687}"/>
    <cellStyle name="Normal 2 3 2 2 4 2" xfId="2386" xr:uid="{25A8B006-96F6-4901-9807-45A709C9519A}"/>
    <cellStyle name="Normal 2 3 2 2 5" xfId="1661" xr:uid="{B8BDB7E7-E816-47B8-A701-FB7A253F9186}"/>
    <cellStyle name="Normal 2 3 2 3" xfId="68" xr:uid="{49EAD4E5-1620-4EDE-9291-9670EB7F011A}"/>
    <cellStyle name="Normal 2 3 2 3 2" xfId="359" xr:uid="{0FBAEA67-8221-4247-9252-B01ED27252B2}"/>
    <cellStyle name="Normal 2 3 2 3 2 2" xfId="728" xr:uid="{2655D6AC-1A1D-48FA-A390-E55402F3C557}"/>
    <cellStyle name="Normal 2 3 2 3 2 2 2" xfId="1462" xr:uid="{2F3319D5-D65E-49D7-8529-3691047DBDCA}"/>
    <cellStyle name="Normal 2 3 2 3 2 2 2 2" xfId="2914" xr:uid="{8E0CF032-56BD-45A6-A5DE-27E5313FE571}"/>
    <cellStyle name="Normal 2 3 2 3 2 2 3" xfId="2189" xr:uid="{6E39A418-1003-4B23-94BC-648DC4979233}"/>
    <cellStyle name="Normal 2 3 2 3 2 3" xfId="1108" xr:uid="{6EAEFAFD-6B43-4062-9151-ABDC86B174EE}"/>
    <cellStyle name="Normal 2 3 2 3 2 3 2" xfId="2560" xr:uid="{528FD355-2CAF-4520-AF47-771F1B11DA82}"/>
    <cellStyle name="Normal 2 3 2 3 2 4" xfId="1835" xr:uid="{EDB9EF3F-9F9A-4D30-B37F-2C4437208BF3}"/>
    <cellStyle name="Normal 2 3 2 3 3" xfId="551" xr:uid="{B3417AA6-5CA6-4F9A-B201-94BA8104B53A}"/>
    <cellStyle name="Normal 2 3 2 3 3 2" xfId="1285" xr:uid="{F3C23B57-FAF8-44B7-82F3-F2A897F6C78E}"/>
    <cellStyle name="Normal 2 3 2 3 3 2 2" xfId="2737" xr:uid="{A8783A34-240E-4645-976D-A65B0205CA9E}"/>
    <cellStyle name="Normal 2 3 2 3 3 3" xfId="2012" xr:uid="{B68282C9-FB4F-4530-B6C4-B698972CFFF1}"/>
    <cellStyle name="Normal 2 3 2 3 4" xfId="935" xr:uid="{497F3DD8-6C4F-4907-A066-CB06FE478DF7}"/>
    <cellStyle name="Normal 2 3 2 3 4 2" xfId="2387" xr:uid="{61A9EFED-EFA5-43E1-BD27-7AF80C81CD20}"/>
    <cellStyle name="Normal 2 3 2 3 5" xfId="1662" xr:uid="{C0E5EC5E-6C3D-4547-A4CE-08850AA9B862}"/>
    <cellStyle name="Normal 2 3 2 4" xfId="360" xr:uid="{69E86CB9-C3E9-43CE-963F-EA71413C03E5}"/>
    <cellStyle name="Normal 2 3 2 5" xfId="35" xr:uid="{E87B3783-6DD0-4F45-A6A3-658B76EC10CA}"/>
    <cellStyle name="Normal 2 3 3" xfId="69" xr:uid="{04A69F14-4E16-4D63-A981-EC98353FFF32}"/>
    <cellStyle name="Normal 2 3 4" xfId="70" xr:uid="{D65363E9-E170-498A-B081-DF595FB64423}"/>
    <cellStyle name="Normal 2 3 4 2" xfId="361" xr:uid="{F3ACED82-04E4-4923-9612-B8920BE96602}"/>
    <cellStyle name="Normal 2 3 4 2 2" xfId="729" xr:uid="{062D84BF-B833-41FB-AE49-19E6492378FE}"/>
    <cellStyle name="Normal 2 3 4 2 2 2" xfId="1463" xr:uid="{3EFD83FA-8C85-4884-9472-E3BB6AF1E28F}"/>
    <cellStyle name="Normal 2 3 4 2 2 2 2" xfId="2915" xr:uid="{6FBF0860-044B-47A1-BC67-26528EE441C2}"/>
    <cellStyle name="Normal 2 3 4 2 2 3" xfId="2190" xr:uid="{34EF89F9-356F-45B0-9537-B41C7390526E}"/>
    <cellStyle name="Normal 2 3 4 2 3" xfId="1109" xr:uid="{7CC083E7-62CD-4400-A702-DBD2CA7516FC}"/>
    <cellStyle name="Normal 2 3 4 2 3 2" xfId="2561" xr:uid="{28522798-9290-4C5E-BCCB-E96CF7E82BFA}"/>
    <cellStyle name="Normal 2 3 4 2 4" xfId="1836" xr:uid="{CF014F66-6F62-4BA4-81E1-59EEEA9DF51C}"/>
    <cellStyle name="Normal 2 3 4 3" xfId="552" xr:uid="{8A391929-7619-4DBF-BD14-204939C2D33E}"/>
    <cellStyle name="Normal 2 3 4 3 2" xfId="1286" xr:uid="{DA01D69F-70BC-41ED-9998-F9BF9A84161B}"/>
    <cellStyle name="Normal 2 3 4 3 2 2" xfId="2738" xr:uid="{5F679670-5129-4591-BE6F-DD0E9A53037C}"/>
    <cellStyle name="Normal 2 3 4 3 3" xfId="2013" xr:uid="{53C3ACF0-682D-41BB-B6C5-00637860DB68}"/>
    <cellStyle name="Normal 2 3 4 4" xfId="936" xr:uid="{6F120312-3AE2-4068-BC34-BEDF3B313CCE}"/>
    <cellStyle name="Normal 2 3 4 4 2" xfId="2388" xr:uid="{8920D396-FE73-4AB5-ADF7-D0E6F55006DE}"/>
    <cellStyle name="Normal 2 3 4 5" xfId="1663" xr:uid="{32DCFC1C-FB78-486F-9440-79BD2C1F4A6B}"/>
    <cellStyle name="Normal 2 3 5" xfId="71" xr:uid="{B79AA705-3B5D-4E96-BE77-668CDA2D9414}"/>
    <cellStyle name="Normal 2 3 5 2" xfId="362" xr:uid="{A51064C2-5631-4839-A291-F73FD0DE5D94}"/>
    <cellStyle name="Normal 2 3 5 2 2" xfId="730" xr:uid="{C0543F70-778C-4E41-8D6E-E1E1D9EDA13E}"/>
    <cellStyle name="Normal 2 3 5 2 2 2" xfId="1464" xr:uid="{AFC8FEEB-1961-4BC3-A817-69D7D0C607AA}"/>
    <cellStyle name="Normal 2 3 5 2 2 2 2" xfId="2916" xr:uid="{022E5A41-92BA-45C5-9FC1-1648D29FF3EC}"/>
    <cellStyle name="Normal 2 3 5 2 2 3" xfId="2191" xr:uid="{DF8883AA-16F3-4292-AA44-846595C8664C}"/>
    <cellStyle name="Normal 2 3 5 2 3" xfId="1110" xr:uid="{E3BAA716-8343-4101-AFC8-AE7960D5AC02}"/>
    <cellStyle name="Normal 2 3 5 2 3 2" xfId="2562" xr:uid="{DDCA9A13-01C4-423C-AADA-80768E68C9A4}"/>
    <cellStyle name="Normal 2 3 5 2 4" xfId="1837" xr:uid="{7053171D-8EF5-4EB4-B305-21EEAFBD04A6}"/>
    <cellStyle name="Normal 2 3 5 3" xfId="553" xr:uid="{7F7259A9-4539-47BD-9556-E2519EE9D34D}"/>
    <cellStyle name="Normal 2 3 5 3 2" xfId="1287" xr:uid="{DA0AAB3D-40D8-44B8-BF93-EFAFB9B2D808}"/>
    <cellStyle name="Normal 2 3 5 3 2 2" xfId="2739" xr:uid="{36CCA168-B3DF-41F5-8BB7-57BEF2CF65F3}"/>
    <cellStyle name="Normal 2 3 5 3 3" xfId="2014" xr:uid="{E87A536A-B279-4746-8934-C1BF397B80FA}"/>
    <cellStyle name="Normal 2 3 5 4" xfId="937" xr:uid="{FCB91BF9-3C85-413B-A4D5-188E2724A42B}"/>
    <cellStyle name="Normal 2 3 5 4 2" xfId="2389" xr:uid="{0356F202-A227-483B-8123-077071DF6583}"/>
    <cellStyle name="Normal 2 3 5 5" xfId="1664" xr:uid="{B12B3FCD-E9F2-452C-912A-C50A8C8AC990}"/>
    <cellStyle name="Normal 2 3 6" xfId="363" xr:uid="{AB0E48CA-7E88-49B8-88E8-95D8C9CD8BDE}"/>
    <cellStyle name="Normal 2 3 6 2" xfId="731" xr:uid="{E1174A30-0234-4B62-9DE4-54568648A41F}"/>
    <cellStyle name="Normal 2 3 6 2 2" xfId="1465" xr:uid="{FEB8320C-6F4E-43C2-AAB9-C5D08FC20B26}"/>
    <cellStyle name="Normal 2 3 6 2 2 2" xfId="2917" xr:uid="{0F28B290-4701-4B62-A442-9B9B77DF0AFE}"/>
    <cellStyle name="Normal 2 3 6 2 3" xfId="2192" xr:uid="{C43D2905-61A1-4434-8723-8D15D8F7D070}"/>
    <cellStyle name="Normal 2 3 6 3" xfId="1111" xr:uid="{58E6FAA0-5840-400F-81ED-A26349B0A1F9}"/>
    <cellStyle name="Normal 2 3 6 3 2" xfId="2563" xr:uid="{E04391D3-2A12-4ECA-9AA1-122301B6E2EC}"/>
    <cellStyle name="Normal 2 3 6 4" xfId="1838" xr:uid="{E0A96B90-5A58-4BF2-9AAE-C01D6C72D128}"/>
    <cellStyle name="Normal 2 3 7" xfId="42" xr:uid="{593DE8DF-90FD-40A2-9025-C4A4E294B5A2}"/>
    <cellStyle name="Normal 2 3 8" xfId="34" xr:uid="{C617D7D2-AFDF-4795-B142-C766AB27BB37}"/>
    <cellStyle name="Normal 2 3 9" xfId="4" xr:uid="{A55BA81E-DC7C-44B8-A38A-B3448E974C55}"/>
    <cellStyle name="Normal 2 4" xfId="12" xr:uid="{A31278C5-2DD6-4C7B-A5BD-930C1AE3887E}"/>
    <cellStyle name="Normal 2 4 2" xfId="73" xr:uid="{013EC309-FAFB-4A8D-9706-0856C8897003}"/>
    <cellStyle name="Normal 2 4 2 2" xfId="364" xr:uid="{D5AC4E36-7F7E-4730-813A-A44AD899EC4B}"/>
    <cellStyle name="Normal 2 4 2 2 2" xfId="732" xr:uid="{53F097F0-17EA-4B10-829A-89A88D97BB47}"/>
    <cellStyle name="Normal 2 4 2 2 2 2" xfId="1466" xr:uid="{C85389FB-C70A-4E04-88E0-7D85F44EEE5D}"/>
    <cellStyle name="Normal 2 4 2 2 2 2 2" xfId="2918" xr:uid="{75B71620-59C1-4572-A91A-2BC4C9F88767}"/>
    <cellStyle name="Normal 2 4 2 2 2 3" xfId="2193" xr:uid="{153543AA-7E60-4229-B198-B5E0A17AFA83}"/>
    <cellStyle name="Normal 2 4 2 2 3" xfId="1112" xr:uid="{1B37A762-0C01-4333-90BD-62B6F5955ECC}"/>
    <cellStyle name="Normal 2 4 2 2 3 2" xfId="2564" xr:uid="{CD62F9A8-1242-4355-B63E-D2A9BDCA7D96}"/>
    <cellStyle name="Normal 2 4 2 2 4" xfId="1839" xr:uid="{28FE1F8D-7750-4BF5-A868-3F3AC074878F}"/>
    <cellStyle name="Normal 2 4 2 3" xfId="554" xr:uid="{6E12BD0F-D3C5-4DBC-B049-3B612B3ED4EE}"/>
    <cellStyle name="Normal 2 4 2 3 2" xfId="1288" xr:uid="{BD561AA0-8593-4607-90FF-7BEA157D8A5A}"/>
    <cellStyle name="Normal 2 4 2 3 2 2" xfId="2740" xr:uid="{1A869218-366B-47C1-98CA-6FF0BD8F8DF9}"/>
    <cellStyle name="Normal 2 4 2 3 3" xfId="2015" xr:uid="{28C60D25-C2CA-4B1D-9C63-0D7221621B43}"/>
    <cellStyle name="Normal 2 4 2 4" xfId="938" xr:uid="{656E175C-6956-4397-90EC-33321B3665AD}"/>
    <cellStyle name="Normal 2 4 2 4 2" xfId="2390" xr:uid="{557CD6F2-7054-4588-8A5A-7C5A0B663492}"/>
    <cellStyle name="Normal 2 4 2 5" xfId="1665" xr:uid="{D2C4FC78-41B2-47CC-9C1E-56968966548B}"/>
    <cellStyle name="Normal 2 4 3" xfId="72" xr:uid="{D59F3D9D-7345-4E9A-934E-ECD7781FA92B}"/>
    <cellStyle name="Normal 2 4 3 2" xfId="889" xr:uid="{DEE34FF0-AC31-4B1D-8EC9-D56FC332541F}"/>
    <cellStyle name="Normal 2 4 4" xfId="3082" xr:uid="{9327C635-7BC3-4915-B6FD-287DEFBC8F0B}"/>
    <cellStyle name="Normal 2 5" xfId="24" xr:uid="{CFBE5692-730D-4910-B19E-25FCFABAB3BA}"/>
    <cellStyle name="Normal 2 5 2" xfId="74" xr:uid="{8B0F67CB-82A2-4B96-8DAE-5644A0C3FEFB}"/>
    <cellStyle name="Normal 2 5 2 2" xfId="365" xr:uid="{A7E18B6C-751B-4017-B26E-EFC690436C85}"/>
    <cellStyle name="Normal 2 5 2 2 2" xfId="733" xr:uid="{A9074F5F-5FDF-4AEE-BBBC-6FEC853FD744}"/>
    <cellStyle name="Normal 2 5 2 2 2 2" xfId="1467" xr:uid="{A760817F-76E9-4E0E-B44F-3B27033A4803}"/>
    <cellStyle name="Normal 2 5 2 2 2 2 2" xfId="2919" xr:uid="{174A6744-CD19-4400-AD2F-8B46F5A21384}"/>
    <cellStyle name="Normal 2 5 2 2 2 3" xfId="2194" xr:uid="{46100AB5-25BF-4E17-B8ED-F65A99054182}"/>
    <cellStyle name="Normal 2 5 2 2 3" xfId="1113" xr:uid="{7C1C24DA-7527-4E47-8B7B-7448DEEAD55D}"/>
    <cellStyle name="Normal 2 5 2 2 3 2" xfId="2565" xr:uid="{04DDE602-38FA-487F-B218-61431425CEC6}"/>
    <cellStyle name="Normal 2 5 2 2 4" xfId="1840" xr:uid="{400E87BD-4698-4318-8F43-FC1013C17E21}"/>
    <cellStyle name="Normal 2 5 2 3" xfId="556" xr:uid="{F3375AE2-54C6-4796-80B3-D8A87333D7EB}"/>
    <cellStyle name="Normal 2 5 2 3 2" xfId="1290" xr:uid="{90564DAC-F0BC-4F44-97CE-ED61A76DDCF7}"/>
    <cellStyle name="Normal 2 5 2 3 2 2" xfId="2742" xr:uid="{F3311BB9-45D6-4496-BEEE-BD6C4B3CB1C6}"/>
    <cellStyle name="Normal 2 5 2 3 3" xfId="2017" xr:uid="{D8AC607E-A305-4B98-8EB9-B54D98CE18FA}"/>
    <cellStyle name="Normal 2 5 2 4" xfId="939" xr:uid="{6797A627-7743-4AA7-AE1C-969956802ABE}"/>
    <cellStyle name="Normal 2 5 2 4 2" xfId="2391" xr:uid="{712CCDC5-E3E2-412E-990C-BF058EA67B0C}"/>
    <cellStyle name="Normal 2 5 2 5" xfId="1666" xr:uid="{EDDB62E9-5629-4E0A-B792-AC856CF4A5E5}"/>
    <cellStyle name="Normal 2 5 3" xfId="366" xr:uid="{4DD7D490-B6E8-4152-BA9D-A80BC2DC2D79}"/>
    <cellStyle name="Normal 2 5 3 2" xfId="734" xr:uid="{CEADEFCC-C5E7-4435-A5C6-48C75735CA89}"/>
    <cellStyle name="Normal 2 5 3 2 2" xfId="1468" xr:uid="{261C8A1F-EC08-454F-B0DF-1C39D3D4C7DD}"/>
    <cellStyle name="Normal 2 5 3 2 2 2" xfId="2920" xr:uid="{F6B11246-3D13-4CA9-B636-ADAAF0DC2236}"/>
    <cellStyle name="Normal 2 5 3 2 3" xfId="2195" xr:uid="{788C0538-67CA-41A6-8EB7-EE0846AA89EB}"/>
    <cellStyle name="Normal 2 5 3 3" xfId="1114" xr:uid="{C8E2A1D6-EF67-42C0-8A3E-EBD40A341883}"/>
    <cellStyle name="Normal 2 5 3 3 2" xfId="2566" xr:uid="{56AE09F4-6305-4954-A1F1-C442DB1159D2}"/>
    <cellStyle name="Normal 2 5 3 4" xfId="1841" xr:uid="{CE476CE4-3116-46B1-96C3-71A586F3CAE1}"/>
    <cellStyle name="Normal 2 5 4" xfId="555" xr:uid="{831F6568-7DF0-4985-AEAB-265678C7FDAB}"/>
    <cellStyle name="Normal 2 5 4 2" xfId="1289" xr:uid="{BE219513-EEA7-4BB5-A877-5007B5614418}"/>
    <cellStyle name="Normal 2 5 4 2 2" xfId="2741" xr:uid="{F70F5E5F-D8B0-438F-A1C0-1FECE5365FD7}"/>
    <cellStyle name="Normal 2 5 4 3" xfId="2016" xr:uid="{A391B6CB-121A-4910-8FF9-0E0D362359D0}"/>
    <cellStyle name="Normal 2 5 5" xfId="912" xr:uid="{7D2AB68D-25B8-4366-B976-F7AE1B5BC982}"/>
    <cellStyle name="Normal 2 5 5 2" xfId="2366" xr:uid="{36CFB15F-77DB-4E62-B829-FAEB8FEC2C8F}"/>
    <cellStyle name="Normal 2 5 6" xfId="1641" xr:uid="{85B2D916-8A12-482D-96BE-8D61EDFD3DC3}"/>
    <cellStyle name="Normal 2 6" xfId="21" xr:uid="{792FDC4D-BF66-469B-9C9F-50C4D2915826}"/>
    <cellStyle name="Normal 2 6 2" xfId="76" xr:uid="{D96DD60D-3EAC-45F9-B534-8B5689EC39A9}"/>
    <cellStyle name="Normal 2 6 2 2" xfId="367" xr:uid="{5E8C85C1-C836-4157-9807-5847F4602714}"/>
    <cellStyle name="Normal 2 6 2 2 2" xfId="735" xr:uid="{57FFDD50-5236-43E0-8916-3D56181CDDB3}"/>
    <cellStyle name="Normal 2 6 2 2 2 2" xfId="1469" xr:uid="{0B2660A1-45F6-44EC-A81F-78982082E639}"/>
    <cellStyle name="Normal 2 6 2 2 2 2 2" xfId="2921" xr:uid="{4DFD13D6-72EB-41AF-B135-1D7CDC61B723}"/>
    <cellStyle name="Normal 2 6 2 2 2 3" xfId="2196" xr:uid="{605E6913-11DA-45FF-A3AF-7BED8F5FCEA0}"/>
    <cellStyle name="Normal 2 6 2 2 3" xfId="1115" xr:uid="{2CEF8FAC-E204-4009-B801-3E70FACFA1F8}"/>
    <cellStyle name="Normal 2 6 2 2 3 2" xfId="2567" xr:uid="{602235E2-0516-4798-A165-171DEC8E9771}"/>
    <cellStyle name="Normal 2 6 2 2 4" xfId="1842" xr:uid="{6E3B1A81-3014-4904-9906-F149EBC51864}"/>
    <cellStyle name="Normal 2 6 2 3" xfId="558" xr:uid="{570BE363-63F3-411E-80EE-C73428D19613}"/>
    <cellStyle name="Normal 2 6 2 3 2" xfId="1292" xr:uid="{8C2E56AD-3AA4-4FD9-9CFF-2150ECA4B88D}"/>
    <cellStyle name="Normal 2 6 2 3 2 2" xfId="2744" xr:uid="{F7D05F1D-2F05-441A-92E3-1A82BDBCFB1F}"/>
    <cellStyle name="Normal 2 6 2 3 3" xfId="2019" xr:uid="{B9E2F6C4-2F45-48E8-9FAE-75A6536CD01B}"/>
    <cellStyle name="Normal 2 6 2 4" xfId="941" xr:uid="{7418A43C-981F-41F2-80C9-F13CEC452EFF}"/>
    <cellStyle name="Normal 2 6 2 4 2" xfId="2393" xr:uid="{5F27214E-1919-43DD-AAEA-2C05C76274AE}"/>
    <cellStyle name="Normal 2 6 2 5" xfId="1668" xr:uid="{6D95B795-1CCE-4F72-A1A2-50D45FA6D94C}"/>
    <cellStyle name="Normal 2 6 3" xfId="368" xr:uid="{94478E6D-1F86-48F8-BB61-15009CC23AC1}"/>
    <cellStyle name="Normal 2 6 3 2" xfId="736" xr:uid="{F48A0CC3-E821-4F2E-A1FD-EDA5E1DC81B7}"/>
    <cellStyle name="Normal 2 6 3 2 2" xfId="1470" xr:uid="{13E4E6AE-0218-4C55-91EA-C97D91CADA2E}"/>
    <cellStyle name="Normal 2 6 3 2 2 2" xfId="2922" xr:uid="{32350284-9990-4A40-99B5-D606D4D73F6D}"/>
    <cellStyle name="Normal 2 6 3 2 3" xfId="2197" xr:uid="{CE3920B7-1885-41DE-8EF5-4AB5580D7C7D}"/>
    <cellStyle name="Normal 2 6 3 3" xfId="1116" xr:uid="{216B0BE1-6312-4039-8F57-8126807D68A9}"/>
    <cellStyle name="Normal 2 6 3 3 2" xfId="2568" xr:uid="{13DE83BB-1E6B-49DF-80D8-19D6117F349D}"/>
    <cellStyle name="Normal 2 6 3 4" xfId="1843" xr:uid="{9144C977-CBDD-4FD4-A2F8-9E42533E482C}"/>
    <cellStyle name="Normal 2 6 4" xfId="75" xr:uid="{90AE1F39-1B9A-46C7-86ED-BAE4D8BA50FC}"/>
    <cellStyle name="Normal 2 6 4 2" xfId="940" xr:uid="{52075ECB-E510-40C0-9860-86C5AFFB7E66}"/>
    <cellStyle name="Normal 2 6 4 2 2" xfId="2392" xr:uid="{7741ABB1-8985-4D33-8026-AE385BF51585}"/>
    <cellStyle name="Normal 2 6 4 3" xfId="1667" xr:uid="{17733E39-9829-4912-B128-EF9F33E29511}"/>
    <cellStyle name="Normal 2 6 5" xfId="557" xr:uid="{8B111F28-2710-440D-97CD-3D8EAB04D547}"/>
    <cellStyle name="Normal 2 6 5 2" xfId="1291" xr:uid="{21E9C003-296E-4429-BC61-559C80737F05}"/>
    <cellStyle name="Normal 2 6 5 2 2" xfId="2743" xr:uid="{17CB197A-D07B-444D-8431-4AEED230F4E7}"/>
    <cellStyle name="Normal 2 6 5 3" xfId="2018" xr:uid="{AF4ED331-EF1B-4AEE-B887-0EB2D456BE99}"/>
    <cellStyle name="Normal 2 6 6" xfId="910" xr:uid="{128032F6-E717-4273-90CA-5D281F5EE430}"/>
    <cellStyle name="Normal 2 7" xfId="77" xr:uid="{89153F84-0E1C-4D76-9A01-BD087538B4F5}"/>
    <cellStyle name="Normal 2 7 2" xfId="78" xr:uid="{9E595584-296F-477D-88FC-9AE674BEBF52}"/>
    <cellStyle name="Normal 2 7 2 2" xfId="369" xr:uid="{0D7820D8-2445-41B9-8342-E7371DFB8228}"/>
    <cellStyle name="Normal 2 7 2 2 2" xfId="737" xr:uid="{25AAE361-BEF8-436C-BF7C-1EE3623569A8}"/>
    <cellStyle name="Normal 2 7 2 2 2 2" xfId="1471" xr:uid="{475DEE9C-0652-40A7-84E0-6714F223F5A1}"/>
    <cellStyle name="Normal 2 7 2 2 2 2 2" xfId="2923" xr:uid="{8BA35A18-D28A-4607-805B-581F4E15154E}"/>
    <cellStyle name="Normal 2 7 2 2 2 3" xfId="2198" xr:uid="{F807CE41-401C-4ED6-B141-FBE35E9263F6}"/>
    <cellStyle name="Normal 2 7 2 2 3" xfId="1117" xr:uid="{94751801-5C67-4E27-8873-58933832C146}"/>
    <cellStyle name="Normal 2 7 2 2 3 2" xfId="2569" xr:uid="{97BE46D7-FF60-4696-84E0-7618E39FFF65}"/>
    <cellStyle name="Normal 2 7 2 2 4" xfId="1844" xr:uid="{65835F03-C39C-4F96-B706-41E657998172}"/>
    <cellStyle name="Normal 2 7 2 3" xfId="560" xr:uid="{32F0632C-C03A-4056-BA36-A9A60F519352}"/>
    <cellStyle name="Normal 2 7 2 3 2" xfId="1294" xr:uid="{7C6EF8B4-DDCB-4E23-B625-ACA950330425}"/>
    <cellStyle name="Normal 2 7 2 3 2 2" xfId="2746" xr:uid="{36126707-8CC2-4171-84F0-1DDC2C6A7936}"/>
    <cellStyle name="Normal 2 7 2 3 3" xfId="2021" xr:uid="{C2FE096A-6842-4752-8BD3-D4C7A4959390}"/>
    <cellStyle name="Normal 2 7 2 4" xfId="943" xr:uid="{1B9CA716-EFEA-4788-88A8-CD946609978F}"/>
    <cellStyle name="Normal 2 7 2 4 2" xfId="2395" xr:uid="{807E54E1-85F4-4243-A927-42A16DDFDA85}"/>
    <cellStyle name="Normal 2 7 2 5" xfId="1670" xr:uid="{94A99482-5922-4F2F-B881-D343CA645A1F}"/>
    <cellStyle name="Normal 2 7 3" xfId="370" xr:uid="{150069DA-8250-46B9-8785-0EC59CFCC171}"/>
    <cellStyle name="Normal 2 7 3 2" xfId="738" xr:uid="{E68292BF-95FC-4FB4-97F7-9686A3E1FD1F}"/>
    <cellStyle name="Normal 2 7 3 2 2" xfId="1472" xr:uid="{E1806203-61D0-44A6-9E16-0C380146053F}"/>
    <cellStyle name="Normal 2 7 3 2 2 2" xfId="2924" xr:uid="{2709DF7E-802C-49A3-9C4D-830CCDD84FB6}"/>
    <cellStyle name="Normal 2 7 3 2 3" xfId="2199" xr:uid="{F4DA013B-EA83-43CE-880E-6FDF2535F217}"/>
    <cellStyle name="Normal 2 7 3 3" xfId="1118" xr:uid="{407C1AEB-9FC0-43DC-ABEF-530CCB6EE54B}"/>
    <cellStyle name="Normal 2 7 3 3 2" xfId="2570" xr:uid="{E2B26817-2C5B-4C98-902B-A33DDC5B517D}"/>
    <cellStyle name="Normal 2 7 3 4" xfId="1845" xr:uid="{89D155CF-AAFF-4E6E-8D4B-A2487F52EC65}"/>
    <cellStyle name="Normal 2 7 4" xfId="559" xr:uid="{B7892ACA-4398-4D3D-9C80-163E203C673E}"/>
    <cellStyle name="Normal 2 7 4 2" xfId="1293" xr:uid="{5062DB71-9851-459C-A342-45A66C4FD06C}"/>
    <cellStyle name="Normal 2 7 4 2 2" xfId="2745" xr:uid="{A26B6F48-633A-4278-B455-74E500BC962B}"/>
    <cellStyle name="Normal 2 7 4 3" xfId="2020" xr:uid="{77C3E6FD-88D9-479D-A64B-73FA7F0F7F2B}"/>
    <cellStyle name="Normal 2 7 5" xfId="942" xr:uid="{9BB9B91C-8D51-4CD7-B133-3F692A6E961B}"/>
    <cellStyle name="Normal 2 7 5 2" xfId="2394" xr:uid="{D893D163-8895-46B0-9C91-6B5C867BE22D}"/>
    <cellStyle name="Normal 2 7 6" xfId="1669" xr:uid="{171DFE35-3C9F-4BD0-824F-0E6A8F9EE3CF}"/>
    <cellStyle name="Normal 2 8" xfId="79" xr:uid="{9393D760-AB06-48D6-A8A6-B74B20B261DA}"/>
    <cellStyle name="Normal 2 8 2" xfId="80" xr:uid="{97C05317-4641-4BA9-A0D7-B12ACF91C011}"/>
    <cellStyle name="Normal 2 8 2 2" xfId="371" xr:uid="{33EDE2B5-42F6-4CB9-B900-22464F7A7FDB}"/>
    <cellStyle name="Normal 2 8 2 2 2" xfId="739" xr:uid="{94EB7699-6953-419C-B538-76848E9A15A8}"/>
    <cellStyle name="Normal 2 8 2 2 2 2" xfId="1473" xr:uid="{3CE20C52-2038-42B9-A041-AFC328548290}"/>
    <cellStyle name="Normal 2 8 2 2 2 2 2" xfId="2925" xr:uid="{DEF79A03-4A80-4C96-BD98-D6C1E64DBB91}"/>
    <cellStyle name="Normal 2 8 2 2 2 3" xfId="2200" xr:uid="{9CCABDF0-E637-4DDF-AC68-C63D73410203}"/>
    <cellStyle name="Normal 2 8 2 2 3" xfId="1119" xr:uid="{578FC0CA-7E9E-41D2-8716-6E12A22F504F}"/>
    <cellStyle name="Normal 2 8 2 2 3 2" xfId="2571" xr:uid="{C0E1C73E-4588-4F03-B712-0EE2D1D33DE2}"/>
    <cellStyle name="Normal 2 8 2 2 4" xfId="1846" xr:uid="{8BF963EB-F305-410B-A5FA-34AD76E3E408}"/>
    <cellStyle name="Normal 2 8 2 3" xfId="562" xr:uid="{97ADF28F-30ED-4AAD-89BA-72E12ED229E1}"/>
    <cellStyle name="Normal 2 8 2 3 2" xfId="1296" xr:uid="{553E689D-61D3-4728-8AA0-484CDF1091F5}"/>
    <cellStyle name="Normal 2 8 2 3 2 2" xfId="2748" xr:uid="{9AA11BB3-B88F-4FA6-8779-A9FEEFCB740F}"/>
    <cellStyle name="Normal 2 8 2 3 3" xfId="2023" xr:uid="{EB71CF63-5663-4964-9187-BC0CBAD5ED12}"/>
    <cellStyle name="Normal 2 8 2 4" xfId="945" xr:uid="{E2A28622-F099-4D02-8855-3CEA754E3E4D}"/>
    <cellStyle name="Normal 2 8 2 4 2" xfId="2397" xr:uid="{E37C62BE-22DA-464B-A4E6-1455583B1878}"/>
    <cellStyle name="Normal 2 8 2 5" xfId="1672" xr:uid="{972129ED-031F-49F9-8E5C-EF89DAD3A0A6}"/>
    <cellStyle name="Normal 2 8 3" xfId="372" xr:uid="{A9FD55CB-AD3C-4A97-B800-E5FAD630C92D}"/>
    <cellStyle name="Normal 2 8 3 2" xfId="740" xr:uid="{54EB1F6C-2AA5-4626-B6DD-F76597D6805F}"/>
    <cellStyle name="Normal 2 8 3 2 2" xfId="1474" xr:uid="{58A420A3-C7DE-4F40-A5A4-D53EC751B9CA}"/>
    <cellStyle name="Normal 2 8 3 2 2 2" xfId="2926" xr:uid="{C6CE24BB-E0AF-48C5-9713-09ADCC33EB84}"/>
    <cellStyle name="Normal 2 8 3 2 3" xfId="2201" xr:uid="{69CA4E73-B649-46A2-9826-E4755AA352AF}"/>
    <cellStyle name="Normal 2 8 3 3" xfId="1120" xr:uid="{02FA6195-6D7E-4D80-9A0A-97ACF4F495E6}"/>
    <cellStyle name="Normal 2 8 3 3 2" xfId="2572" xr:uid="{C1E4BA81-0812-4534-968B-88014E47B115}"/>
    <cellStyle name="Normal 2 8 3 4" xfId="1847" xr:uid="{D6EF2CF0-015B-48BF-A154-72749CF1FD14}"/>
    <cellStyle name="Normal 2 8 4" xfId="561" xr:uid="{EC915963-F618-4CC6-B646-F645267A631F}"/>
    <cellStyle name="Normal 2 8 4 2" xfId="1295" xr:uid="{D3ECD3B1-4870-4317-A96C-F83046E87B70}"/>
    <cellStyle name="Normal 2 8 4 2 2" xfId="2747" xr:uid="{740F712B-5BFE-4357-990E-16B5BF2AA7CF}"/>
    <cellStyle name="Normal 2 8 4 3" xfId="2022" xr:uid="{B6655377-A2C0-4CF9-BD4A-84A135847BE5}"/>
    <cellStyle name="Normal 2 8 5" xfId="944" xr:uid="{D4F2365E-094C-4865-93BC-C959A2727BCE}"/>
    <cellStyle name="Normal 2 8 5 2" xfId="2396" xr:uid="{6E685894-0ADC-4A81-9C97-3882470FDC6E}"/>
    <cellStyle name="Normal 2 8 6" xfId="1671" xr:uid="{8CC7E103-108F-4F37-B078-6D266A8014CD}"/>
    <cellStyle name="Normal 2 9" xfId="81" xr:uid="{C189CB4B-4D6A-4C38-85C3-84FCBEE5EFC3}"/>
    <cellStyle name="Normal 2 9 2" xfId="373" xr:uid="{78CE7A10-F64E-4CB7-9258-A944F1B576E6}"/>
    <cellStyle name="Normal 2 9 2 2" xfId="741" xr:uid="{CA721DD5-85A8-4D2B-8157-8BE7AD0781B2}"/>
    <cellStyle name="Normal 2 9 2 2 2" xfId="1475" xr:uid="{93C74A92-89AD-49EB-B9AD-1467CA2BD4A8}"/>
    <cellStyle name="Normal 2 9 2 2 2 2" xfId="2927" xr:uid="{D7A032AF-E5A8-4E94-9873-FD0B6FAF7422}"/>
    <cellStyle name="Normal 2 9 2 2 3" xfId="2202" xr:uid="{171F26A6-0C08-4D42-B3E4-2D17BC9902FF}"/>
    <cellStyle name="Normal 2 9 2 3" xfId="1121" xr:uid="{8CD1EA42-F866-4BA3-8137-52593EFAFED7}"/>
    <cellStyle name="Normal 2 9 2 3 2" xfId="2573" xr:uid="{0C5C6159-52AA-48AE-9E81-051597CF0723}"/>
    <cellStyle name="Normal 2 9 2 4" xfId="1848" xr:uid="{87D6E232-0C3D-4522-82CA-A63A6A39AC49}"/>
    <cellStyle name="Normal 2 9 3" xfId="563" xr:uid="{2AB47BC8-E941-497E-A554-ED80F456AE15}"/>
    <cellStyle name="Normal 2 9 3 2" xfId="1297" xr:uid="{3DA4B5AF-4E1C-4996-929E-EB77A7A0A409}"/>
    <cellStyle name="Normal 2 9 3 2 2" xfId="2749" xr:uid="{2DA9B870-24BF-46A2-B959-9EA00A21DA81}"/>
    <cellStyle name="Normal 2 9 3 3" xfId="2024" xr:uid="{1762231B-26F7-4BF8-AE3D-D2E2648DB126}"/>
    <cellStyle name="Normal 2 9 4" xfId="946" xr:uid="{4623808C-721F-4786-B433-2D2B11BAC7EA}"/>
    <cellStyle name="Normal 2 9 4 2" xfId="2398" xr:uid="{E9C1894A-CB05-4493-9AEF-9E90D8D03F8E}"/>
    <cellStyle name="Normal 2 9 5" xfId="1673" xr:uid="{909CF230-57A8-4DC7-8E3A-899C3707AE8E}"/>
    <cellStyle name="Normal 20" xfId="36" xr:uid="{F4A04430-574D-4905-B011-36AFA0C1AF02}"/>
    <cellStyle name="Normal 20 2" xfId="893" xr:uid="{E6DF3297-E735-42F2-9888-F7485755DFD2}"/>
    <cellStyle name="Normal 20 3" xfId="916" xr:uid="{61E6A5A4-6DCF-4409-AA9D-90E9C5B08A77}"/>
    <cellStyle name="Normal 20 3 2" xfId="2369" xr:uid="{967AE0C7-47FB-4F50-A15D-6BDE3620151B}"/>
    <cellStyle name="Normal 20 4" xfId="1644" xr:uid="{78E7CEE6-D5FB-42A0-BCF2-9C0DC5B441B1}"/>
    <cellStyle name="Normal 21" xfId="32" xr:uid="{4769151E-9CB9-4366-BD60-84607A4EFB6C}"/>
    <cellStyle name="Normal 21 2" xfId="892" xr:uid="{ACE402AF-AF0E-4CB6-9D3E-DAB6927A0E40}"/>
    <cellStyle name="Normal 21 3" xfId="915" xr:uid="{759EFBBA-868A-4FC8-AF74-1B992ADA619A}"/>
    <cellStyle name="Normal 22" xfId="532" xr:uid="{FC224862-17F3-4F84-8CE8-0B2D56B9CCAC}"/>
    <cellStyle name="Normal 22 2" xfId="1267" xr:uid="{71239DBA-1871-4A69-A7D2-FD3DA2C5500C}"/>
    <cellStyle name="Normal 22 2 2" xfId="2719" xr:uid="{DF22D4FC-3D04-4178-AFA8-E3A88F9760D5}"/>
    <cellStyle name="Normal 22 3" xfId="1994" xr:uid="{A38BA016-5957-48F8-934A-4D43B8706400}"/>
    <cellStyle name="Normal 23" xfId="2" xr:uid="{B1A06DF9-76CE-416D-9BCE-0932990A2431}"/>
    <cellStyle name="Normal 3" xfId="17" xr:uid="{49BD3CF2-8055-4FA0-9D17-23A8EC3163FB}"/>
    <cellStyle name="Normal 3 10" xfId="292" xr:uid="{3AE115D3-DF71-4F1A-AFD0-2DDDB54F2ED5}"/>
    <cellStyle name="Normal 3 11" xfId="293" xr:uid="{84EEC56A-7084-456A-9A78-CB0A215ED264}"/>
    <cellStyle name="Normal 3 12" xfId="294" xr:uid="{96F7EF1C-D634-4BBC-A255-A64BC0B4B378}"/>
    <cellStyle name="Normal 3 13" xfId="295" xr:uid="{F4AE7776-233D-4EBE-93C3-C3B3B936CD67}"/>
    <cellStyle name="Normal 3 14" xfId="37" xr:uid="{1DE1695E-BB4D-462B-9905-7586B6FE2574}"/>
    <cellStyle name="Normal 3 15" xfId="906" xr:uid="{D43E54DD-40E3-411C-8F8C-FF82BB7B888B}"/>
    <cellStyle name="Normal 3 15 2" xfId="2361" xr:uid="{F98EC061-C7B8-4F5F-A1A5-A457C6BD3702}"/>
    <cellStyle name="Normal 3 16" xfId="1636" xr:uid="{F783B292-EC80-4A89-ACCD-DD5959B7AF9C}"/>
    <cellStyle name="Normal 3 2" xfId="11" xr:uid="{18CD1FEB-A2FD-4E60-B0A3-ABFA58E0E870}"/>
    <cellStyle name="Normal 3 2 2" xfId="51" xr:uid="{4971D298-AE0B-4B85-831A-33DAE4B69A36}"/>
    <cellStyle name="Normal 3 2 2 2" xfId="82" xr:uid="{934B74CF-A24E-406F-BDCF-94A9E857B960}"/>
    <cellStyle name="Normal 3 2 2 3" xfId="374" xr:uid="{0548B974-F257-4F9F-BCD9-2FF667311C23}"/>
    <cellStyle name="Normal 3 2 2 3 2" xfId="742" xr:uid="{652EDC22-BA34-42DC-908E-7BDB9A0CE485}"/>
    <cellStyle name="Normal 3 2 2 3 2 2" xfId="1476" xr:uid="{515F5E6E-61C8-493E-9DC4-737C76641564}"/>
    <cellStyle name="Normal 3 2 2 3 2 2 2" xfId="2928" xr:uid="{083C70AF-72B7-43BF-B4EE-C22DD7CE22A4}"/>
    <cellStyle name="Normal 3 2 2 3 2 3" xfId="2203" xr:uid="{5F8BD38F-BD50-4A0A-9E80-1CD6C5E06C47}"/>
    <cellStyle name="Normal 3 2 2 3 3" xfId="1122" xr:uid="{934264AF-E7B3-4FEF-90C2-D334D86A5F25}"/>
    <cellStyle name="Normal 3 2 2 3 3 2" xfId="2574" xr:uid="{46FCCF92-C063-41ED-8F03-1B40500E2F29}"/>
    <cellStyle name="Normal 3 2 2 3 4" xfId="1849" xr:uid="{88E90E2D-96B6-43EE-92C3-0483813D2581}"/>
    <cellStyle name="Normal 3 2 3" xfId="83" xr:uid="{7300C5B1-9282-4762-84A8-E3FAFFBBA35B}"/>
    <cellStyle name="Normal 3 2 3 2" xfId="375" xr:uid="{67951CE8-348A-4368-90AE-439F1FF3C4E4}"/>
    <cellStyle name="Normal 3 2 4" xfId="84" xr:uid="{84ED8CBF-DF19-40A3-A94E-7BE8A927E02B}"/>
    <cellStyle name="Normal 3 2 5" xfId="376" xr:uid="{B33EE835-8487-440C-8917-EA29D97F19EB}"/>
    <cellStyle name="Normal 3 2 6" xfId="377" xr:uid="{E716A2A2-B4AA-4A9E-A09D-9CAEEC0BD7E3}"/>
    <cellStyle name="Normal 3 2 6 2" xfId="743" xr:uid="{AFE63A65-12C4-45B5-930A-4AF3AC51127F}"/>
    <cellStyle name="Normal 3 2 6 2 2" xfId="1477" xr:uid="{7597E84B-E2A1-4850-96BC-22BC33CCBF99}"/>
    <cellStyle name="Normal 3 2 6 2 2 2" xfId="2929" xr:uid="{FFB1CA4E-1CD8-4FD9-BE09-90E89CD712E2}"/>
    <cellStyle name="Normal 3 2 6 2 3" xfId="2204" xr:uid="{59835F14-C261-4D38-9109-20472523D45B}"/>
    <cellStyle name="Normal 3 2 6 3" xfId="1123" xr:uid="{31E4BC5E-95D1-43FA-A59E-E321B977711E}"/>
    <cellStyle name="Normal 3 2 6 3 2" xfId="2575" xr:uid="{4283FADC-2E56-4516-9FE5-132BF041F17E}"/>
    <cellStyle name="Normal 3 2 6 4" xfId="1850" xr:uid="{45633D0A-38CC-4D93-8CD4-011FAF89AE69}"/>
    <cellStyle name="Normal 3 3" xfId="85" xr:uid="{80301518-3748-489D-B927-259359C88D72}"/>
    <cellStyle name="Normal 3 3 2" xfId="86" xr:uid="{F4C40C72-753B-4082-AB4C-5657719C4CC4}"/>
    <cellStyle name="Normal 3 3 2 2" xfId="378" xr:uid="{7ECB9B54-BFD6-438A-83DB-22BA87193B6C}"/>
    <cellStyle name="Normal 3 3 2 2 2" xfId="744" xr:uid="{22C7B855-AEB8-4068-A4BF-401D991239EF}"/>
    <cellStyle name="Normal 3 3 2 2 2 2" xfId="1478" xr:uid="{A5B7533F-EAA9-472B-A09F-220132691EE9}"/>
    <cellStyle name="Normal 3 3 2 2 2 2 2" xfId="2930" xr:uid="{204C03EF-D069-42CB-A92F-CCD47D347EC2}"/>
    <cellStyle name="Normal 3 3 2 2 2 3" xfId="2205" xr:uid="{757EC313-A79C-4695-A85B-7A94877AD6CF}"/>
    <cellStyle name="Normal 3 3 2 2 3" xfId="1124" xr:uid="{1FED82DD-AE63-4FEF-99A2-D7B616D62B8C}"/>
    <cellStyle name="Normal 3 3 2 2 3 2" xfId="2576" xr:uid="{B780357C-89ED-4B49-ACE3-5081753CDC72}"/>
    <cellStyle name="Normal 3 3 2 2 4" xfId="1851" xr:uid="{562EE16A-4D60-40BA-8DF1-0A8870B48E59}"/>
    <cellStyle name="Normal 3 3 2 3" xfId="565" xr:uid="{9F18F3D6-B558-4B57-AE79-C46BC48CBF6E}"/>
    <cellStyle name="Normal 3 3 2 3 2" xfId="1299" xr:uid="{017DF8CF-6E17-448B-AE28-709C5FE4CB9D}"/>
    <cellStyle name="Normal 3 3 2 3 2 2" xfId="2751" xr:uid="{912CA8EB-097D-4114-AD3A-D1B02ECBE8D7}"/>
    <cellStyle name="Normal 3 3 2 3 3" xfId="2026" xr:uid="{4C8ED5E2-CEA0-46F9-81BC-9E4E19C686F7}"/>
    <cellStyle name="Normal 3 3 2 4" xfId="948" xr:uid="{CBE5E426-4D0F-4D3B-A796-980B69C356FD}"/>
    <cellStyle name="Normal 3 3 2 4 2" xfId="2400" xr:uid="{2CE40386-A160-4284-9170-9A5E6012A6A1}"/>
    <cellStyle name="Normal 3 3 2 5" xfId="1675" xr:uid="{DFE496A9-0266-42CD-A706-AE76C39D2F8E}"/>
    <cellStyle name="Normal 3 3 3" xfId="87" xr:uid="{526D3E3A-7DF9-4D99-B536-97312EFB094E}"/>
    <cellStyle name="Normal 3 3 3 2" xfId="379" xr:uid="{C5BB40B2-9931-4822-B0E8-759A8012BF9E}"/>
    <cellStyle name="Normal 3 3 3 2 2" xfId="745" xr:uid="{3A0D9C75-375E-4AE9-9A63-4E7510F121C2}"/>
    <cellStyle name="Normal 3 3 3 2 2 2" xfId="1479" xr:uid="{DD38752D-BEC4-428C-9C8A-DB2EBB2C17F3}"/>
    <cellStyle name="Normal 3 3 3 2 2 2 2" xfId="2931" xr:uid="{1690D564-02DE-48AC-ACC4-97F979A6DB25}"/>
    <cellStyle name="Normal 3 3 3 2 2 3" xfId="2206" xr:uid="{D9D60B24-B88E-4A57-A7C3-4494D71E3242}"/>
    <cellStyle name="Normal 3 3 3 2 3" xfId="1125" xr:uid="{070F9BDD-ABFA-4B2E-B70F-8D9D5DD38544}"/>
    <cellStyle name="Normal 3 3 3 2 3 2" xfId="2577" xr:uid="{33A7626E-D08E-4FC5-A168-B83FBE85BD7C}"/>
    <cellStyle name="Normal 3 3 3 2 4" xfId="1852" xr:uid="{36B2597B-C559-40C8-B6E3-5A99BF9DE13F}"/>
    <cellStyle name="Normal 3 3 3 3" xfId="566" xr:uid="{79C66AC0-27E6-496E-A5B1-F23700AFAA36}"/>
    <cellStyle name="Normal 3 3 3 3 2" xfId="1300" xr:uid="{E31BFAC3-59F3-48A6-B318-80D7EBFBAC56}"/>
    <cellStyle name="Normal 3 3 3 3 2 2" xfId="2752" xr:uid="{6D98C798-D62D-4021-9F3C-52349C44CB0A}"/>
    <cellStyle name="Normal 3 3 3 3 3" xfId="2027" xr:uid="{117ED2EF-96D2-4F16-BD20-490600BD2CFA}"/>
    <cellStyle name="Normal 3 3 3 4" xfId="949" xr:uid="{4A2551D4-F173-45E0-A8EC-D261B147D442}"/>
    <cellStyle name="Normal 3 3 3 4 2" xfId="2401" xr:uid="{F833E7FF-BBE8-417F-81F2-5A47CD8119DE}"/>
    <cellStyle name="Normal 3 3 3 5" xfId="1676" xr:uid="{E96ABFB6-D8CF-428D-B73F-42CD3663A001}"/>
    <cellStyle name="Normal 3 3 4" xfId="380" xr:uid="{0632605B-9212-4ADA-A278-5F817C8965B8}"/>
    <cellStyle name="Normal 3 3 4 2" xfId="746" xr:uid="{E19DD3E8-4E05-40D7-90C3-EEAA79768752}"/>
    <cellStyle name="Normal 3 3 4 2 2" xfId="1480" xr:uid="{943CF10A-8654-4FB6-A51D-A39B33E1BCAF}"/>
    <cellStyle name="Normal 3 3 4 2 2 2" xfId="2932" xr:uid="{5982E146-2A5F-443B-A642-70A5530AC051}"/>
    <cellStyle name="Normal 3 3 4 2 3" xfId="2207" xr:uid="{CCCFC0CB-033C-4578-87F3-3CA546C7DC7C}"/>
    <cellStyle name="Normal 3 3 4 3" xfId="1126" xr:uid="{4D848A7F-8AAB-412C-B6BD-B9E8273AD5CC}"/>
    <cellStyle name="Normal 3 3 4 3 2" xfId="2578" xr:uid="{43E32102-FF19-481F-B292-8D34C69C1F23}"/>
    <cellStyle name="Normal 3 3 4 4" xfId="1853" xr:uid="{3033EA6B-1082-4D53-A042-FB6C3ADBE5FF}"/>
    <cellStyle name="Normal 3 3 5" xfId="564" xr:uid="{1EFAA5CF-8947-4EDB-9C7F-CBD85CC8D30E}"/>
    <cellStyle name="Normal 3 3 5 2" xfId="1298" xr:uid="{B227245C-37E4-4E82-B73A-7606CA9DDB15}"/>
    <cellStyle name="Normal 3 3 5 2 2" xfId="2750" xr:uid="{E5A024DA-1835-4261-BC1E-88EA6E3C87D9}"/>
    <cellStyle name="Normal 3 3 5 3" xfId="2025" xr:uid="{7FA1B155-5E6F-40A5-B1FC-97D88C1105F9}"/>
    <cellStyle name="Normal 3 3 6" xfId="947" xr:uid="{2D4797B0-D6E1-49F5-8E71-3FE802B10E7D}"/>
    <cellStyle name="Normal 3 3 6 2" xfId="2399" xr:uid="{63822462-6B8E-4F10-838F-6B00CD18BD59}"/>
    <cellStyle name="Normal 3 3 7" xfId="1674" xr:uid="{D19161B4-12B9-4E9B-993F-4A072DC862EE}"/>
    <cellStyle name="Normal 3 4" xfId="88" xr:uid="{802F6F1D-0F2F-432D-A91A-6C25FDDE6655}"/>
    <cellStyle name="Normal 3 4 2" xfId="89" xr:uid="{AA4564DA-42C1-486B-ABC0-566B02F5A8F9}"/>
    <cellStyle name="Normal 3 4 2 2" xfId="381" xr:uid="{A0E448E3-C76C-4488-9577-B2703BF7EDB1}"/>
    <cellStyle name="Normal 3 4 2 2 2" xfId="747" xr:uid="{8142E0B6-C870-4EF0-9A15-22F36729DCCC}"/>
    <cellStyle name="Normal 3 4 2 2 2 2" xfId="1481" xr:uid="{22123524-8CE8-4B0F-94F0-19620C133EBC}"/>
    <cellStyle name="Normal 3 4 2 2 2 2 2" xfId="2933" xr:uid="{63BB86A7-890A-4923-85F7-92F31A0DD1B0}"/>
    <cellStyle name="Normal 3 4 2 2 2 3" xfId="2208" xr:uid="{753F95F0-BD88-46A7-949B-AAA0312299FA}"/>
    <cellStyle name="Normal 3 4 2 2 3" xfId="1127" xr:uid="{4E5EA604-7581-48C2-8AE8-35297473E974}"/>
    <cellStyle name="Normal 3 4 2 2 3 2" xfId="2579" xr:uid="{912413EC-C0CC-4095-A486-93CCD6C869FB}"/>
    <cellStyle name="Normal 3 4 2 2 4" xfId="1854" xr:uid="{D4458236-2E5D-485F-91F0-C481E1460A78}"/>
    <cellStyle name="Normal 3 4 2 3" xfId="568" xr:uid="{F9F930BB-6D4F-4384-B6DB-F97E03518CF3}"/>
    <cellStyle name="Normal 3 4 2 3 2" xfId="1302" xr:uid="{42F62C2C-72C1-4131-9611-786644261590}"/>
    <cellStyle name="Normal 3 4 2 3 2 2" xfId="2754" xr:uid="{532768FD-8174-4DB1-B827-85C9A1F1B6F6}"/>
    <cellStyle name="Normal 3 4 2 3 3" xfId="2029" xr:uid="{F8B36925-F88B-4AAB-BBAA-7F068CB9C95C}"/>
    <cellStyle name="Normal 3 4 2 4" xfId="951" xr:uid="{90F136A8-70C6-46C7-B02A-738E5B2FF56C}"/>
    <cellStyle name="Normal 3 4 2 4 2" xfId="2403" xr:uid="{698D1054-E826-4273-B30F-2F73E8E05F87}"/>
    <cellStyle name="Normal 3 4 2 5" xfId="1678" xr:uid="{E28A0C87-6E61-45CF-BFD5-2A80F0A506BE}"/>
    <cellStyle name="Normal 3 4 3" xfId="382" xr:uid="{54F9D28D-BCA6-4860-BA9A-A522039FB5A2}"/>
    <cellStyle name="Normal 3 4 3 2" xfId="748" xr:uid="{0526ED50-4D6E-4195-BC26-E01F898DC98E}"/>
    <cellStyle name="Normal 3 4 3 2 2" xfId="1482" xr:uid="{C6CEAF74-6E61-4F3A-B443-6C9AEA7C1BFF}"/>
    <cellStyle name="Normal 3 4 3 2 2 2" xfId="2934" xr:uid="{1F140407-C757-44F2-87E5-367D6D0A8B0D}"/>
    <cellStyle name="Normal 3 4 3 2 3" xfId="2209" xr:uid="{6DB63F5F-5C4B-41F8-A568-3E07B33A7D88}"/>
    <cellStyle name="Normal 3 4 3 3" xfId="1128" xr:uid="{B0C776F2-58F0-452D-9252-826A209B4173}"/>
    <cellStyle name="Normal 3 4 3 3 2" xfId="2580" xr:uid="{C210493A-AC8C-4859-A412-A4CA7A78AF27}"/>
    <cellStyle name="Normal 3 4 3 4" xfId="1855" xr:uid="{E8782B83-81C1-40D2-B8DB-90AD307ABDE2}"/>
    <cellStyle name="Normal 3 4 4" xfId="567" xr:uid="{15BB2D41-1959-41B8-ACBA-6FBEB3D383DA}"/>
    <cellStyle name="Normal 3 4 4 2" xfId="1301" xr:uid="{75244AC9-571D-42C0-B9D9-80111E9BEAA2}"/>
    <cellStyle name="Normal 3 4 4 2 2" xfId="2753" xr:uid="{C344FA6D-84F8-4EC0-A9F3-26C1EC464F6D}"/>
    <cellStyle name="Normal 3 4 4 3" xfId="2028" xr:uid="{D424AE52-7699-4431-9AEA-E90A83AC3658}"/>
    <cellStyle name="Normal 3 4 5" xfId="950" xr:uid="{3E1CA122-9997-42F0-B76E-BAD285EEE619}"/>
    <cellStyle name="Normal 3 4 5 2" xfId="2402" xr:uid="{9C140C1C-261D-4C00-AA90-EB3660F3AB6B}"/>
    <cellStyle name="Normal 3 4 6" xfId="1677" xr:uid="{E5F46FF1-BE28-4826-863C-617FB949CDB7}"/>
    <cellStyle name="Normal 3 5" xfId="90" xr:uid="{F6C0B4F7-82B4-4C82-8D5F-82E1B358CB41}"/>
    <cellStyle name="Normal 3 5 2" xfId="91" xr:uid="{A871AFE4-6168-4518-91A0-7DD97C927607}"/>
    <cellStyle name="Normal 3 5 2 2" xfId="383" xr:uid="{21955C43-5EED-4B57-B8AE-A812161BC3F3}"/>
    <cellStyle name="Normal 3 5 2 2 2" xfId="749" xr:uid="{DAD6CAE6-2912-48FD-837C-D37FD8738C5E}"/>
    <cellStyle name="Normal 3 5 2 2 2 2" xfId="1483" xr:uid="{C01696B3-8500-4357-8D75-AC554CC3763B}"/>
    <cellStyle name="Normal 3 5 2 2 2 2 2" xfId="2935" xr:uid="{44D03E42-EFCF-43B2-8E8A-D0CF341C8C48}"/>
    <cellStyle name="Normal 3 5 2 2 2 3" xfId="2210" xr:uid="{F34C836C-C042-4742-BCE0-4C4F339BC318}"/>
    <cellStyle name="Normal 3 5 2 2 3" xfId="1129" xr:uid="{2ADF3F1A-4B00-4C44-BF15-5533EA4CE103}"/>
    <cellStyle name="Normal 3 5 2 2 3 2" xfId="2581" xr:uid="{F07DD864-80DE-4636-96D9-7D4DADEF42AC}"/>
    <cellStyle name="Normal 3 5 2 2 4" xfId="1856" xr:uid="{1171A0D7-AB5C-4254-85E7-3EF277558EF7}"/>
    <cellStyle name="Normal 3 5 2 3" xfId="570" xr:uid="{1A91F32A-4D86-46CE-9603-8559C54DE6C5}"/>
    <cellStyle name="Normal 3 5 2 3 2" xfId="1304" xr:uid="{F3516DE2-A3BA-4B39-8411-E797B1E462BF}"/>
    <cellStyle name="Normal 3 5 2 3 2 2" xfId="2756" xr:uid="{460A807A-4849-4AA6-B686-931EC1C5901C}"/>
    <cellStyle name="Normal 3 5 2 3 3" xfId="2031" xr:uid="{16EC8DAB-2EC1-4C48-B582-E1A5D680D0FB}"/>
    <cellStyle name="Normal 3 5 2 4" xfId="953" xr:uid="{8593B602-36D9-4F79-BEDF-84CB76F3E8ED}"/>
    <cellStyle name="Normal 3 5 2 4 2" xfId="2405" xr:uid="{1BD808C7-BDF3-4CFC-8FD7-79B45330FE4D}"/>
    <cellStyle name="Normal 3 5 2 5" xfId="1680" xr:uid="{0EC6C75C-A417-4035-A457-6ECBB8E948DC}"/>
    <cellStyle name="Normal 3 5 3" xfId="384" xr:uid="{4E21B120-29DD-4CC6-896F-A443EE6635C0}"/>
    <cellStyle name="Normal 3 5 3 2" xfId="750" xr:uid="{910FBC31-B6C1-4860-95A4-14915AF98C87}"/>
    <cellStyle name="Normal 3 5 3 2 2" xfId="1484" xr:uid="{00CC9F84-97A8-4370-900F-1972F26CC8E0}"/>
    <cellStyle name="Normal 3 5 3 2 2 2" xfId="2936" xr:uid="{E7CD9F95-2603-4EC2-9F60-64A99095C0CB}"/>
    <cellStyle name="Normal 3 5 3 2 3" xfId="2211" xr:uid="{4418A9B6-D55B-4E64-B497-0C431280175F}"/>
    <cellStyle name="Normal 3 5 3 3" xfId="1130" xr:uid="{ABFD1DB7-A780-4D04-B582-27AE06F5209E}"/>
    <cellStyle name="Normal 3 5 3 3 2" xfId="2582" xr:uid="{FA50A704-D2E2-419F-AF3E-C2FE5DF22D15}"/>
    <cellStyle name="Normal 3 5 3 4" xfId="1857" xr:uid="{CA846C65-148C-49C3-941B-B04FCC61069A}"/>
    <cellStyle name="Normal 3 5 4" xfId="569" xr:uid="{80C27351-CE57-4C73-80B4-D51D4BC446DD}"/>
    <cellStyle name="Normal 3 5 4 2" xfId="1303" xr:uid="{E2305D56-A5C0-46A1-B8D7-3E9BF51EF4A8}"/>
    <cellStyle name="Normal 3 5 4 2 2" xfId="2755" xr:uid="{7BF5F571-A80A-4499-8456-1B61DA6E7192}"/>
    <cellStyle name="Normal 3 5 4 3" xfId="2030" xr:uid="{2449191D-7A8A-4F00-BF85-7AADB6B42012}"/>
    <cellStyle name="Normal 3 5 5" xfId="952" xr:uid="{9338BAB4-DC93-4D1C-9BEF-2E6DF80E0029}"/>
    <cellStyle name="Normal 3 5 5 2" xfId="2404" xr:uid="{36F4879A-F53B-4BA6-ADD7-5235691F0572}"/>
    <cellStyle name="Normal 3 5 6" xfId="1679" xr:uid="{9E63ADC8-D355-4FF4-AD7C-1BA5644EBFEF}"/>
    <cellStyle name="Normal 3 6" xfId="92" xr:uid="{C190E105-75C9-4B8C-99F4-D37CD82701AE}"/>
    <cellStyle name="Normal 3 6 2" xfId="93" xr:uid="{065C38D1-D699-4575-BEB8-C0F8675916D2}"/>
    <cellStyle name="Normal 3 6 2 2" xfId="385" xr:uid="{5338FAC7-A0B6-4B7A-9659-2E9871D28739}"/>
    <cellStyle name="Normal 3 6 2 2 2" xfId="751" xr:uid="{815249E6-16B9-48A8-AC38-50869EB190D1}"/>
    <cellStyle name="Normal 3 6 2 2 2 2" xfId="1485" xr:uid="{8075C000-EB5C-4CE3-AC6D-D02E63003879}"/>
    <cellStyle name="Normal 3 6 2 2 2 2 2" xfId="2937" xr:uid="{E702EEDA-76BF-4767-9DCD-225119F34F11}"/>
    <cellStyle name="Normal 3 6 2 2 2 3" xfId="2212" xr:uid="{2E953A27-3037-4627-A629-4A7C5C86645A}"/>
    <cellStyle name="Normal 3 6 2 2 3" xfId="1131" xr:uid="{8DE412DF-42C9-4DC9-A742-B468C84DD78B}"/>
    <cellStyle name="Normal 3 6 2 2 3 2" xfId="2583" xr:uid="{5708327D-5E4C-4727-887E-F95462C8536E}"/>
    <cellStyle name="Normal 3 6 2 2 4" xfId="1858" xr:uid="{AC09BE0E-17C5-470D-BD3A-6683ED76327B}"/>
    <cellStyle name="Normal 3 6 2 3" xfId="572" xr:uid="{10FCFE8F-2CCC-447D-BE79-55E47D46B0B7}"/>
    <cellStyle name="Normal 3 6 2 3 2" xfId="1306" xr:uid="{87DD221D-CD60-4351-8DFB-BE68C5F34FF8}"/>
    <cellStyle name="Normal 3 6 2 3 2 2" xfId="2758" xr:uid="{162065C6-228F-430F-A704-2F763ABA3E9F}"/>
    <cellStyle name="Normal 3 6 2 3 3" xfId="2033" xr:uid="{85B5CD4E-EC11-4F11-BD65-E9B91C9B6760}"/>
    <cellStyle name="Normal 3 6 2 4" xfId="955" xr:uid="{5D2DD18C-A696-4422-B77D-ECC6E0FD8B96}"/>
    <cellStyle name="Normal 3 6 2 4 2" xfId="2407" xr:uid="{8FA25BD8-88D2-45F3-9DC9-3E8FD2302F8D}"/>
    <cellStyle name="Normal 3 6 2 5" xfId="1682" xr:uid="{5EE3B101-B1CE-4B21-B7AB-73EB1D8DCE6F}"/>
    <cellStyle name="Normal 3 6 3" xfId="386" xr:uid="{CC66E450-927C-426D-AF44-77D93608257C}"/>
    <cellStyle name="Normal 3 6 3 2" xfId="752" xr:uid="{4EF63BE4-FCBA-4FF2-A19B-FE0CD499F302}"/>
    <cellStyle name="Normal 3 6 3 2 2" xfId="1486" xr:uid="{F836F521-470B-4956-BFDB-401F420F9321}"/>
    <cellStyle name="Normal 3 6 3 2 2 2" xfId="2938" xr:uid="{B8952FE9-F2CE-42DD-92B2-72EA4CA8F228}"/>
    <cellStyle name="Normal 3 6 3 2 3" xfId="2213" xr:uid="{C3E46D68-5C00-4BBC-A029-B71549AE7B5F}"/>
    <cellStyle name="Normal 3 6 3 3" xfId="1132" xr:uid="{2A620385-8A1E-415A-84BF-6DB93EDE5352}"/>
    <cellStyle name="Normal 3 6 3 3 2" xfId="2584" xr:uid="{50D9F270-BAB6-4948-9833-87DB69381AEB}"/>
    <cellStyle name="Normal 3 6 3 4" xfId="1859" xr:uid="{A7C8AC6C-787F-45C7-A7FE-F4F8180D61BF}"/>
    <cellStyle name="Normal 3 6 4" xfId="571" xr:uid="{FE2C6A75-9ADC-44B7-9B00-C8FCEF706ACC}"/>
    <cellStyle name="Normal 3 6 4 2" xfId="1305" xr:uid="{87EEFF2C-9027-4D14-8828-8ECED7570004}"/>
    <cellStyle name="Normal 3 6 4 2 2" xfId="2757" xr:uid="{B158B1BE-169E-47E9-B79B-0C6BB3396448}"/>
    <cellStyle name="Normal 3 6 4 3" xfId="2032" xr:uid="{3AFF4A9D-B730-45A1-9603-F4647874867B}"/>
    <cellStyle name="Normal 3 6 5" xfId="954" xr:uid="{C17DE5AA-9546-4D8F-9993-14DD63CD7BF6}"/>
    <cellStyle name="Normal 3 6 5 2" xfId="2406" xr:uid="{DED48365-8870-4ABE-8A0E-EE01B6A3FE9E}"/>
    <cellStyle name="Normal 3 6 6" xfId="1681" xr:uid="{A95E6215-9491-4676-A79E-963D1FE4F16E}"/>
    <cellStyle name="Normal 3 7" xfId="94" xr:uid="{40E5EFEA-38FF-4AEC-9A7A-CF6410921F6C}"/>
    <cellStyle name="Normal 3 7 2" xfId="387" xr:uid="{AE2C3099-3026-4BA2-B672-C2994FCCFADA}"/>
    <cellStyle name="Normal 3 7 2 2" xfId="753" xr:uid="{23BE0DA3-BCA5-41FC-9FC3-4607ABA6C5CC}"/>
    <cellStyle name="Normal 3 7 2 2 2" xfId="1487" xr:uid="{D7B3D213-B7DC-4287-A7AD-5DAB55EB3371}"/>
    <cellStyle name="Normal 3 7 2 2 2 2" xfId="2939" xr:uid="{A3204A9E-5BC4-4DB1-94EA-54DA6E94D6E1}"/>
    <cellStyle name="Normal 3 7 2 2 3" xfId="2214" xr:uid="{DC347BC4-FB94-4792-97A2-1F14457029DB}"/>
    <cellStyle name="Normal 3 7 2 3" xfId="1133" xr:uid="{B6EF9272-9D90-4A1C-8441-90BAD9934423}"/>
    <cellStyle name="Normal 3 7 2 3 2" xfId="2585" xr:uid="{992CDFF1-F8CC-475E-A23F-A1256BADE417}"/>
    <cellStyle name="Normal 3 7 2 4" xfId="1860" xr:uid="{102A0C3D-5B54-441E-AFAD-EF9842AFD1B3}"/>
    <cellStyle name="Normal 3 7 3" xfId="573" xr:uid="{B250E39F-C023-41A0-8E3B-05D20E2257CA}"/>
    <cellStyle name="Normal 3 7 3 2" xfId="1307" xr:uid="{A83C8DA9-0377-4E98-9067-8792AA80BF27}"/>
    <cellStyle name="Normal 3 7 3 2 2" xfId="2759" xr:uid="{EA8CBBFF-0131-4DD6-819A-2C09DC3CA288}"/>
    <cellStyle name="Normal 3 7 3 3" xfId="2034" xr:uid="{995FD359-A8C6-4BCE-BC42-A1439C7E29D4}"/>
    <cellStyle name="Normal 3 7 4" xfId="956" xr:uid="{122F2A15-D191-4802-BD07-8EC124A8A415}"/>
    <cellStyle name="Normal 3 7 4 2" xfId="2408" xr:uid="{E545B767-6C94-44ED-80BC-695C35AD7929}"/>
    <cellStyle name="Normal 3 7 5" xfId="1683" xr:uid="{3071FD16-15B6-4DF0-A33E-0876F2B1D750}"/>
    <cellStyle name="Normal 3 8" xfId="95" xr:uid="{D8F91C6C-C5FE-481A-B4AA-0D8FBF70BBE9}"/>
    <cellStyle name="Normal 3 8 2" xfId="388" xr:uid="{1ED01D89-8FCE-41C1-BD54-1F2B5267E50B}"/>
    <cellStyle name="Normal 3 8 2 2" xfId="754" xr:uid="{B714DC5F-2965-46C0-84DE-FD97399FC6C2}"/>
    <cellStyle name="Normal 3 8 2 2 2" xfId="1488" xr:uid="{495B220F-2EC6-4A02-AE8A-3AF5FDE790F6}"/>
    <cellStyle name="Normal 3 8 2 2 2 2" xfId="2940" xr:uid="{AD1A2CF8-9D5B-4F00-A350-C44CC1842BFA}"/>
    <cellStyle name="Normal 3 8 2 2 3" xfId="2215" xr:uid="{32B9963E-B637-454D-A207-A12DF3D3CD9D}"/>
    <cellStyle name="Normal 3 8 2 3" xfId="1134" xr:uid="{9162333C-FD8F-428E-8DF1-B8B5395432AC}"/>
    <cellStyle name="Normal 3 8 2 3 2" xfId="2586" xr:uid="{79CD9CD6-AE23-4E32-A5BB-BE60CE1CA61E}"/>
    <cellStyle name="Normal 3 8 2 4" xfId="1861" xr:uid="{CBF19817-4A74-46F5-9EA7-A7E83DC4CBBD}"/>
    <cellStyle name="Normal 3 8 3" xfId="574" xr:uid="{4FE42261-DD07-4433-B05B-400356E45671}"/>
    <cellStyle name="Normal 3 8 3 2" xfId="1308" xr:uid="{D07DD138-2786-44E9-9E6F-A1ECD0B231D6}"/>
    <cellStyle name="Normal 3 8 3 2 2" xfId="2760" xr:uid="{DE20E6CE-264D-48C7-8881-87970C2F4313}"/>
    <cellStyle name="Normal 3 8 3 3" xfId="2035" xr:uid="{D7763BE2-E2E0-4469-9C53-FA0AB1539E68}"/>
    <cellStyle name="Normal 3 8 4" xfId="957" xr:uid="{9EE84DEB-AE1A-44AA-8483-23E636BA5191}"/>
    <cellStyle name="Normal 3 8 4 2" xfId="2409" xr:uid="{AB575ED8-A076-4049-A5E1-84E3CAB432AB}"/>
    <cellStyle name="Normal 3 8 5" xfId="1684" xr:uid="{ABC3CAED-F926-4346-8E67-1AE949CC2DD3}"/>
    <cellStyle name="Normal 3 9" xfId="96" xr:uid="{FC87E915-994A-4D29-A0A2-EB851302A590}"/>
    <cellStyle name="Normal 3 9 2" xfId="389" xr:uid="{9258597E-3832-4955-B016-1C6C7EEA8243}"/>
    <cellStyle name="Normal 3 9 2 2" xfId="755" xr:uid="{5A5E208E-07DE-46E0-B382-F62D26B3515E}"/>
    <cellStyle name="Normal 3 9 2 2 2" xfId="1489" xr:uid="{7A943CF4-5663-470C-B9F7-D8B6BE405957}"/>
    <cellStyle name="Normal 3 9 2 2 2 2" xfId="2941" xr:uid="{2E8D1A8C-62F2-444E-B661-EAAB637115B3}"/>
    <cellStyle name="Normal 3 9 2 2 3" xfId="2216" xr:uid="{4D8ED234-D447-465D-89DE-EFE349821807}"/>
    <cellStyle name="Normal 3 9 2 3" xfId="1135" xr:uid="{B1DECA03-681B-4B99-BA8F-5EB1FA9B8204}"/>
    <cellStyle name="Normal 3 9 2 3 2" xfId="2587" xr:uid="{ED099D94-E237-4EBC-AE19-CF9F4BAFEFAB}"/>
    <cellStyle name="Normal 3 9 2 4" xfId="1862" xr:uid="{5C89C1DF-72F9-4DFA-8C4C-A9E615BB64CE}"/>
    <cellStyle name="Normal 3 9 3" xfId="575" xr:uid="{347092E6-1298-4629-8F2A-1AC5305DFDC8}"/>
    <cellStyle name="Normal 3 9 3 2" xfId="1309" xr:uid="{88382198-0097-4E74-B2D8-EB8A642CA19C}"/>
    <cellStyle name="Normal 3 9 3 2 2" xfId="2761" xr:uid="{045A76CE-03F4-41E8-A3C5-5F447E7B049E}"/>
    <cellStyle name="Normal 3 9 3 3" xfId="2036" xr:uid="{389B240A-D877-4AA2-B836-818AC0CF7253}"/>
    <cellStyle name="Normal 3 9 4" xfId="958" xr:uid="{8C8042FE-4D77-4BBC-9A4A-A319B3E0EBA9}"/>
    <cellStyle name="Normal 3 9 4 2" xfId="2410" xr:uid="{E5412008-1051-46F6-A5B5-1B45321E0EBC}"/>
    <cellStyle name="Normal 3 9 5" xfId="1685" xr:uid="{BE9F0D81-18A2-4346-A9A7-7B9F75AA91B1}"/>
    <cellStyle name="Normal 4" xfId="10" xr:uid="{116B30BA-5003-445B-9F97-5611D0E31686}"/>
    <cellStyle name="Normal 4 10" xfId="97" xr:uid="{CA639547-E5C5-4114-9046-21E060EF1047}"/>
    <cellStyle name="Normal 4 10 2" xfId="390" xr:uid="{5A78EA08-B6DD-49D7-A9EF-58D09ACA5E79}"/>
    <cellStyle name="Normal 4 10 2 2" xfId="391" xr:uid="{D4B09D5B-01D5-4610-9636-E1B1B3EF03F6}"/>
    <cellStyle name="Normal 4 10 2 2 2" xfId="757" xr:uid="{3094389F-3AA7-4E0B-9E46-9A924BFA6763}"/>
    <cellStyle name="Normal 4 10 2 2 2 2" xfId="1491" xr:uid="{47401B7B-C540-46E0-9C36-2C3D70DC1850}"/>
    <cellStyle name="Normal 4 10 2 2 2 2 2" xfId="2943" xr:uid="{1AFA5EAB-84D8-4899-82AF-FB0CC980B9EF}"/>
    <cellStyle name="Normal 4 10 2 2 2 3" xfId="2218" xr:uid="{46CB5CE2-15C5-4F73-B67F-3B2DB960D35C}"/>
    <cellStyle name="Normal 4 10 2 2 3" xfId="1137" xr:uid="{5629536D-F679-4E44-9D3C-125DFDD389B4}"/>
    <cellStyle name="Normal 4 10 2 2 3 2" xfId="2589" xr:uid="{8491DCAA-88E4-405C-8B49-2D950D485FB2}"/>
    <cellStyle name="Normal 4 10 2 2 4" xfId="1864" xr:uid="{A1556BC7-BFFB-4C15-96AA-81694FE48595}"/>
    <cellStyle name="Normal 4 10 2 3" xfId="756" xr:uid="{864FC3A9-2616-40B5-AE3F-9C1CA19E8A93}"/>
    <cellStyle name="Normal 4 10 2 3 2" xfId="1490" xr:uid="{EBDE6CD4-3825-4937-8A28-89825A530F0F}"/>
    <cellStyle name="Normal 4 10 2 3 2 2" xfId="2942" xr:uid="{CCB94088-DDFC-476E-9693-4296D9F0AACC}"/>
    <cellStyle name="Normal 4 10 2 3 3" xfId="2217" xr:uid="{7C932E14-0154-4117-8986-4230F4994BA2}"/>
    <cellStyle name="Normal 4 10 2 4" xfId="1136" xr:uid="{DDB59D2B-1F82-45D2-B6B7-FC69130BCC37}"/>
    <cellStyle name="Normal 4 10 2 4 2" xfId="2588" xr:uid="{0B661392-D6EF-4B83-9E77-B17DABD32514}"/>
    <cellStyle name="Normal 4 10 2 5" xfId="1863" xr:uid="{A6206750-2253-4965-9AF0-FDEDD55DB498}"/>
    <cellStyle name="Normal 4 10 3" xfId="392" xr:uid="{93BDDA67-6A0E-4A3E-BD18-B298587BD1B0}"/>
    <cellStyle name="Normal 4 10 3 2" xfId="758" xr:uid="{C0B79C41-C30F-4D34-B182-C48413512889}"/>
    <cellStyle name="Normal 4 10 3 2 2" xfId="1492" xr:uid="{9671AC2E-DCA0-477D-A45D-3E4CB8573BA1}"/>
    <cellStyle name="Normal 4 10 3 2 2 2" xfId="2944" xr:uid="{0A5B0F81-7A81-4203-818F-AF848E3F2E94}"/>
    <cellStyle name="Normal 4 10 3 2 3" xfId="2219" xr:uid="{E4C01DCB-C9D1-4D27-AC23-8A291E4E6831}"/>
    <cellStyle name="Normal 4 10 3 3" xfId="1138" xr:uid="{9D5E3811-5A10-46CC-B8E9-D6F47E61A52A}"/>
    <cellStyle name="Normal 4 10 3 3 2" xfId="2590" xr:uid="{164FFE49-124D-4FFB-9703-E5D64129A946}"/>
    <cellStyle name="Normal 4 10 3 4" xfId="1865" xr:uid="{6EB1F7B4-5DA6-4A78-B7E7-06DC7483D0C7}"/>
    <cellStyle name="Normal 4 10 4" xfId="576" xr:uid="{74B45BF6-2549-4908-8C09-D236EEFD1E5B}"/>
    <cellStyle name="Normal 4 10 4 2" xfId="1310" xr:uid="{1DF8222B-5039-432A-89A8-919BA35235C1}"/>
    <cellStyle name="Normal 4 10 4 2 2" xfId="2762" xr:uid="{B2EE4A9D-00A6-414B-852C-2D262092DC09}"/>
    <cellStyle name="Normal 4 10 4 3" xfId="2037" xr:uid="{FC542CF1-9C2E-447F-9D41-92180F526EF6}"/>
    <cellStyle name="Normal 4 10 5" xfId="959" xr:uid="{041A8D1D-6153-48A6-A335-A290930BBDDB}"/>
    <cellStyle name="Normal 4 10 5 2" xfId="2411" xr:uid="{9D690C52-03FF-49E3-92BD-06FB5F403FC1}"/>
    <cellStyle name="Normal 4 10 6" xfId="1686" xr:uid="{F9EA4F47-6192-483F-BF46-20E9CE9A6F5A}"/>
    <cellStyle name="Normal 4 11" xfId="296" xr:uid="{2F7433E8-11FD-44F3-B0EC-43954BE02014}"/>
    <cellStyle name="Normal 4 11 2" xfId="524" xr:uid="{2A875FFC-F712-4DF0-80A5-FE037DCDA31A}"/>
    <cellStyle name="Normal 4 12" xfId="297" xr:uid="{7892C6F8-66EA-4BFE-9A18-6A0EB3473550}"/>
    <cellStyle name="Normal 4 13" xfId="298" xr:uid="{576DF60E-4795-4471-958B-86FD87F85677}"/>
    <cellStyle name="Normal 4 14" xfId="39" xr:uid="{3C6F08A1-4839-491E-9A6B-21C2745D199E}"/>
    <cellStyle name="Normal 4 15" xfId="904" xr:uid="{83B3E7D6-D26E-469B-965C-D1F53D189732}"/>
    <cellStyle name="Normal 4 15 2" xfId="2359" xr:uid="{5FA83F0B-EBFD-4322-A269-47D894CFFF32}"/>
    <cellStyle name="Normal 4 16" xfId="1634" xr:uid="{7F8A471B-564C-44DE-8376-98023A7B11F8}"/>
    <cellStyle name="Normal 4 2" xfId="26" xr:uid="{BBCD3F41-4534-45FA-9E10-48FB8CD8BD87}"/>
    <cellStyle name="Normal 4 2 10" xfId="1642" xr:uid="{3A91A9A8-09B9-41A4-9613-257CB89A87E1}"/>
    <cellStyle name="Normal 4 2 2" xfId="98" xr:uid="{A1C5948B-1DCE-4915-9D11-EABDB07A5993}"/>
    <cellStyle name="Normal 4 2 2 2" xfId="99" xr:uid="{21A3C968-4E54-42EF-BA20-5D4BA2ADEBC0}"/>
    <cellStyle name="Normal 4 2 2 2 2" xfId="393" xr:uid="{DDFEFAD3-AA28-4DAB-9195-42CA322D8F6B}"/>
    <cellStyle name="Normal 4 2 2 2 2 2" xfId="759" xr:uid="{B54E07A0-87F5-456B-9CDD-1E2D61485347}"/>
    <cellStyle name="Normal 4 2 2 2 2 2 2" xfId="1493" xr:uid="{6B1C87FD-B788-411A-9C21-308F9E04FE8E}"/>
    <cellStyle name="Normal 4 2 2 2 2 2 2 2" xfId="2945" xr:uid="{82F3A2DD-0374-499E-8EB0-7BA94C9547A3}"/>
    <cellStyle name="Normal 4 2 2 2 2 2 3" xfId="2220" xr:uid="{F6C22E4B-2294-4F7D-97D7-975D92CD4292}"/>
    <cellStyle name="Normal 4 2 2 2 2 3" xfId="1139" xr:uid="{92CDF0EB-F34D-41D1-95BC-1CEC3090B137}"/>
    <cellStyle name="Normal 4 2 2 2 2 3 2" xfId="2591" xr:uid="{03EF8BE5-7B8F-41AB-A9D0-5CBFB579E8A2}"/>
    <cellStyle name="Normal 4 2 2 2 2 4" xfId="1866" xr:uid="{1CAED750-C776-4528-B764-693EBF8FD48E}"/>
    <cellStyle name="Normal 4 2 2 2 3" xfId="579" xr:uid="{179FD34F-B362-460D-B454-44BB20F3EEE3}"/>
    <cellStyle name="Normal 4 2 2 2 3 2" xfId="1313" xr:uid="{84CAFF54-5D44-4A06-894D-0BDCE8B41A8B}"/>
    <cellStyle name="Normal 4 2 2 2 3 2 2" xfId="2765" xr:uid="{BC0633A7-AC90-4765-ADF9-B317C8F3BDDA}"/>
    <cellStyle name="Normal 4 2 2 2 3 3" xfId="2040" xr:uid="{673011DF-2573-4DD5-A079-190B480EBD25}"/>
    <cellStyle name="Normal 4 2 2 2 4" xfId="961" xr:uid="{6379809D-8958-452A-87FE-E828ABEABE8C}"/>
    <cellStyle name="Normal 4 2 2 2 4 2" xfId="2413" xr:uid="{57D7A8BD-A252-48A8-8FF7-DD02CAB2BE13}"/>
    <cellStyle name="Normal 4 2 2 2 5" xfId="1688" xr:uid="{783BF043-9F84-4067-BDE1-5DD65162E5F1}"/>
    <cellStyle name="Normal 4 2 2 3" xfId="394" xr:uid="{6C50BF7E-483B-412E-A463-89E70BEAF6E1}"/>
    <cellStyle name="Normal 4 2 2 3 2" xfId="760" xr:uid="{B2654210-46F3-42C6-9D59-B4EF90B0E784}"/>
    <cellStyle name="Normal 4 2 2 3 2 2" xfId="1494" xr:uid="{D9689C19-0AEE-43DD-B8A8-72199EAD648E}"/>
    <cellStyle name="Normal 4 2 2 3 2 2 2" xfId="2946" xr:uid="{7385CD8F-8277-408F-BCDA-BEF163F3902C}"/>
    <cellStyle name="Normal 4 2 2 3 2 3" xfId="2221" xr:uid="{26F5FA90-66E5-40C3-93D3-2F59875914B9}"/>
    <cellStyle name="Normal 4 2 2 3 3" xfId="1140" xr:uid="{A6F442EC-FA2B-4976-9459-00A23B7E8741}"/>
    <cellStyle name="Normal 4 2 2 3 3 2" xfId="2592" xr:uid="{1C34E609-B348-4E4B-8401-73A65E450F94}"/>
    <cellStyle name="Normal 4 2 2 3 4" xfId="1867" xr:uid="{0A450FFC-1F5A-4216-87DF-A26377F27728}"/>
    <cellStyle name="Normal 4 2 2 4" xfId="578" xr:uid="{4F0A5ACC-D172-4699-A482-ED6DDC1AEC22}"/>
    <cellStyle name="Normal 4 2 2 4 2" xfId="1312" xr:uid="{22A99C5B-B136-4379-9A5E-590DDFD18111}"/>
    <cellStyle name="Normal 4 2 2 4 2 2" xfId="2764" xr:uid="{04D786BB-6B4D-4BEE-B72F-4BE224524590}"/>
    <cellStyle name="Normal 4 2 2 4 3" xfId="2039" xr:uid="{69E00688-D09B-44D0-8834-D86A92EC1472}"/>
    <cellStyle name="Normal 4 2 2 5" xfId="960" xr:uid="{DC6B3186-AAE1-4FA8-BE0D-A4CDA39061E2}"/>
    <cellStyle name="Normal 4 2 2 5 2" xfId="2412" xr:uid="{8BBEDD3F-02E2-4EE2-820D-B8BEA7197F21}"/>
    <cellStyle name="Normal 4 2 2 6" xfId="1687" xr:uid="{85D37590-57C0-460A-B53A-4EF69D665CA9}"/>
    <cellStyle name="Normal 4 2 3" xfId="100" xr:uid="{8CFC9410-955B-4BF1-8EE2-32D183C4AB6A}"/>
    <cellStyle name="Normal 4 2 3 2" xfId="395" xr:uid="{04EB340E-5AF5-489C-B30A-B21BF6030385}"/>
    <cellStyle name="Normal 4 2 3 2 2" xfId="761" xr:uid="{DF731BE1-38E6-44FE-A7D5-BFDE4AA16919}"/>
    <cellStyle name="Normal 4 2 3 2 2 2" xfId="1495" xr:uid="{472A6DF7-F2FF-44C8-A591-C7B96CF9FE67}"/>
    <cellStyle name="Normal 4 2 3 2 2 2 2" xfId="2947" xr:uid="{479DEB00-8814-4A70-9D5A-D0F95066539F}"/>
    <cellStyle name="Normal 4 2 3 2 2 3" xfId="2222" xr:uid="{859B44B5-359C-4052-95B5-12BD1BAE12B7}"/>
    <cellStyle name="Normal 4 2 3 2 3" xfId="1141" xr:uid="{CB781B1B-142D-4813-B4EC-525F18CD1951}"/>
    <cellStyle name="Normal 4 2 3 2 3 2" xfId="2593" xr:uid="{42C5E152-A1B2-4D8E-B1C3-F4A06F89BD92}"/>
    <cellStyle name="Normal 4 2 3 2 4" xfId="1868" xr:uid="{87A9AD81-FEF6-4106-8D5D-A0E5C935D9C1}"/>
    <cellStyle name="Normal 4 2 3 3" xfId="580" xr:uid="{EA90AC59-F3C4-45A8-A10A-0D3C9136F07D}"/>
    <cellStyle name="Normal 4 2 3 3 2" xfId="1314" xr:uid="{36B450C6-D873-414B-AB1D-39061DBD17B8}"/>
    <cellStyle name="Normal 4 2 3 3 2 2" xfId="2766" xr:uid="{A7A0F074-9F9B-4BA4-B960-1D0ECFE7BCCB}"/>
    <cellStyle name="Normal 4 2 3 3 3" xfId="2041" xr:uid="{29D1BB7B-ABC5-4B40-881D-E73E96839E7D}"/>
    <cellStyle name="Normal 4 2 3 4" xfId="962" xr:uid="{E6CBB40D-9A06-4CCD-8B8B-864EF462E215}"/>
    <cellStyle name="Normal 4 2 3 4 2" xfId="2414" xr:uid="{F68B5FC0-4E41-4B94-88D9-DC600A2AFFC0}"/>
    <cellStyle name="Normal 4 2 3 5" xfId="1689" xr:uid="{D8BF9FC7-1C23-4B2E-8568-940472729AD3}"/>
    <cellStyle name="Normal 4 2 4" xfId="101" xr:uid="{5C3C537E-1DAD-4166-B5A0-9EE58CE64199}"/>
    <cellStyle name="Normal 4 2 4 2" xfId="396" xr:uid="{B3F4E97A-DB97-4075-A2FF-F3779ED388B1}"/>
    <cellStyle name="Normal 4 2 4 2 2" xfId="762" xr:uid="{4CA19891-C793-41A1-88EC-B3C877BCE4A1}"/>
    <cellStyle name="Normal 4 2 4 2 2 2" xfId="1496" xr:uid="{AFFF55FC-753E-4BDA-AACE-D03980C7FF67}"/>
    <cellStyle name="Normal 4 2 4 2 2 2 2" xfId="2948" xr:uid="{E08CE0CC-1149-437C-86AD-7FFE96B3E152}"/>
    <cellStyle name="Normal 4 2 4 2 2 3" xfId="2223" xr:uid="{FFECEF3F-DDD9-479D-88BA-CEC0C68CA872}"/>
    <cellStyle name="Normal 4 2 4 2 3" xfId="1142" xr:uid="{7E4D00BA-EB4D-451D-9C68-FC65B060C8D6}"/>
    <cellStyle name="Normal 4 2 4 2 3 2" xfId="2594" xr:uid="{0C3EC874-014D-4B46-B8DC-DF4FEEE73576}"/>
    <cellStyle name="Normal 4 2 4 2 4" xfId="1869" xr:uid="{B4588F83-5112-4395-A21F-F413B2F4820A}"/>
    <cellStyle name="Normal 4 2 4 3" xfId="581" xr:uid="{350C2917-E216-4E15-942D-983500EDCDA3}"/>
    <cellStyle name="Normal 4 2 4 3 2" xfId="1315" xr:uid="{42B5A57E-1E17-4604-B857-B19FD0F88125}"/>
    <cellStyle name="Normal 4 2 4 3 2 2" xfId="2767" xr:uid="{25A3801F-D964-4FEA-BD49-852593F9B2AD}"/>
    <cellStyle name="Normal 4 2 4 3 3" xfId="2042" xr:uid="{09EE4F37-0492-430A-B155-F9A57D1019D6}"/>
    <cellStyle name="Normal 4 2 4 4" xfId="963" xr:uid="{F2F8C278-8201-4CB2-B0D1-11FE54C6EA02}"/>
    <cellStyle name="Normal 4 2 4 4 2" xfId="2415" xr:uid="{C6F287CA-48A1-4902-9C36-A296C2466B93}"/>
    <cellStyle name="Normal 4 2 4 5" xfId="1690" xr:uid="{A721596E-8A72-4831-B00D-315F6AFF34B2}"/>
    <cellStyle name="Normal 4 2 5" xfId="102" xr:uid="{A83F855F-87CA-46C6-8531-7D96B7DB83F2}"/>
    <cellStyle name="Normal 4 2 5 2" xfId="397" xr:uid="{83B8E5C9-4F98-40AE-B31D-E24B57CB9984}"/>
    <cellStyle name="Normal 4 2 5 2 2" xfId="763" xr:uid="{F1741297-9D12-4FF6-B6FB-ACA476F964B7}"/>
    <cellStyle name="Normal 4 2 5 2 2 2" xfId="1497" xr:uid="{A602EFC2-BB1E-4FFC-9167-8DAFCDAAD2AA}"/>
    <cellStyle name="Normal 4 2 5 2 2 2 2" xfId="2949" xr:uid="{DFD45866-8DBA-4D7E-B779-4654585AB628}"/>
    <cellStyle name="Normal 4 2 5 2 2 3" xfId="2224" xr:uid="{1CF077E1-CE77-4825-8FAB-A13862E39E64}"/>
    <cellStyle name="Normal 4 2 5 2 3" xfId="1143" xr:uid="{9963951C-6F18-4C87-ADA6-513633CE1CF2}"/>
    <cellStyle name="Normal 4 2 5 2 3 2" xfId="2595" xr:uid="{7F5C016A-A21B-4E07-A7F5-0F7486F7CDAE}"/>
    <cellStyle name="Normal 4 2 5 2 4" xfId="1870" xr:uid="{FB057B8E-09D9-4694-A882-743CB6F56380}"/>
    <cellStyle name="Normal 4 2 5 3" xfId="582" xr:uid="{3F24092A-EA17-44FF-8C00-07F01CB8F292}"/>
    <cellStyle name="Normal 4 2 5 3 2" xfId="1316" xr:uid="{D53C879F-5BC4-4E77-AC6D-A0B5331C6E81}"/>
    <cellStyle name="Normal 4 2 5 3 2 2" xfId="2768" xr:uid="{06129549-2A62-480A-AFC0-EECE7976E96C}"/>
    <cellStyle name="Normal 4 2 5 3 3" xfId="2043" xr:uid="{893A13B1-3B86-49AE-BEDD-EC027169DB9A}"/>
    <cellStyle name="Normal 4 2 5 4" xfId="964" xr:uid="{14AD472D-A955-475C-A6AD-90C1B21F33AC}"/>
    <cellStyle name="Normal 4 2 5 4 2" xfId="2416" xr:uid="{685A7302-C12E-4A20-97B9-0C00D6FCEA2C}"/>
    <cellStyle name="Normal 4 2 5 5" xfId="1691" xr:uid="{828E5EF1-EAC7-4FB2-B3C9-8D4A91DD199D}"/>
    <cellStyle name="Normal 4 2 6" xfId="398" xr:uid="{D80ED093-6438-4FEC-8173-FF63B1E38801}"/>
    <cellStyle name="Normal 4 2 6 2" xfId="764" xr:uid="{7156387B-F83B-485B-9A14-C5DFF396FEB1}"/>
    <cellStyle name="Normal 4 2 6 2 2" xfId="1498" xr:uid="{0FBE995E-F088-4486-B5FA-0193DB059DEA}"/>
    <cellStyle name="Normal 4 2 6 2 2 2" xfId="2950" xr:uid="{34823CB5-844F-48C0-9981-2F84079FC86D}"/>
    <cellStyle name="Normal 4 2 6 2 3" xfId="2225" xr:uid="{7415E38B-19B2-476A-B4F5-5B8FB3715E66}"/>
    <cellStyle name="Normal 4 2 6 3" xfId="1144" xr:uid="{738E8C11-0A63-4E96-82A8-D468E9D173E6}"/>
    <cellStyle name="Normal 4 2 6 3 2" xfId="2596" xr:uid="{99509CA8-F1A4-4461-842D-9D7E0A5530C7}"/>
    <cellStyle name="Normal 4 2 6 4" xfId="1871" xr:uid="{C08DC433-3B34-4982-B007-A7E9FFDC5964}"/>
    <cellStyle name="Normal 4 2 7" xfId="399" xr:uid="{87B23125-73A1-44C0-A31A-A9A3936E7B93}"/>
    <cellStyle name="Normal 4 2 7 2" xfId="765" xr:uid="{FDA1F38C-FB54-4C99-A23F-138FC695C071}"/>
    <cellStyle name="Normal 4 2 7 2 2" xfId="1499" xr:uid="{57040FE5-9178-4F15-BD25-B9D643E7A717}"/>
    <cellStyle name="Normal 4 2 7 2 2 2" xfId="2951" xr:uid="{B47A2622-A521-4D2B-A301-07AD63C119C3}"/>
    <cellStyle name="Normal 4 2 7 2 3" xfId="2226" xr:uid="{DE3A0E87-FABA-4161-9C25-D475A95533AA}"/>
    <cellStyle name="Normal 4 2 7 3" xfId="1145" xr:uid="{6562C69B-4255-4710-B71F-4CE0B42028F9}"/>
    <cellStyle name="Normal 4 2 7 3 2" xfId="2597" xr:uid="{6309DAFA-5033-48A6-9ECE-3F497782616A}"/>
    <cellStyle name="Normal 4 2 7 4" xfId="1872" xr:uid="{D3EB9EB8-5682-4FD7-9638-895099BED536}"/>
    <cellStyle name="Normal 4 2 8" xfId="577" xr:uid="{07DDEE96-AE44-4788-B088-F1EDBE0AAB3C}"/>
    <cellStyle name="Normal 4 2 8 2" xfId="1311" xr:uid="{C9B8890D-64BA-410F-B2FD-B48759244ECD}"/>
    <cellStyle name="Normal 4 2 8 2 2" xfId="2763" xr:uid="{C7294D40-CDDC-441A-94D6-C1734B79A198}"/>
    <cellStyle name="Normal 4 2 8 3" xfId="2038" xr:uid="{96A53F2D-7D01-443B-A18F-486492F187BA}"/>
    <cellStyle name="Normal 4 2 9" xfId="913" xr:uid="{D093AC55-F339-4E45-AE0A-B0989DF96CD0}"/>
    <cellStyle name="Normal 4 2 9 2" xfId="2367" xr:uid="{A0265216-5F3E-46DD-898A-6C3131EE4EEF}"/>
    <cellStyle name="Normal 4 3" xfId="103" xr:uid="{79B38304-5E0A-4DAF-9307-0E0DF2CD9D62}"/>
    <cellStyle name="Normal 4 3 2" xfId="104" xr:uid="{8145A1F0-1CAF-47EC-94D9-CFBB90E7AF9D}"/>
    <cellStyle name="Normal 4 3 2 2" xfId="400" xr:uid="{7724D781-0AC7-4673-9C5D-F80C63A426AF}"/>
    <cellStyle name="Normal 4 3 2 2 2" xfId="766" xr:uid="{F5370440-914B-415C-B7D9-A4CB960DE046}"/>
    <cellStyle name="Normal 4 3 2 2 2 2" xfId="1500" xr:uid="{BF20A8D0-A63A-487C-8A4A-014F93C50146}"/>
    <cellStyle name="Normal 4 3 2 2 2 2 2" xfId="2952" xr:uid="{C9C24FF5-3F3E-4E37-8CF8-7D99F7272D73}"/>
    <cellStyle name="Normal 4 3 2 2 2 3" xfId="2227" xr:uid="{D1D10909-C55F-4023-9C00-DD058F88737D}"/>
    <cellStyle name="Normal 4 3 2 2 3" xfId="1146" xr:uid="{B446C7D5-04ED-4FF5-A882-24E78B11E3BD}"/>
    <cellStyle name="Normal 4 3 2 2 3 2" xfId="2598" xr:uid="{DF5485E5-BFC4-45CA-AF77-A5DC1FCB32D6}"/>
    <cellStyle name="Normal 4 3 2 2 4" xfId="1873" xr:uid="{1A0809CC-6136-44BB-96A2-A6A559A51503}"/>
    <cellStyle name="Normal 4 3 2 3" xfId="584" xr:uid="{BC726564-4F75-4630-8DE3-8C665AAD8486}"/>
    <cellStyle name="Normal 4 3 2 3 2" xfId="1318" xr:uid="{4650E881-D4DA-4BDA-8C20-80DCC845EEB2}"/>
    <cellStyle name="Normal 4 3 2 3 2 2" xfId="2770" xr:uid="{42702017-2C7E-433D-86A6-FB94AAA3B78C}"/>
    <cellStyle name="Normal 4 3 2 3 3" xfId="2045" xr:uid="{D4C54E99-9E15-4C60-B038-060712B78658}"/>
    <cellStyle name="Normal 4 3 2 4" xfId="966" xr:uid="{D7DC40A4-53B9-484E-A15E-930BD964E142}"/>
    <cellStyle name="Normal 4 3 2 4 2" xfId="2418" xr:uid="{9D1B7675-D2E1-4D95-969B-4FDFCCAB2ABD}"/>
    <cellStyle name="Normal 4 3 2 5" xfId="1693" xr:uid="{8D2009EA-A2CC-4DCF-9D94-908B7FE8B108}"/>
    <cellStyle name="Normal 4 3 3" xfId="105" xr:uid="{E4C8F86E-11A2-4C7F-ADCD-5D2FA7C74E90}"/>
    <cellStyle name="Normal 4 3 3 2" xfId="401" xr:uid="{9CAAAB69-D949-4A67-9652-BB4887AF9D43}"/>
    <cellStyle name="Normal 4 3 3 2 2" xfId="767" xr:uid="{F70051A6-5AD8-4139-B8C3-241EC0AD7A94}"/>
    <cellStyle name="Normal 4 3 3 2 2 2" xfId="1501" xr:uid="{DCB4E3F8-4022-4A19-ABD2-7E6C190095DF}"/>
    <cellStyle name="Normal 4 3 3 2 2 2 2" xfId="2953" xr:uid="{6884799E-99A6-46F9-A30E-F984D5C8F76F}"/>
    <cellStyle name="Normal 4 3 3 2 2 3" xfId="2228" xr:uid="{9C284CC8-7CC1-4B81-97AF-E5FEABAEEFD8}"/>
    <cellStyle name="Normal 4 3 3 2 3" xfId="1147" xr:uid="{FB07766E-F315-4B37-B265-608295AA2484}"/>
    <cellStyle name="Normal 4 3 3 2 3 2" xfId="2599" xr:uid="{B61A3EAD-CE69-47A9-8D8E-6DED9517052D}"/>
    <cellStyle name="Normal 4 3 3 2 4" xfId="1874" xr:uid="{572E68BD-E2EA-4752-8E60-CBBA0626ED18}"/>
    <cellStyle name="Normal 4 3 3 3" xfId="585" xr:uid="{D9983CEF-51C6-4FA8-993A-7E171F79DCE3}"/>
    <cellStyle name="Normal 4 3 3 3 2" xfId="1319" xr:uid="{5C509750-7FEC-4FAF-AEEA-C7122571FB7E}"/>
    <cellStyle name="Normal 4 3 3 3 2 2" xfId="2771" xr:uid="{8BAF600E-90E7-4B0B-BFA8-DBDC15DDA6B7}"/>
    <cellStyle name="Normal 4 3 3 3 3" xfId="2046" xr:uid="{1679D039-99E6-45A0-8F5C-2B5DEBD19BAF}"/>
    <cellStyle name="Normal 4 3 3 4" xfId="967" xr:uid="{8498870B-6B4C-4AF1-86CF-3DE8C2B88883}"/>
    <cellStyle name="Normal 4 3 3 4 2" xfId="2419" xr:uid="{0A562D71-91D5-4D3D-A4B9-80590918D3D0}"/>
    <cellStyle name="Normal 4 3 3 5" xfId="1694" xr:uid="{6908F972-EFE2-4A8E-AD7E-A09E5F1B8144}"/>
    <cellStyle name="Normal 4 3 4" xfId="106" xr:uid="{2A66E648-EE0D-4A11-9B99-1B3B9E6E41FE}"/>
    <cellStyle name="Normal 4 3 4 2" xfId="402" xr:uid="{21F82309-2068-4530-9EEE-B7A96F82BA7D}"/>
    <cellStyle name="Normal 4 3 4 2 2" xfId="768" xr:uid="{6792709E-9967-4B1A-B1D1-DD4A1ADB90CD}"/>
    <cellStyle name="Normal 4 3 4 2 2 2" xfId="1502" xr:uid="{A54E63B2-37C5-46EC-980B-1F3402402224}"/>
    <cellStyle name="Normal 4 3 4 2 2 2 2" xfId="2954" xr:uid="{44D8F6E6-97DF-4E94-9769-ABAB3A1B981E}"/>
    <cellStyle name="Normal 4 3 4 2 2 3" xfId="2229" xr:uid="{C1F115C6-4B9B-4FB2-834A-08C3BEBF3769}"/>
    <cellStyle name="Normal 4 3 4 2 3" xfId="1148" xr:uid="{733F374E-6CC3-4F5C-867B-B8EA05E45E53}"/>
    <cellStyle name="Normal 4 3 4 2 3 2" xfId="2600" xr:uid="{10608AB5-5744-49CE-9261-ED5568BA631F}"/>
    <cellStyle name="Normal 4 3 4 2 4" xfId="1875" xr:uid="{6B5E48A9-1F4A-4652-BBF8-4E99F4D190EB}"/>
    <cellStyle name="Normal 4 3 4 3" xfId="586" xr:uid="{E42D3CE8-4A80-4AA0-AFAC-A147D0093E70}"/>
    <cellStyle name="Normal 4 3 4 3 2" xfId="1320" xr:uid="{AB8EF600-AA19-422C-9CA1-A16F4776BF1D}"/>
    <cellStyle name="Normal 4 3 4 3 2 2" xfId="2772" xr:uid="{4475C8E7-162B-4C2B-B19D-216C11D5AA33}"/>
    <cellStyle name="Normal 4 3 4 3 3" xfId="2047" xr:uid="{B499168D-9D23-4D63-91C8-08343C8F5301}"/>
    <cellStyle name="Normal 4 3 4 4" xfId="968" xr:uid="{3DAC8FA9-53F3-4569-B7D1-0681E19B6A03}"/>
    <cellStyle name="Normal 4 3 4 4 2" xfId="2420" xr:uid="{7674F3F4-D221-4384-9338-CB9654D132DF}"/>
    <cellStyle name="Normal 4 3 4 5" xfId="1695" xr:uid="{A87C3854-E3BD-4B73-BE16-7545F75FD2A1}"/>
    <cellStyle name="Normal 4 3 5" xfId="403" xr:uid="{C90A2474-6FE9-46E1-A282-FC5B80ED13E3}"/>
    <cellStyle name="Normal 4 3 5 2" xfId="769" xr:uid="{864C8789-9057-485C-81BF-3E86127D4B67}"/>
    <cellStyle name="Normal 4 3 5 2 2" xfId="1503" xr:uid="{3A87FFF4-9690-47EF-B400-94018447EAB6}"/>
    <cellStyle name="Normal 4 3 5 2 2 2" xfId="2955" xr:uid="{3242BB31-C206-4484-A75F-03BAF913F8D0}"/>
    <cellStyle name="Normal 4 3 5 2 3" xfId="2230" xr:uid="{01F065A1-FC4D-4E7D-8815-D04A98601075}"/>
    <cellStyle name="Normal 4 3 5 3" xfId="1149" xr:uid="{B45C332A-AEB8-4635-9ED8-07FE7EA2AC79}"/>
    <cellStyle name="Normal 4 3 5 3 2" xfId="2601" xr:uid="{11BC8F46-FA62-4EB5-895C-2763592B6531}"/>
    <cellStyle name="Normal 4 3 5 4" xfId="1876" xr:uid="{9CD8122D-AA07-4124-9412-18660B4B83E1}"/>
    <cellStyle name="Normal 4 3 6" xfId="583" xr:uid="{56BEEF9A-9BCD-4B99-AD61-FD4589D3847F}"/>
    <cellStyle name="Normal 4 3 6 2" xfId="1317" xr:uid="{77034F28-66EC-410A-8C14-E78E36FF57A0}"/>
    <cellStyle name="Normal 4 3 6 2 2" xfId="2769" xr:uid="{8D54954F-09BA-4956-BCF5-0F5241003B79}"/>
    <cellStyle name="Normal 4 3 6 3" xfId="2044" xr:uid="{FD07608F-E25A-430D-8FAA-B0BD955B2E3F}"/>
    <cellStyle name="Normal 4 3 7" xfId="965" xr:uid="{686AA8F8-172B-4071-B179-AC26557E02A3}"/>
    <cellStyle name="Normal 4 3 7 2" xfId="2417" xr:uid="{1AA2414C-988C-48D9-A8D6-16DFA0665322}"/>
    <cellStyle name="Normal 4 3 8" xfId="1692" xr:uid="{0794E889-FCCC-4584-97D8-C98E973F5E32}"/>
    <cellStyle name="Normal 4 4" xfId="107" xr:uid="{D5C8254F-A019-4020-B1EF-365BFA6CC8B9}"/>
    <cellStyle name="Normal 4 4 2" xfId="108" xr:uid="{37FBBC95-5716-4456-9344-870136C14591}"/>
    <cellStyle name="Normal 4 4 2 2" xfId="404" xr:uid="{0F81F715-E388-4FB5-889E-300E8966EABC}"/>
    <cellStyle name="Normal 4 4 2 2 2" xfId="770" xr:uid="{88B0C1E5-A1FC-4B4C-9C19-EF615B9F4F78}"/>
    <cellStyle name="Normal 4 4 2 2 2 2" xfId="1504" xr:uid="{8336473E-B7C0-4341-BBE4-31B551D90FFB}"/>
    <cellStyle name="Normal 4 4 2 2 2 2 2" xfId="2956" xr:uid="{912BE26E-CB2F-4122-B004-DAE4A65712FA}"/>
    <cellStyle name="Normal 4 4 2 2 2 3" xfId="2231" xr:uid="{8B305890-A82C-4EEA-BFDF-E60F02684977}"/>
    <cellStyle name="Normal 4 4 2 2 3" xfId="1150" xr:uid="{6E064B31-F62B-4FC1-9579-EA34BAC7B12D}"/>
    <cellStyle name="Normal 4 4 2 2 3 2" xfId="2602" xr:uid="{2C36BF85-DA7B-4B0B-A4CC-FB6604B77519}"/>
    <cellStyle name="Normal 4 4 2 2 4" xfId="1877" xr:uid="{EAF95975-4765-4439-9867-8DC50620688A}"/>
    <cellStyle name="Normal 4 4 2 3" xfId="588" xr:uid="{5302F76C-4876-488B-A712-7844E3FEB41B}"/>
    <cellStyle name="Normal 4 4 2 3 2" xfId="1322" xr:uid="{91564FBB-10D8-4507-B8F4-D6CA8573EC93}"/>
    <cellStyle name="Normal 4 4 2 3 2 2" xfId="2774" xr:uid="{DBB0A3F9-9737-45FE-A59F-AC191EC5BD48}"/>
    <cellStyle name="Normal 4 4 2 3 3" xfId="2049" xr:uid="{06A09D9B-49C3-4EAE-BB3B-BA24374A3795}"/>
    <cellStyle name="Normal 4 4 2 4" xfId="970" xr:uid="{B89A64B1-6FC0-4BC4-8EF7-14F50FC5D3FF}"/>
    <cellStyle name="Normal 4 4 2 4 2" xfId="2422" xr:uid="{06393271-1782-4B3E-9287-82116698B5EB}"/>
    <cellStyle name="Normal 4 4 2 5" xfId="1697" xr:uid="{A80D361F-7C7A-43FE-ABCC-43B16E8AC892}"/>
    <cellStyle name="Normal 4 4 3" xfId="405" xr:uid="{A913884C-EBC2-44E9-B8D2-A1B6786B605A}"/>
    <cellStyle name="Normal 4 4 3 2" xfId="771" xr:uid="{AE1D0099-F9EC-459E-BC5B-3B6EEA243FA3}"/>
    <cellStyle name="Normal 4 4 3 2 2" xfId="1505" xr:uid="{D0483980-FD83-494B-A08F-5F463E0F7334}"/>
    <cellStyle name="Normal 4 4 3 2 2 2" xfId="2957" xr:uid="{AFFF73C1-3CEC-4F2A-8DC4-929DD6F06EDB}"/>
    <cellStyle name="Normal 4 4 3 2 3" xfId="2232" xr:uid="{DE723784-982B-4305-B1FC-FA5EDDCFA78A}"/>
    <cellStyle name="Normal 4 4 3 3" xfId="1151" xr:uid="{8B742FF6-8EF0-40F0-8D35-49557E49D83C}"/>
    <cellStyle name="Normal 4 4 3 3 2" xfId="2603" xr:uid="{05F5329F-05E0-405D-8B92-C5900844E7CA}"/>
    <cellStyle name="Normal 4 4 3 4" xfId="1878" xr:uid="{05CB1DD5-AAD6-4146-A8FD-C0BEA2536998}"/>
    <cellStyle name="Normal 4 4 4" xfId="587" xr:uid="{AB618128-0561-4A55-B5FB-096841876044}"/>
    <cellStyle name="Normal 4 4 4 2" xfId="1321" xr:uid="{A5D75EA3-289E-4228-9F36-CF3CA767318D}"/>
    <cellStyle name="Normal 4 4 4 2 2" xfId="2773" xr:uid="{6017AFCD-934D-43B2-96D9-3FF096D1DDB1}"/>
    <cellStyle name="Normal 4 4 4 3" xfId="2048" xr:uid="{DBB49C2C-6C6B-4BD1-99D8-25EF7F078645}"/>
    <cellStyle name="Normal 4 4 5" xfId="969" xr:uid="{B63AD0E5-63E1-4F80-8EA1-3A5EFF3D400C}"/>
    <cellStyle name="Normal 4 4 5 2" xfId="2421" xr:uid="{F15FBEAB-F349-46D4-AF15-D62E272F0AED}"/>
    <cellStyle name="Normal 4 4 6" xfId="1696" xr:uid="{78B875BB-07D6-45DD-B729-1CDC48BFA64A}"/>
    <cellStyle name="Normal 4 5" xfId="109" xr:uid="{F7C17E1C-C539-4C70-BFEB-A690E69CA17B}"/>
    <cellStyle name="Normal 4 5 2" xfId="110" xr:uid="{962FC6BC-F61E-4695-8442-D52F0BD726C8}"/>
    <cellStyle name="Normal 4 5 2 2" xfId="406" xr:uid="{CAB9E033-861B-4E3C-B747-EDFC0AEFA2DA}"/>
    <cellStyle name="Normal 4 5 2 2 2" xfId="772" xr:uid="{E36164DE-09E9-4B3B-8A71-CCBA22078A01}"/>
    <cellStyle name="Normal 4 5 2 2 2 2" xfId="1506" xr:uid="{CC6065E5-BB44-412F-9FF0-1D549C4198A4}"/>
    <cellStyle name="Normal 4 5 2 2 2 2 2" xfId="2958" xr:uid="{A1294EE5-D953-4B95-B747-26AF5714FFAC}"/>
    <cellStyle name="Normal 4 5 2 2 2 3" xfId="2233" xr:uid="{8D2BB038-3C40-48D9-86B7-6A02C8C137B0}"/>
    <cellStyle name="Normal 4 5 2 2 3" xfId="1152" xr:uid="{1376DED2-3156-434E-A035-1C23CB537392}"/>
    <cellStyle name="Normal 4 5 2 2 3 2" xfId="2604" xr:uid="{F12A6D56-4075-4BAF-8647-57DCC659424B}"/>
    <cellStyle name="Normal 4 5 2 2 4" xfId="1879" xr:uid="{B57C38CE-F9A8-425D-9EFE-DF4A22CCFC01}"/>
    <cellStyle name="Normal 4 5 2 3" xfId="590" xr:uid="{698E69A0-F5F0-4E37-A207-2B9232C7FFB9}"/>
    <cellStyle name="Normal 4 5 2 3 2" xfId="1324" xr:uid="{5C366041-D19F-4B4F-A94F-E347069B81C0}"/>
    <cellStyle name="Normal 4 5 2 3 2 2" xfId="2776" xr:uid="{004F8ECD-8EE9-46A1-880E-DF64B5A8712E}"/>
    <cellStyle name="Normal 4 5 2 3 3" xfId="2051" xr:uid="{B1C56DC6-1ADC-44B5-BB2E-59FD992661AB}"/>
    <cellStyle name="Normal 4 5 2 4" xfId="972" xr:uid="{EB7F57A4-9465-43A3-B930-5E4A3A26C87F}"/>
    <cellStyle name="Normal 4 5 2 4 2" xfId="2424" xr:uid="{942F1159-A533-439F-8582-E167239B1DC6}"/>
    <cellStyle name="Normal 4 5 2 5" xfId="1699" xr:uid="{C592202F-01F9-4CB6-9374-25D53B79CE85}"/>
    <cellStyle name="Normal 4 5 3" xfId="407" xr:uid="{508D62D9-668C-4CED-ADD5-ED5BDED0711C}"/>
    <cellStyle name="Normal 4 5 3 2" xfId="773" xr:uid="{A6467EA2-73E8-46EE-9A27-4D0FDE2AF537}"/>
    <cellStyle name="Normal 4 5 3 2 2" xfId="1507" xr:uid="{950D7459-8C29-40AB-BE8D-B377D65D001E}"/>
    <cellStyle name="Normal 4 5 3 2 2 2" xfId="2959" xr:uid="{94A3EEB8-37E9-4D1B-9811-9CCE2A24DF74}"/>
    <cellStyle name="Normal 4 5 3 2 3" xfId="2234" xr:uid="{A7EF539E-C47B-4A58-B024-2A4BA62CF709}"/>
    <cellStyle name="Normal 4 5 3 3" xfId="1153" xr:uid="{6664CC55-EE11-4E26-B068-00E1B871A34A}"/>
    <cellStyle name="Normal 4 5 3 3 2" xfId="2605" xr:uid="{BCB03DE2-98F0-44C9-BD0B-155A1E7E5408}"/>
    <cellStyle name="Normal 4 5 3 4" xfId="1880" xr:uid="{87EE7EC3-A647-4A1B-A8BB-B2B5D6EEDD4F}"/>
    <cellStyle name="Normal 4 5 4" xfId="589" xr:uid="{72E9BE57-D0DF-4B57-AD33-5AC90CF58B54}"/>
    <cellStyle name="Normal 4 5 4 2" xfId="1323" xr:uid="{2F5FFA7D-F224-4F0C-9C64-478AE1357039}"/>
    <cellStyle name="Normal 4 5 4 2 2" xfId="2775" xr:uid="{75728EF2-7405-43BD-A761-CEBFE7B87FC6}"/>
    <cellStyle name="Normal 4 5 4 3" xfId="2050" xr:uid="{586C5432-935F-405B-97B9-C892C4F68FD3}"/>
    <cellStyle name="Normal 4 5 5" xfId="971" xr:uid="{78935D39-04A4-43D9-A998-2DE7CB1401EB}"/>
    <cellStyle name="Normal 4 5 5 2" xfId="2423" xr:uid="{2AD46894-76DE-4D53-9B67-A9AA956D59CD}"/>
    <cellStyle name="Normal 4 5 6" xfId="1698" xr:uid="{B794AEF3-7936-4D5B-A3B7-3E8D4B7EF210}"/>
    <cellStyle name="Normal 4 6" xfId="111" xr:uid="{BAF47D5B-6869-4224-BC68-A459E4DDC0D5}"/>
    <cellStyle name="Normal 4 6 2" xfId="112" xr:uid="{490B62D6-4B4C-43D3-8D4C-555F5C053E16}"/>
    <cellStyle name="Normal 4 6 2 2" xfId="408" xr:uid="{E9D514FB-A061-4314-8A8B-84EFFC737B7E}"/>
    <cellStyle name="Normal 4 6 2 2 2" xfId="774" xr:uid="{89FBCC51-6D33-4388-97E5-142A568728B3}"/>
    <cellStyle name="Normal 4 6 2 2 2 2" xfId="1508" xr:uid="{339EE3F0-9E3D-4090-88DD-D060D11B6A7B}"/>
    <cellStyle name="Normal 4 6 2 2 2 2 2" xfId="2960" xr:uid="{270715C1-A76A-4DE6-A26D-B3F676844B54}"/>
    <cellStyle name="Normal 4 6 2 2 2 3" xfId="2235" xr:uid="{A0B28BAC-DA46-4CA7-9784-4F6FE3F42247}"/>
    <cellStyle name="Normal 4 6 2 2 3" xfId="1154" xr:uid="{4B3127C4-0023-4AE3-8F8C-45AFE5602564}"/>
    <cellStyle name="Normal 4 6 2 2 3 2" xfId="2606" xr:uid="{CE92EE0F-3A18-40CA-A3D8-34971BAB8C9F}"/>
    <cellStyle name="Normal 4 6 2 2 4" xfId="1881" xr:uid="{99392C26-AEB6-4FC6-94F7-0BFE690191C9}"/>
    <cellStyle name="Normal 4 6 2 3" xfId="592" xr:uid="{B0A22848-A48B-4CDC-BFE6-201BE38F2288}"/>
    <cellStyle name="Normal 4 6 2 3 2" xfId="1326" xr:uid="{1EF7BECD-A10A-493A-B997-F53F76B61436}"/>
    <cellStyle name="Normal 4 6 2 3 2 2" xfId="2778" xr:uid="{50686E9D-318A-4749-890D-E7CA7F465F86}"/>
    <cellStyle name="Normal 4 6 2 3 3" xfId="2053" xr:uid="{C7C0BC24-45A9-4DC7-978A-2D21448A34A6}"/>
    <cellStyle name="Normal 4 6 2 4" xfId="974" xr:uid="{07A95846-6AB5-43EE-BAEE-FC094C4CEC93}"/>
    <cellStyle name="Normal 4 6 2 4 2" xfId="2426" xr:uid="{CDA3F472-6F81-4448-8D93-B8D3341ACA99}"/>
    <cellStyle name="Normal 4 6 2 5" xfId="1701" xr:uid="{37CB1CA7-1E1E-4753-8165-A2910F28FE1E}"/>
    <cellStyle name="Normal 4 6 3" xfId="409" xr:uid="{3846245B-2B7C-4973-8C58-ECD13BC45D22}"/>
    <cellStyle name="Normal 4 6 3 2" xfId="775" xr:uid="{CAE9B6AD-D318-49F9-8D5F-182E38FCD508}"/>
    <cellStyle name="Normal 4 6 3 2 2" xfId="1509" xr:uid="{C0A6A7B5-1A92-4C0D-9A56-15F189F3B1D9}"/>
    <cellStyle name="Normal 4 6 3 2 2 2" xfId="2961" xr:uid="{BF29EA23-007C-4BD1-B93B-4A4BB69549D6}"/>
    <cellStyle name="Normal 4 6 3 2 3" xfId="2236" xr:uid="{F359E44D-9F00-4A65-90A6-3371164C30A8}"/>
    <cellStyle name="Normal 4 6 3 3" xfId="1155" xr:uid="{88D00203-21F4-4B67-B8A7-68BB683BBD0A}"/>
    <cellStyle name="Normal 4 6 3 3 2" xfId="2607" xr:uid="{10C856A9-6D19-4ACE-85D3-090DA3DFD6BD}"/>
    <cellStyle name="Normal 4 6 3 4" xfId="1882" xr:uid="{1E0394CE-5BBD-44C1-8EBA-D6B6B634D9CA}"/>
    <cellStyle name="Normal 4 6 4" xfId="591" xr:uid="{64152E5C-2ECE-4231-8FA9-E59A98C9DDEA}"/>
    <cellStyle name="Normal 4 6 4 2" xfId="1325" xr:uid="{8766E718-FB3E-4A3A-B6FA-82F6C1EF2D55}"/>
    <cellStyle name="Normal 4 6 4 2 2" xfId="2777" xr:uid="{5E201AEB-2905-423C-8E24-D07D5C2FCC14}"/>
    <cellStyle name="Normal 4 6 4 3" xfId="2052" xr:uid="{1233C6BD-D34C-4EAA-B75E-0A8789917134}"/>
    <cellStyle name="Normal 4 6 5" xfId="973" xr:uid="{DFDCDAED-338D-4830-AE22-28CF6484AE23}"/>
    <cellStyle name="Normal 4 6 5 2" xfId="2425" xr:uid="{4C71DDF4-4FC4-460F-9F60-6242D4231AF8}"/>
    <cellStyle name="Normal 4 6 6" xfId="1700" xr:uid="{DDDE00E4-D10B-472E-B742-3FD85198D02E}"/>
    <cellStyle name="Normal 4 7" xfId="113" xr:uid="{21EA9B3E-A0A1-4CA5-A981-FD5FF2A5B6AC}"/>
    <cellStyle name="Normal 4 7 2" xfId="410" xr:uid="{BD5D12BF-B525-4550-82A4-17897D264291}"/>
    <cellStyle name="Normal 4 7 2 2" xfId="776" xr:uid="{3F3532A2-E515-4F0D-8C61-88150570FDFF}"/>
    <cellStyle name="Normal 4 7 2 2 2" xfId="1510" xr:uid="{CF4A2173-1786-426B-989F-980DA5D7C479}"/>
    <cellStyle name="Normal 4 7 2 2 2 2" xfId="2962" xr:uid="{6D1790AA-23D6-4740-AE7E-99334453015B}"/>
    <cellStyle name="Normal 4 7 2 2 3" xfId="2237" xr:uid="{717AC729-9207-4957-910B-756AAACB281F}"/>
    <cellStyle name="Normal 4 7 2 3" xfId="1156" xr:uid="{8FA6DC4B-BE7B-4B9F-8959-BDEAE97D0CA6}"/>
    <cellStyle name="Normal 4 7 2 3 2" xfId="2608" xr:uid="{51E9BCD4-5227-4378-B3F1-6A30C7A4511B}"/>
    <cellStyle name="Normal 4 7 2 4" xfId="1883" xr:uid="{83BBDBEF-18D7-4812-BFF8-8E3BE8835372}"/>
    <cellStyle name="Normal 4 7 3" xfId="593" xr:uid="{7319B3BC-F926-40E4-B182-E9474C449168}"/>
    <cellStyle name="Normal 4 7 3 2" xfId="1327" xr:uid="{B53ED573-90F9-4CC2-8AA5-A56B45237B24}"/>
    <cellStyle name="Normal 4 7 3 2 2" xfId="2779" xr:uid="{E4BAB83F-4254-4BAE-A086-E444E3C705B0}"/>
    <cellStyle name="Normal 4 7 3 3" xfId="2054" xr:uid="{C86B16F5-572E-4C03-B21D-F99D046F3B03}"/>
    <cellStyle name="Normal 4 7 4" xfId="975" xr:uid="{1238E032-7D8C-49FA-8CD7-58A784188194}"/>
    <cellStyle name="Normal 4 7 4 2" xfId="2427" xr:uid="{10BD0596-402E-4D74-A755-8C4820C626DC}"/>
    <cellStyle name="Normal 4 7 5" xfId="1702" xr:uid="{2EBE453D-5FDB-42A9-B82B-3AA3B304499D}"/>
    <cellStyle name="Normal 4 8" xfId="114" xr:uid="{16286DC5-3D0A-4E91-9BA2-4CAF1D4895C7}"/>
    <cellStyle name="Normal 4 8 2" xfId="411" xr:uid="{5804C1CD-445F-49B4-A088-75D920C1776D}"/>
    <cellStyle name="Normal 4 8 2 2" xfId="777" xr:uid="{0418BDA3-758F-40C9-8AC7-CD618CD8AA87}"/>
    <cellStyle name="Normal 4 8 2 2 2" xfId="1511" xr:uid="{FDC2CEFE-3DD8-4070-90F2-AD933290DAD5}"/>
    <cellStyle name="Normal 4 8 2 2 2 2" xfId="2963" xr:uid="{8AA7CD57-B07C-4486-8B5B-FA2CFC7AA46E}"/>
    <cellStyle name="Normal 4 8 2 2 3" xfId="2238" xr:uid="{8C8726AE-0ECE-46B3-99F3-AA07F98644BC}"/>
    <cellStyle name="Normal 4 8 2 3" xfId="1157" xr:uid="{73BA594C-E02A-408F-8FCC-A3C8DCE75CF5}"/>
    <cellStyle name="Normal 4 8 2 3 2" xfId="2609" xr:uid="{BF716E4A-5217-4B0C-AE91-8FF4C80E81E7}"/>
    <cellStyle name="Normal 4 8 2 4" xfId="1884" xr:uid="{B79EF4F2-C28B-4AEC-877D-B9A6E5213B39}"/>
    <cellStyle name="Normal 4 8 3" xfId="594" xr:uid="{190A5336-E716-4947-8286-ED2BFAA1890D}"/>
    <cellStyle name="Normal 4 8 3 2" xfId="1328" xr:uid="{165B6F87-D32F-4148-ABAB-B1032907F72D}"/>
    <cellStyle name="Normal 4 8 3 2 2" xfId="2780" xr:uid="{03889098-241A-4338-A181-042AC14E30C7}"/>
    <cellStyle name="Normal 4 8 3 3" xfId="2055" xr:uid="{62D929A9-872D-4B31-903F-590B1CF7E96A}"/>
    <cellStyle name="Normal 4 8 4" xfId="976" xr:uid="{6839FDBD-53EF-4DF1-857B-19AE9E23A72A}"/>
    <cellStyle name="Normal 4 8 4 2" xfId="2428" xr:uid="{F26B277D-88AF-4B04-A9AB-E00552FCD6DA}"/>
    <cellStyle name="Normal 4 8 5" xfId="1703" xr:uid="{67DFD49A-853C-4430-B8E5-86562BF71274}"/>
    <cellStyle name="Normal 4 9" xfId="115" xr:uid="{4B452871-A934-49A1-A5DF-A28F748D368A}"/>
    <cellStyle name="Normal 4 9 2" xfId="412" xr:uid="{BD89B57C-B669-4BB5-B19C-BB2F521AA4C3}"/>
    <cellStyle name="Normal 4 9 2 2" xfId="778" xr:uid="{83AFC97C-25A0-41B8-8266-1A066E1FE64D}"/>
    <cellStyle name="Normal 4 9 2 2 2" xfId="1512" xr:uid="{D27B8DC4-5011-4EFF-9223-AFB6F704E6AD}"/>
    <cellStyle name="Normal 4 9 2 2 2 2" xfId="2964" xr:uid="{DAAF07FB-6642-47DF-944B-00A00921AF03}"/>
    <cellStyle name="Normal 4 9 2 2 3" xfId="2239" xr:uid="{F9A4F945-8E21-4A55-94F4-8159E5038639}"/>
    <cellStyle name="Normal 4 9 2 3" xfId="1158" xr:uid="{0E610A25-EF75-408A-88F1-F030A1EFB74E}"/>
    <cellStyle name="Normal 4 9 2 3 2" xfId="2610" xr:uid="{DC76B288-1C40-4544-B58E-D99055E0FF7B}"/>
    <cellStyle name="Normal 4 9 2 4" xfId="1885" xr:uid="{AE30AD7A-DDFC-4F2E-8A68-6863A82580AB}"/>
    <cellStyle name="Normal 4 9 3" xfId="595" xr:uid="{70E4713C-09FC-45E5-BBDA-BEB695168FCD}"/>
    <cellStyle name="Normal 4 9 3 2" xfId="1329" xr:uid="{C75C6669-F069-4E7B-A2B9-90994005ECC9}"/>
    <cellStyle name="Normal 4 9 3 2 2" xfId="2781" xr:uid="{F9D959D8-D242-4A50-9B09-49505AC498B4}"/>
    <cellStyle name="Normal 4 9 3 3" xfId="2056" xr:uid="{8271272D-3B41-4D16-B593-C5DAC5B890EA}"/>
    <cellStyle name="Normal 4 9 4" xfId="977" xr:uid="{244377EE-DB11-4A1F-8D8C-66F516C9A836}"/>
    <cellStyle name="Normal 4 9 4 2" xfId="2429" xr:uid="{CC054AE5-F4DF-4823-B532-66D2E330CCA4}"/>
    <cellStyle name="Normal 4 9 5" xfId="1704" xr:uid="{922C6997-7AA0-4F92-BDB3-8400DE6AC593}"/>
    <cellStyle name="Normal 5" xfId="5" xr:uid="{88860645-6122-4A36-A414-09389133E3CE}"/>
    <cellStyle name="Normal 5 10" xfId="13" xr:uid="{4DD5541D-6B18-4FF3-91BA-699F9A82A967}"/>
    <cellStyle name="Normal 5 10 2" xfId="525" xr:uid="{81E1E1E4-1D78-4E7A-BEDC-5A5A29E0261C}"/>
    <cellStyle name="Normal 5 11" xfId="299" xr:uid="{80EEBBB6-60D8-4289-B098-31F1C4DB37D4}"/>
    <cellStyle name="Normal 5 12" xfId="300" xr:uid="{0E8BD93F-EC3D-4481-AAB3-2FD42A2D0385}"/>
    <cellStyle name="Normal 5 13" xfId="301" xr:uid="{748D6F2E-C658-48D3-B96C-2079CE682291}"/>
    <cellStyle name="Normal 5 13 2" xfId="707" xr:uid="{9C6FE234-B962-4BEF-A819-9B276FAAED8F}"/>
    <cellStyle name="Normal 5 13 2 2" xfId="1441" xr:uid="{A6BBCD8D-A27B-4372-BF3E-39E80CF416C4}"/>
    <cellStyle name="Normal 5 13 2 2 2" xfId="2893" xr:uid="{2ED314A0-D882-43DD-A23C-841A8AB44257}"/>
    <cellStyle name="Normal 5 13 2 3" xfId="2168" xr:uid="{54F5C4F5-BC32-49AC-A657-8E1C28E9EC1C}"/>
    <cellStyle name="Normal 5 13 3" xfId="1087" xr:uid="{EBEC40B4-E9BA-45F5-B417-75E662C3F4A9}"/>
    <cellStyle name="Normal 5 13 3 2" xfId="2539" xr:uid="{460DB3D4-D502-4373-9922-23D23BCC27EB}"/>
    <cellStyle name="Normal 5 13 4" xfId="1814" xr:uid="{F70AC33D-69F1-4B53-9587-96F875BC25C4}"/>
    <cellStyle name="Normal 5 14" xfId="40" xr:uid="{6203DC63-A374-46FB-ADEC-6A51C9DCEEE3}"/>
    <cellStyle name="Normal 5 15" xfId="901" xr:uid="{AA1EA64B-5D1D-4A4B-A1F0-C7D10482E7F3}"/>
    <cellStyle name="Normal 5 15 2" xfId="2356" xr:uid="{E5FE5D36-52C1-47AF-8238-9752EAD9EA2B}"/>
    <cellStyle name="Normal 5 16" xfId="1631" xr:uid="{68EC99FC-D9BF-4638-BDC6-11086A069365}"/>
    <cellStyle name="Normal 5 2" xfId="23" xr:uid="{42906F8C-5977-4DFD-A6B4-0E467107EB40}"/>
    <cellStyle name="Normal 5 2 2" xfId="116" xr:uid="{196D7A5C-73F2-4F66-9F62-162C43ACD34C}"/>
    <cellStyle name="Normal 5 2 2 2" xfId="117" xr:uid="{E67FC330-DB36-406F-B2CD-75B5B2225356}"/>
    <cellStyle name="Normal 5 2 2 2 2" xfId="413" xr:uid="{EB7F8D41-7802-4B6B-9E0E-EC9476521F5B}"/>
    <cellStyle name="Normal 5 2 2 2 2 2" xfId="779" xr:uid="{D2B9E8C4-D7C2-43D0-B771-8834DDB2586A}"/>
    <cellStyle name="Normal 5 2 2 2 2 2 2" xfId="1513" xr:uid="{963F0EED-00B6-4255-A223-D64C7A1E4394}"/>
    <cellStyle name="Normal 5 2 2 2 2 2 2 2" xfId="2965" xr:uid="{76D54FF7-4BB1-4C67-A098-50069169BB7E}"/>
    <cellStyle name="Normal 5 2 2 2 2 2 3" xfId="2240" xr:uid="{43EBA1AA-624C-45CE-91DB-12A862F5B8C5}"/>
    <cellStyle name="Normal 5 2 2 2 2 3" xfId="1159" xr:uid="{778D2049-7806-4592-BB33-49FAC0481412}"/>
    <cellStyle name="Normal 5 2 2 2 2 3 2" xfId="2611" xr:uid="{8764FC13-8DF7-40EA-8D71-14A7B961D37B}"/>
    <cellStyle name="Normal 5 2 2 2 2 4" xfId="1886" xr:uid="{9FB7814F-7005-474A-BD65-B7139C193008}"/>
    <cellStyle name="Normal 5 2 2 2 3" xfId="598" xr:uid="{1F828FAC-7D94-4713-815D-676E4968C505}"/>
    <cellStyle name="Normal 5 2 2 2 3 2" xfId="1332" xr:uid="{1743F570-B48C-4849-9218-64730279C2F8}"/>
    <cellStyle name="Normal 5 2 2 2 3 2 2" xfId="2784" xr:uid="{D5E76DD8-F8A1-4579-BE06-C5EDADF059F7}"/>
    <cellStyle name="Normal 5 2 2 2 3 3" xfId="2059" xr:uid="{68C92DE2-35CC-4432-97FF-C0053FFDCA31}"/>
    <cellStyle name="Normal 5 2 2 2 4" xfId="979" xr:uid="{BCABA26A-3AE6-49C6-85ED-6346912D813E}"/>
    <cellStyle name="Normal 5 2 2 2 4 2" xfId="2431" xr:uid="{8D034BFD-3AE2-4789-BF88-C911955B9CAD}"/>
    <cellStyle name="Normal 5 2 2 2 5" xfId="1706" xr:uid="{43A98E03-0B8A-4B1A-9AE6-2037A4B4E286}"/>
    <cellStyle name="Normal 5 2 2 3" xfId="414" xr:uid="{01D69056-386E-4FC8-AD84-BFBBF36306E9}"/>
    <cellStyle name="Normal 5 2 2 3 2" xfId="780" xr:uid="{FE98D298-7CA5-448A-A180-E07EF9E6A080}"/>
    <cellStyle name="Normal 5 2 2 3 2 2" xfId="1514" xr:uid="{35B0938D-2A22-4AA3-A3FA-E4109D6FD29F}"/>
    <cellStyle name="Normal 5 2 2 3 2 2 2" xfId="2966" xr:uid="{996CB459-BDD7-4F4D-AE8A-5752D4EBB358}"/>
    <cellStyle name="Normal 5 2 2 3 2 3" xfId="2241" xr:uid="{275646A4-9DB2-48D7-AFCA-3C144128C6EC}"/>
    <cellStyle name="Normal 5 2 2 3 3" xfId="1160" xr:uid="{889D52C1-F4FA-4C88-9821-D2FA641EBFE6}"/>
    <cellStyle name="Normal 5 2 2 3 3 2" xfId="2612" xr:uid="{B1C9FF41-21EF-4F9A-96F8-DCEB45965B7B}"/>
    <cellStyle name="Normal 5 2 2 3 4" xfId="1887" xr:uid="{06EF2F7F-8053-4504-879C-702F6A5BE704}"/>
    <cellStyle name="Normal 5 2 2 4" xfId="597" xr:uid="{2A766229-6C48-4E22-8C41-EE5D2D53017E}"/>
    <cellStyle name="Normal 5 2 2 4 2" xfId="1331" xr:uid="{2AF9E148-DF39-4850-BF8A-DFBF30128ED9}"/>
    <cellStyle name="Normal 5 2 2 4 2 2" xfId="2783" xr:uid="{AB81C820-9887-40B8-BC05-A5C3D451A720}"/>
    <cellStyle name="Normal 5 2 2 4 3" xfId="2058" xr:uid="{2C3CFF71-EDF6-4086-B0EF-1A7BF59FAAE4}"/>
    <cellStyle name="Normal 5 2 2 5" xfId="978" xr:uid="{52DBA1E1-DEBA-4DCD-9322-ADA84B9F38B3}"/>
    <cellStyle name="Normal 5 2 2 5 2" xfId="2430" xr:uid="{85D693F1-68CF-4F45-B665-DC9A6B74D91F}"/>
    <cellStyle name="Normal 5 2 2 6" xfId="1705" xr:uid="{9A80C4CC-4D1A-4727-9A74-7FE31E4541DC}"/>
    <cellStyle name="Normal 5 2 3" xfId="118" xr:uid="{9B8EFD19-A1CF-43B4-BF84-D97646ACCD90}"/>
    <cellStyle name="Normal 5 2 3 2" xfId="415" xr:uid="{5892FBF2-B4F8-4CE3-9389-DE4712C51C0F}"/>
    <cellStyle name="Normal 5 2 3 2 2" xfId="781" xr:uid="{6034A390-C251-4A74-8684-B60BA32599CF}"/>
    <cellStyle name="Normal 5 2 3 2 2 2" xfId="1515" xr:uid="{F62D316E-7265-4863-BBB3-1B478534EEBF}"/>
    <cellStyle name="Normal 5 2 3 2 2 2 2" xfId="2967" xr:uid="{653644C5-6093-4370-B3CA-2B92CED4F398}"/>
    <cellStyle name="Normal 5 2 3 2 2 3" xfId="2242" xr:uid="{E18C4DF5-45F0-4342-97ED-1E95180145B0}"/>
    <cellStyle name="Normal 5 2 3 2 3" xfId="1161" xr:uid="{709FD182-989F-475E-91DF-CEDD47063753}"/>
    <cellStyle name="Normal 5 2 3 2 3 2" xfId="2613" xr:uid="{3E62D911-280C-4F71-B286-571136B2228A}"/>
    <cellStyle name="Normal 5 2 3 2 4" xfId="1888" xr:uid="{29C2AB3B-5B70-4C8C-ADE8-1E6BFC3A4286}"/>
    <cellStyle name="Normal 5 2 3 3" xfId="599" xr:uid="{482A1ED5-C471-4BD1-AC2D-1D6C85DFFBD7}"/>
    <cellStyle name="Normal 5 2 3 3 2" xfId="1333" xr:uid="{C7EFB6AE-E595-4D25-A49F-138B74E2AFEF}"/>
    <cellStyle name="Normal 5 2 3 3 2 2" xfId="2785" xr:uid="{65AA68B3-C4CB-4D9A-A439-90D05DA56288}"/>
    <cellStyle name="Normal 5 2 3 3 3" xfId="2060" xr:uid="{785C46B0-517D-4448-8940-89A4C824B757}"/>
    <cellStyle name="Normal 5 2 3 4" xfId="980" xr:uid="{18BA316C-292D-4652-9760-1D8AD16C392B}"/>
    <cellStyle name="Normal 5 2 3 4 2" xfId="2432" xr:uid="{87F19BAB-6E29-4362-A99B-5D5465C962BB}"/>
    <cellStyle name="Normal 5 2 3 5" xfId="1707" xr:uid="{F90E661C-C023-40AC-91B9-4E85D2874E10}"/>
    <cellStyle name="Normal 5 2 4" xfId="119" xr:uid="{C159B6CC-E51D-4B2F-8190-033A09319E33}"/>
    <cellStyle name="Normal 5 2 4 2" xfId="416" xr:uid="{99CC4563-9833-48A7-BEB9-517FB066D9E9}"/>
    <cellStyle name="Normal 5 2 4 2 2" xfId="782" xr:uid="{68E7FBE0-6DAD-49E9-9C5F-D91729869592}"/>
    <cellStyle name="Normal 5 2 4 2 2 2" xfId="1516" xr:uid="{3C17C333-6B21-4D5B-AA5C-364952829AD5}"/>
    <cellStyle name="Normal 5 2 4 2 2 2 2" xfId="2968" xr:uid="{41C283C9-8DE4-435B-A858-A888BA6F4BC5}"/>
    <cellStyle name="Normal 5 2 4 2 2 3" xfId="2243" xr:uid="{EB13226C-88D0-4DDE-860E-F529C5EE704C}"/>
    <cellStyle name="Normal 5 2 4 2 3" xfId="1162" xr:uid="{D8129F52-44A8-4DBD-B7F3-D00C269086CC}"/>
    <cellStyle name="Normal 5 2 4 2 3 2" xfId="2614" xr:uid="{5EB15961-27F4-4AC9-8E69-D9B40F0FB853}"/>
    <cellStyle name="Normal 5 2 4 2 4" xfId="1889" xr:uid="{F7CFD0CB-01EB-4070-91AC-CC99B4655EA7}"/>
    <cellStyle name="Normal 5 2 4 3" xfId="600" xr:uid="{47C35429-8475-483C-8536-78D366F0E9D9}"/>
    <cellStyle name="Normal 5 2 4 3 2" xfId="1334" xr:uid="{6C243406-71B3-41B3-9116-0FB576A00FDF}"/>
    <cellStyle name="Normal 5 2 4 3 2 2" xfId="2786" xr:uid="{25135843-6195-40BE-9300-66C5F979B239}"/>
    <cellStyle name="Normal 5 2 4 3 3" xfId="2061" xr:uid="{ED9857FB-0AEB-4A6A-B52F-56FCE77C5A96}"/>
    <cellStyle name="Normal 5 2 4 4" xfId="981" xr:uid="{2B05AEA5-49A5-4D95-A89B-61BEA01932EA}"/>
    <cellStyle name="Normal 5 2 4 4 2" xfId="2433" xr:uid="{5A88EA78-CDB2-41BF-9F7C-831EE31CC11C}"/>
    <cellStyle name="Normal 5 2 4 5" xfId="1708" xr:uid="{32016DC6-AE54-45C8-8742-4F9E7726A6E0}"/>
    <cellStyle name="Normal 5 2 5" xfId="417" xr:uid="{D0A7760B-67C7-4067-9B74-3DAA54D47D91}"/>
    <cellStyle name="Normal 5 2 5 2" xfId="783" xr:uid="{2E87399D-2F8D-4AEE-A24A-E3975AF72E32}"/>
    <cellStyle name="Normal 5 2 5 2 2" xfId="1517" xr:uid="{7081B2CB-F059-46D8-8811-A1E876969DA9}"/>
    <cellStyle name="Normal 5 2 5 2 2 2" xfId="2969" xr:uid="{672E20FC-B25A-436C-8331-65723F059D9D}"/>
    <cellStyle name="Normal 5 2 5 2 3" xfId="2244" xr:uid="{E0F0CAC9-477B-4289-B9E1-1D3C2F4F87C1}"/>
    <cellStyle name="Normal 5 2 5 3" xfId="1163" xr:uid="{FD6A0C02-0789-43FA-8972-3B79AA1AA9BC}"/>
    <cellStyle name="Normal 5 2 5 3 2" xfId="2615" xr:uid="{D917D844-BAB4-4AE2-B966-88006DFC0967}"/>
    <cellStyle name="Normal 5 2 5 4" xfId="1890" xr:uid="{7C3DC069-94EA-45B1-B96B-0B0EC9610EF4}"/>
    <cellStyle name="Normal 5 2 6" xfId="418" xr:uid="{7F05A803-C9B9-4C41-9BCB-7571169C9A4E}"/>
    <cellStyle name="Normal 5 2 6 2" xfId="784" xr:uid="{25BB1344-A7A6-43FA-A548-80A5D4C888E3}"/>
    <cellStyle name="Normal 5 2 6 2 2" xfId="1518" xr:uid="{C8933AFE-2DA1-47B0-9A75-CF5400D59F7D}"/>
    <cellStyle name="Normal 5 2 6 2 2 2" xfId="2970" xr:uid="{AAE2723F-16AF-454B-9D39-441074447BAB}"/>
    <cellStyle name="Normal 5 2 6 2 3" xfId="2245" xr:uid="{3F059A0C-D99D-40BD-89A8-5D6D274FD55C}"/>
    <cellStyle name="Normal 5 2 6 3" xfId="1164" xr:uid="{D138F0CD-27D7-463B-BA69-D8221985D63C}"/>
    <cellStyle name="Normal 5 2 6 3 2" xfId="2616" xr:uid="{4A0649F7-FFA6-4260-A973-9CBB0DBE4150}"/>
    <cellStyle name="Normal 5 2 6 4" xfId="1891" xr:uid="{049A5F5E-14A9-4138-A60D-FDFF7980DEEB}"/>
    <cellStyle name="Normal 5 2 7" xfId="596" xr:uid="{BC6E2EA9-84CF-4369-9635-0495929C8D2E}"/>
    <cellStyle name="Normal 5 2 7 2" xfId="1330" xr:uid="{3BA3196B-93D9-45D6-AA85-E3AAE2A5A359}"/>
    <cellStyle name="Normal 5 2 7 2 2" xfId="2782" xr:uid="{99B349F8-61CA-4731-A9D8-3ECCEF2644D5}"/>
    <cellStyle name="Normal 5 2 7 3" xfId="2057" xr:uid="{CE7618F8-094F-4C02-9C19-56A8DACCDC90}"/>
    <cellStyle name="Normal 5 2 8" xfId="911" xr:uid="{98176748-4BC7-489F-951E-9BE579830FA6}"/>
    <cellStyle name="Normal 5 2 8 2" xfId="2365" xr:uid="{322F52F3-F110-4D09-AEC3-EA25EF8C9DDB}"/>
    <cellStyle name="Normal 5 2 9" xfId="1640" xr:uid="{1F2E1F47-7D4F-46C5-A155-779AABBC9FAD}"/>
    <cellStyle name="Normal 5 3" xfId="18" xr:uid="{82F8A8D7-A461-46E0-90D4-5B68E07B64E6}"/>
    <cellStyle name="Normal 5 3 2" xfId="120" xr:uid="{4DC29371-41A8-4FF6-9275-9B3D6194EBD3}"/>
    <cellStyle name="Normal 5 3 2 2" xfId="419" xr:uid="{D0B6D212-BF74-4D59-942B-38CAB4F1BAA5}"/>
    <cellStyle name="Normal 5 3 2 2 2" xfId="785" xr:uid="{2DA3FFF1-BE38-4A76-B3A0-9536592D98BA}"/>
    <cellStyle name="Normal 5 3 2 2 2 2" xfId="1519" xr:uid="{F15FF695-A0FC-48B4-833C-1403FB2DA445}"/>
    <cellStyle name="Normal 5 3 2 2 2 2 2" xfId="2971" xr:uid="{98BD0DDD-28B2-4F34-82C7-826C1D30EB1D}"/>
    <cellStyle name="Normal 5 3 2 2 2 3" xfId="2246" xr:uid="{5E955E94-B7C7-4102-8F0B-397E4CABBE48}"/>
    <cellStyle name="Normal 5 3 2 2 3" xfId="1165" xr:uid="{3248F61E-E199-4985-81DF-7805EFFB3048}"/>
    <cellStyle name="Normal 5 3 2 2 3 2" xfId="2617" xr:uid="{94CF0B8B-F7B5-48F4-B290-293A5E0B1605}"/>
    <cellStyle name="Normal 5 3 2 2 4" xfId="1892" xr:uid="{14DB2EA3-567F-4FA5-BE41-7409507A7945}"/>
    <cellStyle name="Normal 5 3 2 3" xfId="602" xr:uid="{DCDC14A2-9FB3-4CE3-BD48-12B5FF8BAFFA}"/>
    <cellStyle name="Normal 5 3 2 3 2" xfId="1336" xr:uid="{462D1160-E8D4-4E9F-BFDF-F09A9F462E43}"/>
    <cellStyle name="Normal 5 3 2 3 2 2" xfId="2788" xr:uid="{C658CEBD-B4D5-443A-B652-BC7E754B0BB4}"/>
    <cellStyle name="Normal 5 3 2 3 3" xfId="2063" xr:uid="{7870AB62-5309-4364-854A-60347434860C}"/>
    <cellStyle name="Normal 5 3 2 4" xfId="982" xr:uid="{3844DE8B-593E-4297-B02C-5B76EA99B86C}"/>
    <cellStyle name="Normal 5 3 2 4 2" xfId="2434" xr:uid="{5C9402DF-D4FA-4E10-936F-D48F76280F5B}"/>
    <cellStyle name="Normal 5 3 2 5" xfId="1709" xr:uid="{F14936B2-F7C9-431E-871E-2C3BEBC4C1E0}"/>
    <cellStyle name="Normal 5 3 3" xfId="121" xr:uid="{6EBEC1A7-7E97-4D5E-8029-7CDCB269498A}"/>
    <cellStyle name="Normal 5 3 3 2" xfId="420" xr:uid="{BD778BFA-64A8-44C3-B96D-2F087EA3636C}"/>
    <cellStyle name="Normal 5 3 3 2 2" xfId="786" xr:uid="{AE8F342C-620D-4011-BB80-F3853113E4BB}"/>
    <cellStyle name="Normal 5 3 3 2 2 2" xfId="1520" xr:uid="{63194F90-B604-4C7C-B147-F37F26453DED}"/>
    <cellStyle name="Normal 5 3 3 2 2 2 2" xfId="2972" xr:uid="{DC79F60A-C02C-492E-9D55-904FE2031D45}"/>
    <cellStyle name="Normal 5 3 3 2 2 3" xfId="2247" xr:uid="{DCF9F8FA-F346-4DBB-B168-972907E0014B}"/>
    <cellStyle name="Normal 5 3 3 2 3" xfId="1166" xr:uid="{332B0C70-6CFA-42F4-B772-0CBCEC47CE35}"/>
    <cellStyle name="Normal 5 3 3 2 3 2" xfId="2618" xr:uid="{78F5C472-2030-4288-8793-B8304E37A4CE}"/>
    <cellStyle name="Normal 5 3 3 2 4" xfId="1893" xr:uid="{AA7F95C2-E12C-45F1-8EB4-A623AC829E1C}"/>
    <cellStyle name="Normal 5 3 3 3" xfId="603" xr:uid="{247E4F82-0242-47EF-8036-706E833EA063}"/>
    <cellStyle name="Normal 5 3 3 3 2" xfId="1337" xr:uid="{DB4AD1A9-AC53-4BA0-8664-A65C7D7512DF}"/>
    <cellStyle name="Normal 5 3 3 3 2 2" xfId="2789" xr:uid="{AD27CFB5-884B-4167-9AFA-22F153A787DD}"/>
    <cellStyle name="Normal 5 3 3 3 3" xfId="2064" xr:uid="{EF17FF47-F5C0-4AF7-A7CB-B5FCA5AA6658}"/>
    <cellStyle name="Normal 5 3 3 4" xfId="983" xr:uid="{345DBB2F-E0F1-4FDE-9FA1-3E3D092D3BE6}"/>
    <cellStyle name="Normal 5 3 3 4 2" xfId="2435" xr:uid="{3CEDEF4A-1065-462E-BCA9-338966E443BA}"/>
    <cellStyle name="Normal 5 3 3 5" xfId="1710" xr:uid="{D095298F-BA99-4D58-8E3F-E893B88F1679}"/>
    <cellStyle name="Normal 5 3 4" xfId="421" xr:uid="{AA02DC81-E54C-4ABA-B4F1-C5E14C970EC9}"/>
    <cellStyle name="Normal 5 3 4 2" xfId="787" xr:uid="{A13095DC-F154-4134-91E0-7D55C8F9EB89}"/>
    <cellStyle name="Normal 5 3 4 2 2" xfId="1521" xr:uid="{DE9B6B37-C9CE-4E46-A3DD-6BF50A246C3C}"/>
    <cellStyle name="Normal 5 3 4 2 2 2" xfId="2973" xr:uid="{CB76A9FA-CB91-464C-B18F-076ADAEA9605}"/>
    <cellStyle name="Normal 5 3 4 2 3" xfId="2248" xr:uid="{07477150-D5CA-4B26-BA4D-FFE44A2374A8}"/>
    <cellStyle name="Normal 5 3 4 3" xfId="1167" xr:uid="{C12F5600-F69B-4340-991D-6CB909274623}"/>
    <cellStyle name="Normal 5 3 4 3 2" xfId="2619" xr:uid="{55B4DA89-A98D-4A8B-B1FF-7432C8A1589B}"/>
    <cellStyle name="Normal 5 3 4 4" xfId="1894" xr:uid="{205F71A9-107B-42BA-9E13-6A0225CBFFA0}"/>
    <cellStyle name="Normal 5 3 5" xfId="601" xr:uid="{053FF506-9D9C-432D-A039-8B85330AC4B4}"/>
    <cellStyle name="Normal 5 3 5 2" xfId="1335" xr:uid="{00708DC2-1CD7-47A8-9041-5DDCD6312486}"/>
    <cellStyle name="Normal 5 3 5 2 2" xfId="2787" xr:uid="{B7ED6444-99E6-4433-AB3A-28189766EDA6}"/>
    <cellStyle name="Normal 5 3 5 3" xfId="2062" xr:uid="{D53420FD-3398-46D4-A32E-ED42FE29FA86}"/>
    <cellStyle name="Normal 5 3 6" xfId="897" xr:uid="{7F729E4D-069A-4742-890E-72A8544E3250}"/>
    <cellStyle name="Normal 5 3 6 2" xfId="1626" xr:uid="{1233E8BA-6293-4FB2-B2FA-9206D54DC4B3}"/>
    <cellStyle name="Normal 5 3 6 2 2" xfId="3077" xr:uid="{EA3704F7-6B63-4149-9C98-5F2E2B24D2E5}"/>
    <cellStyle name="Normal 5 3 6 3" xfId="1630" xr:uid="{8EFDA90A-0A3F-46B2-814B-B0992E423926}"/>
    <cellStyle name="Normal 5 3 6 3 2" xfId="3081" xr:uid="{DF0F619D-4A4C-45AE-92B5-5850B3222EB8}"/>
    <cellStyle name="Normal 5 3 6 4" xfId="2352" xr:uid="{3B3C0701-5DCD-4B36-9C91-C0F7763F64DE}"/>
    <cellStyle name="Normal 5 3 7" xfId="907" xr:uid="{215A435D-344A-4168-AB7A-C9B78D8CDD36}"/>
    <cellStyle name="Normal 5 3 7 2" xfId="2362" xr:uid="{6554E750-CFB5-4F1A-ADF9-E8AEC6581222}"/>
    <cellStyle name="Normal 5 3 8" xfId="1637" xr:uid="{46492B55-A277-45E5-B7E5-825A1DEBF1EE}"/>
    <cellStyle name="Normal 5 4" xfId="122" xr:uid="{F02C1AA7-3884-4CA6-9B87-07B80C919547}"/>
    <cellStyle name="Normal 5 4 2" xfId="123" xr:uid="{E65EB765-D6C9-4EA7-B362-E1D0A364BC1A}"/>
    <cellStyle name="Normal 5 4 2 2" xfId="422" xr:uid="{4E85FCC5-B763-4F37-9788-D70DEB9BF6F3}"/>
    <cellStyle name="Normal 5 4 2 2 2" xfId="788" xr:uid="{0B43C975-BD84-4CF0-BB32-3A83C2E8FA5D}"/>
    <cellStyle name="Normal 5 4 2 2 2 2" xfId="1522" xr:uid="{88F6E1BF-1995-4257-8F22-C604C416AB2F}"/>
    <cellStyle name="Normal 5 4 2 2 2 2 2" xfId="2974" xr:uid="{6C1167BE-98A5-4252-9034-7E3B553F8202}"/>
    <cellStyle name="Normal 5 4 2 2 2 3" xfId="2249" xr:uid="{566A2E0F-10F2-4DED-B482-E647A87849B7}"/>
    <cellStyle name="Normal 5 4 2 2 3" xfId="1168" xr:uid="{61A5D69E-DADA-45D5-9CD7-482D74FD98AF}"/>
    <cellStyle name="Normal 5 4 2 2 3 2" xfId="2620" xr:uid="{BB2B741C-0F2C-43F0-838D-699404E88561}"/>
    <cellStyle name="Normal 5 4 2 2 4" xfId="1895" xr:uid="{4C93E84B-B285-4EDA-A6EC-03685E347D51}"/>
    <cellStyle name="Normal 5 4 2 3" xfId="605" xr:uid="{300201B3-30C9-4102-9CDF-DCCA6A953162}"/>
    <cellStyle name="Normal 5 4 2 3 2" xfId="1339" xr:uid="{8037AC30-04EB-47B7-BAE8-4AE4413894ED}"/>
    <cellStyle name="Normal 5 4 2 3 2 2" xfId="2791" xr:uid="{9B17577E-C70C-4823-BF77-0D11547C9A9E}"/>
    <cellStyle name="Normal 5 4 2 3 3" xfId="2066" xr:uid="{C2CD9C2A-98A4-468E-A8F0-85EB7BBF50DE}"/>
    <cellStyle name="Normal 5 4 2 4" xfId="985" xr:uid="{84465322-2844-4136-994F-2098A33F0AD2}"/>
    <cellStyle name="Normal 5 4 2 4 2" xfId="2437" xr:uid="{3D1B6FD2-B343-47F4-9570-4771C891041D}"/>
    <cellStyle name="Normal 5 4 2 5" xfId="1712" xr:uid="{9151B45B-564D-4811-B884-70A4C0E375EB}"/>
    <cellStyle name="Normal 5 4 3" xfId="423" xr:uid="{617323A1-EC61-4FAA-88C8-C5273B5CEC3A}"/>
    <cellStyle name="Normal 5 4 3 2" xfId="789" xr:uid="{331F2490-B642-4F38-8123-ED2F61050AE9}"/>
    <cellStyle name="Normal 5 4 3 2 2" xfId="1523" xr:uid="{6ADDFED9-C413-4052-A4CB-FC2C360616E2}"/>
    <cellStyle name="Normal 5 4 3 2 2 2" xfId="2975" xr:uid="{EE0BB6A1-598A-48D3-8124-5490ADE0E6A6}"/>
    <cellStyle name="Normal 5 4 3 2 3" xfId="2250" xr:uid="{5B4E26C8-DBFA-4B31-AE73-34AB9629DF8D}"/>
    <cellStyle name="Normal 5 4 3 3" xfId="1169" xr:uid="{A4670CA6-7325-45C8-8567-52B0C3975966}"/>
    <cellStyle name="Normal 5 4 3 3 2" xfId="2621" xr:uid="{EDF23885-0EDF-425E-BD65-1FD76765CF5D}"/>
    <cellStyle name="Normal 5 4 3 4" xfId="1896" xr:uid="{9FBF61A5-85D1-4936-8D95-3E4737800D13}"/>
    <cellStyle name="Normal 5 4 4" xfId="604" xr:uid="{4EED2935-51D1-417F-AEF7-2CC818DE8546}"/>
    <cellStyle name="Normal 5 4 4 2" xfId="1338" xr:uid="{3C143AE5-64A8-4E93-AB93-4E73F1C9667A}"/>
    <cellStyle name="Normal 5 4 4 2 2" xfId="2790" xr:uid="{0D6ED22A-8671-4DC5-9662-57F8E08ADD70}"/>
    <cellStyle name="Normal 5 4 4 3" xfId="2065" xr:uid="{5825C6F5-83BA-457C-9053-6EDB7927E346}"/>
    <cellStyle name="Normal 5 4 5" xfId="984" xr:uid="{183A2D25-0FFE-4D6B-B1C4-A376B553BDE6}"/>
    <cellStyle name="Normal 5 4 5 2" xfId="2436" xr:uid="{804A5749-B8FF-4D12-8947-EB8891299DE1}"/>
    <cellStyle name="Normal 5 4 6" xfId="1711" xr:uid="{3C620D86-B1E0-4C74-AA5C-672BAB35D059}"/>
    <cellStyle name="Normal 5 5" xfId="124" xr:uid="{DF5D75CD-8BCC-4393-AD35-2DC5C359845E}"/>
    <cellStyle name="Normal 5 5 2" xfId="125" xr:uid="{6835D658-9273-498D-BB48-5C96B7E488BE}"/>
    <cellStyle name="Normal 5 5 2 2" xfId="424" xr:uid="{34B85A2B-D892-49A1-822C-55374911587A}"/>
    <cellStyle name="Normal 5 5 2 2 2" xfId="790" xr:uid="{DDC8D6B9-314C-49ED-BEEC-30D54DF8AFD7}"/>
    <cellStyle name="Normal 5 5 2 2 2 2" xfId="1524" xr:uid="{1CF94A70-9D0C-4AF3-868B-7A18E2C9F00A}"/>
    <cellStyle name="Normal 5 5 2 2 2 2 2" xfId="2976" xr:uid="{554D9AD9-0737-4C45-B5B3-2C8317069773}"/>
    <cellStyle name="Normal 5 5 2 2 2 3" xfId="2251" xr:uid="{FEA8731C-2058-41AE-BF5E-660FDB9EDE99}"/>
    <cellStyle name="Normal 5 5 2 2 3" xfId="1170" xr:uid="{144204B3-F1DB-4A92-AFFA-08ABD8A83455}"/>
    <cellStyle name="Normal 5 5 2 2 3 2" xfId="2622" xr:uid="{735F7701-BBF0-454C-A68B-349D33206813}"/>
    <cellStyle name="Normal 5 5 2 2 4" xfId="1897" xr:uid="{E73729B6-8FC2-403E-84B6-6893CB53C21D}"/>
    <cellStyle name="Normal 5 5 2 3" xfId="607" xr:uid="{49ABD88A-F8C0-4F79-B8A4-7200E7D18AF6}"/>
    <cellStyle name="Normal 5 5 2 3 2" xfId="1341" xr:uid="{CAE0E2CD-208A-485C-8D64-BECD0E9F35E0}"/>
    <cellStyle name="Normal 5 5 2 3 2 2" xfId="2793" xr:uid="{4F446D92-27B3-487A-A6A4-2E3AB04CE091}"/>
    <cellStyle name="Normal 5 5 2 3 3" xfId="2068" xr:uid="{3DA5D5DF-4A15-45CE-A870-3D06BA8428DC}"/>
    <cellStyle name="Normal 5 5 2 4" xfId="987" xr:uid="{10C06CE2-7949-4577-936A-60E5ED676EB9}"/>
    <cellStyle name="Normal 5 5 2 4 2" xfId="2439" xr:uid="{1184D954-C09A-4390-9DB2-BAEC846764CD}"/>
    <cellStyle name="Normal 5 5 2 5" xfId="1714" xr:uid="{4DED9573-F44C-4AB4-A24C-F05BC7023563}"/>
    <cellStyle name="Normal 5 5 3" xfId="425" xr:uid="{83423BAC-C628-4C10-93C7-D10E271ABF89}"/>
    <cellStyle name="Normal 5 5 3 2" xfId="791" xr:uid="{C01F6E9D-BD5B-4981-BA73-8407125DDE14}"/>
    <cellStyle name="Normal 5 5 3 2 2" xfId="1525" xr:uid="{1985CB19-4941-46C7-94DB-55D10AA84153}"/>
    <cellStyle name="Normal 5 5 3 2 2 2" xfId="2977" xr:uid="{85250F82-BEB4-4195-8CAD-5F424416D144}"/>
    <cellStyle name="Normal 5 5 3 2 3" xfId="2252" xr:uid="{6F949350-D6A0-4162-990E-22CF9DF7475C}"/>
    <cellStyle name="Normal 5 5 3 3" xfId="1171" xr:uid="{845E65BC-407E-4365-9C3E-88AA1E2E15B0}"/>
    <cellStyle name="Normal 5 5 3 3 2" xfId="2623" xr:uid="{98E328FC-42A6-4BC2-A628-771EE7B84E1B}"/>
    <cellStyle name="Normal 5 5 3 4" xfId="1898" xr:uid="{C4FF8B3A-BA19-4B1E-9E16-ED15E1651D2D}"/>
    <cellStyle name="Normal 5 5 4" xfId="606" xr:uid="{2BD35F76-1E4F-4239-BC8F-4812009CD37E}"/>
    <cellStyle name="Normal 5 5 4 2" xfId="1340" xr:uid="{881DAF4A-E1F6-46B7-9DEF-DA97E31E45AE}"/>
    <cellStyle name="Normal 5 5 4 2 2" xfId="2792" xr:uid="{448078A6-01F1-416B-B4AA-39E4E7E9049C}"/>
    <cellStyle name="Normal 5 5 4 3" xfId="2067" xr:uid="{98F51CDD-2C9A-491B-9E0C-E8CC9B7734DD}"/>
    <cellStyle name="Normal 5 5 5" xfId="986" xr:uid="{224FE1D4-17FF-4FBE-A51E-2524100F89F6}"/>
    <cellStyle name="Normal 5 5 5 2" xfId="2438" xr:uid="{EC390FE1-42F8-46B1-AC32-3EB4F6CD58CB}"/>
    <cellStyle name="Normal 5 5 6" xfId="1713" xr:uid="{F645E94A-D6D6-44B6-A301-B13FED26BA06}"/>
    <cellStyle name="Normal 5 6" xfId="126" xr:uid="{2BE5B870-8F16-4EDD-AACE-DA13F7537AC1}"/>
    <cellStyle name="Normal 5 6 2" xfId="127" xr:uid="{B760A2F4-4A4B-4D35-9BE7-0BC8EF1EE61A}"/>
    <cellStyle name="Normal 5 6 2 2" xfId="426" xr:uid="{71A52A9A-6D6F-458A-A20D-3DB7EB27A2E3}"/>
    <cellStyle name="Normal 5 6 2 2 2" xfId="792" xr:uid="{168A3B5F-FDEB-4857-A1AE-32643655D8D1}"/>
    <cellStyle name="Normal 5 6 2 2 2 2" xfId="1526" xr:uid="{5CD1C017-DDC8-4275-BB52-00ECE4C2CE2B}"/>
    <cellStyle name="Normal 5 6 2 2 2 2 2" xfId="2978" xr:uid="{01421C6B-DC34-43D3-8F46-FAF4CF143588}"/>
    <cellStyle name="Normal 5 6 2 2 2 3" xfId="2253" xr:uid="{C776E7DD-E1CE-4899-9DB8-388832F259BE}"/>
    <cellStyle name="Normal 5 6 2 2 3" xfId="1172" xr:uid="{64E18F47-3A9F-41CF-9635-D65AD489396F}"/>
    <cellStyle name="Normal 5 6 2 2 3 2" xfId="2624" xr:uid="{27204F9A-51F6-42DF-857E-879279996057}"/>
    <cellStyle name="Normal 5 6 2 2 4" xfId="1899" xr:uid="{4D56F5F6-BF11-46FA-B217-93AE4C6C44A7}"/>
    <cellStyle name="Normal 5 6 2 3" xfId="609" xr:uid="{6CB9334F-1612-4FDF-9759-68424E348664}"/>
    <cellStyle name="Normal 5 6 2 3 2" xfId="1343" xr:uid="{19207389-0338-4BD1-802D-3D046F833129}"/>
    <cellStyle name="Normal 5 6 2 3 2 2" xfId="2795" xr:uid="{D048D99F-99CF-4024-B0E6-2C208AA1EA0B}"/>
    <cellStyle name="Normal 5 6 2 3 3" xfId="2070" xr:uid="{95ADD850-F2D5-499F-B9B5-2C4F3151F93D}"/>
    <cellStyle name="Normal 5 6 2 4" xfId="989" xr:uid="{299140B7-429C-4B97-B2C8-3C5D0593462F}"/>
    <cellStyle name="Normal 5 6 2 4 2" xfId="2441" xr:uid="{CAB92F07-4F3C-4FB2-80B1-7653ED4C9EDE}"/>
    <cellStyle name="Normal 5 6 2 5" xfId="1716" xr:uid="{7FD41C70-3691-43DF-8F0E-27CC12066239}"/>
    <cellStyle name="Normal 5 6 3" xfId="427" xr:uid="{4F53109C-B28E-4400-9C19-388A680B20EB}"/>
    <cellStyle name="Normal 5 6 3 2" xfId="793" xr:uid="{BC34F087-35F3-4484-B8B2-8096C916A37E}"/>
    <cellStyle name="Normal 5 6 3 2 2" xfId="1527" xr:uid="{D06F7D4F-36F2-4506-8E3F-4CB40203FD79}"/>
    <cellStyle name="Normal 5 6 3 2 2 2" xfId="2979" xr:uid="{83B74F53-6034-44CC-A1C1-F0D04E66D2C8}"/>
    <cellStyle name="Normal 5 6 3 2 3" xfId="2254" xr:uid="{08E6D9A5-4E18-4FA1-96E9-C7417ED9517D}"/>
    <cellStyle name="Normal 5 6 3 3" xfId="1173" xr:uid="{B25CE08C-FB71-49E4-A6F4-D2994123A111}"/>
    <cellStyle name="Normal 5 6 3 3 2" xfId="2625" xr:uid="{41A779D3-6966-47E6-9140-4E71852B99EE}"/>
    <cellStyle name="Normal 5 6 3 4" xfId="1900" xr:uid="{1C774036-05B0-4DD9-A976-5FFD36595409}"/>
    <cellStyle name="Normal 5 6 4" xfId="608" xr:uid="{66447C39-A753-4EC6-AACB-716380D0AE48}"/>
    <cellStyle name="Normal 5 6 4 2" xfId="1342" xr:uid="{C94B3BAF-0B45-47F8-943B-EFE08B86AD9A}"/>
    <cellStyle name="Normal 5 6 4 2 2" xfId="2794" xr:uid="{FA3C6E0B-27FF-4B4E-B02A-42729724E429}"/>
    <cellStyle name="Normal 5 6 4 3" xfId="2069" xr:uid="{2088C531-B6A2-4BD7-88E0-CF2CB6F6BF4D}"/>
    <cellStyle name="Normal 5 6 5" xfId="988" xr:uid="{638EAF7B-92E3-4AFC-937C-DAB13DF3CD9A}"/>
    <cellStyle name="Normal 5 6 5 2" xfId="2440" xr:uid="{DEF8056E-694B-4AD1-865E-BCC94D73332E}"/>
    <cellStyle name="Normal 5 6 6" xfId="1715" xr:uid="{F7BE9059-E4E2-4DA4-9F58-A2F1604AB2C1}"/>
    <cellStyle name="Normal 5 7" xfId="128" xr:uid="{951C75D8-E64F-4859-BACE-AB0842CC5A46}"/>
    <cellStyle name="Normal 5 7 2" xfId="428" xr:uid="{3EB274DE-4701-4913-ABA6-B8259D8E805D}"/>
    <cellStyle name="Normal 5 7 2 2" xfId="794" xr:uid="{F8554BD7-16BD-4AFC-9089-7A7883E030F5}"/>
    <cellStyle name="Normal 5 7 2 2 2" xfId="1528" xr:uid="{63D46619-BDF4-4BCE-94FA-AF3EF450BFCD}"/>
    <cellStyle name="Normal 5 7 2 2 2 2" xfId="2980" xr:uid="{6F547B3E-990D-46F7-AD9A-0C75C7D467D9}"/>
    <cellStyle name="Normal 5 7 2 2 3" xfId="2255" xr:uid="{2EE42E71-0351-4AF0-9DE4-0449F46E3CA7}"/>
    <cellStyle name="Normal 5 7 2 3" xfId="1174" xr:uid="{A48FA0C6-F129-40D3-A127-766E29B40B1A}"/>
    <cellStyle name="Normal 5 7 2 3 2" xfId="2626" xr:uid="{0756197A-98DE-4FAC-8063-BA8279ADB5D6}"/>
    <cellStyle name="Normal 5 7 2 4" xfId="1901" xr:uid="{CE363110-8962-4AFF-A8B7-47C741FB1B92}"/>
    <cellStyle name="Normal 5 7 3" xfId="610" xr:uid="{E6054F6A-D987-4713-8DD0-BB502D0670F7}"/>
    <cellStyle name="Normal 5 7 3 2" xfId="1344" xr:uid="{B95A65FC-FC1F-4110-9955-4697E7ADCD41}"/>
    <cellStyle name="Normal 5 7 3 2 2" xfId="2796" xr:uid="{54DD5828-A45C-460B-AE2E-C7047A8B76F5}"/>
    <cellStyle name="Normal 5 7 3 3" xfId="2071" xr:uid="{4B141670-F9DB-4FC9-BEE4-381672C09E9C}"/>
    <cellStyle name="Normal 5 7 4" xfId="990" xr:uid="{7CC0AAF0-1FAF-4486-BB1C-572AA1943607}"/>
    <cellStyle name="Normal 5 7 4 2" xfId="2442" xr:uid="{98EF5F04-E8C3-431F-AD3C-757B9EB101BD}"/>
    <cellStyle name="Normal 5 7 5" xfId="1717" xr:uid="{2CB08135-FEAF-432F-876F-5C1D5C35338F}"/>
    <cellStyle name="Normal 5 8" xfId="129" xr:uid="{88913458-BEE0-456B-922B-E880D27A9962}"/>
    <cellStyle name="Normal 5 8 2" xfId="429" xr:uid="{459118A9-710F-454A-AAA6-5D1181C4B37C}"/>
    <cellStyle name="Normal 5 8 2 2" xfId="795" xr:uid="{856CBE57-4F9A-4CA4-AE0E-0A56C6B786D1}"/>
    <cellStyle name="Normal 5 8 2 2 2" xfId="1529" xr:uid="{17CC1538-2C77-4255-BD8F-16B56D73D34A}"/>
    <cellStyle name="Normal 5 8 2 2 2 2" xfId="2981" xr:uid="{38745027-323E-4D23-8857-4ED34509BAF7}"/>
    <cellStyle name="Normal 5 8 2 2 3" xfId="2256" xr:uid="{D0C78B1B-0303-4BCE-86ED-986CDB5A910C}"/>
    <cellStyle name="Normal 5 8 2 3" xfId="1175" xr:uid="{F2D14A58-20FE-4D18-9227-A9C7E9A83FB8}"/>
    <cellStyle name="Normal 5 8 2 3 2" xfId="2627" xr:uid="{471FCF06-AEE3-465C-B9B6-317E0D553092}"/>
    <cellStyle name="Normal 5 8 2 4" xfId="1902" xr:uid="{87D0C6C7-F1EE-4BF3-947A-BC0670AD52E4}"/>
    <cellStyle name="Normal 5 8 3" xfId="611" xr:uid="{B291EB34-FC29-469D-9786-A6137AE7E4E6}"/>
    <cellStyle name="Normal 5 8 3 2" xfId="1345" xr:uid="{BDBB83AA-4343-4AC7-B34B-D143311857C9}"/>
    <cellStyle name="Normal 5 8 3 2 2" xfId="2797" xr:uid="{DE8EFEE1-7449-4C26-9290-6D05766EA462}"/>
    <cellStyle name="Normal 5 8 3 3" xfId="2072" xr:uid="{008F3F76-FC1F-438B-88ED-604C5F9DE993}"/>
    <cellStyle name="Normal 5 8 4" xfId="991" xr:uid="{EDF486BA-CDB0-4E67-9F4B-7A8C06753DCC}"/>
    <cellStyle name="Normal 5 8 4 2" xfId="2443" xr:uid="{8F68A989-B825-48CB-A0D5-86A5F28C015C}"/>
    <cellStyle name="Normal 5 8 5" xfId="1718" xr:uid="{08417FA9-E957-46DB-85FF-A59272325E06}"/>
    <cellStyle name="Normal 5 9" xfId="130" xr:uid="{16AF8E38-D3DD-4EB2-B540-D6E59B42FA93}"/>
    <cellStyle name="Normal 5 9 2" xfId="430" xr:uid="{62F1FAF6-988C-466D-AB65-FC1B1255BDDB}"/>
    <cellStyle name="Normal 5 9 2 2" xfId="796" xr:uid="{DB83FADC-651E-4B0F-BB60-16E7A807EE55}"/>
    <cellStyle name="Normal 5 9 2 2 2" xfId="1530" xr:uid="{780FEC7E-3CAC-4CBA-B40E-F4959A6EC6CC}"/>
    <cellStyle name="Normal 5 9 2 2 2 2" xfId="2982" xr:uid="{B9B231DC-46CE-4B68-BAB6-7B92B8B2383C}"/>
    <cellStyle name="Normal 5 9 2 2 3" xfId="2257" xr:uid="{84CD72A7-9721-4AA3-A3FD-CD468F00308F}"/>
    <cellStyle name="Normal 5 9 2 3" xfId="1176" xr:uid="{FCAF67CD-FBFA-4C1D-8B00-A9A6EC8FEBEB}"/>
    <cellStyle name="Normal 5 9 2 3 2" xfId="2628" xr:uid="{22F8DBD3-870B-4ABA-A570-F357992E6AB1}"/>
    <cellStyle name="Normal 5 9 2 4" xfId="1903" xr:uid="{1851ACAD-C355-40CD-9105-A1B4A63DAA09}"/>
    <cellStyle name="Normal 5 9 3" xfId="612" xr:uid="{D9DD510B-D46E-427F-A231-6BA3CE4AF50D}"/>
    <cellStyle name="Normal 5 9 3 2" xfId="1346" xr:uid="{51D30ED4-ED01-41B7-9AB7-61CA832449BE}"/>
    <cellStyle name="Normal 5 9 3 2 2" xfId="2798" xr:uid="{179C1449-7589-48F6-AA09-7BB9B9F4E9CB}"/>
    <cellStyle name="Normal 5 9 3 3" xfId="2073" xr:uid="{9D6C07CB-0AC7-4D6B-8B08-A2E6899DD0EE}"/>
    <cellStyle name="Normal 5 9 4" xfId="992" xr:uid="{6E5D91FF-A6E0-4231-AED5-71220D23D33E}"/>
    <cellStyle name="Normal 5 9 4 2" xfId="2444" xr:uid="{80BFCFDB-2F9C-4FD9-A3CA-CBDC37D26425}"/>
    <cellStyle name="Normal 5 9 5" xfId="1719" xr:uid="{533072BB-0987-48D5-ADBA-083464F76008}"/>
    <cellStyle name="Normal 6" xfId="49" xr:uid="{C3878DE9-B8E2-4D03-8F0F-381B9A5D802A}"/>
    <cellStyle name="Normal 6 2" xfId="302" xr:uid="{E444541E-BE9E-4325-8F41-ADCAF0A20959}"/>
    <cellStyle name="Normal 7" xfId="131" xr:uid="{C690109C-97F0-4D4A-A236-23046A4193E4}"/>
    <cellStyle name="Normal 7 10" xfId="431" xr:uid="{8122863C-8C31-4166-A1B4-2145700F21FF}"/>
    <cellStyle name="Normal 7 10 2" xfId="797" xr:uid="{BFB5A59F-0E45-42B2-A07E-B087FA6C8EBD}"/>
    <cellStyle name="Normal 7 10 2 2" xfId="1531" xr:uid="{6988FFB1-6F64-4343-A161-EB4F46A11390}"/>
    <cellStyle name="Normal 7 10 2 2 2" xfId="2983" xr:uid="{F83125A2-8A67-4CB1-8B3C-E309C2FB8ECD}"/>
    <cellStyle name="Normal 7 10 2 3" xfId="2258" xr:uid="{66366E7D-E2AE-4D08-B81E-F813425F1EE7}"/>
    <cellStyle name="Normal 7 10 3" xfId="1177" xr:uid="{F200C000-4241-4C7A-BC1F-D764E0B02DF6}"/>
    <cellStyle name="Normal 7 10 3 2" xfId="2629" xr:uid="{F39E6673-6504-4489-865A-E522886986C8}"/>
    <cellStyle name="Normal 7 10 4" xfId="1904" xr:uid="{781464B7-18A7-4658-9555-B69FFC610DD6}"/>
    <cellStyle name="Normal 7 11" xfId="613" xr:uid="{EF38DBB6-227F-4085-B817-56D3C16EC6F2}"/>
    <cellStyle name="Normal 7 11 2" xfId="1347" xr:uid="{CE39E0F3-3FD8-4D7A-B058-274F6E1F9431}"/>
    <cellStyle name="Normal 7 11 2 2" xfId="2799" xr:uid="{B91D73D0-7095-4B27-AD63-999B602613D9}"/>
    <cellStyle name="Normal 7 11 3" xfId="2074" xr:uid="{91B8A8D8-AB30-4DC8-BF1F-677705A3E9D7}"/>
    <cellStyle name="Normal 7 12" xfId="993" xr:uid="{E9E2BCAD-4B20-4E85-AF5D-0221A09B0026}"/>
    <cellStyle name="Normal 7 12 2" xfId="2445" xr:uid="{FDBEF671-552F-4092-8AF1-BAAD177717C2}"/>
    <cellStyle name="Normal 7 13" xfId="1720" xr:uid="{740D2E4D-7B4C-48C4-9FC7-0F98DA73FABA}"/>
    <cellStyle name="Normal 7 2" xfId="132" xr:uid="{970E0334-D636-42F4-88A7-A60CEEFA202E}"/>
    <cellStyle name="Normal 7 2 2" xfId="133" xr:uid="{324614DD-033F-4E2F-BF33-F3E562F95633}"/>
    <cellStyle name="Normal 7 2 2 2" xfId="432" xr:uid="{DBF5AF2F-B348-4494-9FFF-6779628F6F48}"/>
    <cellStyle name="Normal 7 2 2 2 2" xfId="798" xr:uid="{1240D319-A8E1-40CF-9B6A-3CC60C44EAE8}"/>
    <cellStyle name="Normal 7 2 2 2 2 2" xfId="1532" xr:uid="{68EF3C34-C954-45D1-8530-F57E8712456A}"/>
    <cellStyle name="Normal 7 2 2 2 2 2 2" xfId="2984" xr:uid="{FF0AF242-C3D4-42DF-817C-C5AA3CD594C5}"/>
    <cellStyle name="Normal 7 2 2 2 2 3" xfId="2259" xr:uid="{6CB97267-88E3-4F25-8D2E-E9185A28E0B1}"/>
    <cellStyle name="Normal 7 2 2 2 3" xfId="1178" xr:uid="{8ECCA410-A13C-4229-8493-22FC4F2BEA6D}"/>
    <cellStyle name="Normal 7 2 2 2 3 2" xfId="2630" xr:uid="{322989B5-5D8A-460E-B95F-23A2A8694D57}"/>
    <cellStyle name="Normal 7 2 2 2 4" xfId="1905" xr:uid="{1B238559-51B9-4341-9CA8-5A3D6D042999}"/>
    <cellStyle name="Normal 7 2 2 3" xfId="615" xr:uid="{768E9885-12BC-4646-AFF6-22E332AA86AF}"/>
    <cellStyle name="Normal 7 2 2 3 2" xfId="1349" xr:uid="{80BAE990-563E-4C31-A3CA-681AEAC973EF}"/>
    <cellStyle name="Normal 7 2 2 3 2 2" xfId="2801" xr:uid="{E718008F-2E44-4C30-9094-AA35ED404723}"/>
    <cellStyle name="Normal 7 2 2 3 3" xfId="2076" xr:uid="{E7076123-D30B-4C36-BC46-555637616459}"/>
    <cellStyle name="Normal 7 2 2 4" xfId="995" xr:uid="{3BC9E600-3818-4EE5-A5FD-F65592E28261}"/>
    <cellStyle name="Normal 7 2 2 4 2" xfId="2447" xr:uid="{B9BE8941-F5C9-4403-8510-FEC4DA6B0882}"/>
    <cellStyle name="Normal 7 2 2 5" xfId="1722" xr:uid="{1E0E8516-2423-4617-A39C-27B0B8A5FA1E}"/>
    <cellStyle name="Normal 7 2 3" xfId="134" xr:uid="{27D35C91-CD89-4F9E-8871-E63E94558D62}"/>
    <cellStyle name="Normal 7 2 3 2" xfId="433" xr:uid="{0E107FAC-5B59-4F84-B75F-01B8E1997BB1}"/>
    <cellStyle name="Normal 7 2 3 2 2" xfId="799" xr:uid="{085C6859-985B-470B-A1F5-331B32ED409C}"/>
    <cellStyle name="Normal 7 2 3 2 2 2" xfId="1533" xr:uid="{CE018E45-DDE0-450B-8D43-DA3F78130ABC}"/>
    <cellStyle name="Normal 7 2 3 2 2 2 2" xfId="2985" xr:uid="{65F7D1E4-6776-44A1-A946-987146B7DC9E}"/>
    <cellStyle name="Normal 7 2 3 2 2 3" xfId="2260" xr:uid="{16437294-BDFC-48FD-B033-3061469DD987}"/>
    <cellStyle name="Normal 7 2 3 2 3" xfId="1179" xr:uid="{2A8D2C17-9FEF-45A7-A5CC-BEAF7E052988}"/>
    <cellStyle name="Normal 7 2 3 2 3 2" xfId="2631" xr:uid="{246B164A-213F-49EB-9FCE-28E5D126E304}"/>
    <cellStyle name="Normal 7 2 3 2 4" xfId="1906" xr:uid="{61347F07-F318-4128-BDBB-BCAFEDBE5E13}"/>
    <cellStyle name="Normal 7 2 3 3" xfId="616" xr:uid="{D70A8DF0-106F-4C2C-AB36-B49F8379862D}"/>
    <cellStyle name="Normal 7 2 3 3 2" xfId="1350" xr:uid="{8A6F2E6D-7C68-4582-82B8-1CF17BE25446}"/>
    <cellStyle name="Normal 7 2 3 3 2 2" xfId="2802" xr:uid="{D92B840B-6F5D-45EB-9186-CAC09FB2C4C9}"/>
    <cellStyle name="Normal 7 2 3 3 3" xfId="2077" xr:uid="{E1824866-75DA-43FF-8156-87D2E0889407}"/>
    <cellStyle name="Normal 7 2 3 4" xfId="996" xr:uid="{14B30678-0B94-4211-BAC7-1506093C29E0}"/>
    <cellStyle name="Normal 7 2 3 4 2" xfId="2448" xr:uid="{1E98D660-5306-4FE1-9CA5-07E88863F2A2}"/>
    <cellStyle name="Normal 7 2 3 5" xfId="1723" xr:uid="{4074DB53-86D2-43E2-9E76-F335B9F467C7}"/>
    <cellStyle name="Normal 7 2 4" xfId="434" xr:uid="{3DDBD3CB-2485-4A83-9FDF-F320F9945C5E}"/>
    <cellStyle name="Normal 7 2 4 2" xfId="800" xr:uid="{6A6FE5D0-68F4-4201-B5A0-2EC180E21D5C}"/>
    <cellStyle name="Normal 7 2 4 2 2" xfId="1534" xr:uid="{701A8F01-D28F-43D2-BAFB-295647352E53}"/>
    <cellStyle name="Normal 7 2 4 2 2 2" xfId="2986" xr:uid="{026A215E-D8AA-4B6A-8865-4D4603ADA6B7}"/>
    <cellStyle name="Normal 7 2 4 2 3" xfId="2261" xr:uid="{71D2884A-FDAB-4D07-A997-547ACD206D37}"/>
    <cellStyle name="Normal 7 2 4 3" xfId="1180" xr:uid="{00BB9C67-1D4D-4B91-AE3E-E9DD336F23B2}"/>
    <cellStyle name="Normal 7 2 4 3 2" xfId="2632" xr:uid="{C89D0F08-781D-4907-AB68-CADA696E9143}"/>
    <cellStyle name="Normal 7 2 4 4" xfId="1907" xr:uid="{928397B8-0119-4596-9C11-E094501196E5}"/>
    <cellStyle name="Normal 7 2 5" xfId="614" xr:uid="{407558FF-54F9-4201-91CF-521CF4D2A7DA}"/>
    <cellStyle name="Normal 7 2 5 2" xfId="1348" xr:uid="{540DEC4A-5DDA-46BD-B656-DEA45982600B}"/>
    <cellStyle name="Normal 7 2 5 2 2" xfId="2800" xr:uid="{A68E32D7-5AB8-42A5-8E10-AAF107AEF87F}"/>
    <cellStyle name="Normal 7 2 5 3" xfId="2075" xr:uid="{C61E6EBD-90D0-4C04-BE69-FC3C1A45A233}"/>
    <cellStyle name="Normal 7 2 6" xfId="994" xr:uid="{A4566209-E804-4920-AB3D-2131FDE1A4A6}"/>
    <cellStyle name="Normal 7 2 6 2" xfId="2446" xr:uid="{7D0E7582-3222-4305-B140-F2A0DFC617F8}"/>
    <cellStyle name="Normal 7 2 7" xfId="1721" xr:uid="{465F0241-3898-4377-B0F4-3168C8D26A72}"/>
    <cellStyle name="Normal 7 3" xfId="135" xr:uid="{17C5989F-F365-4625-BF4A-130D63BFE6E1}"/>
    <cellStyle name="Normal 7 3 2" xfId="136" xr:uid="{B5064AB8-0921-4AD1-954F-C8AFB8523D89}"/>
    <cellStyle name="Normal 7 3 2 2" xfId="435" xr:uid="{ECC77314-B316-43D7-9FCE-08A30C9EA442}"/>
    <cellStyle name="Normal 7 3 2 2 2" xfId="801" xr:uid="{5593F22B-6E54-4947-875D-40BF7E7127A3}"/>
    <cellStyle name="Normal 7 3 2 2 2 2" xfId="1535" xr:uid="{EC2F29A9-7F20-4753-9B86-C1E56E1024F7}"/>
    <cellStyle name="Normal 7 3 2 2 2 2 2" xfId="2987" xr:uid="{8D7AE693-9602-4C47-A82D-C7611E9BBC4D}"/>
    <cellStyle name="Normal 7 3 2 2 2 3" xfId="2262" xr:uid="{9FDF1361-C70D-42CF-B04B-DA6451E9443B}"/>
    <cellStyle name="Normal 7 3 2 2 3" xfId="1181" xr:uid="{C1E06654-BBA2-4E32-8437-90603AA355E2}"/>
    <cellStyle name="Normal 7 3 2 2 3 2" xfId="2633" xr:uid="{6D6BD624-DAC9-4F6F-9FF0-1E284BBD3BC1}"/>
    <cellStyle name="Normal 7 3 2 2 4" xfId="1908" xr:uid="{24E57B21-BEFA-4CE3-91F2-941408BF9D1A}"/>
    <cellStyle name="Normal 7 3 2 3" xfId="618" xr:uid="{B5369E3E-B204-4650-B655-8E293FB7F1C1}"/>
    <cellStyle name="Normal 7 3 2 3 2" xfId="1352" xr:uid="{B0E6693A-6265-4B13-889E-B459344694B2}"/>
    <cellStyle name="Normal 7 3 2 3 2 2" xfId="2804" xr:uid="{A6377C80-5E56-4793-8767-14671AC1C30C}"/>
    <cellStyle name="Normal 7 3 2 3 3" xfId="2079" xr:uid="{90E75E86-B65D-44A4-B18E-B1F99F462641}"/>
    <cellStyle name="Normal 7 3 2 4" xfId="998" xr:uid="{05B41A88-4BC3-47C5-B5D8-8190DD734764}"/>
    <cellStyle name="Normal 7 3 2 4 2" xfId="2450" xr:uid="{FBD44AA9-EF8B-4B37-BBFE-47DAB330D509}"/>
    <cellStyle name="Normal 7 3 2 5" xfId="1725" xr:uid="{4499A549-C592-405D-BD27-570E29862912}"/>
    <cellStyle name="Normal 7 3 3" xfId="436" xr:uid="{2DD4AD8B-5823-44B6-8DE1-AC13421FCAF4}"/>
    <cellStyle name="Normal 7 3 3 2" xfId="802" xr:uid="{72C0EC66-8167-4D59-8099-92BA22D7AA32}"/>
    <cellStyle name="Normal 7 3 3 2 2" xfId="1536" xr:uid="{C93DE6EE-DF9B-46D1-99CA-8EB046A409D8}"/>
    <cellStyle name="Normal 7 3 3 2 2 2" xfId="2988" xr:uid="{BB477D58-ED03-4602-9E47-F83B16039837}"/>
    <cellStyle name="Normal 7 3 3 2 3" xfId="2263" xr:uid="{AFCF9BB2-8447-4897-A36E-F6BCCADFBF15}"/>
    <cellStyle name="Normal 7 3 3 3" xfId="1182" xr:uid="{64878089-EC8A-439D-953D-8B540DFAA566}"/>
    <cellStyle name="Normal 7 3 3 3 2" xfId="2634" xr:uid="{038A407F-8F69-4012-A5E8-F732002CFCEC}"/>
    <cellStyle name="Normal 7 3 3 4" xfId="1909" xr:uid="{F8593F3D-93D0-4DD8-B720-4DD8C1229F19}"/>
    <cellStyle name="Normal 7 3 4" xfId="617" xr:uid="{2AA7E04F-5C41-4721-B069-CFB0BB179917}"/>
    <cellStyle name="Normal 7 3 4 2" xfId="1351" xr:uid="{49DF31E8-29B1-4C37-AD63-34953779FCD8}"/>
    <cellStyle name="Normal 7 3 4 2 2" xfId="2803" xr:uid="{B28576FA-BABC-4125-843C-EE85A1C3293F}"/>
    <cellStyle name="Normal 7 3 4 3" xfId="2078" xr:uid="{0E2B565A-0283-4305-8348-D5B8C49CF465}"/>
    <cellStyle name="Normal 7 3 5" xfId="997" xr:uid="{BE5F57F0-1494-4786-BB43-B31AB7BB0CB1}"/>
    <cellStyle name="Normal 7 3 5 2" xfId="2449" xr:uid="{DD086EE6-7D14-46DC-8371-E743988EABFC}"/>
    <cellStyle name="Normal 7 3 6" xfId="1724" xr:uid="{16A8A801-EABD-4401-A321-9621BA1CA1DE}"/>
    <cellStyle name="Normal 7 4" xfId="137" xr:uid="{7B7088DD-AEAA-4D4F-9916-AE8446A0BEDE}"/>
    <cellStyle name="Normal 7 4 2" xfId="138" xr:uid="{EC6F1814-27DC-4072-8F77-91115E31182A}"/>
    <cellStyle name="Normal 7 4 2 2" xfId="437" xr:uid="{DC02C4E6-98C1-41EE-8E14-C551072AB4B5}"/>
    <cellStyle name="Normal 7 4 2 2 2" xfId="803" xr:uid="{F1666BFC-A66C-441F-926B-E2F201641A1A}"/>
    <cellStyle name="Normal 7 4 2 2 2 2" xfId="1537" xr:uid="{F7685A56-DA16-4E10-AB34-6CCA32858513}"/>
    <cellStyle name="Normal 7 4 2 2 2 2 2" xfId="2989" xr:uid="{2557A2EB-E573-498C-8256-08EC75A5CDBF}"/>
    <cellStyle name="Normal 7 4 2 2 2 3" xfId="2264" xr:uid="{7CC00BC8-C496-4981-8236-8A21CA05891A}"/>
    <cellStyle name="Normal 7 4 2 2 3" xfId="1183" xr:uid="{E42C95A4-2754-437C-9E6F-83D20BD1C400}"/>
    <cellStyle name="Normal 7 4 2 2 3 2" xfId="2635" xr:uid="{D838E36F-91C3-4C17-B8B0-D3E9CAFD508B}"/>
    <cellStyle name="Normal 7 4 2 2 4" xfId="1910" xr:uid="{F4BD31D4-D207-4D88-BDC7-5060383A3F5F}"/>
    <cellStyle name="Normal 7 4 2 3" xfId="620" xr:uid="{418CF72A-25FC-49A0-AE4E-688B392BC3D8}"/>
    <cellStyle name="Normal 7 4 2 3 2" xfId="1354" xr:uid="{68EE569A-20AC-423E-9736-B0CB89810493}"/>
    <cellStyle name="Normal 7 4 2 3 2 2" xfId="2806" xr:uid="{3DCB554C-6CA7-4CDA-8642-D62D30E058DF}"/>
    <cellStyle name="Normal 7 4 2 3 3" xfId="2081" xr:uid="{12BA535F-23E5-4925-90E8-25CB3143D22F}"/>
    <cellStyle name="Normal 7 4 2 4" xfId="1000" xr:uid="{150D06D6-249E-4F08-9A35-B7E61F4270DA}"/>
    <cellStyle name="Normal 7 4 2 4 2" xfId="2452" xr:uid="{6CE9A95F-5539-4D85-9BC4-83B54218DEB7}"/>
    <cellStyle name="Normal 7 4 2 5" xfId="1727" xr:uid="{AC47E50D-05AF-40B2-84BF-09719BB32676}"/>
    <cellStyle name="Normal 7 4 3" xfId="438" xr:uid="{81A9AF1D-A3ED-4934-B802-A1C7A5E6F48D}"/>
    <cellStyle name="Normal 7 4 3 2" xfId="804" xr:uid="{721413D9-F9F8-42E5-8960-B1EB91B7E907}"/>
    <cellStyle name="Normal 7 4 3 2 2" xfId="1538" xr:uid="{8E78913D-F632-46C8-B22E-CC959CBB86CE}"/>
    <cellStyle name="Normal 7 4 3 2 2 2" xfId="2990" xr:uid="{2B64E3D8-261E-42B5-BC89-E12416789B7A}"/>
    <cellStyle name="Normal 7 4 3 2 3" xfId="2265" xr:uid="{0506FB08-83B5-4D1B-88DD-96E4CF12282B}"/>
    <cellStyle name="Normal 7 4 3 3" xfId="1184" xr:uid="{8DEC63F1-5F8F-4FE8-8004-FB8A9C72D7FA}"/>
    <cellStyle name="Normal 7 4 3 3 2" xfId="2636" xr:uid="{88534C2E-8F85-47F5-810B-6356898AAAD6}"/>
    <cellStyle name="Normal 7 4 3 4" xfId="1911" xr:uid="{38BF7D23-C5E1-4503-AED4-D19D5E038EDC}"/>
    <cellStyle name="Normal 7 4 4" xfId="619" xr:uid="{C1912314-8438-4CDC-9490-3B4E7DF41702}"/>
    <cellStyle name="Normal 7 4 4 2" xfId="1353" xr:uid="{682904A0-23FE-40E8-9757-21EAC39E6EE9}"/>
    <cellStyle name="Normal 7 4 4 2 2" xfId="2805" xr:uid="{5A178F5F-3BE7-4EB0-8280-883A8C73BFB2}"/>
    <cellStyle name="Normal 7 4 4 3" xfId="2080" xr:uid="{C6D671C4-6E83-49A9-BAFF-36C94654F504}"/>
    <cellStyle name="Normal 7 4 5" xfId="999" xr:uid="{4D209017-4C4F-4A49-BFAE-6BEB17081DCD}"/>
    <cellStyle name="Normal 7 4 5 2" xfId="2451" xr:uid="{F1411B93-4AA4-4881-A386-DF6CF29938DB}"/>
    <cellStyle name="Normal 7 4 6" xfId="1726" xr:uid="{FA8ECBFD-27D3-4210-BC1B-7A349FDD120F}"/>
    <cellStyle name="Normal 7 5" xfId="139" xr:uid="{BF87B6D7-A99F-42C5-9135-F346C633B065}"/>
    <cellStyle name="Normal 7 5 2" xfId="140" xr:uid="{8B2A4FE1-46BC-4726-A41B-E4848E2DF5E0}"/>
    <cellStyle name="Normal 7 5 2 2" xfId="439" xr:uid="{522A6CE8-9CCA-4E98-A4CD-19A073A7D44E}"/>
    <cellStyle name="Normal 7 5 2 2 2" xfId="805" xr:uid="{4B408A3E-FF72-4C25-8768-FF5E76EE3F7D}"/>
    <cellStyle name="Normal 7 5 2 2 2 2" xfId="1539" xr:uid="{70BDC7B9-1985-41E4-A287-32112EA3E7D6}"/>
    <cellStyle name="Normal 7 5 2 2 2 2 2" xfId="2991" xr:uid="{5E64C4C1-D9B2-4CD0-B280-9670E0E10F95}"/>
    <cellStyle name="Normal 7 5 2 2 2 3" xfId="2266" xr:uid="{77FF68D8-B483-4C3F-B15E-080A7A2823CA}"/>
    <cellStyle name="Normal 7 5 2 2 3" xfId="1185" xr:uid="{EB000493-8807-4385-9F0B-DD7F94027043}"/>
    <cellStyle name="Normal 7 5 2 2 3 2" xfId="2637" xr:uid="{48096DA4-A16F-4BB0-8C43-B8ADB4700BC3}"/>
    <cellStyle name="Normal 7 5 2 2 4" xfId="1912" xr:uid="{FB2B24D0-6FBB-4E4F-B6C0-A5F6DEC7CA70}"/>
    <cellStyle name="Normal 7 5 2 3" xfId="622" xr:uid="{A5D990A7-88A4-45B9-9419-75B5D8BB1F60}"/>
    <cellStyle name="Normal 7 5 2 3 2" xfId="1356" xr:uid="{BB7D9294-ECBE-433A-BD24-DFA0F8743314}"/>
    <cellStyle name="Normal 7 5 2 3 2 2" xfId="2808" xr:uid="{F08F4DCE-7274-4333-874B-4E90ED3C8E35}"/>
    <cellStyle name="Normal 7 5 2 3 3" xfId="2083" xr:uid="{2D09BF5E-1C5B-4C4F-8A17-3F7AEFAE7C04}"/>
    <cellStyle name="Normal 7 5 2 4" xfId="1002" xr:uid="{8D76813A-E529-45A7-A100-28B910AD8A75}"/>
    <cellStyle name="Normal 7 5 2 4 2" xfId="2454" xr:uid="{D65EE6E7-EB3A-4181-A92E-273551881AB0}"/>
    <cellStyle name="Normal 7 5 2 5" xfId="1729" xr:uid="{A53AC96E-5E76-4452-A9CF-153E8FDD3CF7}"/>
    <cellStyle name="Normal 7 5 3" xfId="440" xr:uid="{02E0A26D-0D35-4CA8-BE60-CCF27425F23D}"/>
    <cellStyle name="Normal 7 5 3 2" xfId="806" xr:uid="{8E811768-BADE-4FF7-86B2-3F012C2BB45E}"/>
    <cellStyle name="Normal 7 5 3 2 2" xfId="1540" xr:uid="{6A64AB52-5FF2-452A-B177-ED6F941420CF}"/>
    <cellStyle name="Normal 7 5 3 2 2 2" xfId="2992" xr:uid="{2C41EC08-AA2E-4BEC-8391-1AABA09020E8}"/>
    <cellStyle name="Normal 7 5 3 2 3" xfId="2267" xr:uid="{5458B286-EFE7-46B6-A4B0-645FFD0FBC31}"/>
    <cellStyle name="Normal 7 5 3 3" xfId="1186" xr:uid="{750728D2-C7AC-4861-B79B-5E2814F032ED}"/>
    <cellStyle name="Normal 7 5 3 3 2" xfId="2638" xr:uid="{86862D81-F0A0-48C5-BAE8-8FD4BCB6A726}"/>
    <cellStyle name="Normal 7 5 3 4" xfId="1913" xr:uid="{F2D7C79B-5FC2-4A7B-B969-BB8FFD9C8C9D}"/>
    <cellStyle name="Normal 7 5 4" xfId="621" xr:uid="{EE765FE6-DBAB-490E-98B9-C3A814A924E8}"/>
    <cellStyle name="Normal 7 5 4 2" xfId="1355" xr:uid="{41292600-DF0D-4952-A4CE-D53AD3A0939F}"/>
    <cellStyle name="Normal 7 5 4 2 2" xfId="2807" xr:uid="{D4C3CD44-38E7-42EA-A186-497097D4C7D1}"/>
    <cellStyle name="Normal 7 5 4 3" xfId="2082" xr:uid="{B7336444-0239-4BB8-A1A9-998D689A3EA4}"/>
    <cellStyle name="Normal 7 5 5" xfId="1001" xr:uid="{97190A1F-8FB4-4EB8-8D0D-9D852E5BAB98}"/>
    <cellStyle name="Normal 7 5 5 2" xfId="2453" xr:uid="{25D62BCF-1178-4D86-A645-DB7CC6EC38CD}"/>
    <cellStyle name="Normal 7 5 6" xfId="1728" xr:uid="{F98A16C8-2694-489E-8B6A-E3FA4C73A7FC}"/>
    <cellStyle name="Normal 7 6" xfId="141" xr:uid="{CE33DE3F-4F88-4A17-A259-367688237B15}"/>
    <cellStyle name="Normal 7 6 2" xfId="441" xr:uid="{18511FCD-5CCA-44AA-B1B8-0F0842D17193}"/>
    <cellStyle name="Normal 7 6 2 2" xfId="807" xr:uid="{48093271-B8AC-4C20-9198-59CF845A79C1}"/>
    <cellStyle name="Normal 7 6 2 2 2" xfId="1541" xr:uid="{5C1F0F3D-1DE3-4743-BE6F-6859D5774B07}"/>
    <cellStyle name="Normal 7 6 2 2 2 2" xfId="2993" xr:uid="{84E2C656-7CE9-4C8B-88F8-EDA7344A22D9}"/>
    <cellStyle name="Normal 7 6 2 2 3" xfId="2268" xr:uid="{66018FCC-C0B6-4CB1-85BC-CC2BD61DDA2E}"/>
    <cellStyle name="Normal 7 6 2 3" xfId="1187" xr:uid="{454EE53A-08A3-44CD-939B-5CFDDB9068F2}"/>
    <cellStyle name="Normal 7 6 2 3 2" xfId="2639" xr:uid="{333CD03B-A79B-43ED-B2F2-FDF3104EEB99}"/>
    <cellStyle name="Normal 7 6 2 4" xfId="1914" xr:uid="{4060FBA4-5966-4E4E-B2A3-2BFD44FEADD4}"/>
    <cellStyle name="Normal 7 6 3" xfId="623" xr:uid="{829A2F54-2ADE-41BD-B4A4-7552428ECDCF}"/>
    <cellStyle name="Normal 7 6 3 2" xfId="1357" xr:uid="{C9D277D1-2210-4C3F-A592-688108BA4D93}"/>
    <cellStyle name="Normal 7 6 3 2 2" xfId="2809" xr:uid="{DE188EF8-6B70-4595-80B5-51A962C5C555}"/>
    <cellStyle name="Normal 7 6 3 3" xfId="2084" xr:uid="{B1712C34-3EBC-4FF2-B2E2-88158A9D9E36}"/>
    <cellStyle name="Normal 7 6 4" xfId="1003" xr:uid="{BEE63E27-88BE-4973-A7B2-9ECADBBC6A0F}"/>
    <cellStyle name="Normal 7 6 4 2" xfId="2455" xr:uid="{4E5E9169-317D-4B21-9D13-52DA7CDB05F7}"/>
    <cellStyle name="Normal 7 6 5" xfId="1730" xr:uid="{34F5A301-A801-4C40-AC6E-03A02FFCE28F}"/>
    <cellStyle name="Normal 7 7" xfId="142" xr:uid="{6EEAA014-06EE-43CD-A375-A75635D2CB02}"/>
    <cellStyle name="Normal 7 7 2" xfId="442" xr:uid="{C0FA9678-5B3C-4C5F-B1A9-40BAB97FCB5B}"/>
    <cellStyle name="Normal 7 7 2 2" xfId="808" xr:uid="{E7F8B441-6AC4-48D9-8585-B9669CB46D8D}"/>
    <cellStyle name="Normal 7 7 2 2 2" xfId="1542" xr:uid="{99B856EC-F772-4815-B7A8-A0E1BE8FBB0C}"/>
    <cellStyle name="Normal 7 7 2 2 2 2" xfId="2994" xr:uid="{1FACCC9E-6968-471C-A769-5777FFA1DC58}"/>
    <cellStyle name="Normal 7 7 2 2 3" xfId="2269" xr:uid="{E77FC001-E89F-451D-8703-BFE8B3B3F965}"/>
    <cellStyle name="Normal 7 7 2 3" xfId="1188" xr:uid="{46F91F6B-6664-4A95-BB8C-76634BC169F5}"/>
    <cellStyle name="Normal 7 7 2 3 2" xfId="2640" xr:uid="{E758629F-D6C7-4D35-8E49-73F681A45117}"/>
    <cellStyle name="Normal 7 7 2 4" xfId="1915" xr:uid="{3BBF8F6B-9758-4CB8-AA12-E805D5ED9D0B}"/>
    <cellStyle name="Normal 7 7 3" xfId="624" xr:uid="{21E5BD4C-215F-4B4F-9D4C-2EFB83FAE3E9}"/>
    <cellStyle name="Normal 7 7 3 2" xfId="1358" xr:uid="{87AD3A4C-C8D8-4F38-8CF6-DE0FCFDC4886}"/>
    <cellStyle name="Normal 7 7 3 2 2" xfId="2810" xr:uid="{7EF06D54-212B-4E35-B511-E22FF30BC761}"/>
    <cellStyle name="Normal 7 7 3 3" xfId="2085" xr:uid="{54FDF6B1-E19F-4353-AFDC-921CE1D85651}"/>
    <cellStyle name="Normal 7 7 4" xfId="1004" xr:uid="{C86496BD-F2D6-424B-A7C4-C6EAF53D5EC9}"/>
    <cellStyle name="Normal 7 7 4 2" xfId="2456" xr:uid="{724FE493-0678-4955-A607-4426A3D05542}"/>
    <cellStyle name="Normal 7 7 5" xfId="1731" xr:uid="{436210AB-92B0-4FBD-A9B0-BA3997F4AEDE}"/>
    <cellStyle name="Normal 7 8" xfId="143" xr:uid="{72DCCE95-C2EB-40A8-BAED-51136F986DB2}"/>
    <cellStyle name="Normal 7 8 2" xfId="443" xr:uid="{AB3C99C6-D879-4B8B-B235-0CB6C27EEE5F}"/>
    <cellStyle name="Normal 7 8 2 2" xfId="809" xr:uid="{5509BD56-24EC-43AA-8AB8-E3A350B28D0C}"/>
    <cellStyle name="Normal 7 8 2 2 2" xfId="1543" xr:uid="{B56AF5D5-94E8-4773-9990-C9802BC196A9}"/>
    <cellStyle name="Normal 7 8 2 2 2 2" xfId="2995" xr:uid="{2D817487-7642-4EB7-9E21-54FE27B02602}"/>
    <cellStyle name="Normal 7 8 2 2 3" xfId="2270" xr:uid="{1A798327-1DDB-4E88-8D08-EEB473EC2A1E}"/>
    <cellStyle name="Normal 7 8 2 3" xfId="1189" xr:uid="{1461D8F2-C69F-4992-962C-9A7C648F81F7}"/>
    <cellStyle name="Normal 7 8 2 3 2" xfId="2641" xr:uid="{F039D691-2765-4154-8A51-D28AD9671F72}"/>
    <cellStyle name="Normal 7 8 2 4" xfId="1916" xr:uid="{2CF071A1-E48A-4696-8443-6216A38CEA15}"/>
    <cellStyle name="Normal 7 8 3" xfId="625" xr:uid="{CA7A6399-0B20-4188-AAA1-6819E66D6E4A}"/>
    <cellStyle name="Normal 7 8 3 2" xfId="1359" xr:uid="{013B3AA8-00D1-4AFC-8856-963299DB3B87}"/>
    <cellStyle name="Normal 7 8 3 2 2" xfId="2811" xr:uid="{25445802-DE78-41DE-8C7A-9D59E61350CE}"/>
    <cellStyle name="Normal 7 8 3 3" xfId="2086" xr:uid="{06F383A5-E970-44A1-A26A-185993DB9D78}"/>
    <cellStyle name="Normal 7 8 4" xfId="1005" xr:uid="{01812DD6-5653-4D60-899F-C7D465E14C6F}"/>
    <cellStyle name="Normal 7 8 4 2" xfId="2457" xr:uid="{2EE4555B-5D1D-4EF1-8AF1-ED43629F0A79}"/>
    <cellStyle name="Normal 7 8 5" xfId="1732" xr:uid="{E822F6A1-32EF-4BF7-9726-DD4BF87AA175}"/>
    <cellStyle name="Normal 7 9" xfId="444" xr:uid="{EE62541F-A51C-4674-9A30-3059C5E8138C}"/>
    <cellStyle name="Normal 7 9 2" xfId="810" xr:uid="{2AE4EA89-74D8-4A0F-BF10-F8173DDD11D4}"/>
    <cellStyle name="Normal 7 9 2 2" xfId="1544" xr:uid="{54363416-30E3-4BC2-B67F-55EEF5F7CA1F}"/>
    <cellStyle name="Normal 7 9 2 2 2" xfId="2996" xr:uid="{35D2AB9A-A5EC-4E69-B705-9FB237284058}"/>
    <cellStyle name="Normal 7 9 2 3" xfId="2271" xr:uid="{3A3F73A2-290C-4C69-A351-A9BE7C734E20}"/>
    <cellStyle name="Normal 7 9 3" xfId="1190" xr:uid="{0DA7146B-08A8-407C-8A91-0F696BB7BA17}"/>
    <cellStyle name="Normal 7 9 3 2" xfId="2642" xr:uid="{A9635E88-BA84-4C51-A391-59FA6921DBA5}"/>
    <cellStyle name="Normal 7 9 4" xfId="1917" xr:uid="{E95E2782-3DD6-4456-82A4-D17CC78279FE}"/>
    <cellStyle name="Normal 8" xfId="46" xr:uid="{E65F9AF5-0A6F-4F8B-80AD-0680E4E0D669}"/>
    <cellStyle name="Normal 8 2" xfId="144" xr:uid="{A9AF84B1-2F17-4955-A077-946F9365B940}"/>
    <cellStyle name="Normal 8 2 2" xfId="145" xr:uid="{014950C4-5634-4076-9FBE-70AA53D314BA}"/>
    <cellStyle name="Normal 8 2 2 2" xfId="445" xr:uid="{2D333F63-5E43-4F59-BB91-ADB9F55E3EBE}"/>
    <cellStyle name="Normal 8 2 2 2 2" xfId="811" xr:uid="{165F9A08-83D1-417E-929F-B349CE3DA0E5}"/>
    <cellStyle name="Normal 8 2 2 2 2 2" xfId="1545" xr:uid="{39F4E529-FF46-4162-8DF0-1C4A03CE9B3E}"/>
    <cellStyle name="Normal 8 2 2 2 2 2 2" xfId="2997" xr:uid="{37C69193-9456-4239-A225-2D45E117169E}"/>
    <cellStyle name="Normal 8 2 2 2 2 3" xfId="2272" xr:uid="{52ECE4F2-69D5-49E5-8097-5F5B15EED260}"/>
    <cellStyle name="Normal 8 2 2 2 3" xfId="1191" xr:uid="{1E8D0E74-C9AE-402D-91CD-179CDCAD1D90}"/>
    <cellStyle name="Normal 8 2 2 2 3 2" xfId="2643" xr:uid="{56B48028-8546-4F34-AB75-9E14AEF23775}"/>
    <cellStyle name="Normal 8 2 2 2 4" xfId="1918" xr:uid="{06E7636D-0BE2-4A38-AFFA-75DC7353D431}"/>
    <cellStyle name="Normal 8 2 2 3" xfId="627" xr:uid="{9C9DDDB1-6B0B-4D8C-B3B3-530D2466B43C}"/>
    <cellStyle name="Normal 8 2 2 3 2" xfId="1361" xr:uid="{C5396D1A-E89A-496A-B33F-74922CEDA770}"/>
    <cellStyle name="Normal 8 2 2 3 2 2" xfId="2813" xr:uid="{AF78D29F-E8DF-4D60-8EE2-C4F389602060}"/>
    <cellStyle name="Normal 8 2 2 3 3" xfId="2088" xr:uid="{2AFB910E-2BFD-4F7B-BC97-A925F3146877}"/>
    <cellStyle name="Normal 8 2 2 4" xfId="1007" xr:uid="{CE9823EF-FA9D-49F5-9E1B-DEEACCC1161C}"/>
    <cellStyle name="Normal 8 2 2 4 2" xfId="2459" xr:uid="{9C1B88D7-3B17-4901-B4CA-C293B365CAC8}"/>
    <cellStyle name="Normal 8 2 2 5" xfId="1734" xr:uid="{3EA28F4E-AD95-4218-BAEE-3B9FE0760200}"/>
    <cellStyle name="Normal 8 2 3" xfId="446" xr:uid="{7F4F3C7A-BE71-4684-9EE2-2CA7730E29DD}"/>
    <cellStyle name="Normal 8 2 3 2" xfId="812" xr:uid="{7476E5DE-9089-4CDD-8537-17034CC8F831}"/>
    <cellStyle name="Normal 8 2 3 2 2" xfId="1546" xr:uid="{764DFBBC-96D1-4386-8F46-5B0744796D27}"/>
    <cellStyle name="Normal 8 2 3 2 2 2" xfId="2998" xr:uid="{1B6FFEFD-0114-4261-B592-C92C44CF5031}"/>
    <cellStyle name="Normal 8 2 3 2 3" xfId="2273" xr:uid="{D9A3DF87-FA93-4F29-8A15-091675676175}"/>
    <cellStyle name="Normal 8 2 3 3" xfId="1192" xr:uid="{04FC5735-C0FC-4B9B-B559-EC89290BC651}"/>
    <cellStyle name="Normal 8 2 3 3 2" xfId="2644" xr:uid="{05EE8E3B-4488-402E-AF15-F2BFCB978A39}"/>
    <cellStyle name="Normal 8 2 3 4" xfId="1919" xr:uid="{FF17C53A-ECCF-4370-8B52-841FAA241676}"/>
    <cellStyle name="Normal 8 2 4" xfId="626" xr:uid="{995039B2-1B42-4A82-99F1-CB7FD7BF0A55}"/>
    <cellStyle name="Normal 8 2 4 2" xfId="1360" xr:uid="{A291AD67-4783-4F7E-BFC1-87B3407BF176}"/>
    <cellStyle name="Normal 8 2 4 2 2" xfId="2812" xr:uid="{0C6B2489-8F8E-40D6-B638-7E9790779D8C}"/>
    <cellStyle name="Normal 8 2 4 3" xfId="2087" xr:uid="{9D134575-D446-4B7A-9A74-D1F5E2B6888C}"/>
    <cellStyle name="Normal 8 2 5" xfId="1006" xr:uid="{D52E2171-4521-4471-BA14-04ED737FDC44}"/>
    <cellStyle name="Normal 8 2 5 2" xfId="2458" xr:uid="{30DA2E00-BA6E-4170-AA0F-DD4B08C35F3C}"/>
    <cellStyle name="Normal 8 2 6" xfId="1733" xr:uid="{046F6466-EB0D-47C2-B4C6-7EC1C1A73ED3}"/>
    <cellStyle name="Normal 8 3" xfId="146" xr:uid="{6979B273-1198-4249-B4EB-AADC33826586}"/>
    <cellStyle name="Normal 8 3 2" xfId="147" xr:uid="{B94F88FD-27C4-4912-9BD5-6E492D0DEFB2}"/>
    <cellStyle name="Normal 8 3 2 2" xfId="447" xr:uid="{5E3A14EB-9AE8-4808-9BF1-861510EA1699}"/>
    <cellStyle name="Normal 8 3 2 2 2" xfId="813" xr:uid="{2858F7D2-8602-49E7-AC89-21680BE9F6AC}"/>
    <cellStyle name="Normal 8 3 2 2 2 2" xfId="1547" xr:uid="{5C08676A-48C3-471F-A70A-3036B91C7125}"/>
    <cellStyle name="Normal 8 3 2 2 2 2 2" xfId="2999" xr:uid="{4A081CC2-F6E0-40B5-B3F2-C17A017966D7}"/>
    <cellStyle name="Normal 8 3 2 2 2 3" xfId="2274" xr:uid="{134CCADD-8C96-44D4-8A65-11DB66568D90}"/>
    <cellStyle name="Normal 8 3 2 2 3" xfId="1193" xr:uid="{C7957ADD-9275-41C9-B28E-D04A15373867}"/>
    <cellStyle name="Normal 8 3 2 2 3 2" xfId="2645" xr:uid="{953D6956-D20D-44D1-B6C9-D0889898EE4E}"/>
    <cellStyle name="Normal 8 3 2 2 4" xfId="1920" xr:uid="{BA41ACDF-1835-4A41-A48B-354344031BCA}"/>
    <cellStyle name="Normal 8 3 2 3" xfId="629" xr:uid="{700B4F98-0D12-454E-BE9E-47E917D1BFB9}"/>
    <cellStyle name="Normal 8 3 2 3 2" xfId="1363" xr:uid="{FA18B6D5-F6BD-4136-838B-FDF565E4E57D}"/>
    <cellStyle name="Normal 8 3 2 3 2 2" xfId="2815" xr:uid="{04FAE521-5F64-4665-A208-B7B9C6A4D79A}"/>
    <cellStyle name="Normal 8 3 2 3 3" xfId="2090" xr:uid="{32C1B9DD-D1B5-4F1D-88D0-D38F8E815DB9}"/>
    <cellStyle name="Normal 8 3 2 4" xfId="1009" xr:uid="{999250A0-7C42-43F2-928F-1FA29FE22FDD}"/>
    <cellStyle name="Normal 8 3 2 4 2" xfId="2461" xr:uid="{B643DE59-90B2-42BF-9662-5C439381B18D}"/>
    <cellStyle name="Normal 8 3 2 5" xfId="1736" xr:uid="{86263458-8380-4F3D-8AE1-D5B6EDD4E152}"/>
    <cellStyle name="Normal 8 3 3" xfId="448" xr:uid="{16B8F7E7-C481-40F7-98B1-01AEA0C38128}"/>
    <cellStyle name="Normal 8 3 3 2" xfId="814" xr:uid="{A4A074EC-DEA7-4168-A279-7A5F89E27760}"/>
    <cellStyle name="Normal 8 3 3 2 2" xfId="1548" xr:uid="{7625A053-6C8F-4FA1-A944-20B26944700E}"/>
    <cellStyle name="Normal 8 3 3 2 2 2" xfId="3000" xr:uid="{236E7F15-633B-477C-BE8D-4AB246A672BE}"/>
    <cellStyle name="Normal 8 3 3 2 3" xfId="2275" xr:uid="{2F6CB24E-F8C7-4784-A115-E01F5F06C8FB}"/>
    <cellStyle name="Normal 8 3 3 3" xfId="1194" xr:uid="{BEB81CD3-D28B-4305-8D01-C561511AF3E6}"/>
    <cellStyle name="Normal 8 3 3 3 2" xfId="2646" xr:uid="{69F1EDCB-57EF-492F-A95E-F267D816392F}"/>
    <cellStyle name="Normal 8 3 3 4" xfId="1921" xr:uid="{CA65BAEC-981E-4DD3-8325-94676348C99D}"/>
    <cellStyle name="Normal 8 3 4" xfId="628" xr:uid="{A438616C-E74D-4D8F-98E8-6F406E88FAD5}"/>
    <cellStyle name="Normal 8 3 4 2" xfId="1362" xr:uid="{2A56FDFC-BAAF-4031-8A67-086C9C426BD7}"/>
    <cellStyle name="Normal 8 3 4 2 2" xfId="2814" xr:uid="{CFA27826-A441-4017-A3B3-90A315E953A9}"/>
    <cellStyle name="Normal 8 3 4 3" xfId="2089" xr:uid="{81948F0E-1802-4FF5-A283-4DE96AA42F64}"/>
    <cellStyle name="Normal 8 3 5" xfId="1008" xr:uid="{1D74E9CA-DCCE-407C-8D5C-0638E77D64D3}"/>
    <cellStyle name="Normal 8 3 5 2" xfId="2460" xr:uid="{12E1939D-524E-40C5-9EEE-C6A45AE3A50B}"/>
    <cellStyle name="Normal 8 3 6" xfId="1735" xr:uid="{AE7B329A-E299-456B-9C19-3D925C6CD654}"/>
    <cellStyle name="Normal 8 4" xfId="148" xr:uid="{E591E1D2-BEA0-48C5-AAE6-E051745DE61F}"/>
    <cellStyle name="Normal 8 4 2" xfId="149" xr:uid="{116B75A1-807A-407D-A9F5-A364F2507BDE}"/>
    <cellStyle name="Normal 8 4 2 2" xfId="449" xr:uid="{CD945929-B757-472C-9867-63651305CA86}"/>
    <cellStyle name="Normal 8 4 2 2 2" xfId="815" xr:uid="{F6EF831C-0F50-4D11-8FF4-6B455288F1EA}"/>
    <cellStyle name="Normal 8 4 2 2 2 2" xfId="1549" xr:uid="{A2E3FA6D-FAAB-47EB-962D-C0DF4B95499C}"/>
    <cellStyle name="Normal 8 4 2 2 2 2 2" xfId="3001" xr:uid="{3E9B1661-C748-43F9-AF88-AA5C76525DF2}"/>
    <cellStyle name="Normal 8 4 2 2 2 3" xfId="2276" xr:uid="{278D3959-F496-454C-B084-E7283909F1B6}"/>
    <cellStyle name="Normal 8 4 2 2 3" xfId="1195" xr:uid="{BE37B1A4-00B6-47C8-B1D7-84DFCB2EFFED}"/>
    <cellStyle name="Normal 8 4 2 2 3 2" xfId="2647" xr:uid="{58C86015-995E-4C17-94B8-D3943EB7C2AA}"/>
    <cellStyle name="Normal 8 4 2 2 4" xfId="1922" xr:uid="{08D0E616-D498-4EDE-881F-6CA005B0CBE0}"/>
    <cellStyle name="Normal 8 4 2 3" xfId="631" xr:uid="{D1BE06D5-CA4A-4E44-AF0A-57B29EC9DF2F}"/>
    <cellStyle name="Normal 8 4 2 3 2" xfId="1365" xr:uid="{009B121C-96C2-48C5-B53C-D0D05748599D}"/>
    <cellStyle name="Normal 8 4 2 3 2 2" xfId="2817" xr:uid="{BCF14850-C66C-4CC0-8F8E-B0CCA8855258}"/>
    <cellStyle name="Normal 8 4 2 3 3" xfId="2092" xr:uid="{453E58CA-924B-4F7D-A4E8-F05044602649}"/>
    <cellStyle name="Normal 8 4 2 4" xfId="1011" xr:uid="{BD47013A-F95A-4078-B1AE-10AA0A0948C2}"/>
    <cellStyle name="Normal 8 4 2 4 2" xfId="2463" xr:uid="{FA526BB6-B610-4B87-86F8-3848B07DD004}"/>
    <cellStyle name="Normal 8 4 2 5" xfId="1738" xr:uid="{1E3FDAFB-EFBF-4445-8F01-D0C203D79ECC}"/>
    <cellStyle name="Normal 8 4 3" xfId="450" xr:uid="{BCCA09F0-DD8D-47A4-BF8E-A40FA2F1AC7F}"/>
    <cellStyle name="Normal 8 4 3 2" xfId="816" xr:uid="{5DF16F12-F6DC-4405-8E47-F98A4E3EA73A}"/>
    <cellStyle name="Normal 8 4 3 2 2" xfId="1550" xr:uid="{42066736-E689-4963-9816-EE82F7D6DE99}"/>
    <cellStyle name="Normal 8 4 3 2 2 2" xfId="3002" xr:uid="{35BF050C-7230-481D-B021-3118554D037C}"/>
    <cellStyle name="Normal 8 4 3 2 3" xfId="2277" xr:uid="{5632535C-5253-45B1-9C44-F32C41F4D59C}"/>
    <cellStyle name="Normal 8 4 3 3" xfId="1196" xr:uid="{72062320-8D07-4009-B59D-11B454D9CEF8}"/>
    <cellStyle name="Normal 8 4 3 3 2" xfId="2648" xr:uid="{EDC3E273-A270-400B-9549-BBD4F67C4789}"/>
    <cellStyle name="Normal 8 4 3 4" xfId="1923" xr:uid="{9A9B1767-916C-4FFE-8757-04A415FC5E2C}"/>
    <cellStyle name="Normal 8 4 4" xfId="630" xr:uid="{3FCA0D3A-96A9-46D1-ADFC-6B45611221ED}"/>
    <cellStyle name="Normal 8 4 4 2" xfId="1364" xr:uid="{1EDA0F66-574E-4218-A085-940FD3A6576F}"/>
    <cellStyle name="Normal 8 4 4 2 2" xfId="2816" xr:uid="{C7538E35-E179-48CD-9589-EDAAA342749B}"/>
    <cellStyle name="Normal 8 4 4 3" xfId="2091" xr:uid="{19892083-80B1-47B4-AA85-4808A5B50564}"/>
    <cellStyle name="Normal 8 4 5" xfId="1010" xr:uid="{37E9D35F-588D-4561-A85B-C87F1D968037}"/>
    <cellStyle name="Normal 8 4 5 2" xfId="2462" xr:uid="{95230B8C-7783-4DC1-AE01-3DD4257AB9D4}"/>
    <cellStyle name="Normal 8 4 6" xfId="1737" xr:uid="{C68F9EBB-02CD-4E4E-826D-68DC89217BA9}"/>
    <cellStyle name="Normal 8 5" xfId="150" xr:uid="{6BADDD67-92DB-4D29-AE6F-6BDEF4DF3AED}"/>
    <cellStyle name="Normal 8 5 2" xfId="451" xr:uid="{A1282D9C-A807-470B-977B-D17564034BB9}"/>
    <cellStyle name="Normal 8 5 2 2" xfId="817" xr:uid="{AA84C53E-7870-45E8-B851-EBFE5EEA5118}"/>
    <cellStyle name="Normal 8 5 2 2 2" xfId="1551" xr:uid="{DEA7FB70-6846-4B2B-BBA4-F4A696BC22B7}"/>
    <cellStyle name="Normal 8 5 2 2 2 2" xfId="3003" xr:uid="{593E9AA3-63CD-402C-8AD7-A465375D42D7}"/>
    <cellStyle name="Normal 8 5 2 2 3" xfId="2278" xr:uid="{B04B8FC2-12EB-476C-95D2-30EA56B675FA}"/>
    <cellStyle name="Normal 8 5 2 3" xfId="1197" xr:uid="{9D713524-3A78-4B0D-98FA-036C07D4D39B}"/>
    <cellStyle name="Normal 8 5 2 3 2" xfId="2649" xr:uid="{574B2256-7EC4-4F1A-962E-D19DC44C863E}"/>
    <cellStyle name="Normal 8 5 2 4" xfId="1924" xr:uid="{BF434B59-DB6C-4CD6-80AC-A2A548BAE32B}"/>
    <cellStyle name="Normal 8 5 3" xfId="632" xr:uid="{5827283E-F2E6-4D68-8372-B447B9DDC511}"/>
    <cellStyle name="Normal 8 5 3 2" xfId="1366" xr:uid="{CB437F8D-D56D-41AF-9E80-3FE3E3241AFA}"/>
    <cellStyle name="Normal 8 5 3 2 2" xfId="2818" xr:uid="{677F9EFB-1F7C-4619-ABB3-A3717C81324B}"/>
    <cellStyle name="Normal 8 5 3 3" xfId="2093" xr:uid="{06882C33-2169-42A6-922F-73E5E1F7E8A1}"/>
    <cellStyle name="Normal 8 5 4" xfId="1012" xr:uid="{62C8F6C7-7F25-4974-9B72-C007EF104BF1}"/>
    <cellStyle name="Normal 8 5 4 2" xfId="2464" xr:uid="{CE1756CD-DF4C-4534-B11F-044685E14C56}"/>
    <cellStyle name="Normal 8 5 5" xfId="1739" xr:uid="{8943C484-E109-4A79-9882-90FBF2D7AD7F}"/>
    <cellStyle name="Normal 8 6" xfId="452" xr:uid="{513F1974-2C93-4103-9D0E-82D03BF24A9A}"/>
    <cellStyle name="Normal 9" xfId="151" xr:uid="{DF3AA95F-2989-4854-8DC2-B9B5C7DA38AF}"/>
    <cellStyle name="Note 2" xfId="303" xr:uid="{DB557D33-3BDC-4BA3-BECD-407471F4CF76}"/>
    <cellStyle name="Note 2 2" xfId="708" xr:uid="{07B7746B-FE36-48E3-9917-558911F130F2}"/>
    <cellStyle name="Note 2 2 2" xfId="1442" xr:uid="{2EE13596-ECC3-4831-AF16-826C8B3B881C}"/>
    <cellStyle name="Note 2 2 2 2" xfId="2894" xr:uid="{8AD51608-0A35-4EEC-9075-0EAE6B42ADF3}"/>
    <cellStyle name="Note 2 2 3" xfId="2169" xr:uid="{110A8B88-8F3D-45D3-BBC3-9E22CB4A0457}"/>
    <cellStyle name="Note 2 3" xfId="1088" xr:uid="{474B89FD-E963-4054-8559-8EA349E0105B}"/>
    <cellStyle name="Note 2 3 2" xfId="2540" xr:uid="{D20208C8-BFF5-4908-A0DD-A3A937721FF5}"/>
    <cellStyle name="Note 2 4" xfId="1815" xr:uid="{4557DE38-2780-44AA-B07B-D2803972B611}"/>
    <cellStyle name="Note 3" xfId="304" xr:uid="{D0DD5CDD-046B-44B0-AEB9-7257FA1E23F7}"/>
    <cellStyle name="Note 3 2" xfId="709" xr:uid="{E8312E06-38FB-406D-B830-709038929F91}"/>
    <cellStyle name="Note 3 2 2" xfId="1443" xr:uid="{FEF7B2DE-3070-40A1-BD5D-D8326F0C125F}"/>
    <cellStyle name="Note 3 2 2 2" xfId="2895" xr:uid="{09AB2046-DA6F-4298-8E71-5214E2577366}"/>
    <cellStyle name="Note 3 2 3" xfId="2170" xr:uid="{FD86225F-C109-4BD8-BC55-BBF2B90F117E}"/>
    <cellStyle name="Note 3 3" xfId="1089" xr:uid="{27FE1B86-C6CC-48A6-8A08-7A54F6185E90}"/>
    <cellStyle name="Note 3 3 2" xfId="2541" xr:uid="{EA508B84-57CD-40A7-851D-F01D9CC2959A}"/>
    <cellStyle name="Note 3 4" xfId="1816" xr:uid="{4E225FC4-1C8E-4D44-B53C-F69CE8E9A3F5}"/>
    <cellStyle name="Note 4" xfId="305" xr:uid="{905D6445-0AF4-4C24-AFF6-D51E3E2F6ABB}"/>
    <cellStyle name="Note 4 2" xfId="710" xr:uid="{23B23FF8-2227-4824-8431-6767CC71CC76}"/>
    <cellStyle name="Note 4 2 2" xfId="1444" xr:uid="{83575622-447C-4ED3-83A7-04B38AF341DA}"/>
    <cellStyle name="Note 4 2 2 2" xfId="2896" xr:uid="{5019F497-67B8-4129-8B5F-C3832A1F93C7}"/>
    <cellStyle name="Note 4 2 3" xfId="2171" xr:uid="{39174170-6901-4084-A31C-85860519B5F7}"/>
    <cellStyle name="Note 4 3" xfId="1090" xr:uid="{40D662BF-D123-4B6E-8AE1-BA78EA4DEDB3}"/>
    <cellStyle name="Note 4 3 2" xfId="2542" xr:uid="{83765213-A22D-4402-A744-FAB8D3DA92AE}"/>
    <cellStyle name="Note 4 4" xfId="1817" xr:uid="{D2E1CF52-369D-45A4-B9B7-4A85CAD2954E}"/>
    <cellStyle name="Note 5" xfId="306" xr:uid="{451B4356-F2A2-4F77-90E0-57B9565D9903}"/>
    <cellStyle name="Output 2" xfId="307" xr:uid="{C26A69DB-9EC4-4DDA-A49B-42A74EC6C68C}"/>
    <cellStyle name="Percent 2" xfId="7" xr:uid="{ABF215AD-F775-4647-9CAA-E56658C09A6A}"/>
    <cellStyle name="Percent 2 10" xfId="453" xr:uid="{F6EDB9C6-D97D-4727-B0F0-E1B3A7598E42}"/>
    <cellStyle name="Percent 2 11" xfId="454" xr:uid="{EDA9323A-5584-4BBF-AA60-176243B6F298}"/>
    <cellStyle name="Percent 2 11 2" xfId="818" xr:uid="{1B264F0E-C4F1-4B5A-B6E7-5D4406837C46}"/>
    <cellStyle name="Percent 2 11 2 2" xfId="1552" xr:uid="{D12BAC1A-1CC5-42E1-81CC-E45E33AAEE5B}"/>
    <cellStyle name="Percent 2 11 2 2 2" xfId="3004" xr:uid="{367A0F8E-EA91-4FC7-942A-A66A36F15F91}"/>
    <cellStyle name="Percent 2 11 2 3" xfId="2279" xr:uid="{B8F39853-A326-471C-BAB0-6980592A1341}"/>
    <cellStyle name="Percent 2 11 3" xfId="1198" xr:uid="{A70C0313-A003-4460-8741-A613C2915E2D}"/>
    <cellStyle name="Percent 2 11 3 2" xfId="2650" xr:uid="{B68B607F-9FC4-4312-9854-CE5D031D752D}"/>
    <cellStyle name="Percent 2 11 4" xfId="1925" xr:uid="{F4680AD4-4753-461A-A835-93BE7072520B}"/>
    <cellStyle name="Percent 2 12" xfId="529" xr:uid="{D15606BC-CC5F-4203-A2B2-5C11B10AC839}"/>
    <cellStyle name="Percent 2 13" xfId="41" xr:uid="{B2CF5985-DAFE-4A15-8516-2A43106C8C23}"/>
    <cellStyle name="Percent 2 2" xfId="152" xr:uid="{9535F51B-203B-4A7E-9250-530C2AB9BDCD}"/>
    <cellStyle name="Percent 2 2 10" xfId="308" xr:uid="{EA5A1DB4-887F-4CF7-994D-EA262D9B4896}"/>
    <cellStyle name="Percent 2 2 11" xfId="309" xr:uid="{9ECFA226-C851-4F9C-8EAA-CEC4EC0DA589}"/>
    <cellStyle name="Percent 2 2 12" xfId="310" xr:uid="{46E44AE5-4630-49F2-9F8B-0052BB218B24}"/>
    <cellStyle name="Percent 2 2 13" xfId="633" xr:uid="{7683D838-4D1B-450E-9A67-CEC6421D2E8C}"/>
    <cellStyle name="Percent 2 2 13 2" xfId="1367" xr:uid="{56672A02-2B3D-4942-B6C1-5A0281F031CE}"/>
    <cellStyle name="Percent 2 2 13 2 2" xfId="2819" xr:uid="{E02CA30F-5B1E-4786-8554-0AF2986BE5F5}"/>
    <cellStyle name="Percent 2 2 13 3" xfId="2094" xr:uid="{BA489812-0CA7-44BF-928D-66EDDA0B6AB7}"/>
    <cellStyle name="Percent 2 2 14" xfId="1013" xr:uid="{AEEA941F-8B28-4ABF-A3E3-CC45C3F70F33}"/>
    <cellStyle name="Percent 2 2 14 2" xfId="2465" xr:uid="{32331635-9FB8-4314-8EA3-25BA7E89C214}"/>
    <cellStyle name="Percent 2 2 15" xfId="1740" xr:uid="{62DBCB67-2DB2-4A03-92F7-33E3A12DAB3E}"/>
    <cellStyle name="Percent 2 2 2" xfId="153" xr:uid="{A2103D5F-6786-4852-BCA0-6895272CFA95}"/>
    <cellStyle name="Percent 2 2 2 2" xfId="154" xr:uid="{D0166E68-BC58-482B-86CC-5475B22D4B36}"/>
    <cellStyle name="Percent 2 2 2 2 2" xfId="455" xr:uid="{2C277267-43E6-4662-B14E-0B66A358B43B}"/>
    <cellStyle name="Percent 2 2 2 2 2 2" xfId="819" xr:uid="{C6C7C70D-14A1-41CC-BF53-9884E07A99CB}"/>
    <cellStyle name="Percent 2 2 2 2 2 2 2" xfId="1553" xr:uid="{DF22F8F9-427A-4ECD-AD85-C60AEDB3C0AE}"/>
    <cellStyle name="Percent 2 2 2 2 2 2 2 2" xfId="3005" xr:uid="{A41AA9B9-FC75-4F5B-BA30-14315952F236}"/>
    <cellStyle name="Percent 2 2 2 2 2 2 3" xfId="2280" xr:uid="{44867690-3CB8-4633-9C93-E1776F783F50}"/>
    <cellStyle name="Percent 2 2 2 2 2 3" xfId="1199" xr:uid="{ED1D0004-C0EA-420F-AA15-5FE32699704D}"/>
    <cellStyle name="Percent 2 2 2 2 2 3 2" xfId="2651" xr:uid="{8233B5D6-E258-4B5F-AFE5-9A0582E4A8C4}"/>
    <cellStyle name="Percent 2 2 2 2 2 4" xfId="1926" xr:uid="{3D24DCE4-428E-4FD6-8F00-6AD8B59F4469}"/>
    <cellStyle name="Percent 2 2 2 2 3" xfId="635" xr:uid="{52241462-8139-4FEC-B23C-16ADDC897AB0}"/>
    <cellStyle name="Percent 2 2 2 2 3 2" xfId="1369" xr:uid="{C1CBB0A0-F5F2-4F67-A6F6-EB7F13F435AA}"/>
    <cellStyle name="Percent 2 2 2 2 3 2 2" xfId="2821" xr:uid="{C9A23AB4-5E52-41BC-B7FD-7AB59C7B9DF6}"/>
    <cellStyle name="Percent 2 2 2 2 3 3" xfId="2096" xr:uid="{05B8F830-247A-4178-8E85-6FEC10D3130A}"/>
    <cellStyle name="Percent 2 2 2 2 4" xfId="1015" xr:uid="{52CC6A99-2FD3-483A-85AD-17347A1743CE}"/>
    <cellStyle name="Percent 2 2 2 2 4 2" xfId="2467" xr:uid="{18460511-DCD5-4419-9D37-E52CDF7C6850}"/>
    <cellStyle name="Percent 2 2 2 2 5" xfId="1742" xr:uid="{6D91E730-C463-4182-AD76-B9A75AA83722}"/>
    <cellStyle name="Percent 2 2 2 3" xfId="456" xr:uid="{35BEEEE8-CD4A-40FD-85DD-D3BC979976CA}"/>
    <cellStyle name="Percent 2 2 2 3 2" xfId="820" xr:uid="{53401319-E380-42E6-9D43-B6D2B8ED218A}"/>
    <cellStyle name="Percent 2 2 2 3 2 2" xfId="1554" xr:uid="{A232B578-00A4-477A-B9DA-484319E14B1A}"/>
    <cellStyle name="Percent 2 2 2 3 2 2 2" xfId="3006" xr:uid="{DA798254-1CCB-4A53-A615-36F5B88B4E98}"/>
    <cellStyle name="Percent 2 2 2 3 2 3" xfId="2281" xr:uid="{8295EA86-CA2F-4938-839A-7CE18A03E70D}"/>
    <cellStyle name="Percent 2 2 2 3 3" xfId="1200" xr:uid="{BD7275FA-3E2D-4C87-A270-1A0C0DC3AB23}"/>
    <cellStyle name="Percent 2 2 2 3 3 2" xfId="2652" xr:uid="{2F62AA11-98E2-4782-91B5-358D231D6996}"/>
    <cellStyle name="Percent 2 2 2 3 4" xfId="1927" xr:uid="{902604D8-5552-4015-AE9E-3199F101091D}"/>
    <cellStyle name="Percent 2 2 2 4" xfId="634" xr:uid="{B8421E0B-BECC-4351-AB2E-1EB0CF6E8302}"/>
    <cellStyle name="Percent 2 2 2 4 2" xfId="1368" xr:uid="{9B6F35FB-EF96-4C6F-A4C1-6306F16C37D4}"/>
    <cellStyle name="Percent 2 2 2 4 2 2" xfId="2820" xr:uid="{1AE38CE5-2ABE-4A83-ADC0-1FB273CD7F16}"/>
    <cellStyle name="Percent 2 2 2 4 3" xfId="2095" xr:uid="{F8B0FB54-CDBE-4476-AAA8-DE0218364A6F}"/>
    <cellStyle name="Percent 2 2 2 5" xfId="1014" xr:uid="{EA77A0F6-B105-4C08-A1EA-D1F6064198B4}"/>
    <cellStyle name="Percent 2 2 2 5 2" xfId="2466" xr:uid="{6A17F8DF-2EA7-4D1E-9F3E-1C3B45DF46C1}"/>
    <cellStyle name="Percent 2 2 2 6" xfId="1741" xr:uid="{73281790-376F-4FA8-9DCC-BD8B2B299F1E}"/>
    <cellStyle name="Percent 2 2 3" xfId="155" xr:uid="{6B33A07B-F1AC-43EC-A3E4-3F868CFD5A00}"/>
    <cellStyle name="Percent 2 2 3 2" xfId="457" xr:uid="{B0B83DF9-C76D-4CF7-8754-8466558666DD}"/>
    <cellStyle name="Percent 2 2 3 2 2" xfId="821" xr:uid="{C6C2362E-CF1B-446D-953C-2FCC4130E3B4}"/>
    <cellStyle name="Percent 2 2 3 2 2 2" xfId="1555" xr:uid="{35EA5862-4B9B-45C2-BACA-31681BB1A2DD}"/>
    <cellStyle name="Percent 2 2 3 2 2 2 2" xfId="3007" xr:uid="{8149FD4E-559D-4B0D-B1B0-4F43FE3353FC}"/>
    <cellStyle name="Percent 2 2 3 2 2 3" xfId="2282" xr:uid="{E5029F0C-9104-4CAF-958B-5396B2090902}"/>
    <cellStyle name="Percent 2 2 3 2 3" xfId="1201" xr:uid="{6405D890-4ECB-436A-9D92-4C29B3BF3BC4}"/>
    <cellStyle name="Percent 2 2 3 2 3 2" xfId="2653" xr:uid="{D2F056EF-45E9-4E91-8631-AC6977517742}"/>
    <cellStyle name="Percent 2 2 3 2 4" xfId="1928" xr:uid="{55498942-4131-44CC-A99E-13D4E68BA58D}"/>
    <cellStyle name="Percent 2 2 3 3" xfId="636" xr:uid="{612AB521-C6F2-4350-8045-1B2D30F2DFA6}"/>
    <cellStyle name="Percent 2 2 3 3 2" xfId="1370" xr:uid="{51666A1E-6B03-42B9-9EA2-D11ED359FCB8}"/>
    <cellStyle name="Percent 2 2 3 3 2 2" xfId="2822" xr:uid="{276E6E38-D337-40FC-8069-81E64FCFF227}"/>
    <cellStyle name="Percent 2 2 3 3 3" xfId="2097" xr:uid="{F400B5E8-7D3D-4130-AE78-DEAC0DA42A10}"/>
    <cellStyle name="Percent 2 2 3 4" xfId="1016" xr:uid="{0555D75F-5E90-4BF0-ACFC-9CD5D108D3FD}"/>
    <cellStyle name="Percent 2 2 3 4 2" xfId="2468" xr:uid="{775CE43D-F732-484F-8525-7CC1B8DA390B}"/>
    <cellStyle name="Percent 2 2 3 5" xfId="1743" xr:uid="{02EBA584-0A91-434D-AE84-68F773D1C59D}"/>
    <cellStyle name="Percent 2 2 4" xfId="156" xr:uid="{6AA88DE4-692C-4326-A432-75122E9F9EB6}"/>
    <cellStyle name="Percent 2 2 4 2" xfId="458" xr:uid="{B3D34089-5860-44E3-9170-DF2C317D091D}"/>
    <cellStyle name="Percent 2 2 4 2 2" xfId="822" xr:uid="{46BC8D22-6B86-4DE9-AF3C-2BD37503B268}"/>
    <cellStyle name="Percent 2 2 4 2 2 2" xfId="1556" xr:uid="{883DFCBF-BE54-40AF-967B-BC1B5AC49438}"/>
    <cellStyle name="Percent 2 2 4 2 2 2 2" xfId="3008" xr:uid="{28FF62C5-3F52-418E-8713-20C52AE6EA23}"/>
    <cellStyle name="Percent 2 2 4 2 2 3" xfId="2283" xr:uid="{54E3EEA3-0672-4B2D-BB70-34DBA1613B5F}"/>
    <cellStyle name="Percent 2 2 4 2 3" xfId="1202" xr:uid="{D13C0780-CEE2-42DD-9581-0B6AD82467E9}"/>
    <cellStyle name="Percent 2 2 4 2 3 2" xfId="2654" xr:uid="{B369E7D6-DED1-49A2-9EE9-24F819612390}"/>
    <cellStyle name="Percent 2 2 4 2 4" xfId="1929" xr:uid="{F3E455AA-1F24-42F0-9EB6-A8F55EC91B8B}"/>
    <cellStyle name="Percent 2 2 4 3" xfId="637" xr:uid="{B12B6760-64CB-4551-8155-0BECC563206F}"/>
    <cellStyle name="Percent 2 2 4 3 2" xfId="1371" xr:uid="{76CDF923-5608-4B97-B98F-564235D3BB7F}"/>
    <cellStyle name="Percent 2 2 4 3 2 2" xfId="2823" xr:uid="{2ABDB7D7-828E-4F92-9329-2A13E1FC7F56}"/>
    <cellStyle name="Percent 2 2 4 3 3" xfId="2098" xr:uid="{971239E0-089B-4182-937F-6F5A912D3CE8}"/>
    <cellStyle name="Percent 2 2 4 4" xfId="1017" xr:uid="{DC348262-C07D-4440-8457-DDC1E6E95562}"/>
    <cellStyle name="Percent 2 2 4 4 2" xfId="2469" xr:uid="{F359496A-C309-4ED3-8424-47D1C8EA3445}"/>
    <cellStyle name="Percent 2 2 4 5" xfId="1744" xr:uid="{528E87C0-D637-4148-BB24-EC84372F4563}"/>
    <cellStyle name="Percent 2 2 5" xfId="311" xr:uid="{53F3C801-08ED-44F5-A6F8-DECDFC102742}"/>
    <cellStyle name="Percent 2 2 6" xfId="312" xr:uid="{06D19E31-5EFA-49B3-AAC2-7B99157C16D4}"/>
    <cellStyle name="Percent 2 2 7" xfId="313" xr:uid="{DB6A76A4-3026-4B1D-A7C7-7DC3D49C0CB2}"/>
    <cellStyle name="Percent 2 2 8" xfId="314" xr:uid="{00D64EEC-423B-40B7-9304-8ECC06DF34B1}"/>
    <cellStyle name="Percent 2 2 9" xfId="315" xr:uid="{99EA78FD-6059-467D-B824-20B3D2B3A84E}"/>
    <cellStyle name="Percent 2 3" xfId="157" xr:uid="{8E6FC3B6-7FE0-45A3-8448-9A15C1D20901}"/>
    <cellStyle name="Percent 2 3 10" xfId="316" xr:uid="{85D4205D-075C-4F9E-8E1D-216A78F61581}"/>
    <cellStyle name="Percent 2 3 11" xfId="317" xr:uid="{CA587897-8BAA-474D-B00F-86A69B5CCFF6}"/>
    <cellStyle name="Percent 2 3 12" xfId="318" xr:uid="{3FC8921A-F15B-48FB-B5CA-AE3FA941D70D}"/>
    <cellStyle name="Percent 2 3 13" xfId="638" xr:uid="{ABAE7111-D2AC-4D2F-970F-E82B4E54F2EB}"/>
    <cellStyle name="Percent 2 3 13 2" xfId="1372" xr:uid="{3F815ABB-5611-41E5-A64D-E6A6A07C68CC}"/>
    <cellStyle name="Percent 2 3 13 2 2" xfId="2824" xr:uid="{522F4E9E-4BF7-4CDA-9712-D8EABB158507}"/>
    <cellStyle name="Percent 2 3 13 3" xfId="2099" xr:uid="{8AF6885D-3FEA-42B8-AD65-64B7F0B1A868}"/>
    <cellStyle name="Percent 2 3 14" xfId="1018" xr:uid="{842030F5-5B6A-4ED1-831D-EFC39200AF0B}"/>
    <cellStyle name="Percent 2 3 14 2" xfId="2470" xr:uid="{349662AA-9D97-4514-BBE2-E2567B64A239}"/>
    <cellStyle name="Percent 2 3 15" xfId="1745" xr:uid="{D9E5396E-306E-43C3-8EA4-BB2514D4F663}"/>
    <cellStyle name="Percent 2 3 2" xfId="158" xr:uid="{5BED9BF5-322F-4E36-B7AF-2908BFCAA512}"/>
    <cellStyle name="Percent 2 3 2 2" xfId="459" xr:uid="{4E81DEF4-A06D-4749-BBD9-A2BD1F79E0B7}"/>
    <cellStyle name="Percent 2 3 2 2 2" xfId="823" xr:uid="{EA5129BC-5B30-4CCF-9263-D60F3E6672BE}"/>
    <cellStyle name="Percent 2 3 2 2 2 2" xfId="1557" xr:uid="{BE1DDE04-CE12-4E00-847F-2061559BE81D}"/>
    <cellStyle name="Percent 2 3 2 2 2 2 2" xfId="3009" xr:uid="{D738784B-EAF1-4A02-8AAA-1DF3AC487DC2}"/>
    <cellStyle name="Percent 2 3 2 2 2 3" xfId="2284" xr:uid="{6FDBD1FC-5473-4A38-8178-C920EA35F3CC}"/>
    <cellStyle name="Percent 2 3 2 2 3" xfId="1203" xr:uid="{0932AA10-982D-4E95-BBAA-3CAE187AA8CC}"/>
    <cellStyle name="Percent 2 3 2 2 3 2" xfId="2655" xr:uid="{48C1634C-142D-4417-9FA4-64BF1C04DAB6}"/>
    <cellStyle name="Percent 2 3 2 2 4" xfId="1930" xr:uid="{F42BAF28-5CDC-4B6A-8124-AE75CEC7C6EB}"/>
    <cellStyle name="Percent 2 3 2 3" xfId="639" xr:uid="{8E2A1441-34C2-4E1C-9700-C72E91D57CC3}"/>
    <cellStyle name="Percent 2 3 2 3 2" xfId="1373" xr:uid="{1EE0E6DA-6E80-4F3B-BAA1-8DAB16A10780}"/>
    <cellStyle name="Percent 2 3 2 3 2 2" xfId="2825" xr:uid="{A986280D-66D5-4454-A57B-4E5E58DF1E8F}"/>
    <cellStyle name="Percent 2 3 2 3 3" xfId="2100" xr:uid="{DA434DE8-523F-4381-BFE6-812BE7070D48}"/>
    <cellStyle name="Percent 2 3 2 4" xfId="1019" xr:uid="{25E518EA-AE3B-475A-BD94-E542E9AC4845}"/>
    <cellStyle name="Percent 2 3 2 4 2" xfId="2471" xr:uid="{CB1B74B4-1B97-420A-891D-3D24AB075C8B}"/>
    <cellStyle name="Percent 2 3 2 5" xfId="1746" xr:uid="{77DE74A8-3EBF-453F-B3E4-321ED2D2FCC4}"/>
    <cellStyle name="Percent 2 3 3" xfId="159" xr:uid="{5B49953E-F088-464C-8719-ABC5C1930401}"/>
    <cellStyle name="Percent 2 3 3 2" xfId="460" xr:uid="{EAE709E0-18CE-45DE-A350-9BE4414BAEC4}"/>
    <cellStyle name="Percent 2 3 3 2 2" xfId="824" xr:uid="{5A43E126-BAA5-4CAB-A921-F1AB60D2ADEB}"/>
    <cellStyle name="Percent 2 3 3 2 2 2" xfId="1558" xr:uid="{9B050098-C5B5-4187-8798-6CA710B2EF77}"/>
    <cellStyle name="Percent 2 3 3 2 2 2 2" xfId="3010" xr:uid="{DEEF8189-91AF-499B-9A52-4CD89B9D9085}"/>
    <cellStyle name="Percent 2 3 3 2 2 3" xfId="2285" xr:uid="{2879F197-3D49-4271-B7B6-8A76408CC564}"/>
    <cellStyle name="Percent 2 3 3 2 3" xfId="1204" xr:uid="{0DE088BA-80D6-46D5-8FD6-AC19DFE5036C}"/>
    <cellStyle name="Percent 2 3 3 2 3 2" xfId="2656" xr:uid="{00E06E40-426B-49EB-B1C1-88AA9B4318E4}"/>
    <cellStyle name="Percent 2 3 3 2 4" xfId="1931" xr:uid="{67C2B29F-323E-4303-9388-5A2A1F90415B}"/>
    <cellStyle name="Percent 2 3 3 3" xfId="640" xr:uid="{B59FD10C-7301-45AE-8370-E9F0AADA0B31}"/>
    <cellStyle name="Percent 2 3 3 3 2" xfId="1374" xr:uid="{DDB4FC3A-0044-4883-BBC1-55B4D1164BC6}"/>
    <cellStyle name="Percent 2 3 3 3 2 2" xfId="2826" xr:uid="{91527ECA-889C-4A85-8631-0DD352AAFBE8}"/>
    <cellStyle name="Percent 2 3 3 3 3" xfId="2101" xr:uid="{3562B00C-5B75-4D92-A12D-4A0400F8E70B}"/>
    <cellStyle name="Percent 2 3 3 4" xfId="1020" xr:uid="{4A23AB2E-45C4-4F53-913C-3772B24C535A}"/>
    <cellStyle name="Percent 2 3 3 4 2" xfId="2472" xr:uid="{45A3279D-3BC2-4476-8ED2-162A404D7191}"/>
    <cellStyle name="Percent 2 3 3 5" xfId="1747" xr:uid="{26636068-79E2-427E-A832-6DB83168CB88}"/>
    <cellStyle name="Percent 2 3 4" xfId="319" xr:uid="{9F5BDCC5-B16A-44FB-83B6-025526511B83}"/>
    <cellStyle name="Percent 2 3 5" xfId="320" xr:uid="{20A6FDEC-B192-436C-A478-CC72BA29E5CB}"/>
    <cellStyle name="Percent 2 3 6" xfId="321" xr:uid="{B116D904-E909-478A-A214-6709FD7AD512}"/>
    <cellStyle name="Percent 2 3 7" xfId="322" xr:uid="{F6A51469-C981-4D3B-81BA-4F3968968A79}"/>
    <cellStyle name="Percent 2 3 8" xfId="323" xr:uid="{270CE0C8-EE6F-4609-B71F-BFF3CEE8DBB6}"/>
    <cellStyle name="Percent 2 3 9" xfId="324" xr:uid="{0D7DF6B0-0BEA-455D-BD7F-49537C6233AB}"/>
    <cellStyle name="Percent 2 4" xfId="160" xr:uid="{FCFCF8E2-CFD8-4399-B04C-E1C41BD5ADA6}"/>
    <cellStyle name="Percent 2 4 10" xfId="325" xr:uid="{C9D7D7F6-54A4-4EBA-BE4B-1BD9283AE28C}"/>
    <cellStyle name="Percent 2 4 11" xfId="326" xr:uid="{B6575CD3-474D-4A6F-8783-F60813F6D807}"/>
    <cellStyle name="Percent 2 4 12" xfId="327" xr:uid="{27916BFA-B4B5-469C-BEC1-A0CC01A475C7}"/>
    <cellStyle name="Percent 2 4 13" xfId="641" xr:uid="{0524E8D0-05C4-49F7-8AB5-B117DCCF2426}"/>
    <cellStyle name="Percent 2 4 13 2" xfId="1375" xr:uid="{649F412B-78DB-48E9-8C9E-BDA6C3E8EBB2}"/>
    <cellStyle name="Percent 2 4 13 2 2" xfId="2827" xr:uid="{F9FB2AB2-7E01-4B8D-A756-9F31F9617B30}"/>
    <cellStyle name="Percent 2 4 13 3" xfId="2102" xr:uid="{A8991103-F9D6-4A39-8D9E-CDEC1386FE18}"/>
    <cellStyle name="Percent 2 4 14" xfId="1021" xr:uid="{0AA864A2-62D0-46F2-81E6-26AF6C4517EA}"/>
    <cellStyle name="Percent 2 4 14 2" xfId="2473" xr:uid="{B70FA910-3367-4C85-A0FE-C4F6448F5845}"/>
    <cellStyle name="Percent 2 4 15" xfId="1748" xr:uid="{15AF0E1F-BA65-4579-B925-3227E4E7D3B9}"/>
    <cellStyle name="Percent 2 4 2" xfId="161" xr:uid="{E41582AB-B0E9-460C-80A3-7413728D55B3}"/>
    <cellStyle name="Percent 2 4 2 2" xfId="461" xr:uid="{A1F973AC-9A72-4CB6-87B5-6DBCBDD7EB90}"/>
    <cellStyle name="Percent 2 4 2 2 2" xfId="825" xr:uid="{7ADA157B-F791-4050-9843-5B0FE576292F}"/>
    <cellStyle name="Percent 2 4 2 2 2 2" xfId="1559" xr:uid="{BADFA5C1-042F-4EEF-BE44-9B000A0D7F67}"/>
    <cellStyle name="Percent 2 4 2 2 2 2 2" xfId="3011" xr:uid="{C41350E6-151D-4926-9D3D-D3DE893ACFAB}"/>
    <cellStyle name="Percent 2 4 2 2 2 3" xfId="2286" xr:uid="{60C70583-531F-4916-B096-DBCC1A870B62}"/>
    <cellStyle name="Percent 2 4 2 2 3" xfId="1205" xr:uid="{9AFE42CC-9172-46C4-95E2-54A8B19F029A}"/>
    <cellStyle name="Percent 2 4 2 2 3 2" xfId="2657" xr:uid="{02037707-028B-4D2E-88CD-D21F9DCB9263}"/>
    <cellStyle name="Percent 2 4 2 2 4" xfId="1932" xr:uid="{913D3778-7F89-45DB-BC31-949F38D7D2D1}"/>
    <cellStyle name="Percent 2 4 2 3" xfId="642" xr:uid="{AE469E61-CBCD-4AB6-9741-547D5CC4E7CF}"/>
    <cellStyle name="Percent 2 4 2 3 2" xfId="1376" xr:uid="{4779110D-0FCD-4314-80C8-F4BDEAB30FD6}"/>
    <cellStyle name="Percent 2 4 2 3 2 2" xfId="2828" xr:uid="{B176E38F-7309-4E7C-B82C-0485AFC18434}"/>
    <cellStyle name="Percent 2 4 2 3 3" xfId="2103" xr:uid="{15F66A24-219C-4053-9B2D-FBE869EC0D50}"/>
    <cellStyle name="Percent 2 4 2 4" xfId="1022" xr:uid="{BAA4AA7D-BC3A-4159-8929-D0C9C3C1B4C1}"/>
    <cellStyle name="Percent 2 4 2 4 2" xfId="2474" xr:uid="{FC484CAF-2D5D-4EB7-AFB1-7D2D0494B444}"/>
    <cellStyle name="Percent 2 4 2 5" xfId="1749" xr:uid="{584E0663-2FD1-4D39-8C1B-6CFAEFF195C5}"/>
    <cellStyle name="Percent 2 4 3" xfId="328" xr:uid="{21EF810C-7420-43AB-ABBE-EEA13336B635}"/>
    <cellStyle name="Percent 2 4 4" xfId="329" xr:uid="{CDCEAA73-74C9-4F39-B496-464283FC5405}"/>
    <cellStyle name="Percent 2 4 5" xfId="330" xr:uid="{3E606FAC-8716-4EF7-86CE-349483AF897F}"/>
    <cellStyle name="Percent 2 4 6" xfId="331" xr:uid="{C678DB6B-AE15-440A-A728-E3A60677F27E}"/>
    <cellStyle name="Percent 2 4 7" xfId="332" xr:uid="{AAE99978-A25F-4A25-B1EF-821727DA19E1}"/>
    <cellStyle name="Percent 2 4 8" xfId="333" xr:uid="{0E38AC7A-19C6-4046-8A3E-37C40115E87A}"/>
    <cellStyle name="Percent 2 4 9" xfId="334" xr:uid="{D1ABE07A-6553-4941-961F-E28C28428B9E}"/>
    <cellStyle name="Percent 2 5" xfId="162" xr:uid="{96487FAD-00A6-4D92-85A4-BCFAFADA9249}"/>
    <cellStyle name="Percent 2 5 2" xfId="163" xr:uid="{85C4C9D4-EE58-45D5-B3BD-AE9522A72BC1}"/>
    <cellStyle name="Percent 2 5 2 2" xfId="462" xr:uid="{40546EC3-B316-4AA2-9963-80B4BC170E9F}"/>
    <cellStyle name="Percent 2 5 2 2 2" xfId="826" xr:uid="{6F788E5A-0A8E-48B7-B659-F0C86120267E}"/>
    <cellStyle name="Percent 2 5 2 2 2 2" xfId="1560" xr:uid="{CD8FAB5F-A46F-41E2-8A14-9FE07E616A1D}"/>
    <cellStyle name="Percent 2 5 2 2 2 2 2" xfId="3012" xr:uid="{591D885C-5CB3-4838-B853-C52FB1AB361C}"/>
    <cellStyle name="Percent 2 5 2 2 2 3" xfId="2287" xr:uid="{969941CC-C576-4E95-8276-69C1168DAF3F}"/>
    <cellStyle name="Percent 2 5 2 2 3" xfId="1206" xr:uid="{141CAFE6-17A7-4819-AB1F-73EC00CF3F03}"/>
    <cellStyle name="Percent 2 5 2 2 3 2" xfId="2658" xr:uid="{BF202DAC-07F2-4927-9CA3-D3D3578796B9}"/>
    <cellStyle name="Percent 2 5 2 2 4" xfId="1933" xr:uid="{B368FF43-2924-4B7B-B781-93E2FAC0C1F5}"/>
    <cellStyle name="Percent 2 5 2 3" xfId="644" xr:uid="{F79F9776-1C0D-4E68-AFE3-329F905361F3}"/>
    <cellStyle name="Percent 2 5 2 3 2" xfId="1378" xr:uid="{8D5DD4B3-2C43-4017-A1EF-246E38BFD478}"/>
    <cellStyle name="Percent 2 5 2 3 2 2" xfId="2830" xr:uid="{B160FF68-A7EE-4380-91F6-22A379F7FAA0}"/>
    <cellStyle name="Percent 2 5 2 3 3" xfId="2105" xr:uid="{BAFEA122-CF1C-4503-8DBE-E082546F590D}"/>
    <cellStyle name="Percent 2 5 2 4" xfId="1024" xr:uid="{6EB15E4A-99B9-4249-8FBA-AEAF942CE145}"/>
    <cellStyle name="Percent 2 5 2 4 2" xfId="2476" xr:uid="{3CEE56A6-CF1A-4B33-8BB7-347BEE24B42D}"/>
    <cellStyle name="Percent 2 5 2 5" xfId="1751" xr:uid="{C91DD2C2-9B7E-4991-B7DA-644AFF0DFD5D}"/>
    <cellStyle name="Percent 2 5 3" xfId="463" xr:uid="{3180B442-0920-4B80-AAF6-E41FEDD2062B}"/>
    <cellStyle name="Percent 2 5 3 2" xfId="827" xr:uid="{5B0FA3FA-B157-4B54-B59D-3368D2D6D490}"/>
    <cellStyle name="Percent 2 5 3 2 2" xfId="1561" xr:uid="{F999F273-0234-41B7-A6B5-023F3D1841FF}"/>
    <cellStyle name="Percent 2 5 3 2 2 2" xfId="3013" xr:uid="{FE6E9200-CE87-43AF-9749-C75E921D116F}"/>
    <cellStyle name="Percent 2 5 3 2 3" xfId="2288" xr:uid="{E3E13196-C3AD-4D77-B87E-ECE5BD260F8C}"/>
    <cellStyle name="Percent 2 5 3 3" xfId="1207" xr:uid="{7DBEF136-770D-42E3-8B36-4884CC8AFEAE}"/>
    <cellStyle name="Percent 2 5 3 3 2" xfId="2659" xr:uid="{E6280322-4FEE-4E59-813C-A21E1AA6BD54}"/>
    <cellStyle name="Percent 2 5 3 4" xfId="1934" xr:uid="{093E737E-5C47-4ACA-A7E4-EFD22C821482}"/>
    <cellStyle name="Percent 2 5 4" xfId="643" xr:uid="{A70934E5-14F1-4521-A242-086CFE088A25}"/>
    <cellStyle name="Percent 2 5 4 2" xfId="1377" xr:uid="{F247F366-85B9-4BC5-A965-419CBA9CA27F}"/>
    <cellStyle name="Percent 2 5 4 2 2" xfId="2829" xr:uid="{4327D44E-B850-40D7-B666-EFC7A795F8E7}"/>
    <cellStyle name="Percent 2 5 4 3" xfId="2104" xr:uid="{F7A06198-7A31-4588-B25C-C6D0177D67E9}"/>
    <cellStyle name="Percent 2 5 5" xfId="1023" xr:uid="{7DCC5492-23BC-46E7-A223-ECE33CD769D3}"/>
    <cellStyle name="Percent 2 5 5 2" xfId="2475" xr:uid="{67299642-00E1-402A-9656-F5691720C77C}"/>
    <cellStyle name="Percent 2 5 6" xfId="1750" xr:uid="{6D0C22AB-DD48-43F8-8E73-129BECE59C74}"/>
    <cellStyle name="Percent 2 6" xfId="164" xr:uid="{82DA69CD-6922-4B98-96DE-02C944AFBD3D}"/>
    <cellStyle name="Percent 2 6 2" xfId="165" xr:uid="{9EF5FE44-09A5-45DC-A50D-35B712397608}"/>
    <cellStyle name="Percent 2 6 2 2" xfId="464" xr:uid="{174FB939-F8E5-4C65-96F6-D77FF11281C9}"/>
    <cellStyle name="Percent 2 6 2 2 2" xfId="828" xr:uid="{32A015C0-CBD2-415E-9FAF-D891E6493884}"/>
    <cellStyle name="Percent 2 6 2 2 2 2" xfId="1562" xr:uid="{ED8FFDCE-9F82-4099-9EC4-08C6A42FD065}"/>
    <cellStyle name="Percent 2 6 2 2 2 2 2" xfId="3014" xr:uid="{1436E952-DEB9-422D-B021-05A0A5C73D0E}"/>
    <cellStyle name="Percent 2 6 2 2 2 3" xfId="2289" xr:uid="{A618F1D0-5AB7-4B07-AD3E-D5A67EB21A48}"/>
    <cellStyle name="Percent 2 6 2 2 3" xfId="1208" xr:uid="{C0FEDB70-641A-4BF9-A2D7-2742D3219E7B}"/>
    <cellStyle name="Percent 2 6 2 2 3 2" xfId="2660" xr:uid="{E2555167-6102-47AC-8F0B-4A63CB6E9FD1}"/>
    <cellStyle name="Percent 2 6 2 2 4" xfId="1935" xr:uid="{4BDD083B-8561-471B-BF01-6AF51618F925}"/>
    <cellStyle name="Percent 2 6 2 3" xfId="646" xr:uid="{1B5A7520-59B4-45DA-9676-3B4BC53090FE}"/>
    <cellStyle name="Percent 2 6 2 3 2" xfId="1380" xr:uid="{CF60DDA5-500F-4175-AA81-C9E2F30BC465}"/>
    <cellStyle name="Percent 2 6 2 3 2 2" xfId="2832" xr:uid="{944945C3-F9E8-4BAB-B1C5-24FAD9AF6829}"/>
    <cellStyle name="Percent 2 6 2 3 3" xfId="2107" xr:uid="{D080DC5E-31DD-420F-9FCA-6DFBC35C29BE}"/>
    <cellStyle name="Percent 2 6 2 4" xfId="1026" xr:uid="{519F1B2E-5C50-4DCE-BC95-8B7B77AA83AF}"/>
    <cellStyle name="Percent 2 6 2 4 2" xfId="2478" xr:uid="{6A5AD1D6-27B5-4283-96E3-B4409E2D18A3}"/>
    <cellStyle name="Percent 2 6 2 5" xfId="1753" xr:uid="{36CACEFF-D1CA-473F-8801-0AE4B621EEDD}"/>
    <cellStyle name="Percent 2 6 3" xfId="465" xr:uid="{B1B194C6-1137-42C4-B611-0D9B6B6E744E}"/>
    <cellStyle name="Percent 2 6 3 2" xfId="829" xr:uid="{202E61E4-A844-4EE1-A53C-FA1504303A03}"/>
    <cellStyle name="Percent 2 6 3 2 2" xfId="1563" xr:uid="{ABEA9F7D-9F3A-4AAC-9666-6C1F87AAD3B5}"/>
    <cellStyle name="Percent 2 6 3 2 2 2" xfId="3015" xr:uid="{CE48F841-E0ED-42F7-A7C5-316FE9E45253}"/>
    <cellStyle name="Percent 2 6 3 2 3" xfId="2290" xr:uid="{D780BC5B-5B91-4763-A6A3-4390062B3BD5}"/>
    <cellStyle name="Percent 2 6 3 3" xfId="1209" xr:uid="{F62F64ED-3495-4185-AAA9-0EA831AAC715}"/>
    <cellStyle name="Percent 2 6 3 3 2" xfId="2661" xr:uid="{3838D3AA-89DD-45E4-90F4-AE09FDF2AB97}"/>
    <cellStyle name="Percent 2 6 3 4" xfId="1936" xr:uid="{795C66DC-CCBA-4160-8CE8-DAFDB4D7689A}"/>
    <cellStyle name="Percent 2 6 4" xfId="645" xr:uid="{34B07857-DCC3-443B-8A64-B3DCF8BA8F0A}"/>
    <cellStyle name="Percent 2 6 4 2" xfId="1379" xr:uid="{4F18E5DF-03FA-4109-B941-A9991FC636DB}"/>
    <cellStyle name="Percent 2 6 4 2 2" xfId="2831" xr:uid="{315C02E2-49D0-4C44-80B0-17203E5A9662}"/>
    <cellStyle name="Percent 2 6 4 3" xfId="2106" xr:uid="{80B08466-5E13-4A8F-8BBB-A0CF54B6CD12}"/>
    <cellStyle name="Percent 2 6 5" xfId="1025" xr:uid="{F8CFACA0-F277-4C45-BFFD-E09CDE45AF9E}"/>
    <cellStyle name="Percent 2 6 5 2" xfId="2477" xr:uid="{83E0806D-A7F1-4493-91B6-8C5F76958BD7}"/>
    <cellStyle name="Percent 2 6 6" xfId="1752" xr:uid="{377ACFAE-7EF5-4681-876B-EBF7BAFCE42A}"/>
    <cellStyle name="Percent 2 7" xfId="166" xr:uid="{748C0A70-CC70-47C0-A99B-B87438883C2B}"/>
    <cellStyle name="Percent 2 7 2" xfId="466" xr:uid="{4AA5A2EB-9D07-46FB-BA26-BFCF7A97CB96}"/>
    <cellStyle name="Percent 2 7 2 2" xfId="830" xr:uid="{833D7202-3849-4831-9993-0F4E7529E0D6}"/>
    <cellStyle name="Percent 2 7 2 2 2" xfId="1564" xr:uid="{1A48CF6F-5EC2-4AC2-BDA3-BC65765D8CC0}"/>
    <cellStyle name="Percent 2 7 2 2 2 2" xfId="3016" xr:uid="{BDAD165F-E29F-486F-A593-DB5C814E1F95}"/>
    <cellStyle name="Percent 2 7 2 2 3" xfId="2291" xr:uid="{5C5F04F0-D3DE-45E3-A7BB-7D5B5B6A18FC}"/>
    <cellStyle name="Percent 2 7 2 3" xfId="1210" xr:uid="{B0E71BAC-B1C7-4747-81BF-65FC10CA9B71}"/>
    <cellStyle name="Percent 2 7 2 3 2" xfId="2662" xr:uid="{D58C68FE-B85A-4FC6-9300-6CE11640B543}"/>
    <cellStyle name="Percent 2 7 2 4" xfId="1937" xr:uid="{753D7C97-3216-4D18-BC4D-FAFC9DDAC60A}"/>
    <cellStyle name="Percent 2 7 3" xfId="647" xr:uid="{9ABDADCB-2DB8-4600-985A-4ABB7A0C6F92}"/>
    <cellStyle name="Percent 2 7 3 2" xfId="1381" xr:uid="{3D2AD795-35C0-4CED-86DC-EE2302C8B4F4}"/>
    <cellStyle name="Percent 2 7 3 2 2" xfId="2833" xr:uid="{05C89349-DBF3-44F9-B8FB-07BF4274F9B1}"/>
    <cellStyle name="Percent 2 7 3 3" xfId="2108" xr:uid="{CAFA4FF6-B75A-4C43-89E8-297F3B3A148C}"/>
    <cellStyle name="Percent 2 7 4" xfId="1027" xr:uid="{B47C3AE1-96E1-432E-9B1C-97F87CC4A141}"/>
    <cellStyle name="Percent 2 7 4 2" xfId="2479" xr:uid="{81B3F77E-B2D1-4DD7-8E61-A06086C0759B}"/>
    <cellStyle name="Percent 2 7 5" xfId="1754" xr:uid="{233A158D-9D92-447C-81E3-44F673C02B9A}"/>
    <cellStyle name="Percent 2 8" xfId="167" xr:uid="{EA0908F9-3CC5-4D4E-A326-03E9FE7CD7A9}"/>
    <cellStyle name="Percent 2 8 2" xfId="467" xr:uid="{BF842179-90B8-43BF-A4EB-F8325B1D5A17}"/>
    <cellStyle name="Percent 2 8 2 2" xfId="831" xr:uid="{EA127078-AF57-4668-9762-03F52302E715}"/>
    <cellStyle name="Percent 2 8 2 2 2" xfId="1565" xr:uid="{A16FC994-3489-4255-BEE0-2614D3C76459}"/>
    <cellStyle name="Percent 2 8 2 2 2 2" xfId="3017" xr:uid="{4B7DEF32-2CAD-414B-B708-17E3BA4CCE7B}"/>
    <cellStyle name="Percent 2 8 2 2 3" xfId="2292" xr:uid="{E9DA7347-4030-4DFC-AFF6-D2B4A2F115EB}"/>
    <cellStyle name="Percent 2 8 2 3" xfId="1211" xr:uid="{7E200D8C-97CB-4D54-BE87-31FE5E0BEF5E}"/>
    <cellStyle name="Percent 2 8 2 3 2" xfId="2663" xr:uid="{F759A002-A5A3-4BDD-A699-325F683A8E60}"/>
    <cellStyle name="Percent 2 8 2 4" xfId="1938" xr:uid="{EA109CC4-1B70-4056-992F-9A0D2278A151}"/>
    <cellStyle name="Percent 2 8 3" xfId="648" xr:uid="{05110780-4528-4B38-BE2D-4543C28C3CF9}"/>
    <cellStyle name="Percent 2 8 3 2" xfId="1382" xr:uid="{A3CDAAA1-5F6E-4EE9-B823-14E695450471}"/>
    <cellStyle name="Percent 2 8 3 2 2" xfId="2834" xr:uid="{612773A9-EFFD-406E-B178-4B3E057CE249}"/>
    <cellStyle name="Percent 2 8 3 3" xfId="2109" xr:uid="{091C244D-E6EE-4ED3-8B5D-76BB2AB4128E}"/>
    <cellStyle name="Percent 2 8 4" xfId="1028" xr:uid="{D87A247A-3DE9-4235-8651-1CEC921E3516}"/>
    <cellStyle name="Percent 2 8 4 2" xfId="2480" xr:uid="{1790E79D-7AE2-43E5-889B-5BF22508B0FE}"/>
    <cellStyle name="Percent 2 8 5" xfId="1755" xr:uid="{190261E7-CD3B-4191-9BBD-99BD2A60B033}"/>
    <cellStyle name="Percent 2 9" xfId="168" xr:uid="{B63E03C5-C07B-4FD6-B756-9E9406C50026}"/>
    <cellStyle name="Percent 2 9 2" xfId="468" xr:uid="{915E8454-E362-408E-86DA-512D33D75DD4}"/>
    <cellStyle name="Percent 2 9 2 2" xfId="832" xr:uid="{97815B02-5550-415F-8582-B3D01F0AD6F8}"/>
    <cellStyle name="Percent 2 9 2 2 2" xfId="1566" xr:uid="{98980000-3AC4-4EBB-B451-69F8C68A14AB}"/>
    <cellStyle name="Percent 2 9 2 2 2 2" xfId="3018" xr:uid="{7391AFE6-31CE-47A0-8928-5251B2E60E5E}"/>
    <cellStyle name="Percent 2 9 2 2 3" xfId="2293" xr:uid="{C6730C0A-8F8F-4463-8CA6-42C3E8192881}"/>
    <cellStyle name="Percent 2 9 2 3" xfId="1212" xr:uid="{736EB16A-B1A0-4540-BAF9-31A24F22912D}"/>
    <cellStyle name="Percent 2 9 2 3 2" xfId="2664" xr:uid="{BDEE1EFF-52F4-4FC5-A346-58CBC497E525}"/>
    <cellStyle name="Percent 2 9 2 4" xfId="1939" xr:uid="{346BB70B-F772-4EDD-AFF7-75E6C6EEC8AB}"/>
    <cellStyle name="Percent 2 9 3" xfId="649" xr:uid="{50E67FA5-0961-451E-A37E-1E344303247B}"/>
    <cellStyle name="Percent 2 9 3 2" xfId="1383" xr:uid="{3BDA3475-D938-4001-8190-B9FF2356208A}"/>
    <cellStyle name="Percent 2 9 3 2 2" xfId="2835" xr:uid="{ABDB64BE-04BF-4700-A889-83690B499454}"/>
    <cellStyle name="Percent 2 9 3 3" xfId="2110" xr:uid="{84B14A05-0BBA-46E0-9A62-F2FAF3282D91}"/>
    <cellStyle name="Percent 2 9 4" xfId="1029" xr:uid="{483325CC-0ADF-4372-8A68-17AA2766ED8B}"/>
    <cellStyle name="Percent 2 9 4 2" xfId="2481" xr:uid="{355C28D5-4E69-4569-BDA4-21E85A4FB292}"/>
    <cellStyle name="Percent 2 9 5" xfId="1756" xr:uid="{E6FC0216-9416-46A8-96DB-7286413931CA}"/>
    <cellStyle name="Percent 3" xfId="48" xr:uid="{A979017F-9C6C-40C8-BA79-D0EF61D4F85C}"/>
    <cellStyle name="Percent 3 10" xfId="469" xr:uid="{95BE5AB3-F0CC-46C3-87E1-E7DF415265C6}"/>
    <cellStyle name="Percent 3 10 2" xfId="833" xr:uid="{D8A48792-5B93-4843-A060-4EF03126B831}"/>
    <cellStyle name="Percent 3 10 2 2" xfId="1567" xr:uid="{D979D89B-DFD3-4DC7-B4E8-DB81BFB1647E}"/>
    <cellStyle name="Percent 3 10 2 2 2" xfId="3019" xr:uid="{713734DA-F323-48AC-B49E-68417B6E7F77}"/>
    <cellStyle name="Percent 3 10 2 3" xfId="2294" xr:uid="{07B5B4FC-10C7-4CAA-ACCC-FBB2995D00DC}"/>
    <cellStyle name="Percent 3 10 3" xfId="1213" xr:uid="{2713C328-4E86-4008-ADE7-511BC4CA05C5}"/>
    <cellStyle name="Percent 3 10 3 2" xfId="2665" xr:uid="{610A1A13-A428-4467-B0CC-894E5A230034}"/>
    <cellStyle name="Percent 3 10 4" xfId="1940" xr:uid="{F61C9040-5C69-44EC-94EB-E397A104921C}"/>
    <cellStyle name="Percent 3 11" xfId="470" xr:uid="{FF62B934-5906-43C5-8CCF-586C11060734}"/>
    <cellStyle name="Percent 3 11 2" xfId="834" xr:uid="{37F3D50A-CCDC-4BBE-AE2A-61DD7660B74D}"/>
    <cellStyle name="Percent 3 11 2 2" xfId="1568" xr:uid="{A56B59F6-8A67-43BC-B9EC-5595C309CA52}"/>
    <cellStyle name="Percent 3 11 2 2 2" xfId="3020" xr:uid="{39322826-F51C-4B29-8830-779EBA32F3F8}"/>
    <cellStyle name="Percent 3 11 2 3" xfId="2295" xr:uid="{519FA8D2-D922-48AF-A527-794DE37B4890}"/>
    <cellStyle name="Percent 3 11 3" xfId="1214" xr:uid="{51B63F46-2A37-4EBE-A568-BB114C92AEF9}"/>
    <cellStyle name="Percent 3 11 3 2" xfId="2666" xr:uid="{EA5A9673-7C30-4C17-A230-9CA4654A9CA8}"/>
    <cellStyle name="Percent 3 11 4" xfId="1941" xr:uid="{385FFA90-E38B-469F-97A9-5252B29574B8}"/>
    <cellStyle name="Percent 3 12" xfId="534" xr:uid="{75B3A39E-C9C4-4377-BC27-6489FEF74527}"/>
    <cellStyle name="Percent 3 12 2" xfId="1268" xr:uid="{E674FDC9-C171-4AC9-840D-0387F507FFB4}"/>
    <cellStyle name="Percent 3 12 2 2" xfId="2720" xr:uid="{1B5B9496-9D81-41F2-90F6-9579C36799D8}"/>
    <cellStyle name="Percent 3 12 3" xfId="1995" xr:uid="{FD99C666-6171-4110-84F1-05FD2CA85067}"/>
    <cellStyle name="Percent 3 13" xfId="918" xr:uid="{2B0FA90B-2A3B-4EBA-8586-6E980AA6B58B}"/>
    <cellStyle name="Percent 3 13 2" xfId="2370" xr:uid="{05972D4B-AD31-4DB7-BD35-A73330E35045}"/>
    <cellStyle name="Percent 3 14" xfId="1645" xr:uid="{F5D9836E-B5E0-4103-86C2-3A25A80C27E3}"/>
    <cellStyle name="Percent 3 2" xfId="169" xr:uid="{557195EE-4761-4FAF-8EE4-281FBEF7E64C}"/>
    <cellStyle name="Percent 3 2 2" xfId="170" xr:uid="{BD7A6717-6A29-496F-9579-963375943EF2}"/>
    <cellStyle name="Percent 3 2 2 2" xfId="171" xr:uid="{6EFB939F-619A-4962-BFE1-F21753CCD5E7}"/>
    <cellStyle name="Percent 3 2 2 2 2" xfId="471" xr:uid="{4E5CD921-DB7D-402F-B2DE-A014EA6C7934}"/>
    <cellStyle name="Percent 3 2 2 2 2 2" xfId="835" xr:uid="{DBF7C1BC-274E-4F9A-8CDB-0B9D2B284433}"/>
    <cellStyle name="Percent 3 2 2 2 2 2 2" xfId="1569" xr:uid="{D703C9CF-A1C1-4936-A715-843EFC277B7C}"/>
    <cellStyle name="Percent 3 2 2 2 2 2 2 2" xfId="3021" xr:uid="{D7B6E1FB-EBE6-4331-B758-B3DD60241195}"/>
    <cellStyle name="Percent 3 2 2 2 2 2 3" xfId="2296" xr:uid="{DF85DEB3-037F-4DD8-BD56-E4B765B72105}"/>
    <cellStyle name="Percent 3 2 2 2 2 3" xfId="1215" xr:uid="{F7C67FD2-373F-4473-9D79-389ECCBC61A6}"/>
    <cellStyle name="Percent 3 2 2 2 2 3 2" xfId="2667" xr:uid="{09DBEF33-A057-4377-941B-8593B72B78B0}"/>
    <cellStyle name="Percent 3 2 2 2 2 4" xfId="1942" xr:uid="{3A72D92B-1D6D-4186-B335-0812B544C6BE}"/>
    <cellStyle name="Percent 3 2 2 2 3" xfId="652" xr:uid="{BEDF43E9-12D9-4A07-8906-610C8E24A380}"/>
    <cellStyle name="Percent 3 2 2 2 3 2" xfId="1386" xr:uid="{2457AD29-B885-46E1-BADF-B81022A52C5D}"/>
    <cellStyle name="Percent 3 2 2 2 3 2 2" xfId="2838" xr:uid="{6519B61C-BA7C-47E8-BF42-E52C5D770125}"/>
    <cellStyle name="Percent 3 2 2 2 3 3" xfId="2113" xr:uid="{FF57B317-B058-4D66-B04C-C1BE184BBB3E}"/>
    <cellStyle name="Percent 3 2 2 2 4" xfId="1032" xr:uid="{B81A895A-F768-4069-A583-160ACB620F80}"/>
    <cellStyle name="Percent 3 2 2 2 4 2" xfId="2484" xr:uid="{CA8B9F31-A391-4132-8CE6-BBC6B445A1F5}"/>
    <cellStyle name="Percent 3 2 2 2 5" xfId="1759" xr:uid="{AF0164CE-C133-4CBC-BB90-E7A0461C165F}"/>
    <cellStyle name="Percent 3 2 2 3" xfId="472" xr:uid="{88FFD811-E014-45CC-8383-7C7B10F1B938}"/>
    <cellStyle name="Percent 3 2 2 3 2" xfId="836" xr:uid="{A8DFC61B-AF6E-4424-A7E9-70F53DDC424F}"/>
    <cellStyle name="Percent 3 2 2 3 2 2" xfId="1570" xr:uid="{3E8AB40D-E9EB-4083-B2B4-12D5D3BB8048}"/>
    <cellStyle name="Percent 3 2 2 3 2 2 2" xfId="3022" xr:uid="{9C33E2A4-CA01-4B03-9D0C-1B1949DAD987}"/>
    <cellStyle name="Percent 3 2 2 3 2 3" xfId="2297" xr:uid="{72CFC6E4-DF9F-4778-98ED-69D81E44CF99}"/>
    <cellStyle name="Percent 3 2 2 3 3" xfId="1216" xr:uid="{56CDF7F4-A8F4-4C6E-9442-5A436364CDA0}"/>
    <cellStyle name="Percent 3 2 2 3 3 2" xfId="2668" xr:uid="{9E25965A-0132-4E92-95FD-32D5908B2F9E}"/>
    <cellStyle name="Percent 3 2 2 3 4" xfId="1943" xr:uid="{39F201B7-4585-410B-AA0F-4166C0194803}"/>
    <cellStyle name="Percent 3 2 2 4" xfId="651" xr:uid="{DC5E1DF5-475D-4074-8165-834EAED762B4}"/>
    <cellStyle name="Percent 3 2 2 4 2" xfId="1385" xr:uid="{C9AAF032-142A-4F22-AA16-1CA82F282D1A}"/>
    <cellStyle name="Percent 3 2 2 4 2 2" xfId="2837" xr:uid="{88A518E7-6B38-44C9-B476-7FC682482473}"/>
    <cellStyle name="Percent 3 2 2 4 3" xfId="2112" xr:uid="{96715967-C728-42D4-B3EA-1ABFC30E9DEA}"/>
    <cellStyle name="Percent 3 2 2 5" xfId="1031" xr:uid="{CE906392-A471-42C4-87F9-D6D039521100}"/>
    <cellStyle name="Percent 3 2 2 5 2" xfId="2483" xr:uid="{78C5566F-A484-401E-B53E-F915BE62D484}"/>
    <cellStyle name="Percent 3 2 2 6" xfId="1758" xr:uid="{E91F2B4C-9DCA-4A81-8CCB-A7F07D1B4068}"/>
    <cellStyle name="Percent 3 2 3" xfId="172" xr:uid="{01FEA6C0-0B5E-44FB-93D8-DA1B9B07BF1E}"/>
    <cellStyle name="Percent 3 2 3 2" xfId="473" xr:uid="{FD7593F9-AA50-484B-A68C-3FB9BF2955BE}"/>
    <cellStyle name="Percent 3 2 3 2 2" xfId="837" xr:uid="{F969D703-7908-4D98-9D6E-0D89F5187C90}"/>
    <cellStyle name="Percent 3 2 3 2 2 2" xfId="1571" xr:uid="{3713FAAB-FC3F-4807-953F-B69AE219220D}"/>
    <cellStyle name="Percent 3 2 3 2 2 2 2" xfId="3023" xr:uid="{BB623034-B91E-43E1-B98D-58845ADD4332}"/>
    <cellStyle name="Percent 3 2 3 2 2 3" xfId="2298" xr:uid="{78D1CCB0-AB00-4CC0-BE31-0411B262F419}"/>
    <cellStyle name="Percent 3 2 3 2 3" xfId="1217" xr:uid="{24D21669-5E8A-4DCF-8A06-6E1D9CD9B02A}"/>
    <cellStyle name="Percent 3 2 3 2 3 2" xfId="2669" xr:uid="{6DD2A789-B70A-4BB7-AC83-9965C140B270}"/>
    <cellStyle name="Percent 3 2 3 2 4" xfId="1944" xr:uid="{8C2DB858-5903-4A6B-8F13-6D40229D616D}"/>
    <cellStyle name="Percent 3 2 3 3" xfId="653" xr:uid="{47B2B029-14B4-4012-9863-636579DB0C0A}"/>
    <cellStyle name="Percent 3 2 3 3 2" xfId="1387" xr:uid="{41CB9B11-D1E0-44E0-95A5-F4B215F05027}"/>
    <cellStyle name="Percent 3 2 3 3 2 2" xfId="2839" xr:uid="{8F9C7CF8-364B-484F-84E7-D671EB248E3A}"/>
    <cellStyle name="Percent 3 2 3 3 3" xfId="2114" xr:uid="{227506BB-F0D5-4718-9D90-747051E10324}"/>
    <cellStyle name="Percent 3 2 3 4" xfId="1033" xr:uid="{16461806-B744-46CC-94A4-3964A407CBBD}"/>
    <cellStyle name="Percent 3 2 3 4 2" xfId="2485" xr:uid="{768948E0-4224-4CB9-8CB8-68F376F5B65E}"/>
    <cellStyle name="Percent 3 2 3 5" xfId="1760" xr:uid="{7FAFBFEE-214D-4D9B-B576-DEA2DA18AA8A}"/>
    <cellStyle name="Percent 3 2 4" xfId="173" xr:uid="{115C839D-20AD-4A61-B71A-1CCFCC1E8058}"/>
    <cellStyle name="Percent 3 2 4 2" xfId="474" xr:uid="{F914C51C-A8BA-41B9-B0B8-4E9E7C27AB1B}"/>
    <cellStyle name="Percent 3 2 4 2 2" xfId="838" xr:uid="{342022B4-1F23-4A9A-A2CF-B183D1ADD9E1}"/>
    <cellStyle name="Percent 3 2 4 2 2 2" xfId="1572" xr:uid="{BFA1719B-21F4-4F75-AC71-560D975E10E2}"/>
    <cellStyle name="Percent 3 2 4 2 2 2 2" xfId="3024" xr:uid="{F8EECEC8-E544-4EBA-AFCA-E7413247C62B}"/>
    <cellStyle name="Percent 3 2 4 2 2 3" xfId="2299" xr:uid="{718560F1-012F-4CF8-B05A-29E4CB51D4D5}"/>
    <cellStyle name="Percent 3 2 4 2 3" xfId="1218" xr:uid="{978ED215-F996-410C-8A1D-F9E20C9537BA}"/>
    <cellStyle name="Percent 3 2 4 2 3 2" xfId="2670" xr:uid="{491A1286-6953-4EE6-82E4-4A664F1F2A6A}"/>
    <cellStyle name="Percent 3 2 4 2 4" xfId="1945" xr:uid="{E26293CC-DF04-4628-9512-1738CDD730F3}"/>
    <cellStyle name="Percent 3 2 4 3" xfId="654" xr:uid="{0FC285D6-18FF-4AA5-8406-42BCC4D8E725}"/>
    <cellStyle name="Percent 3 2 4 3 2" xfId="1388" xr:uid="{83FC43D5-86BB-4D44-86ED-AE2D7F89C6B1}"/>
    <cellStyle name="Percent 3 2 4 3 2 2" xfId="2840" xr:uid="{BCBD4A0D-3481-45F1-980F-325A01CB5A3F}"/>
    <cellStyle name="Percent 3 2 4 3 3" xfId="2115" xr:uid="{C8D91A3F-8C08-4E83-98BE-A49A8FA5C750}"/>
    <cellStyle name="Percent 3 2 4 4" xfId="1034" xr:uid="{8154C6D9-3804-49F2-B6B4-A1048705EEAB}"/>
    <cellStyle name="Percent 3 2 4 4 2" xfId="2486" xr:uid="{1E1220DE-625C-48FC-A053-6EA8C067D919}"/>
    <cellStyle name="Percent 3 2 4 5" xfId="1761" xr:uid="{EEE83336-8601-4112-AFD4-5871BAC59A96}"/>
    <cellStyle name="Percent 3 2 5" xfId="475" xr:uid="{801EFFC3-1C4E-4637-BB2C-C626E9D6844A}"/>
    <cellStyle name="Percent 3 2 5 2" xfId="839" xr:uid="{B7A9FB04-F668-4E13-9487-7CA50818992C}"/>
    <cellStyle name="Percent 3 2 5 2 2" xfId="1573" xr:uid="{54F2289F-0280-4466-A185-67B2B5674899}"/>
    <cellStyle name="Percent 3 2 5 2 2 2" xfId="3025" xr:uid="{D7CBA189-21E3-4C89-8809-9128071B59A4}"/>
    <cellStyle name="Percent 3 2 5 2 3" xfId="2300" xr:uid="{948D193C-89FF-48AE-979D-7C83286ABD02}"/>
    <cellStyle name="Percent 3 2 5 3" xfId="1219" xr:uid="{B883CBD8-196C-438C-8590-FA87EE328D28}"/>
    <cellStyle name="Percent 3 2 5 3 2" xfId="2671" xr:uid="{DE08440B-CD02-4095-B3A4-D169D7D0FE46}"/>
    <cellStyle name="Percent 3 2 5 4" xfId="1946" xr:uid="{43B1CAAF-681E-47B3-BB85-7B24B8E09848}"/>
    <cellStyle name="Percent 3 2 6" xfId="476" xr:uid="{F3CA5103-906D-4245-948E-1A3D165C1F66}"/>
    <cellStyle name="Percent 3 2 6 2" xfId="840" xr:uid="{1898C863-B4B1-4425-B303-4332A6343F61}"/>
    <cellStyle name="Percent 3 2 6 2 2" xfId="1574" xr:uid="{84460F46-F5DC-47D3-8D13-F3E710352467}"/>
    <cellStyle name="Percent 3 2 6 2 2 2" xfId="3026" xr:uid="{30344260-123C-417D-9B15-95C2D7292804}"/>
    <cellStyle name="Percent 3 2 6 2 3" xfId="2301" xr:uid="{531E7CA4-4F0D-4AD6-A8E0-918D0F12FB9F}"/>
    <cellStyle name="Percent 3 2 6 3" xfId="1220" xr:uid="{820B0865-551E-46FA-B59C-E07DB3EBE258}"/>
    <cellStyle name="Percent 3 2 6 3 2" xfId="2672" xr:uid="{7307F6AF-7A74-4350-AFE8-8B05BEDF8FF1}"/>
    <cellStyle name="Percent 3 2 6 4" xfId="1947" xr:uid="{4A308A7E-3FD7-44F7-92FD-136293FC3197}"/>
    <cellStyle name="Percent 3 2 7" xfId="650" xr:uid="{5EA20E29-35B4-41A2-B289-C2265CEF3319}"/>
    <cellStyle name="Percent 3 2 7 2" xfId="1384" xr:uid="{E9CF460F-20C5-4D19-A5E0-81F3D27802E7}"/>
    <cellStyle name="Percent 3 2 7 2 2" xfId="2836" xr:uid="{FF2A996B-BADE-48B7-BB8D-C7236735F446}"/>
    <cellStyle name="Percent 3 2 7 3" xfId="2111" xr:uid="{ED11834B-C7CF-40DB-ABFA-F4842754712F}"/>
    <cellStyle name="Percent 3 2 8" xfId="1030" xr:uid="{1536CDD1-4716-4B99-B7BA-D04C86E2CE71}"/>
    <cellStyle name="Percent 3 2 8 2" xfId="2482" xr:uid="{5F577289-DFC1-4E67-868E-8552D6261444}"/>
    <cellStyle name="Percent 3 2 9" xfId="1757" xr:uid="{DD7EE1B1-9418-4D36-A7D8-F65BEF1CD37A}"/>
    <cellStyle name="Percent 3 3" xfId="174" xr:uid="{2A7C2C99-B599-46B2-B23D-41E4767EBB75}"/>
    <cellStyle name="Percent 3 3 2" xfId="175" xr:uid="{ECAB3BD9-4E83-4E4E-A0EE-48C53858A8AC}"/>
    <cellStyle name="Percent 3 3 2 2" xfId="477" xr:uid="{08174EE8-FE6A-42B1-A8F8-D9DCF1F4413F}"/>
    <cellStyle name="Percent 3 3 2 2 2" xfId="841" xr:uid="{228D8459-7866-413A-AFA0-072790F117C6}"/>
    <cellStyle name="Percent 3 3 2 2 2 2" xfId="1575" xr:uid="{BFE1C7BC-85DC-48BD-BAAA-C554F7E0CAE2}"/>
    <cellStyle name="Percent 3 3 2 2 2 2 2" xfId="3027" xr:uid="{72EDE243-9115-4145-BED7-04001053AE49}"/>
    <cellStyle name="Percent 3 3 2 2 2 3" xfId="2302" xr:uid="{91EA2668-6C13-4082-A20E-D907D72B193A}"/>
    <cellStyle name="Percent 3 3 2 2 3" xfId="1221" xr:uid="{2B1BF958-EF3C-4852-9EC9-93F0095B0E8E}"/>
    <cellStyle name="Percent 3 3 2 2 3 2" xfId="2673" xr:uid="{14BB2047-D497-4576-B021-169A9C5EF0BE}"/>
    <cellStyle name="Percent 3 3 2 2 4" xfId="1948" xr:uid="{F5135FF6-E722-4A55-A319-20585FED21A6}"/>
    <cellStyle name="Percent 3 3 2 3" xfId="656" xr:uid="{C7EDBB7B-5FB9-422F-A90D-A2A722C577C3}"/>
    <cellStyle name="Percent 3 3 2 3 2" xfId="1390" xr:uid="{10CCCCFE-CA86-4C8E-805E-A772636868D4}"/>
    <cellStyle name="Percent 3 3 2 3 2 2" xfId="2842" xr:uid="{C9E382EB-BA3A-4432-832E-365768CC023E}"/>
    <cellStyle name="Percent 3 3 2 3 3" xfId="2117" xr:uid="{F700E0AB-DF62-4A7F-968A-111E80C89FD3}"/>
    <cellStyle name="Percent 3 3 2 4" xfId="1036" xr:uid="{B7D5A7C7-8D97-4EAC-B7BD-2AB425370AA3}"/>
    <cellStyle name="Percent 3 3 2 4 2" xfId="2488" xr:uid="{6B783D3A-342D-4B36-BDF2-24A88A04B1CE}"/>
    <cellStyle name="Percent 3 3 2 5" xfId="1763" xr:uid="{DFC06351-AFB8-4AB9-A53C-736981AEF41F}"/>
    <cellStyle name="Percent 3 3 3" xfId="176" xr:uid="{B072BD96-1DBA-4358-BB21-F4123C1BECB1}"/>
    <cellStyle name="Percent 3 3 3 2" xfId="478" xr:uid="{8A966CC6-39C7-4B05-A292-62EDD8ABFB0A}"/>
    <cellStyle name="Percent 3 3 3 2 2" xfId="842" xr:uid="{48568613-CD5F-48A0-B477-317F4EE7EA15}"/>
    <cellStyle name="Percent 3 3 3 2 2 2" xfId="1576" xr:uid="{57AABEB2-B0F9-45DA-A852-2D0E1F699D3B}"/>
    <cellStyle name="Percent 3 3 3 2 2 2 2" xfId="3028" xr:uid="{39B04982-25D2-4FC7-9FBA-B770256C9785}"/>
    <cellStyle name="Percent 3 3 3 2 2 3" xfId="2303" xr:uid="{9A302442-AB96-4C46-B86D-8234CEBBB982}"/>
    <cellStyle name="Percent 3 3 3 2 3" xfId="1222" xr:uid="{9E7B50E1-27CB-453D-95C6-CF0839E98C51}"/>
    <cellStyle name="Percent 3 3 3 2 3 2" xfId="2674" xr:uid="{1BB32305-8AD3-4B6B-A80C-8D591FFFDD2C}"/>
    <cellStyle name="Percent 3 3 3 2 4" xfId="1949" xr:uid="{3F2CFA66-095C-477C-8BE3-529FE5634497}"/>
    <cellStyle name="Percent 3 3 3 3" xfId="657" xr:uid="{8EF1C8F4-1973-477D-B8D0-958283D7EA17}"/>
    <cellStyle name="Percent 3 3 3 3 2" xfId="1391" xr:uid="{DA56EB38-9736-4777-B423-F9F04AD543A5}"/>
    <cellStyle name="Percent 3 3 3 3 2 2" xfId="2843" xr:uid="{38D54D79-F38E-4474-9083-582351B485C1}"/>
    <cellStyle name="Percent 3 3 3 3 3" xfId="2118" xr:uid="{AF239426-16BA-4FA0-A23C-B6236424F691}"/>
    <cellStyle name="Percent 3 3 3 4" xfId="1037" xr:uid="{C5801EAC-5D08-4FD6-B1E8-C4A5D15F2954}"/>
    <cellStyle name="Percent 3 3 3 4 2" xfId="2489" xr:uid="{CE20EBE3-618C-48CC-9B61-86D56D8E591C}"/>
    <cellStyle name="Percent 3 3 3 5" xfId="1764" xr:uid="{B3C5B1BE-89EC-4300-8575-BF2E1B73CC6E}"/>
    <cellStyle name="Percent 3 3 4" xfId="479" xr:uid="{5144C061-E7E4-4ECC-9F75-27574B5B667F}"/>
    <cellStyle name="Percent 3 3 4 2" xfId="843" xr:uid="{807B550E-C1F9-4BE7-B64E-00CF07243EF7}"/>
    <cellStyle name="Percent 3 3 4 2 2" xfId="1577" xr:uid="{3D195B8C-CAA3-4C81-8C87-B76F1F5C9C27}"/>
    <cellStyle name="Percent 3 3 4 2 2 2" xfId="3029" xr:uid="{63C0FAF9-EEBD-45A6-BBE3-8C117EE552C6}"/>
    <cellStyle name="Percent 3 3 4 2 3" xfId="2304" xr:uid="{6C650677-DFC8-4B0B-97DD-AFF21F77A322}"/>
    <cellStyle name="Percent 3 3 4 3" xfId="1223" xr:uid="{070111B0-8034-4079-8C1C-05073BA814B1}"/>
    <cellStyle name="Percent 3 3 4 3 2" xfId="2675" xr:uid="{40E33D40-5FDC-401A-818D-C195D75FFDE8}"/>
    <cellStyle name="Percent 3 3 4 4" xfId="1950" xr:uid="{6D2AF477-41D6-46A9-AA78-736825BF94E4}"/>
    <cellStyle name="Percent 3 3 5" xfId="655" xr:uid="{1C8B1CE4-7F3D-4EED-ACC5-92D1020AAFBB}"/>
    <cellStyle name="Percent 3 3 5 2" xfId="1389" xr:uid="{0DAD5C64-88E4-4E47-A74F-F0D8E5B3E3AD}"/>
    <cellStyle name="Percent 3 3 5 2 2" xfId="2841" xr:uid="{D9AFBF0F-C505-430B-AAA4-FD185A516BC1}"/>
    <cellStyle name="Percent 3 3 5 3" xfId="2116" xr:uid="{66B5BAAE-C99B-4080-9F48-BCE2156F8932}"/>
    <cellStyle name="Percent 3 3 6" xfId="1035" xr:uid="{6A53BA9B-3683-4B6A-B25C-025E8C6A6DE9}"/>
    <cellStyle name="Percent 3 3 6 2" xfId="2487" xr:uid="{347711DB-B584-4CD4-999D-4D2D003939EE}"/>
    <cellStyle name="Percent 3 3 7" xfId="1762" xr:uid="{EBEF2293-89A9-4161-9FA1-24139B98AB2B}"/>
    <cellStyle name="Percent 3 4" xfId="177" xr:uid="{E62D987A-572B-4782-8B58-315476E146F1}"/>
    <cellStyle name="Percent 3 4 2" xfId="178" xr:uid="{C74E99DB-7733-40B0-B48B-E3668DD8D1D2}"/>
    <cellStyle name="Percent 3 4 2 2" xfId="480" xr:uid="{C8DAF110-A055-46BF-BD43-65AEC54C24B2}"/>
    <cellStyle name="Percent 3 4 2 2 2" xfId="844" xr:uid="{625D9151-5DAB-4616-B926-8609896A3863}"/>
    <cellStyle name="Percent 3 4 2 2 2 2" xfId="1578" xr:uid="{84144CDE-D4D9-4292-A09C-5D94F0755256}"/>
    <cellStyle name="Percent 3 4 2 2 2 2 2" xfId="3030" xr:uid="{72D9DBDB-2AB1-4ED0-9499-07D13B5179B6}"/>
    <cellStyle name="Percent 3 4 2 2 2 3" xfId="2305" xr:uid="{CF2F14FB-DB5A-4E27-B09D-8FDA1BDBA341}"/>
    <cellStyle name="Percent 3 4 2 2 3" xfId="1224" xr:uid="{EC5BAFCF-589C-4D4C-B2E6-13454FCFECA0}"/>
    <cellStyle name="Percent 3 4 2 2 3 2" xfId="2676" xr:uid="{43B9C0E9-9B67-48C4-9A2F-2EBDAB18BDCC}"/>
    <cellStyle name="Percent 3 4 2 2 4" xfId="1951" xr:uid="{BA422E0F-2C2C-4880-9D07-52461A376378}"/>
    <cellStyle name="Percent 3 4 2 3" xfId="659" xr:uid="{12BC3C08-099D-4F90-96F7-D3E5F8AEDB83}"/>
    <cellStyle name="Percent 3 4 2 3 2" xfId="1393" xr:uid="{EBAFD311-C81B-41AA-857E-651BD6EAC63E}"/>
    <cellStyle name="Percent 3 4 2 3 2 2" xfId="2845" xr:uid="{64864028-8C33-43B7-85FD-F9B9005600B8}"/>
    <cellStyle name="Percent 3 4 2 3 3" xfId="2120" xr:uid="{E645A6B5-6CE6-4468-9247-BD119BBEEE24}"/>
    <cellStyle name="Percent 3 4 2 4" xfId="1039" xr:uid="{A0FA0A3D-4853-476A-9592-08164D9E5749}"/>
    <cellStyle name="Percent 3 4 2 4 2" xfId="2491" xr:uid="{77FCF6DC-6FB3-4C5E-B820-C130388292C5}"/>
    <cellStyle name="Percent 3 4 2 5" xfId="1766" xr:uid="{731B8353-24A1-4663-BF7F-3DCB06840378}"/>
    <cellStyle name="Percent 3 4 3" xfId="481" xr:uid="{BC3563D0-3BCD-4B43-91CC-B7BBF155A97E}"/>
    <cellStyle name="Percent 3 4 3 2" xfId="845" xr:uid="{800138B6-A490-4638-AC61-36BE34960CA9}"/>
    <cellStyle name="Percent 3 4 3 2 2" xfId="1579" xr:uid="{6C29E864-AB7C-4F66-8F89-5C53F1852CFF}"/>
    <cellStyle name="Percent 3 4 3 2 2 2" xfId="3031" xr:uid="{078B8F71-E779-4DFB-B382-81DE42817836}"/>
    <cellStyle name="Percent 3 4 3 2 3" xfId="2306" xr:uid="{FFAB0527-4F25-4C21-94C1-0A10AFCB125B}"/>
    <cellStyle name="Percent 3 4 3 3" xfId="1225" xr:uid="{523A4559-3917-4BFB-A702-B77665FFE767}"/>
    <cellStyle name="Percent 3 4 3 3 2" xfId="2677" xr:uid="{E0043762-28E5-442F-B154-F1C429CD2574}"/>
    <cellStyle name="Percent 3 4 3 4" xfId="1952" xr:uid="{A9BD2550-0EFF-4E2B-A555-A864D3FF0337}"/>
    <cellStyle name="Percent 3 4 4" xfId="658" xr:uid="{C365A743-4FC5-4A35-9B55-916E539E1368}"/>
    <cellStyle name="Percent 3 4 4 2" xfId="1392" xr:uid="{4D00CE97-2373-4E43-99D7-F5FB68F592CD}"/>
    <cellStyle name="Percent 3 4 4 2 2" xfId="2844" xr:uid="{5C118648-8378-4415-9381-FD2AECF9F435}"/>
    <cellStyle name="Percent 3 4 4 3" xfId="2119" xr:uid="{5AD2A278-BDFF-4242-80FC-DC336C77FFE4}"/>
    <cellStyle name="Percent 3 4 5" xfId="1038" xr:uid="{D6B68315-AA4D-4601-934D-4A3800904919}"/>
    <cellStyle name="Percent 3 4 5 2" xfId="2490" xr:uid="{B2A9881B-6D39-4321-BCB1-52F47005448E}"/>
    <cellStyle name="Percent 3 4 6" xfId="1765" xr:uid="{E482C954-C566-46C0-B254-181553200551}"/>
    <cellStyle name="Percent 3 5" xfId="179" xr:uid="{CB9C0204-20F4-4761-8D50-F4FBFDC2ECFD}"/>
    <cellStyle name="Percent 3 5 2" xfId="180" xr:uid="{B856D2C5-F45E-4428-BA24-3C827EA1E816}"/>
    <cellStyle name="Percent 3 5 2 2" xfId="482" xr:uid="{3A012ACD-FE66-4C86-91EB-DE974393D64A}"/>
    <cellStyle name="Percent 3 5 2 2 2" xfId="846" xr:uid="{5319D21D-DA75-4AC7-9919-F1D376EA08E1}"/>
    <cellStyle name="Percent 3 5 2 2 2 2" xfId="1580" xr:uid="{8C820F8A-9F05-49AC-9FE1-0A92711CEF3B}"/>
    <cellStyle name="Percent 3 5 2 2 2 2 2" xfId="3032" xr:uid="{9F52CFC7-0598-4654-BA4A-F9C77B482AB2}"/>
    <cellStyle name="Percent 3 5 2 2 2 3" xfId="2307" xr:uid="{6B5F70D8-C25F-4600-9C72-C5F3844EBF3B}"/>
    <cellStyle name="Percent 3 5 2 2 3" xfId="1226" xr:uid="{618267A3-09FA-47EA-A5BD-653808FFE777}"/>
    <cellStyle name="Percent 3 5 2 2 3 2" xfId="2678" xr:uid="{D4B09064-2817-46A5-898B-76EB66104388}"/>
    <cellStyle name="Percent 3 5 2 2 4" xfId="1953" xr:uid="{672F3239-0F89-475F-9452-E9D53985AB40}"/>
    <cellStyle name="Percent 3 5 2 3" xfId="661" xr:uid="{6BCDD453-AA3C-4C08-8FEE-6F4D4FCC43BB}"/>
    <cellStyle name="Percent 3 5 2 3 2" xfId="1395" xr:uid="{45A56E12-9CDA-419A-962F-75C69CD6F5A8}"/>
    <cellStyle name="Percent 3 5 2 3 2 2" xfId="2847" xr:uid="{FA566B7D-7A6F-4B54-8751-15E1D93E7F44}"/>
    <cellStyle name="Percent 3 5 2 3 3" xfId="2122" xr:uid="{79E16263-A8BE-430F-9397-BF2A1E25CAEA}"/>
    <cellStyle name="Percent 3 5 2 4" xfId="1041" xr:uid="{04FCE311-B02C-4E57-8BAC-4A5EECB63DC1}"/>
    <cellStyle name="Percent 3 5 2 4 2" xfId="2493" xr:uid="{92996A63-3181-42EC-A019-ECD040211DA5}"/>
    <cellStyle name="Percent 3 5 2 5" xfId="1768" xr:uid="{3705B8D2-DB9F-4342-A157-644AB3834BB7}"/>
    <cellStyle name="Percent 3 5 3" xfId="483" xr:uid="{5B12D323-2F2E-4F32-880A-EEE4CC8F2012}"/>
    <cellStyle name="Percent 3 5 3 2" xfId="847" xr:uid="{6FE1689E-3B78-453A-8FAC-50694F646766}"/>
    <cellStyle name="Percent 3 5 3 2 2" xfId="1581" xr:uid="{E062E6D4-2D28-44B3-917F-ED0182513F96}"/>
    <cellStyle name="Percent 3 5 3 2 2 2" xfId="3033" xr:uid="{FF3D2E0C-A479-4354-AFC7-A5BDCB4E2ABA}"/>
    <cellStyle name="Percent 3 5 3 2 3" xfId="2308" xr:uid="{876D2FF2-6C7D-4E96-A9A7-5F0337AECF2A}"/>
    <cellStyle name="Percent 3 5 3 3" xfId="1227" xr:uid="{724224F2-3F95-4784-A764-1B46A4C5494E}"/>
    <cellStyle name="Percent 3 5 3 3 2" xfId="2679" xr:uid="{13C394CC-83A5-4A95-8751-418FB4C0CE4C}"/>
    <cellStyle name="Percent 3 5 3 4" xfId="1954" xr:uid="{F82CEF08-723D-4C92-9CF0-48D51302D28B}"/>
    <cellStyle name="Percent 3 5 4" xfId="660" xr:uid="{BDD2091D-CA3E-4F51-BBB9-07EC75FDE9F7}"/>
    <cellStyle name="Percent 3 5 4 2" xfId="1394" xr:uid="{4E97E140-6EEC-486E-A558-5A39A1265869}"/>
    <cellStyle name="Percent 3 5 4 2 2" xfId="2846" xr:uid="{ECA7C702-154C-47FE-B090-504B10B40B63}"/>
    <cellStyle name="Percent 3 5 4 3" xfId="2121" xr:uid="{3DBC958A-8F4F-49D3-AAB5-B3CA97DD3C98}"/>
    <cellStyle name="Percent 3 5 5" xfId="1040" xr:uid="{414D35BB-89CA-4DFD-A63A-42441F852614}"/>
    <cellStyle name="Percent 3 5 5 2" xfId="2492" xr:uid="{51716E0C-8AA0-4E41-917B-7FB4893ADBBB}"/>
    <cellStyle name="Percent 3 5 6" xfId="1767" xr:uid="{10FE5412-0612-4EBD-8568-048556678AEA}"/>
    <cellStyle name="Percent 3 6" xfId="181" xr:uid="{F3E6D988-7371-41B4-B97D-C1B060F68231}"/>
    <cellStyle name="Percent 3 6 2" xfId="182" xr:uid="{BEEAB636-C5DA-4CEE-92A6-0DEF53553118}"/>
    <cellStyle name="Percent 3 6 2 2" xfId="484" xr:uid="{C748DD23-BA05-45A2-B9C1-6CCBF13F65A3}"/>
    <cellStyle name="Percent 3 6 2 2 2" xfId="848" xr:uid="{20D3D380-B5D8-41D0-82B2-E12F6D9AEF75}"/>
    <cellStyle name="Percent 3 6 2 2 2 2" xfId="1582" xr:uid="{57F4F5E5-9576-4A6F-A8EE-2A8B231DAC85}"/>
    <cellStyle name="Percent 3 6 2 2 2 2 2" xfId="3034" xr:uid="{3CC82F7B-26B1-49ED-9428-0FBC098C8257}"/>
    <cellStyle name="Percent 3 6 2 2 2 3" xfId="2309" xr:uid="{83A05DD6-DDC9-4B02-AF1D-7AA57626084B}"/>
    <cellStyle name="Percent 3 6 2 2 3" xfId="1228" xr:uid="{1DDEEF2B-C1ED-4748-B93B-C0EF458F1849}"/>
    <cellStyle name="Percent 3 6 2 2 3 2" xfId="2680" xr:uid="{FBA0A7B4-4679-4CC6-ACEA-7CEA4A919D1E}"/>
    <cellStyle name="Percent 3 6 2 2 4" xfId="1955" xr:uid="{1FD01C2D-A06F-4D0A-B7B5-40B996E81187}"/>
    <cellStyle name="Percent 3 6 2 3" xfId="663" xr:uid="{62493052-377B-4704-92FD-AF06EAF50D57}"/>
    <cellStyle name="Percent 3 6 2 3 2" xfId="1397" xr:uid="{877972DB-6721-4907-A8A9-7D2A47853593}"/>
    <cellStyle name="Percent 3 6 2 3 2 2" xfId="2849" xr:uid="{BAF4626D-9156-4E6C-9B29-ED0BA8D600E7}"/>
    <cellStyle name="Percent 3 6 2 3 3" xfId="2124" xr:uid="{DCD9D9CF-C859-489E-9EDB-7CF201AC541D}"/>
    <cellStyle name="Percent 3 6 2 4" xfId="1043" xr:uid="{FD4B0B0E-5425-4884-AC58-A30DA9AE8BB6}"/>
    <cellStyle name="Percent 3 6 2 4 2" xfId="2495" xr:uid="{8EBBE3EF-1EA3-49ED-A514-5D898593443C}"/>
    <cellStyle name="Percent 3 6 2 5" xfId="1770" xr:uid="{6DC349BF-7F17-4AD9-BA52-3349792234C3}"/>
    <cellStyle name="Percent 3 6 3" xfId="485" xr:uid="{1B334D57-26D2-48E4-8885-692F588C8064}"/>
    <cellStyle name="Percent 3 6 3 2" xfId="849" xr:uid="{68E3A668-CAA0-4DAC-942B-988FCA93F1B6}"/>
    <cellStyle name="Percent 3 6 3 2 2" xfId="1583" xr:uid="{D42A4D43-AE2B-40F7-9586-663A94195D48}"/>
    <cellStyle name="Percent 3 6 3 2 2 2" xfId="3035" xr:uid="{F6FF4DD5-6946-4280-AEC1-F8B52A432B51}"/>
    <cellStyle name="Percent 3 6 3 2 3" xfId="2310" xr:uid="{08EAC396-69C5-4FF2-B649-0F9CFF58FAD8}"/>
    <cellStyle name="Percent 3 6 3 3" xfId="1229" xr:uid="{D4DF093B-1801-4085-B904-D0EA4CF41727}"/>
    <cellStyle name="Percent 3 6 3 3 2" xfId="2681" xr:uid="{52F7EBC2-02B5-4048-975B-7EA65DCD14B8}"/>
    <cellStyle name="Percent 3 6 3 4" xfId="1956" xr:uid="{3F60B2B8-8A96-447A-8541-5300DBAED629}"/>
    <cellStyle name="Percent 3 6 4" xfId="662" xr:uid="{E0E68544-E065-41B4-9AAD-3F890765B3F8}"/>
    <cellStyle name="Percent 3 6 4 2" xfId="1396" xr:uid="{20B0E032-3314-402B-B87C-39E8EB597227}"/>
    <cellStyle name="Percent 3 6 4 2 2" xfId="2848" xr:uid="{C6925365-2587-44A5-A088-CC1258523722}"/>
    <cellStyle name="Percent 3 6 4 3" xfId="2123" xr:uid="{89916EC1-59D8-4AE4-802E-3EA4B1E7EB36}"/>
    <cellStyle name="Percent 3 6 5" xfId="1042" xr:uid="{77BB2AFE-3291-47C0-A4DA-F0352AEC8B10}"/>
    <cellStyle name="Percent 3 6 5 2" xfId="2494" xr:uid="{FFF3521E-70D8-438B-9F95-5A840EF577F3}"/>
    <cellStyle name="Percent 3 6 6" xfId="1769" xr:uid="{95E747A4-38F0-4918-A7C3-A08556F4DCA2}"/>
    <cellStyle name="Percent 3 7" xfId="183" xr:uid="{04DEC71F-AFCB-49F3-9D76-5B8F290814C3}"/>
    <cellStyle name="Percent 3 7 2" xfId="486" xr:uid="{CFEC0076-DB34-4E13-99AD-E319516EB307}"/>
    <cellStyle name="Percent 3 7 2 2" xfId="850" xr:uid="{D293AC2A-F0B5-430D-88DA-34E45560C450}"/>
    <cellStyle name="Percent 3 7 2 2 2" xfId="1584" xr:uid="{C4278E86-C06C-46EC-87BF-B22D58E77980}"/>
    <cellStyle name="Percent 3 7 2 2 2 2" xfId="3036" xr:uid="{5003B1AF-2D2F-403B-82B4-F70DFC12A3A6}"/>
    <cellStyle name="Percent 3 7 2 2 3" xfId="2311" xr:uid="{C3671E2C-A514-4E9F-A557-88072BC092A5}"/>
    <cellStyle name="Percent 3 7 2 3" xfId="1230" xr:uid="{D4BEDB76-FAA7-48B7-B566-F5811E7755EC}"/>
    <cellStyle name="Percent 3 7 2 3 2" xfId="2682" xr:uid="{37D28837-4DAA-4AF3-A5A6-E92A123156EE}"/>
    <cellStyle name="Percent 3 7 2 4" xfId="1957" xr:uid="{EC106F1D-1594-4578-AA51-C7DD61534861}"/>
    <cellStyle name="Percent 3 7 3" xfId="664" xr:uid="{F8AB7BD9-0324-4B7F-A7D1-517C9C384281}"/>
    <cellStyle name="Percent 3 7 3 2" xfId="1398" xr:uid="{082C486D-C828-4EAE-AA0F-8F661ADC1159}"/>
    <cellStyle name="Percent 3 7 3 2 2" xfId="2850" xr:uid="{0CC573DF-8695-457F-9C9A-D81B88FAB493}"/>
    <cellStyle name="Percent 3 7 3 3" xfId="2125" xr:uid="{62723781-6E3A-4C2F-A322-3FA1A0D348C9}"/>
    <cellStyle name="Percent 3 7 4" xfId="1044" xr:uid="{A9512FFA-868D-4BD9-BBB9-8381F8E81530}"/>
    <cellStyle name="Percent 3 7 4 2" xfId="2496" xr:uid="{BA90A3E7-BFE9-4FC3-8BAB-0E3B01F008F6}"/>
    <cellStyle name="Percent 3 7 5" xfId="1771" xr:uid="{940DE459-2747-4168-BEB6-7AB3571C1E4C}"/>
    <cellStyle name="Percent 3 8" xfId="184" xr:uid="{C1F5BBFD-C8B5-4D39-8D89-7BF77BEDBB62}"/>
    <cellStyle name="Percent 3 8 2" xfId="487" xr:uid="{9B528508-80F2-4E88-BE62-94B0B71E0C36}"/>
    <cellStyle name="Percent 3 8 2 2" xfId="851" xr:uid="{07B5B009-69BF-453D-90F3-2D597E504DD1}"/>
    <cellStyle name="Percent 3 8 2 2 2" xfId="1585" xr:uid="{6965CD6B-52CF-4E20-B8B1-169EFF8F3634}"/>
    <cellStyle name="Percent 3 8 2 2 2 2" xfId="3037" xr:uid="{BB67B2EA-C736-4474-9176-BA5E41A5906D}"/>
    <cellStyle name="Percent 3 8 2 2 3" xfId="2312" xr:uid="{60BC223B-6C24-4F1E-AC5D-AA18D0BFB31A}"/>
    <cellStyle name="Percent 3 8 2 3" xfId="1231" xr:uid="{6A94079B-FF0B-4E98-83F8-802F8F33013F}"/>
    <cellStyle name="Percent 3 8 2 3 2" xfId="2683" xr:uid="{81F2DC4E-912B-474A-928D-F8B06E59C9A1}"/>
    <cellStyle name="Percent 3 8 2 4" xfId="1958" xr:uid="{A8B356B7-B399-474E-8FCA-CB4B6B48F67A}"/>
    <cellStyle name="Percent 3 8 3" xfId="665" xr:uid="{8E764EFB-13A3-4A75-A5A9-D6FE983FCD1C}"/>
    <cellStyle name="Percent 3 8 3 2" xfId="1399" xr:uid="{70EBF69E-5175-4802-8C8C-132D00BB88DD}"/>
    <cellStyle name="Percent 3 8 3 2 2" xfId="2851" xr:uid="{379880AE-AF15-4B0F-B432-F3DB96D3A8E5}"/>
    <cellStyle name="Percent 3 8 3 3" xfId="2126" xr:uid="{2145B3CA-8DE8-4970-B1C4-717B143B94C9}"/>
    <cellStyle name="Percent 3 8 4" xfId="1045" xr:uid="{0469C56A-74A1-4292-8D90-440FAD4F10D7}"/>
    <cellStyle name="Percent 3 8 4 2" xfId="2497" xr:uid="{4AF22130-4631-4E2F-94A3-6391EF448387}"/>
    <cellStyle name="Percent 3 8 5" xfId="1772" xr:uid="{020EE0D1-14DA-4C90-8BC2-0C48EAF37EBB}"/>
    <cellStyle name="Percent 3 9" xfId="185" xr:uid="{3FFA9F20-422A-46CF-8A45-06BB94FAAB3C}"/>
    <cellStyle name="Percent 3 9 2" xfId="488" xr:uid="{B1E45CAE-FD57-44CE-BEB9-494C81BF39C3}"/>
    <cellStyle name="Percent 3 9 2 2" xfId="852" xr:uid="{02F84405-12EB-43B9-95C3-06E89F789684}"/>
    <cellStyle name="Percent 3 9 2 2 2" xfId="1586" xr:uid="{794A276B-5699-4B2F-B847-0B02BA412388}"/>
    <cellStyle name="Percent 3 9 2 2 2 2" xfId="3038" xr:uid="{6D5DF756-4D5B-49FE-B0E6-7461A0218632}"/>
    <cellStyle name="Percent 3 9 2 2 3" xfId="2313" xr:uid="{3FAF8814-1CC7-4B3B-9CF1-DA65D86407D0}"/>
    <cellStyle name="Percent 3 9 2 3" xfId="1232" xr:uid="{EEEE37EB-E8F5-4AFF-B6A7-DA7998BB365D}"/>
    <cellStyle name="Percent 3 9 2 3 2" xfId="2684" xr:uid="{785573E5-BF56-4567-87B1-6EFFE4CA8608}"/>
    <cellStyle name="Percent 3 9 2 4" xfId="1959" xr:uid="{51D0D7CF-73AD-4E09-AA5E-776C9ED19D67}"/>
    <cellStyle name="Percent 3 9 3" xfId="666" xr:uid="{382495DB-D6BF-4613-AA70-1A4174B56013}"/>
    <cellStyle name="Percent 3 9 3 2" xfId="1400" xr:uid="{1C3824E8-5CE7-428B-BE33-D32858A95107}"/>
    <cellStyle name="Percent 3 9 3 2 2" xfId="2852" xr:uid="{BD2C05FA-9496-4F56-93D5-282102FCE4E2}"/>
    <cellStyle name="Percent 3 9 3 3" xfId="2127" xr:uid="{50BFE7DD-BA87-48DC-B8FE-711010F47BBE}"/>
    <cellStyle name="Percent 3 9 4" xfId="1046" xr:uid="{EB9EDBF8-5793-4449-9011-524CF6E06477}"/>
    <cellStyle name="Percent 3 9 4 2" xfId="2498" xr:uid="{6CFDC466-7CD3-4F59-8705-5389499AE44F}"/>
    <cellStyle name="Percent 3 9 5" xfId="1773" xr:uid="{CE824EE7-3F2B-49A3-8DFB-B8F0A5E54AFF}"/>
    <cellStyle name="Percent 4" xfId="186" xr:uid="{014D55A0-405D-4041-9049-18A6E58AE024}"/>
    <cellStyle name="Percent 4 10" xfId="489" xr:uid="{C37442FD-A3C2-4ED2-9BC6-11C76E58515D}"/>
    <cellStyle name="Percent 4 10 2" xfId="853" xr:uid="{7E24D251-9FDE-4CB2-891E-24237164BBEC}"/>
    <cellStyle name="Percent 4 10 2 2" xfId="1587" xr:uid="{57C547E6-6615-45E1-815E-CF19BB0B9B18}"/>
    <cellStyle name="Percent 4 10 2 2 2" xfId="3039" xr:uid="{0F72F6FF-1E64-4CD5-81BC-0817849D350A}"/>
    <cellStyle name="Percent 4 10 2 3" xfId="2314" xr:uid="{A620FC02-2408-402E-A63D-12746DFB593C}"/>
    <cellStyle name="Percent 4 10 3" xfId="1233" xr:uid="{1B86C0B3-E726-4600-B32C-8C9DD341D123}"/>
    <cellStyle name="Percent 4 10 3 2" xfId="2685" xr:uid="{DFF6A89D-EFD4-440B-8B3F-4BA03AF97B89}"/>
    <cellStyle name="Percent 4 10 4" xfId="1960" xr:uid="{A23E840E-61CA-4607-BD68-48DF5566DECF}"/>
    <cellStyle name="Percent 4 11" xfId="490" xr:uid="{4877C27B-5FFC-4295-94DD-4CA32CBDD161}"/>
    <cellStyle name="Percent 4 11 2" xfId="854" xr:uid="{6916E16C-EBE5-43C3-A116-FE5B089A9AA9}"/>
    <cellStyle name="Percent 4 11 2 2" xfId="1588" xr:uid="{364E06B5-40B7-4E3D-98DE-5D445ADA6DC8}"/>
    <cellStyle name="Percent 4 11 2 2 2" xfId="3040" xr:uid="{1073A88E-D8D6-411C-96F5-93D37D07F50A}"/>
    <cellStyle name="Percent 4 11 2 3" xfId="2315" xr:uid="{BD2A1346-3A05-45BE-94B7-3B7ECD5D46D3}"/>
    <cellStyle name="Percent 4 11 3" xfId="1234" xr:uid="{1E03B7DC-741F-4734-952A-5C4539A7C1B6}"/>
    <cellStyle name="Percent 4 11 3 2" xfId="2686" xr:uid="{95FDCAA8-AAB3-4E60-B409-697EF5D33177}"/>
    <cellStyle name="Percent 4 11 4" xfId="1961" xr:uid="{1B2A2C5C-077B-4024-971B-6844260BAEAE}"/>
    <cellStyle name="Percent 4 12" xfId="667" xr:uid="{BA8A3551-D62E-4046-BBA2-C9503BE7FB3B}"/>
    <cellStyle name="Percent 4 12 2" xfId="1401" xr:uid="{F7E30B2D-EEAF-44D4-89D4-2A91F24E9CF4}"/>
    <cellStyle name="Percent 4 12 2 2" xfId="2853" xr:uid="{C84D1697-9755-4F5B-B9C4-B246654E0371}"/>
    <cellStyle name="Percent 4 12 3" xfId="2128" xr:uid="{56D316C0-FDD7-4705-970D-5F4D24CB891E}"/>
    <cellStyle name="Percent 4 13" xfId="1047" xr:uid="{F1E38DFF-2195-42F3-BDDC-DCF0897E3748}"/>
    <cellStyle name="Percent 4 13 2" xfId="2499" xr:uid="{84C4AAF1-F1AA-40BB-8103-4AF0FD269C8D}"/>
    <cellStyle name="Percent 4 14" xfId="1774" xr:uid="{EC28A255-7568-4B17-A49E-098075AE0D2A}"/>
    <cellStyle name="Percent 4 2" xfId="187" xr:uid="{D01F61E5-581A-4DE2-BFA3-0EA01231D76C}"/>
    <cellStyle name="Percent 4 2 2" xfId="188" xr:uid="{732F1151-AB9A-4928-BF6B-D0247C74641F}"/>
    <cellStyle name="Percent 4 2 2 2" xfId="189" xr:uid="{3B128C95-64A1-4A87-95DC-7DD523000938}"/>
    <cellStyle name="Percent 4 2 2 2 2" xfId="491" xr:uid="{655F6F5E-D245-4114-8C31-59FA510335EA}"/>
    <cellStyle name="Percent 4 2 2 2 2 2" xfId="855" xr:uid="{5E8387DA-AE00-4FCE-8204-6B5867225D5C}"/>
    <cellStyle name="Percent 4 2 2 2 2 2 2" xfId="1589" xr:uid="{B4029293-FDCC-4365-90B0-D8AB75693883}"/>
    <cellStyle name="Percent 4 2 2 2 2 2 2 2" xfId="3041" xr:uid="{1B95F8AD-18BF-4CCD-8CE3-C081519E314B}"/>
    <cellStyle name="Percent 4 2 2 2 2 2 3" xfId="2316" xr:uid="{49D9E559-6C97-4C44-A53E-7C6DFB451B15}"/>
    <cellStyle name="Percent 4 2 2 2 2 3" xfId="1235" xr:uid="{A24AC17B-E2C9-442D-8C87-B7A1F4B22FCB}"/>
    <cellStyle name="Percent 4 2 2 2 2 3 2" xfId="2687" xr:uid="{3B206D89-51D4-4795-B899-0C1162FE733C}"/>
    <cellStyle name="Percent 4 2 2 2 2 4" xfId="1962" xr:uid="{8C61415B-64B5-4841-9D8E-17C8F1018323}"/>
    <cellStyle name="Percent 4 2 2 2 3" xfId="670" xr:uid="{B3BFF277-FE5D-4F17-BDCD-1CEDAB11F865}"/>
    <cellStyle name="Percent 4 2 2 2 3 2" xfId="1404" xr:uid="{445B205B-1881-437F-9E63-47F1779C4C92}"/>
    <cellStyle name="Percent 4 2 2 2 3 2 2" xfId="2856" xr:uid="{5F18AB4A-8E09-4837-BE61-29BDDDBF83BC}"/>
    <cellStyle name="Percent 4 2 2 2 3 3" xfId="2131" xr:uid="{CC1D2970-0EFD-4A55-9553-E1B18662C588}"/>
    <cellStyle name="Percent 4 2 2 2 4" xfId="1050" xr:uid="{6CE840F2-212D-436B-B1B6-FDA78F767FC9}"/>
    <cellStyle name="Percent 4 2 2 2 4 2" xfId="2502" xr:uid="{3F4422AC-1F01-4962-89FF-7082DC090343}"/>
    <cellStyle name="Percent 4 2 2 2 5" xfId="1777" xr:uid="{2EB63341-ADD5-46DD-B533-0B4ECD395FC0}"/>
    <cellStyle name="Percent 4 2 2 3" xfId="492" xr:uid="{605D6ED5-4E30-412C-A93F-B562B1DEE050}"/>
    <cellStyle name="Percent 4 2 2 3 2" xfId="856" xr:uid="{D531D3B7-55C6-4B7F-8FD0-635977CEB60C}"/>
    <cellStyle name="Percent 4 2 2 3 2 2" xfId="1590" xr:uid="{F896797F-A1B5-41C8-84B0-1746671C7D80}"/>
    <cellStyle name="Percent 4 2 2 3 2 2 2" xfId="3042" xr:uid="{9EA55072-3F33-45D6-A6AD-EAB13B3D67F8}"/>
    <cellStyle name="Percent 4 2 2 3 2 3" xfId="2317" xr:uid="{E433B138-3FDF-4FA5-B7AA-F512C7E57297}"/>
    <cellStyle name="Percent 4 2 2 3 3" xfId="1236" xr:uid="{5EA86E3F-AF0D-43CB-BABE-0AD73CDCE807}"/>
    <cellStyle name="Percent 4 2 2 3 3 2" xfId="2688" xr:uid="{45B7A7D1-694F-4A1F-9CC8-8B7A08802432}"/>
    <cellStyle name="Percent 4 2 2 3 4" xfId="1963" xr:uid="{8AEE88B1-A60F-4E88-92E7-3844925BE2AA}"/>
    <cellStyle name="Percent 4 2 2 4" xfId="669" xr:uid="{32D4F5A9-53A8-44FD-B945-F157A9CA9FAB}"/>
    <cellStyle name="Percent 4 2 2 4 2" xfId="1403" xr:uid="{87429B56-710D-405A-AE6C-25AC607C9987}"/>
    <cellStyle name="Percent 4 2 2 4 2 2" xfId="2855" xr:uid="{A62C0550-5576-4D27-AAEE-2557B8BA77C5}"/>
    <cellStyle name="Percent 4 2 2 4 3" xfId="2130" xr:uid="{F53E95E1-F87C-4BFC-88C3-10CED8973C1E}"/>
    <cellStyle name="Percent 4 2 2 5" xfId="1049" xr:uid="{474982C4-4CE8-48A7-AA28-485BDE5014AC}"/>
    <cellStyle name="Percent 4 2 2 5 2" xfId="2501" xr:uid="{C8F2004C-6A31-4FE7-9E55-55FCC629FB60}"/>
    <cellStyle name="Percent 4 2 2 6" xfId="1776" xr:uid="{4EA195E0-AAEC-4E47-BB8D-4811098A77EA}"/>
    <cellStyle name="Percent 4 2 3" xfId="190" xr:uid="{85160ECB-3BB6-48C8-92D9-C4C3D78E0548}"/>
    <cellStyle name="Percent 4 2 3 2" xfId="493" xr:uid="{28644D35-019C-4FF3-9870-D63BA06FAB48}"/>
    <cellStyle name="Percent 4 2 3 2 2" xfId="857" xr:uid="{58176C6E-4A85-44CE-B558-761DCC4C96B2}"/>
    <cellStyle name="Percent 4 2 3 2 2 2" xfId="1591" xr:uid="{78252A27-25F4-4588-89E5-48DCCA439F65}"/>
    <cellStyle name="Percent 4 2 3 2 2 2 2" xfId="3043" xr:uid="{96230A50-8E59-499F-857E-062F31269163}"/>
    <cellStyle name="Percent 4 2 3 2 2 3" xfId="2318" xr:uid="{99605A13-0286-4D97-9306-9B86C0544832}"/>
    <cellStyle name="Percent 4 2 3 2 3" xfId="1237" xr:uid="{E8490A94-A62B-4D8F-ADCC-9F7838CEFC76}"/>
    <cellStyle name="Percent 4 2 3 2 3 2" xfId="2689" xr:uid="{E2A4A36B-71FC-4819-8419-D4EC949BD994}"/>
    <cellStyle name="Percent 4 2 3 2 4" xfId="1964" xr:uid="{5520081C-80A9-4058-B529-6F1CC0573AE6}"/>
    <cellStyle name="Percent 4 2 3 3" xfId="671" xr:uid="{0DE12BDD-F4F2-4D4B-9D49-BC7F6ADD0F58}"/>
    <cellStyle name="Percent 4 2 3 3 2" xfId="1405" xr:uid="{C864B94D-44BC-44B9-8DBA-7C1B08861126}"/>
    <cellStyle name="Percent 4 2 3 3 2 2" xfId="2857" xr:uid="{A7EE6E39-BA10-4F60-81D7-A0CE8AE078C4}"/>
    <cellStyle name="Percent 4 2 3 3 3" xfId="2132" xr:uid="{D2CD4867-258A-48A5-8754-157C8B9AE7CF}"/>
    <cellStyle name="Percent 4 2 3 4" xfId="1051" xr:uid="{78A65041-6FA6-4AE7-97F2-34A7232A36CC}"/>
    <cellStyle name="Percent 4 2 3 4 2" xfId="2503" xr:uid="{4C8A5D18-1FDB-45AF-A8A9-1F21D5C01678}"/>
    <cellStyle name="Percent 4 2 3 5" xfId="1778" xr:uid="{CC3625F5-0BFA-4EBD-8916-88BB5E67E101}"/>
    <cellStyle name="Percent 4 2 4" xfId="191" xr:uid="{86145A59-EE13-4278-8812-238BB033CACA}"/>
    <cellStyle name="Percent 4 2 4 2" xfId="494" xr:uid="{A93DCED9-8E33-4DAC-8894-29612504D508}"/>
    <cellStyle name="Percent 4 2 4 2 2" xfId="858" xr:uid="{8B280188-1915-4815-A2B1-D5D3C9964C7C}"/>
    <cellStyle name="Percent 4 2 4 2 2 2" xfId="1592" xr:uid="{3106C030-A0A0-4CC2-8081-0E03900DAACC}"/>
    <cellStyle name="Percent 4 2 4 2 2 2 2" xfId="3044" xr:uid="{AFC6A3D0-8E0D-401F-B2B1-59496350DC47}"/>
    <cellStyle name="Percent 4 2 4 2 2 3" xfId="2319" xr:uid="{2DE251A2-4350-440A-ABC6-C99FEF50DE33}"/>
    <cellStyle name="Percent 4 2 4 2 3" xfId="1238" xr:uid="{F9EEC2F8-7511-49E4-91AC-64E6712B4023}"/>
    <cellStyle name="Percent 4 2 4 2 3 2" xfId="2690" xr:uid="{A31B3511-A9DD-49DA-99A7-4B8931761175}"/>
    <cellStyle name="Percent 4 2 4 2 4" xfId="1965" xr:uid="{1A33F9E3-5824-4128-8DA1-8810A479069C}"/>
    <cellStyle name="Percent 4 2 4 3" xfId="672" xr:uid="{A6C7A561-F8D5-41CF-A1BF-2885D6E7AEFF}"/>
    <cellStyle name="Percent 4 2 4 3 2" xfId="1406" xr:uid="{F6D58D97-747B-457D-9EF5-0401EED8ED05}"/>
    <cellStyle name="Percent 4 2 4 3 2 2" xfId="2858" xr:uid="{F9C27A65-654C-4B5A-BB51-A4ADD19036D8}"/>
    <cellStyle name="Percent 4 2 4 3 3" xfId="2133" xr:uid="{4F671942-8925-4A4F-A1BF-D99477A0C57A}"/>
    <cellStyle name="Percent 4 2 4 4" xfId="1052" xr:uid="{7A71980F-8ECB-4036-89F3-F77611B838F8}"/>
    <cellStyle name="Percent 4 2 4 4 2" xfId="2504" xr:uid="{B1345D3D-7AF0-447A-8920-EAF093850A0B}"/>
    <cellStyle name="Percent 4 2 4 5" xfId="1779" xr:uid="{B46B5CB9-A9B8-485B-9060-EE2371677844}"/>
    <cellStyle name="Percent 4 2 5" xfId="495" xr:uid="{88D4F292-AA1D-4733-890E-B66CE01E0078}"/>
    <cellStyle name="Percent 4 2 5 2" xfId="859" xr:uid="{0A4E897D-B4E8-4157-BFD6-E12E84D5A23F}"/>
    <cellStyle name="Percent 4 2 5 2 2" xfId="1593" xr:uid="{0F0EF587-B1B0-4E19-B85F-9940764F3575}"/>
    <cellStyle name="Percent 4 2 5 2 2 2" xfId="3045" xr:uid="{8773B948-85D4-4ED2-A171-893A026B2309}"/>
    <cellStyle name="Percent 4 2 5 2 3" xfId="2320" xr:uid="{5CA9478E-D41B-439F-909E-99BF8E0A9C06}"/>
    <cellStyle name="Percent 4 2 5 3" xfId="1239" xr:uid="{F16480B3-E834-4B1E-BA90-6011428E9201}"/>
    <cellStyle name="Percent 4 2 5 3 2" xfId="2691" xr:uid="{6F8577BC-3926-4FE5-A0E1-B8A3064EBAAD}"/>
    <cellStyle name="Percent 4 2 5 4" xfId="1966" xr:uid="{904011C5-F2AD-4948-A73F-6AF8F3BD80CE}"/>
    <cellStyle name="Percent 4 2 6" xfId="496" xr:uid="{A6B037B1-17E1-4A70-B417-5031AB1D7C1C}"/>
    <cellStyle name="Percent 4 2 6 2" xfId="860" xr:uid="{D15D9826-58D7-42F3-ACB9-19FE25A144F8}"/>
    <cellStyle name="Percent 4 2 6 2 2" xfId="1594" xr:uid="{64078DC6-139F-47AB-89F9-5CDD431437BE}"/>
    <cellStyle name="Percent 4 2 6 2 2 2" xfId="3046" xr:uid="{58B3E793-BAA4-4AF7-8A86-41A879A2E27B}"/>
    <cellStyle name="Percent 4 2 6 2 3" xfId="2321" xr:uid="{781260D6-1BA1-4BCA-B49E-A46A120569DB}"/>
    <cellStyle name="Percent 4 2 6 3" xfId="1240" xr:uid="{42E5D8D9-4BCC-409C-B478-97628A0D9F7C}"/>
    <cellStyle name="Percent 4 2 6 3 2" xfId="2692" xr:uid="{00BAD8C3-16FA-4E04-A1D2-B2829F1C7193}"/>
    <cellStyle name="Percent 4 2 6 4" xfId="1967" xr:uid="{421103B2-3EE0-4202-83A5-F224E1BB1C3A}"/>
    <cellStyle name="Percent 4 2 7" xfId="668" xr:uid="{87FDEEDB-6F52-4163-B538-954608BEAB00}"/>
    <cellStyle name="Percent 4 2 7 2" xfId="1402" xr:uid="{43F563FD-853F-4D88-8E5F-7E9F6C1E6992}"/>
    <cellStyle name="Percent 4 2 7 2 2" xfId="2854" xr:uid="{781D8B32-E6C2-445F-B2B0-630901A4BF19}"/>
    <cellStyle name="Percent 4 2 7 3" xfId="2129" xr:uid="{7AB3BA05-1006-4D97-A656-5687A28D2649}"/>
    <cellStyle name="Percent 4 2 8" xfId="1048" xr:uid="{BBC02636-65CF-4C0A-A701-37A11EF396A3}"/>
    <cellStyle name="Percent 4 2 8 2" xfId="2500" xr:uid="{EACE0577-537F-4657-922C-97FCD0CC0E71}"/>
    <cellStyle name="Percent 4 2 9" xfId="1775" xr:uid="{093C06F2-F7A8-4846-9A0D-A8A0CFBE9ED6}"/>
    <cellStyle name="Percent 4 3" xfId="192" xr:uid="{8BD3DC82-5B8A-454F-BBFB-29855F193DFF}"/>
    <cellStyle name="Percent 4 3 2" xfId="193" xr:uid="{208D4B3F-9545-4646-95D6-3B4976CF643C}"/>
    <cellStyle name="Percent 4 3 2 2" xfId="497" xr:uid="{A3CE566F-820A-41B5-BAB4-95F527A815DD}"/>
    <cellStyle name="Percent 4 3 2 2 2" xfId="861" xr:uid="{300DF633-0A36-4B9E-B651-DB2F6E2DD2D6}"/>
    <cellStyle name="Percent 4 3 2 2 2 2" xfId="1595" xr:uid="{44932B5F-0472-4C2A-921B-660536E5B4A9}"/>
    <cellStyle name="Percent 4 3 2 2 2 2 2" xfId="3047" xr:uid="{8CB9BBAF-9422-4694-921E-2C9EA70D4F94}"/>
    <cellStyle name="Percent 4 3 2 2 2 3" xfId="2322" xr:uid="{6D904203-646F-446F-A6E3-0857E6323691}"/>
    <cellStyle name="Percent 4 3 2 2 3" xfId="1241" xr:uid="{20430E6B-9F55-430F-8538-0FF3A16ED13B}"/>
    <cellStyle name="Percent 4 3 2 2 3 2" xfId="2693" xr:uid="{B76D152C-7FE3-4DB4-858D-870BD8A99220}"/>
    <cellStyle name="Percent 4 3 2 2 4" xfId="1968" xr:uid="{24C76595-6305-42CF-923B-A07A9285EF68}"/>
    <cellStyle name="Percent 4 3 2 3" xfId="674" xr:uid="{9D6DE162-73A7-4FB3-9564-1D8536B9890F}"/>
    <cellStyle name="Percent 4 3 2 3 2" xfId="1408" xr:uid="{18304B84-ADB2-41FD-B4C4-929697E86486}"/>
    <cellStyle name="Percent 4 3 2 3 2 2" xfId="2860" xr:uid="{628468BE-F1C6-4C4F-A385-E9A149458F61}"/>
    <cellStyle name="Percent 4 3 2 3 3" xfId="2135" xr:uid="{128C2AB0-96A6-4292-89D7-54C9D274918D}"/>
    <cellStyle name="Percent 4 3 2 4" xfId="1054" xr:uid="{ACD55CEB-B220-4644-8D91-6CE6C499D904}"/>
    <cellStyle name="Percent 4 3 2 4 2" xfId="2506" xr:uid="{1BA4566E-C851-48CD-93B6-AB395E46E3E0}"/>
    <cellStyle name="Percent 4 3 2 5" xfId="1781" xr:uid="{11240FF4-1CDA-4BCA-8C36-84DDDB727E72}"/>
    <cellStyle name="Percent 4 3 3" xfId="194" xr:uid="{7A6BD5F9-0516-4DC4-A798-28E0CBE23F0D}"/>
    <cellStyle name="Percent 4 3 3 2" xfId="498" xr:uid="{48238C15-8706-4001-BD11-76B114755295}"/>
    <cellStyle name="Percent 4 3 3 2 2" xfId="862" xr:uid="{E2FE8F3F-631A-4A4B-B043-6D393FA35486}"/>
    <cellStyle name="Percent 4 3 3 2 2 2" xfId="1596" xr:uid="{20CC28A8-C295-4DCF-982C-C8A4B67138F1}"/>
    <cellStyle name="Percent 4 3 3 2 2 2 2" xfId="3048" xr:uid="{996C7066-05C3-4928-8B1A-04114E2E36EB}"/>
    <cellStyle name="Percent 4 3 3 2 2 3" xfId="2323" xr:uid="{617B6801-6B55-4FFE-9ED1-DBB58EE6CD65}"/>
    <cellStyle name="Percent 4 3 3 2 3" xfId="1242" xr:uid="{55F342FD-3751-469B-BEA2-ADEE69454484}"/>
    <cellStyle name="Percent 4 3 3 2 3 2" xfId="2694" xr:uid="{8EE1A109-4BBC-4DDE-AD9B-964B5D526A02}"/>
    <cellStyle name="Percent 4 3 3 2 4" xfId="1969" xr:uid="{CF366A3A-5851-46FA-A5EC-2BFB8294F19E}"/>
    <cellStyle name="Percent 4 3 3 3" xfId="675" xr:uid="{8AEE990D-8AC4-4729-A622-65BB33911A3E}"/>
    <cellStyle name="Percent 4 3 3 3 2" xfId="1409" xr:uid="{D258FB40-3694-4469-A9F5-61A32B1BD8A9}"/>
    <cellStyle name="Percent 4 3 3 3 2 2" xfId="2861" xr:uid="{4C1674FB-7E5E-4B90-AD85-7B22502F7C7F}"/>
    <cellStyle name="Percent 4 3 3 3 3" xfId="2136" xr:uid="{45D80B08-F7D2-4F15-9D2C-2CD06BC3868A}"/>
    <cellStyle name="Percent 4 3 3 4" xfId="1055" xr:uid="{0AC5E104-AF88-47DC-8593-2E3F2316C297}"/>
    <cellStyle name="Percent 4 3 3 4 2" xfId="2507" xr:uid="{9E675D9D-AAAB-4086-AE4F-E4F7FC578AD7}"/>
    <cellStyle name="Percent 4 3 3 5" xfId="1782" xr:uid="{BA744C93-45A9-46BF-A295-79C8D197D6D1}"/>
    <cellStyle name="Percent 4 3 4" xfId="499" xr:uid="{162EEC65-FD0C-4BAB-B958-2C4DE89F9D1B}"/>
    <cellStyle name="Percent 4 3 4 2" xfId="863" xr:uid="{07092C48-C2A7-42D3-8463-0506498BD457}"/>
    <cellStyle name="Percent 4 3 4 2 2" xfId="1597" xr:uid="{D1AD3A36-D659-4EB8-AF57-1C421564C614}"/>
    <cellStyle name="Percent 4 3 4 2 2 2" xfId="3049" xr:uid="{96CEDE85-79FC-4BAC-9A6A-FEF21BEB09CE}"/>
    <cellStyle name="Percent 4 3 4 2 3" xfId="2324" xr:uid="{FE448401-586D-406C-AF01-A9CE29ED60CD}"/>
    <cellStyle name="Percent 4 3 4 3" xfId="1243" xr:uid="{53D33107-F896-4489-8125-402227370839}"/>
    <cellStyle name="Percent 4 3 4 3 2" xfId="2695" xr:uid="{F45BAD0D-068E-4105-A38C-ACA925AEC1EE}"/>
    <cellStyle name="Percent 4 3 4 4" xfId="1970" xr:uid="{E92791B6-4D9C-407C-A039-0A5A3568B585}"/>
    <cellStyle name="Percent 4 3 5" xfId="673" xr:uid="{C4A45308-DB7F-42DC-9FE9-F6B4207CC8B8}"/>
    <cellStyle name="Percent 4 3 5 2" xfId="1407" xr:uid="{8650A276-ED33-4D0F-BB68-4D48F1EF443E}"/>
    <cellStyle name="Percent 4 3 5 2 2" xfId="2859" xr:uid="{5CB60522-17BF-4700-8AE3-9CBD77EA968F}"/>
    <cellStyle name="Percent 4 3 5 3" xfId="2134" xr:uid="{C76368B2-EAF7-499B-8421-EA26C6D1BDF5}"/>
    <cellStyle name="Percent 4 3 6" xfId="1053" xr:uid="{177B42AD-7FB0-466B-BF00-CD6061C6CA81}"/>
    <cellStyle name="Percent 4 3 6 2" xfId="2505" xr:uid="{FA5A4437-7076-41EF-8866-81A2E28FE144}"/>
    <cellStyle name="Percent 4 3 7" xfId="1780" xr:uid="{6E5272A0-5BF9-47BC-8575-A1B684458731}"/>
    <cellStyle name="Percent 4 4" xfId="195" xr:uid="{92DACCF4-6CED-4EB9-A667-BA32449D53EB}"/>
    <cellStyle name="Percent 4 4 2" xfId="196" xr:uid="{45693722-CCE3-4809-A679-4A5DFBEE9267}"/>
    <cellStyle name="Percent 4 4 2 2" xfId="500" xr:uid="{5FF3ED69-FA3E-4B5F-9E72-BEAF05B675C0}"/>
    <cellStyle name="Percent 4 4 2 2 2" xfId="864" xr:uid="{0BD8F38F-7F80-4297-94CD-9A4A96A93F6C}"/>
    <cellStyle name="Percent 4 4 2 2 2 2" xfId="1598" xr:uid="{F1222603-83F2-431B-993C-F280EBD192E1}"/>
    <cellStyle name="Percent 4 4 2 2 2 2 2" xfId="3050" xr:uid="{3614413F-4855-4FE7-B936-02066F0A3E1E}"/>
    <cellStyle name="Percent 4 4 2 2 2 3" xfId="2325" xr:uid="{27410B24-CDA2-489E-BA71-5885EEE67EC9}"/>
    <cellStyle name="Percent 4 4 2 2 3" xfId="1244" xr:uid="{53D8EBA9-EDFA-4447-B70D-35D3CC752138}"/>
    <cellStyle name="Percent 4 4 2 2 3 2" xfId="2696" xr:uid="{6B1D4394-7BEF-4A25-84C2-C78591E1D5C5}"/>
    <cellStyle name="Percent 4 4 2 2 4" xfId="1971" xr:uid="{E4092C2E-CAFB-4F8D-80CA-EA80FF3F452B}"/>
    <cellStyle name="Percent 4 4 2 3" xfId="677" xr:uid="{2A5C9B14-D877-4DCC-B21C-AEEE56AC65A7}"/>
    <cellStyle name="Percent 4 4 2 3 2" xfId="1411" xr:uid="{EFE24D70-93A8-430F-B715-47766C9CD673}"/>
    <cellStyle name="Percent 4 4 2 3 2 2" xfId="2863" xr:uid="{8CD6E303-C65F-438C-8C49-5010F16C331D}"/>
    <cellStyle name="Percent 4 4 2 3 3" xfId="2138" xr:uid="{D1FD2465-C768-428E-B67C-A423B34A4E1B}"/>
    <cellStyle name="Percent 4 4 2 4" xfId="1057" xr:uid="{A425FB07-C786-4663-BB2E-8C27C79355EC}"/>
    <cellStyle name="Percent 4 4 2 4 2" xfId="2509" xr:uid="{D08EA8AE-CC93-4C81-8DCA-A64BE5082F81}"/>
    <cellStyle name="Percent 4 4 2 5" xfId="1784" xr:uid="{67AEDBF8-D705-426C-B28E-C0C5687E1CA2}"/>
    <cellStyle name="Percent 4 4 3" xfId="501" xr:uid="{AB3ABCC6-55DD-4C23-A7B9-106DB1B1B81D}"/>
    <cellStyle name="Percent 4 4 3 2" xfId="865" xr:uid="{945A5A14-7D72-4651-9107-975A3D3D750A}"/>
    <cellStyle name="Percent 4 4 3 2 2" xfId="1599" xr:uid="{F4BB6617-74AC-47C8-937E-0836032A9CB5}"/>
    <cellStyle name="Percent 4 4 3 2 2 2" xfId="3051" xr:uid="{E712FC49-B869-46EF-845E-721741C4BD38}"/>
    <cellStyle name="Percent 4 4 3 2 3" xfId="2326" xr:uid="{9A0C90EC-2292-48E3-AE8A-29F4BACAAE69}"/>
    <cellStyle name="Percent 4 4 3 3" xfId="1245" xr:uid="{74EA4F98-3975-4347-A842-7E578474C556}"/>
    <cellStyle name="Percent 4 4 3 3 2" xfId="2697" xr:uid="{CC8BC8C2-8759-47E1-A893-9959C6397CF4}"/>
    <cellStyle name="Percent 4 4 3 4" xfId="1972" xr:uid="{76FAFC84-BD6B-4867-9207-052812FAD512}"/>
    <cellStyle name="Percent 4 4 4" xfId="676" xr:uid="{C1D56681-EB78-46FC-B1F1-70DCBFB7E868}"/>
    <cellStyle name="Percent 4 4 4 2" xfId="1410" xr:uid="{67D08F7E-9974-4058-8CC9-D0864E36CE6E}"/>
    <cellStyle name="Percent 4 4 4 2 2" xfId="2862" xr:uid="{66D10010-662A-44CA-93CD-1FC6C6735559}"/>
    <cellStyle name="Percent 4 4 4 3" xfId="2137" xr:uid="{78358EE8-B4F1-45E9-B535-778A038CABB8}"/>
    <cellStyle name="Percent 4 4 5" xfId="1056" xr:uid="{6331C43C-E68C-4BBD-A458-05E319804005}"/>
    <cellStyle name="Percent 4 4 5 2" xfId="2508" xr:uid="{CC3CCE27-5863-4EF0-A4E6-F96A563DCC0D}"/>
    <cellStyle name="Percent 4 4 6" xfId="1783" xr:uid="{4BC8CCDD-9A6B-43C2-8A2C-B2356AA6869B}"/>
    <cellStyle name="Percent 4 5" xfId="197" xr:uid="{3C4179DB-94DE-459E-9EDA-86E6D6654648}"/>
    <cellStyle name="Percent 4 5 2" xfId="198" xr:uid="{514F8721-4D9C-47EF-A613-1A10F17A5F41}"/>
    <cellStyle name="Percent 4 5 2 2" xfId="502" xr:uid="{501EBBF0-E846-413D-8762-9678785D73D1}"/>
    <cellStyle name="Percent 4 5 2 2 2" xfId="866" xr:uid="{25288B4A-0CF4-4B24-9AD0-85916D2ABB3C}"/>
    <cellStyle name="Percent 4 5 2 2 2 2" xfId="1600" xr:uid="{7F638390-7DD1-46BE-8FF2-EF7C807511F5}"/>
    <cellStyle name="Percent 4 5 2 2 2 2 2" xfId="3052" xr:uid="{4477094B-1584-4597-B78C-F3EC1A594438}"/>
    <cellStyle name="Percent 4 5 2 2 2 3" xfId="2327" xr:uid="{BD7A79ED-3AA7-4B6E-9EC7-9463F9695C4A}"/>
    <cellStyle name="Percent 4 5 2 2 3" xfId="1246" xr:uid="{00ABA2EC-09D9-4B77-975C-C63E91F46CD2}"/>
    <cellStyle name="Percent 4 5 2 2 3 2" xfId="2698" xr:uid="{CCC4D55C-72AF-440F-976D-50E4E38466B1}"/>
    <cellStyle name="Percent 4 5 2 2 4" xfId="1973" xr:uid="{9E0256E5-B7B6-45A1-B333-3AA26F0509FD}"/>
    <cellStyle name="Percent 4 5 2 3" xfId="679" xr:uid="{D6881659-DD5C-4458-8AB4-349E01D78F05}"/>
    <cellStyle name="Percent 4 5 2 3 2" xfId="1413" xr:uid="{715CE152-A65A-4C06-97DA-95A0D071C115}"/>
    <cellStyle name="Percent 4 5 2 3 2 2" xfId="2865" xr:uid="{C2DAB5E9-1A5E-40F4-9E43-BB1D7D40E98A}"/>
    <cellStyle name="Percent 4 5 2 3 3" xfId="2140" xr:uid="{0E549BCD-3520-4C49-9584-9220A5FAA333}"/>
    <cellStyle name="Percent 4 5 2 4" xfId="1059" xr:uid="{B625E31E-69D8-4AFC-8B48-1B8CC296E427}"/>
    <cellStyle name="Percent 4 5 2 4 2" xfId="2511" xr:uid="{12242C31-89A4-46A7-9695-0D37254323B4}"/>
    <cellStyle name="Percent 4 5 2 5" xfId="1786" xr:uid="{5B3B6E1C-DF18-4CA8-B827-4930B5CB735B}"/>
    <cellStyle name="Percent 4 5 3" xfId="503" xr:uid="{83FB4A27-1EE1-4B7A-B9A1-8F2B645B6B65}"/>
    <cellStyle name="Percent 4 5 3 2" xfId="867" xr:uid="{BBA117A5-B8F3-479F-B724-6A1ADE8A8F13}"/>
    <cellStyle name="Percent 4 5 3 2 2" xfId="1601" xr:uid="{ABDEBCC1-E8CE-414F-9F16-934259F9D3BF}"/>
    <cellStyle name="Percent 4 5 3 2 2 2" xfId="3053" xr:uid="{FC88A6D6-A55E-47D0-8E50-A18B88754B92}"/>
    <cellStyle name="Percent 4 5 3 2 3" xfId="2328" xr:uid="{5792C533-7652-408E-8A72-03C934F425B9}"/>
    <cellStyle name="Percent 4 5 3 3" xfId="1247" xr:uid="{90DC3751-4945-4B58-A769-2E86AA287FC5}"/>
    <cellStyle name="Percent 4 5 3 3 2" xfId="2699" xr:uid="{43870803-89DD-4436-8DBA-5A58AC71B4E5}"/>
    <cellStyle name="Percent 4 5 3 4" xfId="1974" xr:uid="{CE0A19EE-746C-4E3B-B415-3CE098510EDD}"/>
    <cellStyle name="Percent 4 5 4" xfId="678" xr:uid="{86B2175D-9A67-4101-9FC2-B530B5D42571}"/>
    <cellStyle name="Percent 4 5 4 2" xfId="1412" xr:uid="{F45C74EE-C19A-4CE8-B9BD-972792A1EFBB}"/>
    <cellStyle name="Percent 4 5 4 2 2" xfId="2864" xr:uid="{8FE82EF2-F6CE-4745-A442-2F5FCE458ECB}"/>
    <cellStyle name="Percent 4 5 4 3" xfId="2139" xr:uid="{BABAF386-DA84-468D-9549-2AF9F4FACE01}"/>
    <cellStyle name="Percent 4 5 5" xfId="1058" xr:uid="{E67E00BA-2113-4200-9FD0-A48B9C6BFB31}"/>
    <cellStyle name="Percent 4 5 5 2" xfId="2510" xr:uid="{A52E433E-0239-4607-BDEE-9B086FAEEEC6}"/>
    <cellStyle name="Percent 4 5 6" xfId="1785" xr:uid="{1F8DF2FB-890C-4CEE-9F20-D2711AFDC30C}"/>
    <cellStyle name="Percent 4 6" xfId="199" xr:uid="{42F10AB5-1BA0-4BBC-8885-2A64ABCF200B}"/>
    <cellStyle name="Percent 4 6 2" xfId="200" xr:uid="{F6E13A61-EF86-47A7-ABAB-029772059C4B}"/>
    <cellStyle name="Percent 4 6 2 2" xfId="504" xr:uid="{1F3905CE-73D8-497F-8CA2-345A0A31021B}"/>
    <cellStyle name="Percent 4 6 2 2 2" xfId="868" xr:uid="{BBFE29FD-768F-4A78-9E64-1F2B2A7B17BD}"/>
    <cellStyle name="Percent 4 6 2 2 2 2" xfId="1602" xr:uid="{6D52060C-1AFC-43D4-BB78-BED32869542F}"/>
    <cellStyle name="Percent 4 6 2 2 2 2 2" xfId="3054" xr:uid="{04FD23EF-AA6B-4E85-989C-6F7371A91655}"/>
    <cellStyle name="Percent 4 6 2 2 2 3" xfId="2329" xr:uid="{477E81D8-0B73-4BCF-8577-DE9338585656}"/>
    <cellStyle name="Percent 4 6 2 2 3" xfId="1248" xr:uid="{88112CE7-A276-49CE-82CF-178B43A635E9}"/>
    <cellStyle name="Percent 4 6 2 2 3 2" xfId="2700" xr:uid="{A7723AE1-9A21-4AEA-80B1-0FA110970D76}"/>
    <cellStyle name="Percent 4 6 2 2 4" xfId="1975" xr:uid="{FC958C83-BFEF-4562-BA52-F9D606EEE27B}"/>
    <cellStyle name="Percent 4 6 2 3" xfId="681" xr:uid="{ED08EA65-8010-45F7-9099-BCBA778356CA}"/>
    <cellStyle name="Percent 4 6 2 3 2" xfId="1415" xr:uid="{D87132FA-048F-46C4-8572-02A83C5C5B76}"/>
    <cellStyle name="Percent 4 6 2 3 2 2" xfId="2867" xr:uid="{51CE2414-5C74-4887-95CD-C27F1F2D78D8}"/>
    <cellStyle name="Percent 4 6 2 3 3" xfId="2142" xr:uid="{7A950F55-D8A4-4C03-8413-9D0E33A7B35E}"/>
    <cellStyle name="Percent 4 6 2 4" xfId="1061" xr:uid="{226CC412-BF1F-4BB0-9E70-D82B9C90E16D}"/>
    <cellStyle name="Percent 4 6 2 4 2" xfId="2513" xr:uid="{B6FCF721-A718-4243-9E85-7E488D7D6D77}"/>
    <cellStyle name="Percent 4 6 2 5" xfId="1788" xr:uid="{F1EC1353-26BB-4357-A762-4B72EBBA6DA7}"/>
    <cellStyle name="Percent 4 6 3" xfId="505" xr:uid="{F68E3330-47CC-476E-AD27-D62502F2D7ED}"/>
    <cellStyle name="Percent 4 6 3 2" xfId="869" xr:uid="{3246B05B-7464-4265-9811-E1F764FCC1E9}"/>
    <cellStyle name="Percent 4 6 3 2 2" xfId="1603" xr:uid="{7CB22C94-FAA8-444F-9879-63506DB7FCCF}"/>
    <cellStyle name="Percent 4 6 3 2 2 2" xfId="3055" xr:uid="{64F05E69-B1E4-4881-8B0C-B5F24643658D}"/>
    <cellStyle name="Percent 4 6 3 2 3" xfId="2330" xr:uid="{F76E1B18-5960-417A-924B-FFC118BE096D}"/>
    <cellStyle name="Percent 4 6 3 3" xfId="1249" xr:uid="{63D00779-4118-45CC-B00E-C937E9CAEFBA}"/>
    <cellStyle name="Percent 4 6 3 3 2" xfId="2701" xr:uid="{3E2A0365-B0E7-4CE3-8942-05657017D752}"/>
    <cellStyle name="Percent 4 6 3 4" xfId="1976" xr:uid="{940EFBEE-1DAD-4E89-85A2-E896ADE321CF}"/>
    <cellStyle name="Percent 4 6 4" xfId="680" xr:uid="{CE48E6CF-45CE-4BDA-AB0B-54A7B060AB88}"/>
    <cellStyle name="Percent 4 6 4 2" xfId="1414" xr:uid="{17C0662D-64D1-449B-A81D-6353813EDAC9}"/>
    <cellStyle name="Percent 4 6 4 2 2" xfId="2866" xr:uid="{932E156D-3EAC-4537-8BFB-AD6B41678E18}"/>
    <cellStyle name="Percent 4 6 4 3" xfId="2141" xr:uid="{339448A7-6247-4FF3-8FB7-8A624A011173}"/>
    <cellStyle name="Percent 4 6 5" xfId="1060" xr:uid="{57CBA429-12B0-4FE7-8320-B169706DB3BE}"/>
    <cellStyle name="Percent 4 6 5 2" xfId="2512" xr:uid="{6749ACD2-1D6B-4A40-A022-19E9FD491148}"/>
    <cellStyle name="Percent 4 6 6" xfId="1787" xr:uid="{26A086F3-29EF-4EE9-B7F7-296DCBED2E0D}"/>
    <cellStyle name="Percent 4 7" xfId="201" xr:uid="{30E7CE9E-00F7-4D08-8CC8-B6CAD1BC9B39}"/>
    <cellStyle name="Percent 4 7 2" xfId="506" xr:uid="{0F8E26D8-7B1F-4962-95C9-93A08D476F36}"/>
    <cellStyle name="Percent 4 7 2 2" xfId="870" xr:uid="{0B4411ED-BFD3-4EB1-9B2D-4B1E4DB0606D}"/>
    <cellStyle name="Percent 4 7 2 2 2" xfId="1604" xr:uid="{868F0E2A-0041-4EFE-9F1C-E553601C64A6}"/>
    <cellStyle name="Percent 4 7 2 2 2 2" xfId="3056" xr:uid="{7F39116B-B32F-48E6-A702-839B5A0A44F2}"/>
    <cellStyle name="Percent 4 7 2 2 3" xfId="2331" xr:uid="{C137B524-E1E8-425A-8650-BF2CCA792A7D}"/>
    <cellStyle name="Percent 4 7 2 3" xfId="1250" xr:uid="{BD866632-E189-41E3-B2AD-FD57AC516C5F}"/>
    <cellStyle name="Percent 4 7 2 3 2" xfId="2702" xr:uid="{8BDF8A16-6E37-4498-AC65-E5F093C5A74C}"/>
    <cellStyle name="Percent 4 7 2 4" xfId="1977" xr:uid="{EEFF2308-C56A-4122-BD00-46529908A28D}"/>
    <cellStyle name="Percent 4 7 3" xfId="682" xr:uid="{D3ABD14E-D4B5-41DF-8BA5-D0202531DFF3}"/>
    <cellStyle name="Percent 4 7 3 2" xfId="1416" xr:uid="{3A78C0FD-5F00-43EC-8278-B2C3D7B1EBED}"/>
    <cellStyle name="Percent 4 7 3 2 2" xfId="2868" xr:uid="{D6F9CF1A-E60C-45A0-94C3-6BB925131015}"/>
    <cellStyle name="Percent 4 7 3 3" xfId="2143" xr:uid="{83FB5B3E-E97B-4477-8CA7-B74A918B32F7}"/>
    <cellStyle name="Percent 4 7 4" xfId="1062" xr:uid="{9F6ED08F-22FB-40C8-9439-7D56D18F79EE}"/>
    <cellStyle name="Percent 4 7 4 2" xfId="2514" xr:uid="{75B4FEDC-0133-4C67-AB28-8AB9AEDC57BF}"/>
    <cellStyle name="Percent 4 7 5" xfId="1789" xr:uid="{AB5882FA-E369-45B1-A456-20683E28FA62}"/>
    <cellStyle name="Percent 4 8" xfId="202" xr:uid="{B92615C3-BF87-4C58-BBBE-84789BA0288F}"/>
    <cellStyle name="Percent 4 8 2" xfId="507" xr:uid="{221C5363-1139-4AF2-B538-F4704903A879}"/>
    <cellStyle name="Percent 4 8 2 2" xfId="871" xr:uid="{DC1F9D8E-A88B-4BA8-A58D-BD858D9DBC86}"/>
    <cellStyle name="Percent 4 8 2 2 2" xfId="1605" xr:uid="{4A651858-06CC-4DD1-A8D9-9999EC274FB5}"/>
    <cellStyle name="Percent 4 8 2 2 2 2" xfId="3057" xr:uid="{91998F0D-4A9E-46AE-9BAF-009A26809B47}"/>
    <cellStyle name="Percent 4 8 2 2 3" xfId="2332" xr:uid="{03110E3B-C024-44EF-823F-A5C04B7DB713}"/>
    <cellStyle name="Percent 4 8 2 3" xfId="1251" xr:uid="{5D10F388-4039-4F5F-9A84-960344D97B8A}"/>
    <cellStyle name="Percent 4 8 2 3 2" xfId="2703" xr:uid="{5D6ECD3C-9042-4FBF-80A5-BEFE2BDE9CF0}"/>
    <cellStyle name="Percent 4 8 2 4" xfId="1978" xr:uid="{CB8AD83C-9E80-4410-B090-C95EED1B1EA7}"/>
    <cellStyle name="Percent 4 8 3" xfId="683" xr:uid="{91CA5245-666C-4DD1-8216-A8DD2277C547}"/>
    <cellStyle name="Percent 4 8 3 2" xfId="1417" xr:uid="{33707A54-63CF-4F6E-9CE3-8AB829A6A830}"/>
    <cellStyle name="Percent 4 8 3 2 2" xfId="2869" xr:uid="{DB2149CD-2C9A-4543-A489-E05081E0924C}"/>
    <cellStyle name="Percent 4 8 3 3" xfId="2144" xr:uid="{00E696BA-AFEF-407C-B317-F2ADD513214C}"/>
    <cellStyle name="Percent 4 8 4" xfId="1063" xr:uid="{9A139010-DAAF-4CD6-BBF6-7DA17EED685A}"/>
    <cellStyle name="Percent 4 8 4 2" xfId="2515" xr:uid="{0F251300-281A-4E3A-B4F0-1642C04C2B5C}"/>
    <cellStyle name="Percent 4 8 5" xfId="1790" xr:uid="{4C41D96D-6BA2-4DF5-8175-EE03C044CCBC}"/>
    <cellStyle name="Percent 4 9" xfId="203" xr:uid="{E328075E-BF46-49E6-ABF3-11B53380099D}"/>
    <cellStyle name="Percent 4 9 2" xfId="508" xr:uid="{997C2696-39BC-4C22-A4B1-0FE779CB54E6}"/>
    <cellStyle name="Percent 4 9 2 2" xfId="872" xr:uid="{19061E09-4C65-42FC-ACE4-952F049211E7}"/>
    <cellStyle name="Percent 4 9 2 2 2" xfId="1606" xr:uid="{436EC373-1587-4F51-92FC-2C9D1B52EC48}"/>
    <cellStyle name="Percent 4 9 2 2 2 2" xfId="3058" xr:uid="{62109605-8D37-4D9F-9359-FEBB3792EA39}"/>
    <cellStyle name="Percent 4 9 2 2 3" xfId="2333" xr:uid="{A9FDE448-2372-43EC-9FC5-13F9221B0A13}"/>
    <cellStyle name="Percent 4 9 2 3" xfId="1252" xr:uid="{5276E69B-40C5-41C2-9979-B0A525BAA12B}"/>
    <cellStyle name="Percent 4 9 2 3 2" xfId="2704" xr:uid="{2143AF80-B07E-486F-A5F5-5823A1791F71}"/>
    <cellStyle name="Percent 4 9 2 4" xfId="1979" xr:uid="{88302E4B-E645-432E-BC4E-2BDD8045B3D1}"/>
    <cellStyle name="Percent 4 9 3" xfId="684" xr:uid="{B7A61BE1-85A2-43FA-8605-8F8CA99C08BC}"/>
    <cellStyle name="Percent 4 9 3 2" xfId="1418" xr:uid="{469D0B98-E1F6-4B5D-A2DC-24F87A8A5BD2}"/>
    <cellStyle name="Percent 4 9 3 2 2" xfId="2870" xr:uid="{AEA80BBC-6E2E-4C9C-A394-E34BC2D1FD14}"/>
    <cellStyle name="Percent 4 9 3 3" xfId="2145" xr:uid="{1DAEF3C0-9B81-4E1A-97FB-614C9695DA7D}"/>
    <cellStyle name="Percent 4 9 4" xfId="1064" xr:uid="{91EC3851-AEE1-4EBD-9104-59D32142E1D9}"/>
    <cellStyle name="Percent 4 9 4 2" xfId="2516" xr:uid="{7A652678-C1F5-4F94-875A-04A1678D542D}"/>
    <cellStyle name="Percent 4 9 5" xfId="1791" xr:uid="{01122BF1-FB49-4E06-96AF-241E1FFFF323}"/>
    <cellStyle name="Percent 5" xfId="204" xr:uid="{A749AB7E-500F-4738-BD45-5958568492A7}"/>
    <cellStyle name="Percent 5 10" xfId="509" xr:uid="{4ADF4FD7-B66B-42B5-8FB3-AFA94AF7F233}"/>
    <cellStyle name="Percent 5 10 2" xfId="873" xr:uid="{1B5A4979-68BC-41EA-A7E2-40287664925E}"/>
    <cellStyle name="Percent 5 10 2 2" xfId="1607" xr:uid="{0C83618E-9E44-46C6-A25B-87A80D1945E4}"/>
    <cellStyle name="Percent 5 10 2 2 2" xfId="3059" xr:uid="{8ED73A49-8D31-4539-8E81-E283CBAB2F61}"/>
    <cellStyle name="Percent 5 10 2 3" xfId="2334" xr:uid="{5CD442A5-737B-4018-A868-39765D731FA0}"/>
    <cellStyle name="Percent 5 10 3" xfId="1253" xr:uid="{71DFB7FC-D2C5-4FB1-8ED1-74ACACBAEBCA}"/>
    <cellStyle name="Percent 5 10 3 2" xfId="2705" xr:uid="{27A78637-66A2-4A69-BFE1-7BE30A9E7211}"/>
    <cellStyle name="Percent 5 10 4" xfId="1980" xr:uid="{ACFF2B1D-5B25-45AB-8539-072A8554434B}"/>
    <cellStyle name="Percent 5 11" xfId="685" xr:uid="{F9A42887-1ACB-4A52-A084-03CD0AC7EACA}"/>
    <cellStyle name="Percent 5 11 2" xfId="1419" xr:uid="{05AC9094-423A-4DDB-9173-1A0612FF4E20}"/>
    <cellStyle name="Percent 5 11 2 2" xfId="2871" xr:uid="{DDDE6212-A84B-4EF4-9950-AC4D529A3312}"/>
    <cellStyle name="Percent 5 11 3" xfId="2146" xr:uid="{EBEB6F68-FA00-4D10-81C0-1FCB0460B987}"/>
    <cellStyle name="Percent 5 12" xfId="1065" xr:uid="{4385EA56-F891-4590-B9F7-0E4872C42ED7}"/>
    <cellStyle name="Percent 5 12 2" xfId="2517" xr:uid="{E06687A9-E734-4BA0-81AF-A7AFF945A9D3}"/>
    <cellStyle name="Percent 5 13" xfId="1792" xr:uid="{8C9CAC16-40C3-48FD-A63F-7C5D7F53EB79}"/>
    <cellStyle name="Percent 5 2" xfId="205" xr:uid="{A02D1002-7DAD-4AA7-9206-40A0C9C9E47D}"/>
    <cellStyle name="Percent 5 2 2" xfId="206" xr:uid="{8ECFD54C-2368-4640-8FD3-6F74BE34D50A}"/>
    <cellStyle name="Percent 5 2 2 2" xfId="510" xr:uid="{5417304C-D86F-4775-BBDB-EB9E84CC724B}"/>
    <cellStyle name="Percent 5 2 2 2 2" xfId="874" xr:uid="{92159589-38E7-4FA1-AC23-7C466BC72D02}"/>
    <cellStyle name="Percent 5 2 2 2 2 2" xfId="1608" xr:uid="{AC932226-9EC7-4EB5-A3AE-43B087D18309}"/>
    <cellStyle name="Percent 5 2 2 2 2 2 2" xfId="3060" xr:uid="{6CE256D9-028D-4612-9B0C-F19945AC2A65}"/>
    <cellStyle name="Percent 5 2 2 2 2 3" xfId="2335" xr:uid="{CC2EA88B-2EC4-441E-B5ED-06EA8298CB15}"/>
    <cellStyle name="Percent 5 2 2 2 3" xfId="1254" xr:uid="{3E27A985-6EC5-4592-AB4C-9955F8B91816}"/>
    <cellStyle name="Percent 5 2 2 2 3 2" xfId="2706" xr:uid="{A0078740-A2F4-489D-9530-E2F11B2100AC}"/>
    <cellStyle name="Percent 5 2 2 2 4" xfId="1981" xr:uid="{36F0F633-22CE-4BD5-9B78-8690A45F8D75}"/>
    <cellStyle name="Percent 5 2 2 3" xfId="687" xr:uid="{A5897EBB-CC86-4AFA-9E16-BC66EB61792D}"/>
    <cellStyle name="Percent 5 2 2 3 2" xfId="1421" xr:uid="{119BD4B0-067F-49E7-A1A6-0A7659FBAD16}"/>
    <cellStyle name="Percent 5 2 2 3 2 2" xfId="2873" xr:uid="{BEF5D6F5-9668-43EC-AF14-C5CFBB98E7AE}"/>
    <cellStyle name="Percent 5 2 2 3 3" xfId="2148" xr:uid="{DBBF8106-1836-4A67-B1F4-A08F2485CB1B}"/>
    <cellStyle name="Percent 5 2 2 4" xfId="1067" xr:uid="{1B284FD8-256E-46AF-9CE3-5C6DE2B302F9}"/>
    <cellStyle name="Percent 5 2 2 4 2" xfId="2519" xr:uid="{51543B21-717E-4717-8446-D67B680AFC81}"/>
    <cellStyle name="Percent 5 2 2 5" xfId="1794" xr:uid="{33C4015B-5E47-4133-8703-C7AD6FCDE8E7}"/>
    <cellStyle name="Percent 5 2 3" xfId="207" xr:uid="{16D63E59-9944-4590-81D3-C42B080A30F4}"/>
    <cellStyle name="Percent 5 2 3 2" xfId="511" xr:uid="{FDA643B3-AEC5-415A-9A42-53D29A27F316}"/>
    <cellStyle name="Percent 5 2 3 2 2" xfId="875" xr:uid="{38D3372B-306E-4AD5-858F-5B242CA4B5FC}"/>
    <cellStyle name="Percent 5 2 3 2 2 2" xfId="1609" xr:uid="{F2A45BCC-704E-4891-AFA6-BCD5C033156E}"/>
    <cellStyle name="Percent 5 2 3 2 2 2 2" xfId="3061" xr:uid="{170ED50E-94A1-4BA6-A244-FA6541E0CEFB}"/>
    <cellStyle name="Percent 5 2 3 2 2 3" xfId="2336" xr:uid="{5CFE2845-3FCE-4136-944B-E90D8DD9ADBD}"/>
    <cellStyle name="Percent 5 2 3 2 3" xfId="1255" xr:uid="{6C1A045F-37FB-4E20-A049-B14E9CD326E3}"/>
    <cellStyle name="Percent 5 2 3 2 3 2" xfId="2707" xr:uid="{3742BE97-CFE2-4B3A-B889-8208F86E6289}"/>
    <cellStyle name="Percent 5 2 3 2 4" xfId="1982" xr:uid="{8749AF36-7AA9-42DA-AFBF-EDE24356E691}"/>
    <cellStyle name="Percent 5 2 3 3" xfId="688" xr:uid="{1B91E93A-2885-43A3-8E18-4B584282A69F}"/>
    <cellStyle name="Percent 5 2 3 3 2" xfId="1422" xr:uid="{F84F1472-9730-4440-A1BC-F2431AD1F522}"/>
    <cellStyle name="Percent 5 2 3 3 2 2" xfId="2874" xr:uid="{51620A78-31AE-45B1-9E3A-FD5313FCDBE7}"/>
    <cellStyle name="Percent 5 2 3 3 3" xfId="2149" xr:uid="{07D5CFEE-68EB-4361-9DA1-771A8DA38F8A}"/>
    <cellStyle name="Percent 5 2 3 4" xfId="1068" xr:uid="{C39FE065-3CAC-462E-B105-C0F16BE5A1A7}"/>
    <cellStyle name="Percent 5 2 3 4 2" xfId="2520" xr:uid="{754A2F18-FA95-4D51-AB5B-4B84B3130104}"/>
    <cellStyle name="Percent 5 2 3 5" xfId="1795" xr:uid="{2A961126-C03A-4D5F-A29C-7700FA2A775E}"/>
    <cellStyle name="Percent 5 2 4" xfId="512" xr:uid="{D9F96136-6948-4D66-9552-1948AFDE730C}"/>
    <cellStyle name="Percent 5 2 4 2" xfId="876" xr:uid="{7F6E55FF-1BB4-441B-90FA-6110F7F45BBB}"/>
    <cellStyle name="Percent 5 2 4 2 2" xfId="1610" xr:uid="{9C7C69D2-84A7-4F12-88E1-C831AB8B1875}"/>
    <cellStyle name="Percent 5 2 4 2 2 2" xfId="3062" xr:uid="{B0EDE05E-4EA1-4027-BA59-A38C2BED1D82}"/>
    <cellStyle name="Percent 5 2 4 2 3" xfId="2337" xr:uid="{5C0AB8EB-CD96-4ED6-AA1B-E3FCD8BD0778}"/>
    <cellStyle name="Percent 5 2 4 3" xfId="1256" xr:uid="{231F6BA6-4FF8-4413-AB05-D259517CA06F}"/>
    <cellStyle name="Percent 5 2 4 3 2" xfId="2708" xr:uid="{D175314A-40DB-40CF-8BF6-C71FB150DB77}"/>
    <cellStyle name="Percent 5 2 4 4" xfId="1983" xr:uid="{4B1F00A1-9ABB-4F93-8A45-CAF03C92F7D4}"/>
    <cellStyle name="Percent 5 2 5" xfId="686" xr:uid="{BE2E365E-7D25-4F50-BF16-27D772C24F0F}"/>
    <cellStyle name="Percent 5 2 5 2" xfId="1420" xr:uid="{A1D55FBA-C0A9-48EA-9DEE-46E9DA1ECCB9}"/>
    <cellStyle name="Percent 5 2 5 2 2" xfId="2872" xr:uid="{A82EBAEC-A36C-439E-A024-BE2B5DFE16E5}"/>
    <cellStyle name="Percent 5 2 5 3" xfId="2147" xr:uid="{32452922-E2EB-4557-AAB7-61D92D09F7DA}"/>
    <cellStyle name="Percent 5 2 6" xfId="1066" xr:uid="{653B5801-5588-4850-B237-AAB5509792B0}"/>
    <cellStyle name="Percent 5 2 6 2" xfId="2518" xr:uid="{59542518-2213-43BC-AC47-9F85C6948148}"/>
    <cellStyle name="Percent 5 2 7" xfId="1793" xr:uid="{3B98C062-4324-46FA-AD19-5C15B8F9F717}"/>
    <cellStyle name="Percent 5 3" xfId="208" xr:uid="{025C7F4B-8750-43BB-9CDE-30D1871D3A8A}"/>
    <cellStyle name="Percent 5 3 2" xfId="209" xr:uid="{3D0FD806-F1CE-4DF8-BA5E-BAF05C0F801A}"/>
    <cellStyle name="Percent 5 3 2 2" xfId="513" xr:uid="{D1D6A0BE-3F77-4DB2-A5AC-C448890F2A95}"/>
    <cellStyle name="Percent 5 3 2 2 2" xfId="877" xr:uid="{41A586EC-9DE6-42D2-BF60-6B2285256144}"/>
    <cellStyle name="Percent 5 3 2 2 2 2" xfId="1611" xr:uid="{85452C3A-A19D-497B-9C64-64C62E398E18}"/>
    <cellStyle name="Percent 5 3 2 2 2 2 2" xfId="3063" xr:uid="{6F589FE6-0CCC-43E4-AF13-803B151BD0AB}"/>
    <cellStyle name="Percent 5 3 2 2 2 3" xfId="2338" xr:uid="{B5D50BB2-89AA-48E9-A66A-46C21FE836C6}"/>
    <cellStyle name="Percent 5 3 2 2 3" xfId="1257" xr:uid="{987D4E98-AB00-425C-AEB0-677757DA3002}"/>
    <cellStyle name="Percent 5 3 2 2 3 2" xfId="2709" xr:uid="{AB452C3B-97DA-42EF-9F6F-AC4D261C4D5F}"/>
    <cellStyle name="Percent 5 3 2 2 4" xfId="1984" xr:uid="{46BAC6F4-B4CD-4DA7-A521-96526307FF93}"/>
    <cellStyle name="Percent 5 3 2 3" xfId="690" xr:uid="{7ED1D837-AA83-4E72-A72A-7A02BE0316C6}"/>
    <cellStyle name="Percent 5 3 2 3 2" xfId="1424" xr:uid="{548BD79A-AD64-41B8-999A-54D235FD7BFE}"/>
    <cellStyle name="Percent 5 3 2 3 2 2" xfId="2876" xr:uid="{B6838B90-61DD-4A4F-AC7C-6B04F3D453D8}"/>
    <cellStyle name="Percent 5 3 2 3 3" xfId="2151" xr:uid="{855D9397-B441-4995-9117-A9D4DDC2220E}"/>
    <cellStyle name="Percent 5 3 2 4" xfId="1070" xr:uid="{8D16E19F-4C67-4AC1-A619-BD448B6B5581}"/>
    <cellStyle name="Percent 5 3 2 4 2" xfId="2522" xr:uid="{8E1BB82A-5800-4BB0-8FD4-8273BC054D4A}"/>
    <cellStyle name="Percent 5 3 2 5" xfId="1797" xr:uid="{4BCC0CA4-B012-497D-8109-6D4FE1E643B9}"/>
    <cellStyle name="Percent 5 3 3" xfId="514" xr:uid="{03A366C0-024F-475F-AD03-332738AABE69}"/>
    <cellStyle name="Percent 5 3 3 2" xfId="878" xr:uid="{880DDB5D-0C56-4987-AE5A-2EE30161C633}"/>
    <cellStyle name="Percent 5 3 3 2 2" xfId="1612" xr:uid="{607DEA3B-456A-4898-9177-B86BE54F8728}"/>
    <cellStyle name="Percent 5 3 3 2 2 2" xfId="3064" xr:uid="{ED1E32D1-8DFE-4D91-9FD4-B95269AF56B6}"/>
    <cellStyle name="Percent 5 3 3 2 3" xfId="2339" xr:uid="{16F915D9-150B-476A-AB2F-F1B8FF7E42EB}"/>
    <cellStyle name="Percent 5 3 3 3" xfId="1258" xr:uid="{03A3EFD1-9F9D-4BBB-9F76-DDBC2AE2A446}"/>
    <cellStyle name="Percent 5 3 3 3 2" xfId="2710" xr:uid="{847F1EEA-4B57-44AE-835E-63D188CAB1CA}"/>
    <cellStyle name="Percent 5 3 3 4" xfId="1985" xr:uid="{5CE7BD79-B553-4BB3-B5E0-12BDBFA67A16}"/>
    <cellStyle name="Percent 5 3 4" xfId="689" xr:uid="{F46BDD9D-1239-4F56-B5EB-8F60E4BEEBD7}"/>
    <cellStyle name="Percent 5 3 4 2" xfId="1423" xr:uid="{480A3FE8-CF26-4F00-A445-AC4B1452B41A}"/>
    <cellStyle name="Percent 5 3 4 2 2" xfId="2875" xr:uid="{8E0F6954-91F6-4C2E-B0E2-4A12C80E98D0}"/>
    <cellStyle name="Percent 5 3 4 3" xfId="2150" xr:uid="{53552D27-99E9-4F2A-9D08-3DAEDF953AC2}"/>
    <cellStyle name="Percent 5 3 5" xfId="1069" xr:uid="{FE922E11-573B-4E8C-AB86-94F37C6E714A}"/>
    <cellStyle name="Percent 5 3 5 2" xfId="2521" xr:uid="{30622373-AC04-4B37-84AB-B9DA04AF9634}"/>
    <cellStyle name="Percent 5 3 6" xfId="1796" xr:uid="{0057A1E1-3837-4121-BD12-22445AD646E0}"/>
    <cellStyle name="Percent 5 4" xfId="210" xr:uid="{C50B39FF-4CC2-45A1-B5F8-7BA1808B3810}"/>
    <cellStyle name="Percent 5 4 2" xfId="211" xr:uid="{FC91BC65-89E7-4BE8-8D83-07BE7665EA01}"/>
    <cellStyle name="Percent 5 4 2 2" xfId="515" xr:uid="{0D020138-4953-497B-ACA9-E6951CE8D5E0}"/>
    <cellStyle name="Percent 5 4 2 2 2" xfId="879" xr:uid="{FFFD5540-BE04-4C9A-905D-2D278D756988}"/>
    <cellStyle name="Percent 5 4 2 2 2 2" xfId="1613" xr:uid="{4F45080B-4494-4EFC-922C-2F5D70C27032}"/>
    <cellStyle name="Percent 5 4 2 2 2 2 2" xfId="3065" xr:uid="{67F12D23-CA16-4B34-A3E5-02EB9A78192C}"/>
    <cellStyle name="Percent 5 4 2 2 2 3" xfId="2340" xr:uid="{C961430E-B809-4E8B-A791-83D6B8434EEB}"/>
    <cellStyle name="Percent 5 4 2 2 3" xfId="1259" xr:uid="{DBA768DB-99D3-4676-96F6-D1056C97C5C7}"/>
    <cellStyle name="Percent 5 4 2 2 3 2" xfId="2711" xr:uid="{DC7AB663-9D2D-449C-B8BD-4746544AF570}"/>
    <cellStyle name="Percent 5 4 2 2 4" xfId="1986" xr:uid="{AE30A730-6A0D-4919-9B20-FC4CF7C4102C}"/>
    <cellStyle name="Percent 5 4 2 3" xfId="692" xr:uid="{23675DF3-B59D-4597-8AA0-CDCB062FA291}"/>
    <cellStyle name="Percent 5 4 2 3 2" xfId="1426" xr:uid="{F1AC7C81-2901-4945-B57B-7BC0D124594E}"/>
    <cellStyle name="Percent 5 4 2 3 2 2" xfId="2878" xr:uid="{9E7D89BB-8945-4C23-9133-2F8AD0BD94BD}"/>
    <cellStyle name="Percent 5 4 2 3 3" xfId="2153" xr:uid="{33129BF3-CC5A-4602-9EA4-AFF166FEDFA9}"/>
    <cellStyle name="Percent 5 4 2 4" xfId="1072" xr:uid="{D1E93ACE-9E00-41D1-ADF0-ED1720EDF38D}"/>
    <cellStyle name="Percent 5 4 2 4 2" xfId="2524" xr:uid="{B3C6FF2C-7656-4590-9956-B65A6E3FA572}"/>
    <cellStyle name="Percent 5 4 2 5" xfId="1799" xr:uid="{51A0EEA8-D910-42D7-97BD-8AD3763C7D49}"/>
    <cellStyle name="Percent 5 4 3" xfId="516" xr:uid="{A0BEFFED-49CC-4CF7-B7B3-E4375A7D9441}"/>
    <cellStyle name="Percent 5 4 3 2" xfId="880" xr:uid="{177E78CF-82B8-45A0-8735-55DDDD66CA9E}"/>
    <cellStyle name="Percent 5 4 3 2 2" xfId="1614" xr:uid="{FB097444-7843-43B1-9E20-8C34DF34177D}"/>
    <cellStyle name="Percent 5 4 3 2 2 2" xfId="3066" xr:uid="{29648020-FF41-4758-9DEF-43CEBB1F7CA4}"/>
    <cellStyle name="Percent 5 4 3 2 3" xfId="2341" xr:uid="{A76D81C1-871B-4F79-96C6-A600DC32220B}"/>
    <cellStyle name="Percent 5 4 3 3" xfId="1260" xr:uid="{2AA3DA1F-B141-4C73-8EF8-2E9DFD06D003}"/>
    <cellStyle name="Percent 5 4 3 3 2" xfId="2712" xr:uid="{080AACA1-BEDC-4FB4-B1EC-2B26F272840E}"/>
    <cellStyle name="Percent 5 4 3 4" xfId="1987" xr:uid="{DB8B3766-1CEF-4A8F-8383-855E6C671267}"/>
    <cellStyle name="Percent 5 4 4" xfId="691" xr:uid="{1BBD60C8-56E3-46E8-A0D1-C68335376F1B}"/>
    <cellStyle name="Percent 5 4 4 2" xfId="1425" xr:uid="{55AF1846-340A-44A9-B0E6-883C1D3AF4F2}"/>
    <cellStyle name="Percent 5 4 4 2 2" xfId="2877" xr:uid="{30CD9F6D-A6AB-4DCA-8C94-4AD3BECD1B06}"/>
    <cellStyle name="Percent 5 4 4 3" xfId="2152" xr:uid="{2068003C-680A-403A-9BE2-A0BC3D34052E}"/>
    <cellStyle name="Percent 5 4 5" xfId="1071" xr:uid="{7C92EAC7-5D3F-4184-918F-A61BB77FF335}"/>
    <cellStyle name="Percent 5 4 5 2" xfId="2523" xr:uid="{D4A17BF5-0327-492F-9818-CB21CD922FF9}"/>
    <cellStyle name="Percent 5 4 6" xfId="1798" xr:uid="{461BEA10-0EEC-44F1-A162-1962E30EB833}"/>
    <cellStyle name="Percent 5 5" xfId="212" xr:uid="{BAC79ADB-DBE3-4720-933D-F595ABB0E15D}"/>
    <cellStyle name="Percent 5 5 2" xfId="213" xr:uid="{B172493D-384A-478F-92A0-F066D8BF39F3}"/>
    <cellStyle name="Percent 5 5 2 2" xfId="517" xr:uid="{800A07E2-4E44-41CD-B3C7-19E6668240E1}"/>
    <cellStyle name="Percent 5 5 2 2 2" xfId="881" xr:uid="{C697F787-A6C9-43E9-A533-51C132065BF3}"/>
    <cellStyle name="Percent 5 5 2 2 2 2" xfId="1615" xr:uid="{2880D255-00EF-4AD0-BFF9-BA08A188CAF8}"/>
    <cellStyle name="Percent 5 5 2 2 2 2 2" xfId="3067" xr:uid="{38952DC8-0741-414F-A247-BC7A4ADB572A}"/>
    <cellStyle name="Percent 5 5 2 2 2 3" xfId="2342" xr:uid="{527C5834-DCB1-48A9-858F-C6172DBE0377}"/>
    <cellStyle name="Percent 5 5 2 2 3" xfId="1261" xr:uid="{772E731D-0796-4B2D-89E4-B2F918499E2B}"/>
    <cellStyle name="Percent 5 5 2 2 3 2" xfId="2713" xr:uid="{C0B345D5-C925-4991-A2D5-6E2C5FCC12E2}"/>
    <cellStyle name="Percent 5 5 2 2 4" xfId="1988" xr:uid="{D19DBC66-63CC-4380-92E5-446DB4C6555B}"/>
    <cellStyle name="Percent 5 5 2 3" xfId="694" xr:uid="{DA8D9259-E252-4573-80F6-79562BF17A80}"/>
    <cellStyle name="Percent 5 5 2 3 2" xfId="1428" xr:uid="{27E80D83-7704-43E5-B702-27EA3C17FE3A}"/>
    <cellStyle name="Percent 5 5 2 3 2 2" xfId="2880" xr:uid="{88DD3C40-A293-4F9A-ADF8-B0E82BACDFEA}"/>
    <cellStyle name="Percent 5 5 2 3 3" xfId="2155" xr:uid="{1FF53A6D-45DC-4177-A6E3-B364F0BCF4E5}"/>
    <cellStyle name="Percent 5 5 2 4" xfId="1074" xr:uid="{24482266-CD92-49D3-832D-85492745D4F9}"/>
    <cellStyle name="Percent 5 5 2 4 2" xfId="2526" xr:uid="{A9617C6A-8226-451B-9869-E762DC88BC3C}"/>
    <cellStyle name="Percent 5 5 2 5" xfId="1801" xr:uid="{DB609C85-5925-42AF-8ACD-E20177E8EE62}"/>
    <cellStyle name="Percent 5 5 3" xfId="518" xr:uid="{80C4C542-A046-469B-BE29-37680905707A}"/>
    <cellStyle name="Percent 5 5 3 2" xfId="882" xr:uid="{656D44C0-0175-47C2-AD0F-DF059207AC21}"/>
    <cellStyle name="Percent 5 5 3 2 2" xfId="1616" xr:uid="{A1DE4DED-6ADD-46A6-8218-8E0D65E1EA8C}"/>
    <cellStyle name="Percent 5 5 3 2 2 2" xfId="3068" xr:uid="{091453FF-DAB2-4ED5-B436-0C4640D9F8D8}"/>
    <cellStyle name="Percent 5 5 3 2 3" xfId="2343" xr:uid="{F0C1E225-925F-4D83-8EF0-49B401BE1C7D}"/>
    <cellStyle name="Percent 5 5 3 3" xfId="1262" xr:uid="{73A87B9D-7D6D-4676-87D5-1F19C27E323F}"/>
    <cellStyle name="Percent 5 5 3 3 2" xfId="2714" xr:uid="{E06E17D7-EC78-43A9-9166-AD919BDFEC79}"/>
    <cellStyle name="Percent 5 5 3 4" xfId="1989" xr:uid="{E0ECAA06-8FAE-4928-8AE2-007CD2C21DC6}"/>
    <cellStyle name="Percent 5 5 4" xfId="693" xr:uid="{B757101F-ED75-429F-91DE-BBD43400D24D}"/>
    <cellStyle name="Percent 5 5 4 2" xfId="1427" xr:uid="{13364544-8351-40A3-84E9-C918E1184172}"/>
    <cellStyle name="Percent 5 5 4 2 2" xfId="2879" xr:uid="{D99FDF6F-D7B6-492B-A34B-BE17F2756CE5}"/>
    <cellStyle name="Percent 5 5 4 3" xfId="2154" xr:uid="{99916FB5-D1B4-48CE-8ACD-E72AB0A97250}"/>
    <cellStyle name="Percent 5 5 5" xfId="1073" xr:uid="{1CB922E0-15F1-41D8-B5A1-29CB6347970D}"/>
    <cellStyle name="Percent 5 5 5 2" xfId="2525" xr:uid="{F83CCF71-90F5-403E-9DA8-D0B94267042F}"/>
    <cellStyle name="Percent 5 5 6" xfId="1800" xr:uid="{BE1B1EF8-8E70-4343-B56A-D8B89EB14609}"/>
    <cellStyle name="Percent 5 6" xfId="214" xr:uid="{3556C828-1536-447A-9139-7BC805940E3E}"/>
    <cellStyle name="Percent 5 6 2" xfId="519" xr:uid="{EA892757-28E5-4EFA-BEB7-8229C2164584}"/>
    <cellStyle name="Percent 5 6 2 2" xfId="883" xr:uid="{1E31F5F3-4D02-4A50-9DCF-5904EF14D7DC}"/>
    <cellStyle name="Percent 5 6 2 2 2" xfId="1617" xr:uid="{19745628-3519-4AC1-AC59-C166D1C0F898}"/>
    <cellStyle name="Percent 5 6 2 2 2 2" xfId="3069" xr:uid="{B5936873-9683-40CE-AC13-C029E47A4E93}"/>
    <cellStyle name="Percent 5 6 2 2 3" xfId="2344" xr:uid="{B1901CC9-EE71-4830-B584-C52D9B95E3E7}"/>
    <cellStyle name="Percent 5 6 2 3" xfId="1263" xr:uid="{66796A9B-2DC9-4B6C-8757-CCA72CD72986}"/>
    <cellStyle name="Percent 5 6 2 3 2" xfId="2715" xr:uid="{CCEC9467-5466-4D62-91C3-FE911E70F53F}"/>
    <cellStyle name="Percent 5 6 2 4" xfId="1990" xr:uid="{346DD0C4-055A-477D-86CD-27A2834AC80D}"/>
    <cellStyle name="Percent 5 6 3" xfId="695" xr:uid="{370DAA58-2A46-424D-8E7A-D66CD1BF570A}"/>
    <cellStyle name="Percent 5 6 3 2" xfId="1429" xr:uid="{3BEFD8CA-BCAE-4863-B545-A088CF9D6C82}"/>
    <cellStyle name="Percent 5 6 3 2 2" xfId="2881" xr:uid="{C3DDDA58-D840-4446-8BF1-E45230533ADF}"/>
    <cellStyle name="Percent 5 6 3 3" xfId="2156" xr:uid="{92D7ED1D-4E1F-4A2F-B08B-2EDE9145FDC5}"/>
    <cellStyle name="Percent 5 6 4" xfId="1075" xr:uid="{8B1386AF-D20F-4BE3-93E0-21AB0E3D45E9}"/>
    <cellStyle name="Percent 5 6 4 2" xfId="2527" xr:uid="{3A115D28-5CA0-4A92-83DA-2430E121F68C}"/>
    <cellStyle name="Percent 5 6 5" xfId="1802" xr:uid="{65280CAE-7DC7-4E41-9541-40829476BEB5}"/>
    <cellStyle name="Percent 5 7" xfId="215" xr:uid="{7CC3F653-AF40-4863-BD10-CB5E1BD0F34E}"/>
    <cellStyle name="Percent 5 7 2" xfId="520" xr:uid="{D385FECC-EAD4-407C-9AFF-EA4B951CE5DE}"/>
    <cellStyle name="Percent 5 7 2 2" xfId="884" xr:uid="{6E88060F-7C37-4962-BDE4-F294006875F5}"/>
    <cellStyle name="Percent 5 7 2 2 2" xfId="1618" xr:uid="{4EC65DDD-AE95-4BDE-9449-8EB112811620}"/>
    <cellStyle name="Percent 5 7 2 2 2 2" xfId="3070" xr:uid="{4849FE6C-0CBF-467E-B246-AD7FDF0B2256}"/>
    <cellStyle name="Percent 5 7 2 2 3" xfId="2345" xr:uid="{AB4390B7-FCB8-49CE-898C-1433C396D0CE}"/>
    <cellStyle name="Percent 5 7 2 3" xfId="1264" xr:uid="{9D7B6315-0A17-4EBD-BA0E-E305B4A354C6}"/>
    <cellStyle name="Percent 5 7 2 3 2" xfId="2716" xr:uid="{CB44115E-6D63-4148-BA31-8FFBF4C4FCED}"/>
    <cellStyle name="Percent 5 7 2 4" xfId="1991" xr:uid="{DF63D9EF-AB33-4BF2-831C-375A3FC44E11}"/>
    <cellStyle name="Percent 5 7 3" xfId="696" xr:uid="{2A68E2A3-7227-45C7-A495-8808B0764582}"/>
    <cellStyle name="Percent 5 7 3 2" xfId="1430" xr:uid="{2C9AC328-4760-42ED-AEB8-882E729554A0}"/>
    <cellStyle name="Percent 5 7 3 2 2" xfId="2882" xr:uid="{7258708B-7534-41F5-995D-AA6072EBA84C}"/>
    <cellStyle name="Percent 5 7 3 3" xfId="2157" xr:uid="{F2734FA5-6403-431F-A635-887BE97C9989}"/>
    <cellStyle name="Percent 5 7 4" xfId="1076" xr:uid="{BD99EED6-03A0-43D9-BCC2-5FD9380ACF46}"/>
    <cellStyle name="Percent 5 7 4 2" xfId="2528" xr:uid="{1C2D058B-CEC5-447D-80B6-EB2B60BDC943}"/>
    <cellStyle name="Percent 5 7 5" xfId="1803" xr:uid="{90DB77FF-E755-4C52-97F1-9C4D303A3440}"/>
    <cellStyle name="Percent 5 8" xfId="216" xr:uid="{45B031FC-3688-4548-A85A-D5BFAA1A0046}"/>
    <cellStyle name="Percent 5 8 2" xfId="521" xr:uid="{4946726E-D1E6-4C51-8B2A-046794290ABC}"/>
    <cellStyle name="Percent 5 8 2 2" xfId="885" xr:uid="{07040D1D-7849-494C-AAC0-094D707BEE9D}"/>
    <cellStyle name="Percent 5 8 2 2 2" xfId="1619" xr:uid="{37041675-F532-4D0C-8105-463C3AD6EE7A}"/>
    <cellStyle name="Percent 5 8 2 2 2 2" xfId="3071" xr:uid="{C98F2F87-5316-469C-A964-814122AD3BB5}"/>
    <cellStyle name="Percent 5 8 2 2 3" xfId="2346" xr:uid="{19BC33DE-98B0-4F76-8461-BB7FF1BBEC2E}"/>
    <cellStyle name="Percent 5 8 2 3" xfId="1265" xr:uid="{46F1C4E0-A8AC-4147-926D-AFB652C3535B}"/>
    <cellStyle name="Percent 5 8 2 3 2" xfId="2717" xr:uid="{C4F59AC0-F40B-4C00-BA0F-DD52C595E4B1}"/>
    <cellStyle name="Percent 5 8 2 4" xfId="1992" xr:uid="{7869B0B4-C1DE-4C35-9B64-93DCBF7586FF}"/>
    <cellStyle name="Percent 5 8 3" xfId="697" xr:uid="{94B670AB-94CF-4E74-9148-BB708737460A}"/>
    <cellStyle name="Percent 5 8 3 2" xfId="1431" xr:uid="{216B9247-F6EA-4B69-89D3-DC73398E7E63}"/>
    <cellStyle name="Percent 5 8 3 2 2" xfId="2883" xr:uid="{996C1857-221D-4A53-8D58-340EC239972B}"/>
    <cellStyle name="Percent 5 8 3 3" xfId="2158" xr:uid="{A00BD685-66B6-4AEA-8447-7D2F3CD65F8F}"/>
    <cellStyle name="Percent 5 8 4" xfId="1077" xr:uid="{A3D567B1-1B6E-44E0-A61B-62DFC85E2E3E}"/>
    <cellStyle name="Percent 5 8 4 2" xfId="2529" xr:uid="{6F00E975-8CA3-4CEE-B008-1B2F82BA5446}"/>
    <cellStyle name="Percent 5 8 5" xfId="1804" xr:uid="{747F4933-46D1-4EF5-A162-646208154FB9}"/>
    <cellStyle name="Percent 5 9" xfId="522" xr:uid="{7AF2D0AD-1E4B-478F-880B-AC906086F867}"/>
    <cellStyle name="Percent 5 9 2" xfId="886" xr:uid="{27438CC7-3BA4-4786-BBF7-BEF3803DAD59}"/>
    <cellStyle name="Percent 5 9 2 2" xfId="1620" xr:uid="{637D1888-46B7-466F-A005-AFFC6F389860}"/>
    <cellStyle name="Percent 5 9 2 2 2" xfId="3072" xr:uid="{402C1E8C-C01E-4AAB-A3E9-DB0A99111D95}"/>
    <cellStyle name="Percent 5 9 2 3" xfId="2347" xr:uid="{FE5CF6C1-6690-46CA-A1F1-B791DB1C9773}"/>
    <cellStyle name="Percent 5 9 3" xfId="1266" xr:uid="{50E0F5A1-4A93-4FE0-A21F-2D6E263538D5}"/>
    <cellStyle name="Percent 5 9 3 2" xfId="2718" xr:uid="{B63619E8-6DB1-4285-9777-A15FC36EA7E8}"/>
    <cellStyle name="Percent 5 9 4" xfId="1993" xr:uid="{EA60A4B9-6F4D-485B-9218-B7A6EF11AF22}"/>
    <cellStyle name="Percent 6" xfId="335" xr:uid="{CDF23258-CE1A-49D4-A86A-DCE8FA921ACD}"/>
    <cellStyle name="Percent 7" xfId="530" xr:uid="{30ECB653-4553-4F71-B3D1-E9982634CF8A}"/>
    <cellStyle name="Percent 8" xfId="895" xr:uid="{1E4F75C6-CC7D-4603-8558-FEE7AEB68FC5}"/>
    <cellStyle name="Percent 8 2" xfId="1624" xr:uid="{4709A4A9-2FC9-4029-B28C-5BA352182EFB}"/>
    <cellStyle name="Percent 9" xfId="336" xr:uid="{018806BD-3AB0-49F6-B969-15017CAF64E4}"/>
    <cellStyle name="Total 2" xfId="337" xr:uid="{EF461C9F-2764-465A-BBC0-08D65EC47D23}"/>
    <cellStyle name="Warning Text 2" xfId="338" xr:uid="{F607736C-06F7-4BE5-A54D-DD1B5D539EF6}"/>
  </cellStyles>
  <dxfs count="81">
    <dxf>
      <fill>
        <patternFill>
          <bgColor theme="9" tint="0.79998168889431442"/>
        </patternFill>
      </fill>
    </dxf>
    <dxf>
      <fill>
        <patternFill>
          <bgColor theme="5" tint="0.39994506668294322"/>
        </patternFill>
      </fill>
    </dxf>
    <dxf>
      <fill>
        <patternFill>
          <bgColor theme="9" tint="0.59996337778862885"/>
        </patternFill>
      </fill>
    </dxf>
    <dxf>
      <fill>
        <patternFill>
          <bgColor theme="5" tint="0.59996337778862885"/>
        </patternFill>
      </fill>
    </dxf>
    <dxf>
      <fill>
        <patternFill>
          <bgColor theme="9" tint="0.39994506668294322"/>
        </patternFill>
      </fill>
    </dxf>
    <dxf>
      <fill>
        <patternFill>
          <bgColor rgb="FFA9D08E"/>
        </patternFill>
      </fill>
    </dxf>
    <dxf>
      <fill>
        <patternFill>
          <bgColor rgb="FFA9D08E"/>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rgb="FFA9D08E"/>
        </patternFill>
      </fill>
    </dxf>
    <dxf>
      <fill>
        <patternFill>
          <bgColor theme="9" tint="0.39994506668294322"/>
        </patternFill>
      </fill>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left" vertical="bottom" textRotation="0" wrapText="0" indent="2" justifyLastLine="0" shrinkToFit="0" readingOrder="0"/>
    </dxf>
    <dxf>
      <font>
        <strike val="0"/>
        <outline val="0"/>
        <shadow val="0"/>
        <u val="none"/>
        <vertAlign val="baseline"/>
        <color theme="1"/>
        <name val="Arial"/>
        <family val="2"/>
        <scheme val="none"/>
      </font>
    </dxf>
    <dxf>
      <font>
        <b val="0"/>
        <i val="0"/>
        <strike val="0"/>
        <condense val="0"/>
        <extend val="0"/>
        <outline val="0"/>
        <shadow val="0"/>
        <u val="none"/>
        <vertAlign val="baseline"/>
        <sz val="16"/>
        <color theme="1"/>
        <name val="Arial"/>
        <family val="2"/>
        <scheme val="none"/>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'Social Benefits (BETA VERSION)'!$D$98:$V$98</c:f>
              <c:numCache>
                <c:formatCode>0</c:formatCode>
                <c:ptCount val="19"/>
                <c:pt idx="0">
                  <c:v>812.1</c:v>
                </c:pt>
                <c:pt idx="1">
                  <c:v>832.4</c:v>
                </c:pt>
                <c:pt idx="2">
                  <c:v>843</c:v>
                </c:pt>
                <c:pt idx="3">
                  <c:v>848.9</c:v>
                </c:pt>
                <c:pt idx="4">
                  <c:v>854.6</c:v>
                </c:pt>
                <c:pt idx="5">
                  <c:v>869.3</c:v>
                </c:pt>
                <c:pt idx="6">
                  <c:v>1792.5</c:v>
                </c:pt>
                <c:pt idx="7">
                  <c:v>1655.6000000000001</c:v>
                </c:pt>
                <c:pt idx="8">
                  <c:v>1188.2</c:v>
                </c:pt>
                <c:pt idx="9">
                  <c:v>1467.3000000000002</c:v>
                </c:pt>
                <c:pt idx="10">
                  <c:v>1351.8000000000002</c:v>
                </c:pt>
                <c:pt idx="11">
                  <c:v>1328.333333333333</c:v>
                </c:pt>
                <c:pt idx="12">
                  <c:v>1157.333333333333</c:v>
                </c:pt>
                <c:pt idx="13">
                  <c:v>1038.7</c:v>
                </c:pt>
                <c:pt idx="14">
                  <c:v>1040.4000000000001</c:v>
                </c:pt>
                <c:pt idx="15">
                  <c:v>1041.1000000000001</c:v>
                </c:pt>
                <c:pt idx="16">
                  <c:v>1050.6000000000001</c:v>
                </c:pt>
                <c:pt idx="17">
                  <c:v>994.1</c:v>
                </c:pt>
                <c:pt idx="18">
                  <c:v>998.52857142857135</c:v>
                </c:pt>
              </c:numCache>
            </c:numRef>
          </c:val>
          <c:smooth val="0"/>
          <c:extLst>
            <c:ext xmlns:c16="http://schemas.microsoft.com/office/drawing/2014/chart" uri="{C3380CC4-5D6E-409C-BE32-E72D297353CC}">
              <c16:uniqueId val="{00000000-C884-4DFE-8853-1C7757AECB1F}"/>
            </c:ext>
          </c:extLst>
        </c:ser>
        <c:dLbls>
          <c:showLegendKey val="0"/>
          <c:showVal val="0"/>
          <c:showCatName val="0"/>
          <c:showSerName val="0"/>
          <c:showPercent val="0"/>
          <c:showBubbleSize val="0"/>
        </c:dLbls>
        <c:smooth val="0"/>
        <c:axId val="471157935"/>
        <c:axId val="471141711"/>
      </c:lineChart>
      <c:catAx>
        <c:axId val="471157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41711"/>
        <c:crosses val="autoZero"/>
        <c:auto val="1"/>
        <c:lblAlgn val="ctr"/>
        <c:lblOffset val="100"/>
        <c:noMultiLvlLbl val="0"/>
      </c:catAx>
      <c:valAx>
        <c:axId val="471141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5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absolute">
    <xdr:from>
      <xdr:col>14</xdr:col>
      <xdr:colOff>6350</xdr:colOff>
      <xdr:row>0</xdr:row>
      <xdr:rowOff>114300</xdr:rowOff>
    </xdr:from>
    <xdr:to>
      <xdr:col>15</xdr:col>
      <xdr:colOff>558800</xdr:colOff>
      <xdr:row>4</xdr:row>
      <xdr:rowOff>152400</xdr:rowOff>
    </xdr:to>
    <xdr:sp macro="" textlink="">
      <xdr:nvSpPr>
        <xdr:cNvPr id="363521" name="Text Box 1025" hidden="1">
          <a:extLst>
            <a:ext uri="{FF2B5EF4-FFF2-40B4-BE49-F238E27FC236}">
              <a16:creationId xmlns:a16="http://schemas.microsoft.com/office/drawing/2014/main" id="{C4582F29-6434-2C37-E058-0B9EC5B08A82}"/>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363522" name="Text Box 1026" hidden="1">
          <a:extLst>
            <a:ext uri="{FF2B5EF4-FFF2-40B4-BE49-F238E27FC236}">
              <a16:creationId xmlns:a16="http://schemas.microsoft.com/office/drawing/2014/main" id="{45E0A5A5-9294-D4A3-0DF5-F69514794BDE}"/>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0</xdr:row>
      <xdr:rowOff>114300</xdr:rowOff>
    </xdr:from>
    <xdr:to>
      <xdr:col>15</xdr:col>
      <xdr:colOff>558800</xdr:colOff>
      <xdr:row>4</xdr:row>
      <xdr:rowOff>152400</xdr:rowOff>
    </xdr:to>
    <xdr:sp macro="" textlink="">
      <xdr:nvSpPr>
        <xdr:cNvPr id="1031" name="Text Box 7" hidden="1">
          <a:extLst>
            <a:ext uri="{FF2B5EF4-FFF2-40B4-BE49-F238E27FC236}">
              <a16:creationId xmlns:a16="http://schemas.microsoft.com/office/drawing/2014/main" id="{21710B01-CDB5-E523-9A3E-390C2DBE3164}"/>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1030" name="Text Box 6" hidden="1">
          <a:extLst>
            <a:ext uri="{FF2B5EF4-FFF2-40B4-BE49-F238E27FC236}">
              <a16:creationId xmlns:a16="http://schemas.microsoft.com/office/drawing/2014/main" id="{726BD858-8F93-EB02-3CEC-6F67BE18B7A0}"/>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0</xdr:row>
      <xdr:rowOff>114300</xdr:rowOff>
    </xdr:from>
    <xdr:to>
      <xdr:col>15</xdr:col>
      <xdr:colOff>558800</xdr:colOff>
      <xdr:row>4</xdr:row>
      <xdr:rowOff>152400</xdr:rowOff>
    </xdr:to>
    <xdr:sp macro="" textlink="">
      <xdr:nvSpPr>
        <xdr:cNvPr id="1029" name="Text Box 5" hidden="1">
          <a:extLst>
            <a:ext uri="{FF2B5EF4-FFF2-40B4-BE49-F238E27FC236}">
              <a16:creationId xmlns:a16="http://schemas.microsoft.com/office/drawing/2014/main" id="{B110EA28-FABC-A5CA-D3CF-C8802A3B94AB}"/>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1028" name="Text Box 4" hidden="1">
          <a:extLst>
            <a:ext uri="{FF2B5EF4-FFF2-40B4-BE49-F238E27FC236}">
              <a16:creationId xmlns:a16="http://schemas.microsoft.com/office/drawing/2014/main" id="{B9A12AE7-C74D-8ACD-4705-3A207FCFF031}"/>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0</xdr:row>
      <xdr:rowOff>114300</xdr:rowOff>
    </xdr:from>
    <xdr:to>
      <xdr:col>15</xdr:col>
      <xdr:colOff>558800</xdr:colOff>
      <xdr:row>4</xdr:row>
      <xdr:rowOff>152400</xdr:rowOff>
    </xdr:to>
    <xdr:sp macro="" textlink="">
      <xdr:nvSpPr>
        <xdr:cNvPr id="2" name="Text Box 5" hidden="1">
          <a:extLst>
            <a:ext uri="{FF2B5EF4-FFF2-40B4-BE49-F238E27FC236}">
              <a16:creationId xmlns:a16="http://schemas.microsoft.com/office/drawing/2014/main" id="{8E692E4C-B57B-D863-7CCA-555F044335EF}"/>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3" name="Text Box 4" hidden="1">
          <a:extLst>
            <a:ext uri="{FF2B5EF4-FFF2-40B4-BE49-F238E27FC236}">
              <a16:creationId xmlns:a16="http://schemas.microsoft.com/office/drawing/2014/main" id="{F6D290EA-876C-598B-37CF-FC87B10AB50B}"/>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0</xdr:row>
      <xdr:rowOff>114300</xdr:rowOff>
    </xdr:from>
    <xdr:to>
      <xdr:col>15</xdr:col>
      <xdr:colOff>558800</xdr:colOff>
      <xdr:row>4</xdr:row>
      <xdr:rowOff>152400</xdr:rowOff>
    </xdr:to>
    <xdr:sp macro="" textlink="">
      <xdr:nvSpPr>
        <xdr:cNvPr id="4" name="Text Box 5" hidden="1">
          <a:extLst>
            <a:ext uri="{FF2B5EF4-FFF2-40B4-BE49-F238E27FC236}">
              <a16:creationId xmlns:a16="http://schemas.microsoft.com/office/drawing/2014/main" id="{075F1CEA-707F-4B06-B72B-DDACFC87F452}"/>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5" name="Text Box 4" hidden="1">
          <a:extLst>
            <a:ext uri="{FF2B5EF4-FFF2-40B4-BE49-F238E27FC236}">
              <a16:creationId xmlns:a16="http://schemas.microsoft.com/office/drawing/2014/main" id="{B85E49AE-FDE1-3905-F652-6AC28D6200BE}"/>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0</xdr:row>
      <xdr:rowOff>114300</xdr:rowOff>
    </xdr:from>
    <xdr:to>
      <xdr:col>15</xdr:col>
      <xdr:colOff>558800</xdr:colOff>
      <xdr:row>4</xdr:row>
      <xdr:rowOff>152400</xdr:rowOff>
    </xdr:to>
    <xdr:sp macro="" textlink="">
      <xdr:nvSpPr>
        <xdr:cNvPr id="6" name="Text Box 5" hidden="1">
          <a:extLst>
            <a:ext uri="{FF2B5EF4-FFF2-40B4-BE49-F238E27FC236}">
              <a16:creationId xmlns:a16="http://schemas.microsoft.com/office/drawing/2014/main" id="{409313C2-9048-2919-1AAE-AA1A42AF977B}"/>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7" name="Text Box 4" hidden="1">
          <a:extLst>
            <a:ext uri="{FF2B5EF4-FFF2-40B4-BE49-F238E27FC236}">
              <a16:creationId xmlns:a16="http://schemas.microsoft.com/office/drawing/2014/main" id="{0C8AFBF9-0AE8-0618-43CD-8DEBA6655552}"/>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561975</xdr:colOff>
      <xdr:row>4</xdr:row>
      <xdr:rowOff>152400</xdr:rowOff>
    </xdr:to>
    <xdr:sp macro="" textlink="">
      <xdr:nvSpPr>
        <xdr:cNvPr id="8" name="Text Box 5" hidden="1">
          <a:extLst>
            <a:ext uri="{FF2B5EF4-FFF2-40B4-BE49-F238E27FC236}">
              <a16:creationId xmlns:a16="http://schemas.microsoft.com/office/drawing/2014/main" id="{42A28683-48A1-DD87-7AEC-83EF8D095126}"/>
            </a:ext>
          </a:extLst>
        </xdr:cNvPr>
        <xdr:cNvSpPr txBox="1">
          <a:spLocks noChangeArrowheads="1"/>
        </xdr:cNvSpPr>
      </xdr:nvSpPr>
      <xdr:spPr bwMode="auto">
        <a:xfrm>
          <a:off x="12096750" y="1143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561975</xdr:colOff>
      <xdr:row>6</xdr:row>
      <xdr:rowOff>152400</xdr:rowOff>
    </xdr:to>
    <xdr:sp macro="" textlink="">
      <xdr:nvSpPr>
        <xdr:cNvPr id="9" name="Text Box 4" hidden="1">
          <a:extLst>
            <a:ext uri="{FF2B5EF4-FFF2-40B4-BE49-F238E27FC236}">
              <a16:creationId xmlns:a16="http://schemas.microsoft.com/office/drawing/2014/main" id="{9E2E11C0-996A-CA8F-972E-B541721B0197}"/>
            </a:ext>
          </a:extLst>
        </xdr:cNvPr>
        <xdr:cNvSpPr txBox="1">
          <a:spLocks noChangeArrowheads="1"/>
        </xdr:cNvSpPr>
      </xdr:nvSpPr>
      <xdr:spPr bwMode="auto">
        <a:xfrm>
          <a:off x="12096750" y="4826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10" name="Text Box 7" hidden="1">
          <a:extLst>
            <a:ext uri="{FF2B5EF4-FFF2-40B4-BE49-F238E27FC236}">
              <a16:creationId xmlns:a16="http://schemas.microsoft.com/office/drawing/2014/main" id="{B4AE98C2-C83E-CAEC-E732-82773BDAE54D}"/>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11" name="Text Box 6" hidden="1">
          <a:extLst>
            <a:ext uri="{FF2B5EF4-FFF2-40B4-BE49-F238E27FC236}">
              <a16:creationId xmlns:a16="http://schemas.microsoft.com/office/drawing/2014/main" id="{C0D230E4-6506-DC87-39F7-0AC646514704}"/>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12" name="Text Box 5" hidden="1">
          <a:extLst>
            <a:ext uri="{FF2B5EF4-FFF2-40B4-BE49-F238E27FC236}">
              <a16:creationId xmlns:a16="http://schemas.microsoft.com/office/drawing/2014/main" id="{1EEB87CC-224B-3694-B195-29F5B6F92522}"/>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13" name="Text Box 4" hidden="1">
          <a:extLst>
            <a:ext uri="{FF2B5EF4-FFF2-40B4-BE49-F238E27FC236}">
              <a16:creationId xmlns:a16="http://schemas.microsoft.com/office/drawing/2014/main" id="{E91E7D93-09ED-CD92-7345-6DBFAF7C8ECB}"/>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14" name="Text Box 5" hidden="1">
          <a:extLst>
            <a:ext uri="{FF2B5EF4-FFF2-40B4-BE49-F238E27FC236}">
              <a16:creationId xmlns:a16="http://schemas.microsoft.com/office/drawing/2014/main" id="{2FFCD4F6-130C-1076-6FA0-5D8ED4A51460}"/>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15" name="Text Box 4" hidden="1">
          <a:extLst>
            <a:ext uri="{FF2B5EF4-FFF2-40B4-BE49-F238E27FC236}">
              <a16:creationId xmlns:a16="http://schemas.microsoft.com/office/drawing/2014/main" id="{C2FA62FD-D123-4255-A48E-5EA8491EF4E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16" name="Text Box 5" hidden="1">
          <a:extLst>
            <a:ext uri="{FF2B5EF4-FFF2-40B4-BE49-F238E27FC236}">
              <a16:creationId xmlns:a16="http://schemas.microsoft.com/office/drawing/2014/main" id="{13659BFF-9669-B3C6-2B10-1228CFF2647B}"/>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17" name="Text Box 4" hidden="1">
          <a:extLst>
            <a:ext uri="{FF2B5EF4-FFF2-40B4-BE49-F238E27FC236}">
              <a16:creationId xmlns:a16="http://schemas.microsoft.com/office/drawing/2014/main" id="{AAFE44A8-4598-4579-92C0-8E7860CA7DE9}"/>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18" name="Text Box 5" hidden="1">
          <a:extLst>
            <a:ext uri="{FF2B5EF4-FFF2-40B4-BE49-F238E27FC236}">
              <a16:creationId xmlns:a16="http://schemas.microsoft.com/office/drawing/2014/main" id="{32B19FAE-E3D7-9345-0DA7-3EE1F0EB5A3F}"/>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19" name="Text Box 4" hidden="1">
          <a:extLst>
            <a:ext uri="{FF2B5EF4-FFF2-40B4-BE49-F238E27FC236}">
              <a16:creationId xmlns:a16="http://schemas.microsoft.com/office/drawing/2014/main" id="{591ACBB3-0734-9E9F-4CC5-51ADA4948EE7}"/>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20" name="Text Box 5" hidden="1">
          <a:extLst>
            <a:ext uri="{FF2B5EF4-FFF2-40B4-BE49-F238E27FC236}">
              <a16:creationId xmlns:a16="http://schemas.microsoft.com/office/drawing/2014/main" id="{FAA84F7E-335A-D9F5-7BCD-B99F4352C438}"/>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21" name="Text Box 4" hidden="1">
          <a:extLst>
            <a:ext uri="{FF2B5EF4-FFF2-40B4-BE49-F238E27FC236}">
              <a16:creationId xmlns:a16="http://schemas.microsoft.com/office/drawing/2014/main" id="{5BDD403E-89FC-9E72-27BD-7633290CC53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12</xdr:col>
      <xdr:colOff>76200</xdr:colOff>
      <xdr:row>8</xdr:row>
      <xdr:rowOff>114300</xdr:rowOff>
    </xdr:from>
    <xdr:to>
      <xdr:col>13</xdr:col>
      <xdr:colOff>609600</xdr:colOff>
      <xdr:row>11</xdr:row>
      <xdr:rowOff>304800</xdr:rowOff>
    </xdr:to>
    <xdr:sp macro="" textlink="">
      <xdr:nvSpPr>
        <xdr:cNvPr id="291841" name="Text Box 1025" hidden="1">
          <a:extLst>
            <a:ext uri="{FF2B5EF4-FFF2-40B4-BE49-F238E27FC236}">
              <a16:creationId xmlns:a16="http://schemas.microsoft.com/office/drawing/2014/main" id="{59F931C4-3CEC-488C-9295-DD87FFBF6346}"/>
            </a:ext>
          </a:extLst>
        </xdr:cNvPr>
        <xdr:cNvSpPr txBox="1">
          <a:spLocks noChangeArrowheads="1"/>
        </xdr:cNvSpPr>
      </xdr:nvSpPr>
      <xdr:spPr bwMode="auto">
        <a:xfrm>
          <a:off x="17145000" y="183832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27" name="Text Box 3" hidden="1">
          <a:extLst>
            <a:ext uri="{FF2B5EF4-FFF2-40B4-BE49-F238E27FC236}">
              <a16:creationId xmlns:a16="http://schemas.microsoft.com/office/drawing/2014/main" id="{2CFB6872-35A6-4E3E-9831-117F30FCB99D}"/>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2" name="Text Box 3" hidden="1">
          <a:extLst>
            <a:ext uri="{FF2B5EF4-FFF2-40B4-BE49-F238E27FC236}">
              <a16:creationId xmlns:a16="http://schemas.microsoft.com/office/drawing/2014/main" id="{5B78127B-FDE8-4D1C-B9BF-3B0959B5B31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 name="Text Box 3" hidden="1">
          <a:extLst>
            <a:ext uri="{FF2B5EF4-FFF2-40B4-BE49-F238E27FC236}">
              <a16:creationId xmlns:a16="http://schemas.microsoft.com/office/drawing/2014/main" id="{4EF50001-7DFD-42E6-BEEF-D54C3CA59439}"/>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4" name="Text Box 3" hidden="1">
          <a:extLst>
            <a:ext uri="{FF2B5EF4-FFF2-40B4-BE49-F238E27FC236}">
              <a16:creationId xmlns:a16="http://schemas.microsoft.com/office/drawing/2014/main" id="{CB83A888-A7B4-47BA-A453-3120A87CED8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5" name="Text Box 3" hidden="1">
          <a:extLst>
            <a:ext uri="{FF2B5EF4-FFF2-40B4-BE49-F238E27FC236}">
              <a16:creationId xmlns:a16="http://schemas.microsoft.com/office/drawing/2014/main" id="{368DB186-4601-4007-9006-74EA267F466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6" name="Text Box 3" hidden="1">
          <a:extLst>
            <a:ext uri="{FF2B5EF4-FFF2-40B4-BE49-F238E27FC236}">
              <a16:creationId xmlns:a16="http://schemas.microsoft.com/office/drawing/2014/main" id="{BE5A5817-214A-43F9-B5F1-9052966DA3B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7" name="Text Box 3" hidden="1">
          <a:extLst>
            <a:ext uri="{FF2B5EF4-FFF2-40B4-BE49-F238E27FC236}">
              <a16:creationId xmlns:a16="http://schemas.microsoft.com/office/drawing/2014/main" id="{749CC484-0D3E-402A-B877-07FB7F80EA0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8" name="Text Box 3" hidden="1">
          <a:extLst>
            <a:ext uri="{FF2B5EF4-FFF2-40B4-BE49-F238E27FC236}">
              <a16:creationId xmlns:a16="http://schemas.microsoft.com/office/drawing/2014/main" id="{B7F47E0E-3AD4-A4F2-8B14-3C0557F2DC08}"/>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5" name="Text Box 1" hidden="1">
          <a:extLst>
            <a:ext uri="{FF2B5EF4-FFF2-40B4-BE49-F238E27FC236}">
              <a16:creationId xmlns:a16="http://schemas.microsoft.com/office/drawing/2014/main" id="{57591A0A-96CD-9CE6-5034-15ACF0DA891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7" name="Text Box 1027" hidden="1">
          <a:extLst>
            <a:ext uri="{FF2B5EF4-FFF2-40B4-BE49-F238E27FC236}">
              <a16:creationId xmlns:a16="http://schemas.microsoft.com/office/drawing/2014/main" id="{629F8263-B26F-484C-6832-5A29C9040DE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6" name="Text Box 1026" hidden="1">
          <a:extLst>
            <a:ext uri="{FF2B5EF4-FFF2-40B4-BE49-F238E27FC236}">
              <a16:creationId xmlns:a16="http://schemas.microsoft.com/office/drawing/2014/main" id="{AA3D9C71-178A-C320-6608-380C95BF408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8" name="Text Box 1028" hidden="1">
          <a:extLst>
            <a:ext uri="{FF2B5EF4-FFF2-40B4-BE49-F238E27FC236}">
              <a16:creationId xmlns:a16="http://schemas.microsoft.com/office/drawing/2014/main" id="{33216E7F-4501-CDF8-D8A8-16DD7B77B9B3}"/>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9" name="Text Box 1029" hidden="1">
          <a:extLst>
            <a:ext uri="{FF2B5EF4-FFF2-40B4-BE49-F238E27FC236}">
              <a16:creationId xmlns:a16="http://schemas.microsoft.com/office/drawing/2014/main" id="{09AFA688-399E-86BE-A913-FDE226A6649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0" name="Text Box 1030" hidden="1">
          <a:extLst>
            <a:ext uri="{FF2B5EF4-FFF2-40B4-BE49-F238E27FC236}">
              <a16:creationId xmlns:a16="http://schemas.microsoft.com/office/drawing/2014/main" id="{96F03471-F2A5-FEDE-015A-5097826EA6D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1" name="Text Box 1031" hidden="1">
          <a:extLst>
            <a:ext uri="{FF2B5EF4-FFF2-40B4-BE49-F238E27FC236}">
              <a16:creationId xmlns:a16="http://schemas.microsoft.com/office/drawing/2014/main" id="{A34D15F6-2C18-6D3E-CCB6-32978A04B3CD}"/>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3" name="Text Box 1033" hidden="1">
          <a:extLst>
            <a:ext uri="{FF2B5EF4-FFF2-40B4-BE49-F238E27FC236}">
              <a16:creationId xmlns:a16="http://schemas.microsoft.com/office/drawing/2014/main" id="{18965EA2-1E4F-FDB9-39FC-E7B00F36864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2" name="Text Box 1032" hidden="1">
          <a:extLst>
            <a:ext uri="{FF2B5EF4-FFF2-40B4-BE49-F238E27FC236}">
              <a16:creationId xmlns:a16="http://schemas.microsoft.com/office/drawing/2014/main" id="{2015F65A-B78D-D14E-56B5-9F556D25A3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4" name="Text Box 1034" hidden="1">
          <a:extLst>
            <a:ext uri="{FF2B5EF4-FFF2-40B4-BE49-F238E27FC236}">
              <a16:creationId xmlns:a16="http://schemas.microsoft.com/office/drawing/2014/main" id="{7D7BAC87-0CB6-8439-6BDA-4F555F1ECEE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5" name="Text Box 1035" hidden="1">
          <a:extLst>
            <a:ext uri="{FF2B5EF4-FFF2-40B4-BE49-F238E27FC236}">
              <a16:creationId xmlns:a16="http://schemas.microsoft.com/office/drawing/2014/main" id="{8E9732D6-8C81-8A35-E872-C95DA13D296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6" name="Text Box 1036" hidden="1">
          <a:extLst>
            <a:ext uri="{FF2B5EF4-FFF2-40B4-BE49-F238E27FC236}">
              <a16:creationId xmlns:a16="http://schemas.microsoft.com/office/drawing/2014/main" id="{24294775-D474-CEE8-A57A-50E74D00ABDB}"/>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7" name="Text Box 1037" hidden="1">
          <a:extLst>
            <a:ext uri="{FF2B5EF4-FFF2-40B4-BE49-F238E27FC236}">
              <a16:creationId xmlns:a16="http://schemas.microsoft.com/office/drawing/2014/main" id="{0656B50A-EBC3-3E72-1BDC-6FAAB860E72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8" name="Text Box 1038" hidden="1">
          <a:extLst>
            <a:ext uri="{FF2B5EF4-FFF2-40B4-BE49-F238E27FC236}">
              <a16:creationId xmlns:a16="http://schemas.microsoft.com/office/drawing/2014/main" id="{188F2022-0CE8-E518-D776-3FB95A4B8CA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165889" name="Text Box 1025" hidden="1">
          <a:extLst>
            <a:ext uri="{FF2B5EF4-FFF2-40B4-BE49-F238E27FC236}">
              <a16:creationId xmlns:a16="http://schemas.microsoft.com/office/drawing/2014/main" id="{B1168B61-EE79-4C3A-A5BE-017914EFE07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27" name="Text Box 3" hidden="1">
          <a:extLst>
            <a:ext uri="{FF2B5EF4-FFF2-40B4-BE49-F238E27FC236}">
              <a16:creationId xmlns:a16="http://schemas.microsoft.com/office/drawing/2014/main" id="{9F247216-4D56-4166-9831-3F596F2022A8}"/>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29" name="Text Box 5" hidden="1">
          <a:extLst>
            <a:ext uri="{FF2B5EF4-FFF2-40B4-BE49-F238E27FC236}">
              <a16:creationId xmlns:a16="http://schemas.microsoft.com/office/drawing/2014/main" id="{409D7FE2-E0CF-48FB-B6D1-897059BF6B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1028" name="Text Box 4" hidden="1">
          <a:extLst>
            <a:ext uri="{FF2B5EF4-FFF2-40B4-BE49-F238E27FC236}">
              <a16:creationId xmlns:a16="http://schemas.microsoft.com/office/drawing/2014/main" id="{7D7B7B44-87B2-4A3C-809F-1F92C4FB4C3E}"/>
            </a:ext>
          </a:extLst>
        </xdr:cNvPr>
        <xdr:cNvSpPr txBox="1">
          <a:spLocks noChangeArrowheads="1"/>
        </xdr:cNvSpPr>
      </xdr:nvSpPr>
      <xdr:spPr bwMode="auto">
        <a:xfrm>
          <a:off x="4410075" y="44672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2" name="Text Box 5" hidden="1">
          <a:extLst>
            <a:ext uri="{FF2B5EF4-FFF2-40B4-BE49-F238E27FC236}">
              <a16:creationId xmlns:a16="http://schemas.microsoft.com/office/drawing/2014/main" id="{DF9764D7-CFDA-44EF-A61E-AFF4E5C13812}"/>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3" name="Text Box 4" hidden="1">
          <a:extLst>
            <a:ext uri="{FF2B5EF4-FFF2-40B4-BE49-F238E27FC236}">
              <a16:creationId xmlns:a16="http://schemas.microsoft.com/office/drawing/2014/main" id="{DAB62A5A-C934-4E11-A33A-DC5810CB9810}"/>
            </a:ext>
          </a:extLst>
        </xdr:cNvPr>
        <xdr:cNvSpPr txBox="1">
          <a:spLocks noChangeArrowheads="1"/>
        </xdr:cNvSpPr>
      </xdr:nvSpPr>
      <xdr:spPr bwMode="auto">
        <a:xfrm>
          <a:off x="4410075" y="44672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C70C765D-FC44-4369-9A03-6CA121B0E5B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5" name="Text Box 4" hidden="1">
          <a:extLst>
            <a:ext uri="{FF2B5EF4-FFF2-40B4-BE49-F238E27FC236}">
              <a16:creationId xmlns:a16="http://schemas.microsoft.com/office/drawing/2014/main" id="{6F21556B-AD24-43E2-9807-B733A6C718EF}"/>
            </a:ext>
          </a:extLst>
        </xdr:cNvPr>
        <xdr:cNvSpPr txBox="1">
          <a:spLocks noChangeArrowheads="1"/>
        </xdr:cNvSpPr>
      </xdr:nvSpPr>
      <xdr:spPr bwMode="auto">
        <a:xfrm>
          <a:off x="4541520" y="438912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2681A8F0-B020-4BB5-8BF4-DF2005DE34B9}"/>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7" name="Text Box 4" hidden="1">
          <a:extLst>
            <a:ext uri="{FF2B5EF4-FFF2-40B4-BE49-F238E27FC236}">
              <a16:creationId xmlns:a16="http://schemas.microsoft.com/office/drawing/2014/main" id="{6B1C72C2-F321-4FC6-A0EB-92F1F27ED4C7}"/>
            </a:ext>
          </a:extLst>
        </xdr:cNvPr>
        <xdr:cNvSpPr txBox="1">
          <a:spLocks noChangeArrowheads="1"/>
        </xdr:cNvSpPr>
      </xdr:nvSpPr>
      <xdr:spPr bwMode="auto">
        <a:xfrm>
          <a:off x="4541520" y="438150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21CBC1C9-32EC-4C83-85DE-2FFBC939EC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9" name="Text Box 4" hidden="1">
          <a:extLst>
            <a:ext uri="{FF2B5EF4-FFF2-40B4-BE49-F238E27FC236}">
              <a16:creationId xmlns:a16="http://schemas.microsoft.com/office/drawing/2014/main" id="{F0B06422-C8B0-4FF9-BB1C-F2E8A66A9C86}"/>
            </a:ext>
          </a:extLst>
        </xdr:cNvPr>
        <xdr:cNvSpPr txBox="1">
          <a:spLocks noChangeArrowheads="1"/>
        </xdr:cNvSpPr>
      </xdr:nvSpPr>
      <xdr:spPr bwMode="auto">
        <a:xfrm>
          <a:off x="4410075" y="4448175"/>
          <a:ext cx="1371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030" name="Text Box 6" hidden="1">
          <a:extLst>
            <a:ext uri="{FF2B5EF4-FFF2-40B4-BE49-F238E27FC236}">
              <a16:creationId xmlns:a16="http://schemas.microsoft.com/office/drawing/2014/main" id="{27E47AA2-CC4B-4B61-A49D-80718B56B4FF}"/>
            </a:ext>
          </a:extLst>
        </xdr:cNvPr>
        <xdr:cNvSpPr txBox="1">
          <a:spLocks noChangeArrowheads="1"/>
        </xdr:cNvSpPr>
      </xdr:nvSpPr>
      <xdr:spPr bwMode="auto">
        <a:xfrm>
          <a:off x="4371975" y="4276725"/>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4097" name="Text Box 1" hidden="1">
          <a:extLst>
            <a:ext uri="{FF2B5EF4-FFF2-40B4-BE49-F238E27FC236}">
              <a16:creationId xmlns:a16="http://schemas.microsoft.com/office/drawing/2014/main" id="{95BDDA10-9916-4529-9626-B0878D39761F}"/>
            </a:ext>
          </a:extLst>
        </xdr:cNvPr>
        <xdr:cNvSpPr txBox="1">
          <a:spLocks noChangeArrowheads="1"/>
        </xdr:cNvSpPr>
      </xdr:nvSpPr>
      <xdr:spPr bwMode="auto">
        <a:xfrm>
          <a:off x="4371975" y="4276725"/>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4098" name="Text Box 1026" hidden="1">
          <a:extLst>
            <a:ext uri="{FF2B5EF4-FFF2-40B4-BE49-F238E27FC236}">
              <a16:creationId xmlns:a16="http://schemas.microsoft.com/office/drawing/2014/main" id="{B03B7B27-AB11-4450-B36F-E76290F87129}"/>
            </a:ext>
          </a:extLst>
        </xdr:cNvPr>
        <xdr:cNvSpPr txBox="1">
          <a:spLocks noChangeArrowheads="1"/>
        </xdr:cNvSpPr>
      </xdr:nvSpPr>
      <xdr:spPr bwMode="auto">
        <a:xfrm>
          <a:off x="4503420" y="4198620"/>
          <a:ext cx="128016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0" name="Text Box 3" hidden="1">
          <a:extLst>
            <a:ext uri="{FF2B5EF4-FFF2-40B4-BE49-F238E27FC236}">
              <a16:creationId xmlns:a16="http://schemas.microsoft.com/office/drawing/2014/main" id="{346DAD7D-D95F-4864-95F9-1BD9E840432F}"/>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1" name="Text Box 3" hidden="1">
          <a:extLst>
            <a:ext uri="{FF2B5EF4-FFF2-40B4-BE49-F238E27FC236}">
              <a16:creationId xmlns:a16="http://schemas.microsoft.com/office/drawing/2014/main" id="{51C51AD1-B099-4459-9454-7D4EE49AA1F9}"/>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2" name="Text Box 3" hidden="1">
          <a:extLst>
            <a:ext uri="{FF2B5EF4-FFF2-40B4-BE49-F238E27FC236}">
              <a16:creationId xmlns:a16="http://schemas.microsoft.com/office/drawing/2014/main" id="{A2ABDDF0-BC9C-45A0-885D-324CFC4FCDDC}"/>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3" name="Text Box 3" hidden="1">
          <a:extLst>
            <a:ext uri="{FF2B5EF4-FFF2-40B4-BE49-F238E27FC236}">
              <a16:creationId xmlns:a16="http://schemas.microsoft.com/office/drawing/2014/main" id="{1E478032-2CAE-4BA9-89C0-45798760EFB3}"/>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4" name="Text Box 5" hidden="1">
          <a:extLst>
            <a:ext uri="{FF2B5EF4-FFF2-40B4-BE49-F238E27FC236}">
              <a16:creationId xmlns:a16="http://schemas.microsoft.com/office/drawing/2014/main" id="{D13EF6B5-2682-4ECF-B973-340D8E001D05}"/>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5" name="Text Box 4" hidden="1">
          <a:extLst>
            <a:ext uri="{FF2B5EF4-FFF2-40B4-BE49-F238E27FC236}">
              <a16:creationId xmlns:a16="http://schemas.microsoft.com/office/drawing/2014/main" id="{E11DC0DB-7371-4425-9CBE-95825ABA6A24}"/>
            </a:ext>
          </a:extLst>
        </xdr:cNvPr>
        <xdr:cNvSpPr txBox="1">
          <a:spLocks noChangeArrowheads="1"/>
        </xdr:cNvSpPr>
      </xdr:nvSpPr>
      <xdr:spPr bwMode="auto">
        <a:xfrm>
          <a:off x="4410075" y="76485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6" name="Text Box 5" hidden="1">
          <a:extLst>
            <a:ext uri="{FF2B5EF4-FFF2-40B4-BE49-F238E27FC236}">
              <a16:creationId xmlns:a16="http://schemas.microsoft.com/office/drawing/2014/main" id="{FCD2AAA4-3E4D-4629-87C4-2DEC8297A0AF}"/>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7" name="Text Box 4" hidden="1">
          <a:extLst>
            <a:ext uri="{FF2B5EF4-FFF2-40B4-BE49-F238E27FC236}">
              <a16:creationId xmlns:a16="http://schemas.microsoft.com/office/drawing/2014/main" id="{E73FB451-1516-46E8-BEAA-3AFDD2C1F193}"/>
            </a:ext>
          </a:extLst>
        </xdr:cNvPr>
        <xdr:cNvSpPr txBox="1">
          <a:spLocks noChangeArrowheads="1"/>
        </xdr:cNvSpPr>
      </xdr:nvSpPr>
      <xdr:spPr bwMode="auto">
        <a:xfrm>
          <a:off x="4578350" y="7537450"/>
          <a:ext cx="14478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8" name="Text Box 3" hidden="1">
          <a:extLst>
            <a:ext uri="{FF2B5EF4-FFF2-40B4-BE49-F238E27FC236}">
              <a16:creationId xmlns:a16="http://schemas.microsoft.com/office/drawing/2014/main" id="{C63FB503-C9B9-48A7-8A6D-FC54F3E896F8}"/>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9" name="Text Box 5" hidden="1">
          <a:extLst>
            <a:ext uri="{FF2B5EF4-FFF2-40B4-BE49-F238E27FC236}">
              <a16:creationId xmlns:a16="http://schemas.microsoft.com/office/drawing/2014/main" id="{CF8E4A29-7D40-4AC2-AB46-1738A546268F}"/>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0" name="Text Box 4" hidden="1">
          <a:extLst>
            <a:ext uri="{FF2B5EF4-FFF2-40B4-BE49-F238E27FC236}">
              <a16:creationId xmlns:a16="http://schemas.microsoft.com/office/drawing/2014/main" id="{1386C8AA-9EEB-4F66-B3F3-F40EFE84FCF3}"/>
            </a:ext>
          </a:extLst>
        </xdr:cNvPr>
        <xdr:cNvSpPr txBox="1">
          <a:spLocks noChangeArrowheads="1"/>
        </xdr:cNvSpPr>
      </xdr:nvSpPr>
      <xdr:spPr bwMode="auto">
        <a:xfrm>
          <a:off x="19286220" y="3680460"/>
          <a:ext cx="131064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74BCA315-ADA4-44F9-BDD1-8F4FAB19F33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2" name="Text Box 4" hidden="1">
          <a:extLst>
            <a:ext uri="{FF2B5EF4-FFF2-40B4-BE49-F238E27FC236}">
              <a16:creationId xmlns:a16="http://schemas.microsoft.com/office/drawing/2014/main" id="{193C9771-E0F9-451F-8EFB-3F53190EB5A8}"/>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F5692FE4-1B20-45FF-8715-87B997E5ABB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4" name="Text Box 4" hidden="1">
          <a:extLst>
            <a:ext uri="{FF2B5EF4-FFF2-40B4-BE49-F238E27FC236}">
              <a16:creationId xmlns:a16="http://schemas.microsoft.com/office/drawing/2014/main" id="{0B318B3F-00E1-4C69-9EAE-7F7FC78D7861}"/>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033" name="Text Box 9" hidden="1">
          <a:extLst>
            <a:ext uri="{FF2B5EF4-FFF2-40B4-BE49-F238E27FC236}">
              <a16:creationId xmlns:a16="http://schemas.microsoft.com/office/drawing/2014/main" id="{5DBC428D-1BC4-4E31-A9B7-8EE97C9B2A85}"/>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1032" name="Text Box 8" hidden="1">
          <a:extLst>
            <a:ext uri="{FF2B5EF4-FFF2-40B4-BE49-F238E27FC236}">
              <a16:creationId xmlns:a16="http://schemas.microsoft.com/office/drawing/2014/main" id="{39F6FFEE-0DE6-44B1-B59B-9135AA846A09}"/>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031" name="Text Box 7" hidden="1">
          <a:extLst>
            <a:ext uri="{FF2B5EF4-FFF2-40B4-BE49-F238E27FC236}">
              <a16:creationId xmlns:a16="http://schemas.microsoft.com/office/drawing/2014/main" id="{D07CA957-525F-4466-A0FE-AA367FAACA38}"/>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5" name="Text Box 6" hidden="1">
          <a:extLst>
            <a:ext uri="{FF2B5EF4-FFF2-40B4-BE49-F238E27FC236}">
              <a16:creationId xmlns:a16="http://schemas.microsoft.com/office/drawing/2014/main" id="{6D62BEE8-45A2-4D90-8239-5F1332C1B788}"/>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DA200543-8CA7-47D7-8809-64482693720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7" name="Text Box 4" hidden="1">
          <a:extLst>
            <a:ext uri="{FF2B5EF4-FFF2-40B4-BE49-F238E27FC236}">
              <a16:creationId xmlns:a16="http://schemas.microsoft.com/office/drawing/2014/main" id="{01D2A96B-E7FF-426A-9FBA-B11FEC6936F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9" hidden="1">
          <a:extLst>
            <a:ext uri="{FF2B5EF4-FFF2-40B4-BE49-F238E27FC236}">
              <a16:creationId xmlns:a16="http://schemas.microsoft.com/office/drawing/2014/main" id="{0374750F-9017-403A-A9A9-87AA2A44A07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 name="Text Box 8" hidden="1">
          <a:extLst>
            <a:ext uri="{FF2B5EF4-FFF2-40B4-BE49-F238E27FC236}">
              <a16:creationId xmlns:a16="http://schemas.microsoft.com/office/drawing/2014/main" id="{654B8F1D-BBF1-4A09-85FA-E2D5C34BAF6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7" hidden="1">
          <a:extLst>
            <a:ext uri="{FF2B5EF4-FFF2-40B4-BE49-F238E27FC236}">
              <a16:creationId xmlns:a16="http://schemas.microsoft.com/office/drawing/2014/main" id="{7F6165CA-9C10-4B46-91A3-A1FB4035365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1" name="Text Box 6" hidden="1">
          <a:extLst>
            <a:ext uri="{FF2B5EF4-FFF2-40B4-BE49-F238E27FC236}">
              <a16:creationId xmlns:a16="http://schemas.microsoft.com/office/drawing/2014/main" id="{B753FEF6-168E-4B08-A1C2-721F5921810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5" hidden="1">
          <a:extLst>
            <a:ext uri="{FF2B5EF4-FFF2-40B4-BE49-F238E27FC236}">
              <a16:creationId xmlns:a16="http://schemas.microsoft.com/office/drawing/2014/main" id="{E953FA81-878C-40DC-BAA4-748A87337770}"/>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3" name="Text Box 4" hidden="1">
          <a:extLst>
            <a:ext uri="{FF2B5EF4-FFF2-40B4-BE49-F238E27FC236}">
              <a16:creationId xmlns:a16="http://schemas.microsoft.com/office/drawing/2014/main" id="{E4927B30-9EB6-4548-A6F1-A254266D289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5" hidden="1">
          <a:extLst>
            <a:ext uri="{FF2B5EF4-FFF2-40B4-BE49-F238E27FC236}">
              <a16:creationId xmlns:a16="http://schemas.microsoft.com/office/drawing/2014/main" id="{6CD20597-A15D-40FC-ADDE-435E3AAC4D1B}"/>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5" name="Text Box 4" hidden="1">
          <a:extLst>
            <a:ext uri="{FF2B5EF4-FFF2-40B4-BE49-F238E27FC236}">
              <a16:creationId xmlns:a16="http://schemas.microsoft.com/office/drawing/2014/main" id="{750F3BE7-16C9-4FC5-8D1D-2B34D20496E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2DBFC909-DA0D-4549-91FE-63AE8F32CF66}"/>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7" name="Text Box 4" hidden="1">
          <a:extLst>
            <a:ext uri="{FF2B5EF4-FFF2-40B4-BE49-F238E27FC236}">
              <a16:creationId xmlns:a16="http://schemas.microsoft.com/office/drawing/2014/main" id="{17F79880-544E-47B7-B243-27B7131CD6C7}"/>
            </a:ext>
          </a:extLst>
        </xdr:cNvPr>
        <xdr:cNvSpPr txBox="1">
          <a:spLocks noChangeArrowheads="1"/>
        </xdr:cNvSpPr>
      </xdr:nvSpPr>
      <xdr:spPr bwMode="auto">
        <a:xfrm>
          <a:off x="19270980" y="3680460"/>
          <a:ext cx="13030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5" hidden="1">
          <a:extLst>
            <a:ext uri="{FF2B5EF4-FFF2-40B4-BE49-F238E27FC236}">
              <a16:creationId xmlns:a16="http://schemas.microsoft.com/office/drawing/2014/main" id="{3A1A4179-F6EA-4E31-BBAF-FD2DD88BDA7C}"/>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9" name="Text Box 4" hidden="1">
          <a:extLst>
            <a:ext uri="{FF2B5EF4-FFF2-40B4-BE49-F238E27FC236}">
              <a16:creationId xmlns:a16="http://schemas.microsoft.com/office/drawing/2014/main" id="{3500C700-4830-4F0E-AD85-88300FBA60D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5" hidden="1">
          <a:extLst>
            <a:ext uri="{FF2B5EF4-FFF2-40B4-BE49-F238E27FC236}">
              <a16:creationId xmlns:a16="http://schemas.microsoft.com/office/drawing/2014/main" id="{1D0D8D82-B531-47E0-A48D-2113C5A13DC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41" name="Text Box 4" hidden="1">
          <a:extLst>
            <a:ext uri="{FF2B5EF4-FFF2-40B4-BE49-F238E27FC236}">
              <a16:creationId xmlns:a16="http://schemas.microsoft.com/office/drawing/2014/main" id="{E0AB096A-C302-488D-A72A-D595704AF0DE}"/>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B974FD8E-5C68-4348-BBF6-D4D2387AED88}"/>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43" name="Text Box 4" hidden="1">
          <a:extLst>
            <a:ext uri="{FF2B5EF4-FFF2-40B4-BE49-F238E27FC236}">
              <a16:creationId xmlns:a16="http://schemas.microsoft.com/office/drawing/2014/main" id="{688C37E8-7D4A-409C-8B5C-7D7805A3775D}"/>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68" name="Text Box 4" hidden="1">
          <a:extLst>
            <a:ext uri="{FF2B5EF4-FFF2-40B4-BE49-F238E27FC236}">
              <a16:creationId xmlns:a16="http://schemas.microsoft.com/office/drawing/2014/main" id="{6E2B8F22-0E38-41D9-8F7B-7C3BCE2B3B9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67" name="Text Box 3" hidden="1">
          <a:extLst>
            <a:ext uri="{FF2B5EF4-FFF2-40B4-BE49-F238E27FC236}">
              <a16:creationId xmlns:a16="http://schemas.microsoft.com/office/drawing/2014/main" id="{119B2E95-0CAA-40CD-9E55-E3408E22FEEB}"/>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292866" name="Text Box 2" hidden="1">
          <a:extLst>
            <a:ext uri="{FF2B5EF4-FFF2-40B4-BE49-F238E27FC236}">
              <a16:creationId xmlns:a16="http://schemas.microsoft.com/office/drawing/2014/main" id="{C6DAA0B5-9A57-42B3-BC65-3F7B8EE12C51}"/>
            </a:ext>
          </a:extLst>
        </xdr:cNvPr>
        <xdr:cNvSpPr txBox="1">
          <a:spLocks noChangeArrowheads="1"/>
        </xdr:cNvSpPr>
      </xdr:nvSpPr>
      <xdr:spPr bwMode="auto">
        <a:xfrm>
          <a:off x="4352925" y="448627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65" name="Text Box 1" hidden="1">
          <a:extLst>
            <a:ext uri="{FF2B5EF4-FFF2-40B4-BE49-F238E27FC236}">
              <a16:creationId xmlns:a16="http://schemas.microsoft.com/office/drawing/2014/main" id="{6EBD14C1-8DB6-4338-A663-153F9B4C26B6}"/>
            </a:ext>
          </a:extLst>
        </xdr:cNvPr>
        <xdr:cNvSpPr txBox="1">
          <a:spLocks noChangeArrowheads="1"/>
        </xdr:cNvSpPr>
      </xdr:nvSpPr>
      <xdr:spPr bwMode="auto">
        <a:xfrm>
          <a:off x="16011525" y="42767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2" name="Text Box 1032" hidden="1">
          <a:extLst>
            <a:ext uri="{FF2B5EF4-FFF2-40B4-BE49-F238E27FC236}">
              <a16:creationId xmlns:a16="http://schemas.microsoft.com/office/drawing/2014/main" id="{591829AD-463B-4C84-958C-E47BE6A8765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1" name="Text Box 1031" hidden="1">
          <a:extLst>
            <a:ext uri="{FF2B5EF4-FFF2-40B4-BE49-F238E27FC236}">
              <a16:creationId xmlns:a16="http://schemas.microsoft.com/office/drawing/2014/main" id="{6F1E5FC8-0F04-4A9F-8FDB-5A88115AC25C}"/>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69" name="Text Box 1029" hidden="1">
          <a:extLst>
            <a:ext uri="{FF2B5EF4-FFF2-40B4-BE49-F238E27FC236}">
              <a16:creationId xmlns:a16="http://schemas.microsoft.com/office/drawing/2014/main" id="{42723461-903E-4C98-B174-37238F030163}"/>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5" name="Text Box 1035" hidden="1">
          <a:extLst>
            <a:ext uri="{FF2B5EF4-FFF2-40B4-BE49-F238E27FC236}">
              <a16:creationId xmlns:a16="http://schemas.microsoft.com/office/drawing/2014/main" id="{D2D84568-74BB-46CC-9EEF-B86509D08A6A}"/>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4" name="Text Box 1034" hidden="1">
          <a:extLst>
            <a:ext uri="{FF2B5EF4-FFF2-40B4-BE49-F238E27FC236}">
              <a16:creationId xmlns:a16="http://schemas.microsoft.com/office/drawing/2014/main" id="{C4FF3281-3DB5-4A10-9AF4-4839F4CBF7F7}"/>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73" name="Text Box 1033" hidden="1">
          <a:extLst>
            <a:ext uri="{FF2B5EF4-FFF2-40B4-BE49-F238E27FC236}">
              <a16:creationId xmlns:a16="http://schemas.microsoft.com/office/drawing/2014/main" id="{5E75ACAA-B37B-4549-85F2-FEADE330C147}"/>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8" name="Text Box 1038" hidden="1">
          <a:extLst>
            <a:ext uri="{FF2B5EF4-FFF2-40B4-BE49-F238E27FC236}">
              <a16:creationId xmlns:a16="http://schemas.microsoft.com/office/drawing/2014/main" id="{7F7E6C3B-B2E4-456A-959F-5FAFA2535946}"/>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7" name="Text Box 1037" hidden="1">
          <a:extLst>
            <a:ext uri="{FF2B5EF4-FFF2-40B4-BE49-F238E27FC236}">
              <a16:creationId xmlns:a16="http://schemas.microsoft.com/office/drawing/2014/main" id="{EE07511F-7ACC-4E37-A255-D25512C82BC3}"/>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76" name="Text Box 1036" hidden="1">
          <a:extLst>
            <a:ext uri="{FF2B5EF4-FFF2-40B4-BE49-F238E27FC236}">
              <a16:creationId xmlns:a16="http://schemas.microsoft.com/office/drawing/2014/main" id="{75B4224F-857E-4265-87B5-2FD1DD4480AF}"/>
            </a:ext>
          </a:extLst>
        </xdr:cNvPr>
        <xdr:cNvSpPr txBox="1">
          <a:spLocks noChangeArrowheads="1"/>
        </xdr:cNvSpPr>
      </xdr:nvSpPr>
      <xdr:spPr bwMode="auto">
        <a:xfrm>
          <a:off x="16764000" y="4229100"/>
          <a:ext cx="14351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80" name="Text Box 1040" hidden="1">
          <a:extLst>
            <a:ext uri="{FF2B5EF4-FFF2-40B4-BE49-F238E27FC236}">
              <a16:creationId xmlns:a16="http://schemas.microsoft.com/office/drawing/2014/main" id="{649477F5-38AD-41E8-8449-D117D578BBCC}"/>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79" name="Text Box 1039" hidden="1">
          <a:extLst>
            <a:ext uri="{FF2B5EF4-FFF2-40B4-BE49-F238E27FC236}">
              <a16:creationId xmlns:a16="http://schemas.microsoft.com/office/drawing/2014/main" id="{BF42BBBF-33CE-403D-BC9D-07DA7BB065AF}"/>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292882" name="Text Box 1042" hidden="1">
          <a:extLst>
            <a:ext uri="{FF2B5EF4-FFF2-40B4-BE49-F238E27FC236}">
              <a16:creationId xmlns:a16="http://schemas.microsoft.com/office/drawing/2014/main" id="{36BA3978-87EB-4419-B906-A5491F567D08}"/>
            </a:ext>
          </a:extLst>
        </xdr:cNvPr>
        <xdr:cNvSpPr txBox="1">
          <a:spLocks noChangeArrowheads="1"/>
        </xdr:cNvSpPr>
      </xdr:nvSpPr>
      <xdr:spPr bwMode="auto">
        <a:xfrm>
          <a:off x="4540250" y="4229100"/>
          <a:ext cx="1295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85" name="Text Box 1045" hidden="1">
          <a:extLst>
            <a:ext uri="{FF2B5EF4-FFF2-40B4-BE49-F238E27FC236}">
              <a16:creationId xmlns:a16="http://schemas.microsoft.com/office/drawing/2014/main" id="{D1759B2E-E9CB-4BC9-91FB-D43758AC844F}"/>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84" name="Text Box 1044" hidden="1">
          <a:extLst>
            <a:ext uri="{FF2B5EF4-FFF2-40B4-BE49-F238E27FC236}">
              <a16:creationId xmlns:a16="http://schemas.microsoft.com/office/drawing/2014/main" id="{A4AB38C7-3A7F-47E6-8991-6E07E13C870F}"/>
            </a:ext>
          </a:extLst>
        </xdr:cNvPr>
        <xdr:cNvSpPr txBox="1">
          <a:spLocks noChangeArrowheads="1"/>
        </xdr:cNvSpPr>
      </xdr:nvSpPr>
      <xdr:spPr bwMode="auto">
        <a:xfrm>
          <a:off x="16011525" y="4448175"/>
          <a:ext cx="13525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292883" name="Text Box 1043" hidden="1">
          <a:extLst>
            <a:ext uri="{FF2B5EF4-FFF2-40B4-BE49-F238E27FC236}">
              <a16:creationId xmlns:a16="http://schemas.microsoft.com/office/drawing/2014/main" id="{A3AE5B1B-327E-4495-9FE3-3F33B1093694}"/>
            </a:ext>
          </a:extLst>
        </xdr:cNvPr>
        <xdr:cNvSpPr txBox="1">
          <a:spLocks noChangeArrowheads="1"/>
        </xdr:cNvSpPr>
      </xdr:nvSpPr>
      <xdr:spPr bwMode="auto">
        <a:xfrm>
          <a:off x="4371975" y="4276725"/>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889" name="Text Box 1049" hidden="1">
          <a:extLst>
            <a:ext uri="{FF2B5EF4-FFF2-40B4-BE49-F238E27FC236}">
              <a16:creationId xmlns:a16="http://schemas.microsoft.com/office/drawing/2014/main" id="{F5807095-13EA-4516-B570-80C32FBC236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890" name="Text Box 1050" hidden="1">
          <a:extLst>
            <a:ext uri="{FF2B5EF4-FFF2-40B4-BE49-F238E27FC236}">
              <a16:creationId xmlns:a16="http://schemas.microsoft.com/office/drawing/2014/main" id="{9DB0620E-E539-46F4-8F26-4AB907C0CC77}"/>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1" name="Text Box 1051" hidden="1">
          <a:extLst>
            <a:ext uri="{FF2B5EF4-FFF2-40B4-BE49-F238E27FC236}">
              <a16:creationId xmlns:a16="http://schemas.microsoft.com/office/drawing/2014/main" id="{20187772-D78D-4941-B2D7-CFED1A891F8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49212</xdr:rowOff>
    </xdr:from>
    <xdr:to>
      <xdr:col>24</xdr:col>
      <xdr:colOff>647700</xdr:colOff>
      <xdr:row>42</xdr:row>
      <xdr:rowOff>107156</xdr:rowOff>
    </xdr:to>
    <xdr:sp macro="" textlink="">
      <xdr:nvSpPr>
        <xdr:cNvPr id="292892" name="Text Box 1052" hidden="1">
          <a:extLst>
            <a:ext uri="{FF2B5EF4-FFF2-40B4-BE49-F238E27FC236}">
              <a16:creationId xmlns:a16="http://schemas.microsoft.com/office/drawing/2014/main" id="{CF7174A6-9546-4BCA-8B6E-E364FD5626D6}"/>
            </a:ext>
          </a:extLst>
        </xdr:cNvPr>
        <xdr:cNvSpPr txBox="1">
          <a:spLocks noChangeArrowheads="1"/>
        </xdr:cNvSpPr>
      </xdr:nvSpPr>
      <xdr:spPr bwMode="auto">
        <a:xfrm>
          <a:off x="19615150" y="7550150"/>
          <a:ext cx="13271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30956</xdr:rowOff>
    </xdr:from>
    <xdr:to>
      <xdr:col>3</xdr:col>
      <xdr:colOff>609600</xdr:colOff>
      <xdr:row>45</xdr:row>
      <xdr:rowOff>107156</xdr:rowOff>
    </xdr:to>
    <xdr:sp macro="" textlink="">
      <xdr:nvSpPr>
        <xdr:cNvPr id="292893" name="Text Box 1053" hidden="1">
          <a:extLst>
            <a:ext uri="{FF2B5EF4-FFF2-40B4-BE49-F238E27FC236}">
              <a16:creationId xmlns:a16="http://schemas.microsoft.com/office/drawing/2014/main" id="{359D0C25-DB76-42D2-BAD0-97B27BAB7426}"/>
            </a:ext>
          </a:extLst>
        </xdr:cNvPr>
        <xdr:cNvSpPr txBox="1">
          <a:spLocks noChangeArrowheads="1"/>
        </xdr:cNvSpPr>
      </xdr:nvSpPr>
      <xdr:spPr bwMode="auto">
        <a:xfrm>
          <a:off x="4502150" y="8102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30956</xdr:rowOff>
    </xdr:from>
    <xdr:to>
      <xdr:col>21</xdr:col>
      <xdr:colOff>0</xdr:colOff>
      <xdr:row>46</xdr:row>
      <xdr:rowOff>107156</xdr:rowOff>
    </xdr:to>
    <xdr:sp macro="" textlink="">
      <xdr:nvSpPr>
        <xdr:cNvPr id="292894" name="Text Box 1054" hidden="1">
          <a:extLst>
            <a:ext uri="{FF2B5EF4-FFF2-40B4-BE49-F238E27FC236}">
              <a16:creationId xmlns:a16="http://schemas.microsoft.com/office/drawing/2014/main" id="{B9346CFE-9E6D-400A-8A69-4E865AE7AFCF}"/>
            </a:ext>
          </a:extLst>
        </xdr:cNvPr>
        <xdr:cNvSpPr txBox="1">
          <a:spLocks noChangeArrowheads="1"/>
        </xdr:cNvSpPr>
      </xdr:nvSpPr>
      <xdr:spPr bwMode="auto">
        <a:xfrm>
          <a:off x="16687800" y="8286750"/>
          <a:ext cx="13398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0" name="Text Box 1060" hidden="1">
          <a:extLst>
            <a:ext uri="{FF2B5EF4-FFF2-40B4-BE49-F238E27FC236}">
              <a16:creationId xmlns:a16="http://schemas.microsoft.com/office/drawing/2014/main" id="{4DB9DDAF-60B0-4654-89AB-F042381E3DC1}"/>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899" name="Text Box 1059" hidden="1">
          <a:extLst>
            <a:ext uri="{FF2B5EF4-FFF2-40B4-BE49-F238E27FC236}">
              <a16:creationId xmlns:a16="http://schemas.microsoft.com/office/drawing/2014/main" id="{CDA4BFF4-43B2-499D-815D-37C5DBFED8E7}"/>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8" name="Text Box 1058" hidden="1">
          <a:extLst>
            <a:ext uri="{FF2B5EF4-FFF2-40B4-BE49-F238E27FC236}">
              <a16:creationId xmlns:a16="http://schemas.microsoft.com/office/drawing/2014/main" id="{029D70AF-BD6C-4A7A-9151-A756FF596947}"/>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49212</xdr:rowOff>
    </xdr:from>
    <xdr:to>
      <xdr:col>24</xdr:col>
      <xdr:colOff>647700</xdr:colOff>
      <xdr:row>42</xdr:row>
      <xdr:rowOff>107156</xdr:rowOff>
    </xdr:to>
    <xdr:sp macro="" textlink="">
      <xdr:nvSpPr>
        <xdr:cNvPr id="292897" name="Text Box 1057" hidden="1">
          <a:extLst>
            <a:ext uri="{FF2B5EF4-FFF2-40B4-BE49-F238E27FC236}">
              <a16:creationId xmlns:a16="http://schemas.microsoft.com/office/drawing/2014/main" id="{74DD998C-2763-42C6-81D5-26A6488EF545}"/>
            </a:ext>
          </a:extLst>
        </xdr:cNvPr>
        <xdr:cNvSpPr txBox="1">
          <a:spLocks noChangeArrowheads="1"/>
        </xdr:cNvSpPr>
      </xdr:nvSpPr>
      <xdr:spPr bwMode="auto">
        <a:xfrm>
          <a:off x="19615150" y="7550150"/>
          <a:ext cx="13271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30956</xdr:rowOff>
    </xdr:from>
    <xdr:to>
      <xdr:col>3</xdr:col>
      <xdr:colOff>609600</xdr:colOff>
      <xdr:row>45</xdr:row>
      <xdr:rowOff>107156</xdr:rowOff>
    </xdr:to>
    <xdr:sp macro="" textlink="">
      <xdr:nvSpPr>
        <xdr:cNvPr id="292896" name="Text Box 1056" hidden="1">
          <a:extLst>
            <a:ext uri="{FF2B5EF4-FFF2-40B4-BE49-F238E27FC236}">
              <a16:creationId xmlns:a16="http://schemas.microsoft.com/office/drawing/2014/main" id="{CF75F4B8-ECD0-40C5-8354-17893BB94E08}"/>
            </a:ext>
          </a:extLst>
        </xdr:cNvPr>
        <xdr:cNvSpPr txBox="1">
          <a:spLocks noChangeArrowheads="1"/>
        </xdr:cNvSpPr>
      </xdr:nvSpPr>
      <xdr:spPr bwMode="auto">
        <a:xfrm>
          <a:off x="4502150" y="8102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30956</xdr:rowOff>
    </xdr:from>
    <xdr:to>
      <xdr:col>21</xdr:col>
      <xdr:colOff>0</xdr:colOff>
      <xdr:row>46</xdr:row>
      <xdr:rowOff>107156</xdr:rowOff>
    </xdr:to>
    <xdr:sp macro="" textlink="">
      <xdr:nvSpPr>
        <xdr:cNvPr id="292895" name="Text Box 1055" hidden="1">
          <a:extLst>
            <a:ext uri="{FF2B5EF4-FFF2-40B4-BE49-F238E27FC236}">
              <a16:creationId xmlns:a16="http://schemas.microsoft.com/office/drawing/2014/main" id="{C7816C2B-C1C5-4468-B360-58D1A737AF81}"/>
            </a:ext>
          </a:extLst>
        </xdr:cNvPr>
        <xdr:cNvSpPr txBox="1">
          <a:spLocks noChangeArrowheads="1"/>
        </xdr:cNvSpPr>
      </xdr:nvSpPr>
      <xdr:spPr bwMode="auto">
        <a:xfrm>
          <a:off x="16687800" y="8286750"/>
          <a:ext cx="13398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6" name="Text Box 1066" hidden="1">
          <a:extLst>
            <a:ext uri="{FF2B5EF4-FFF2-40B4-BE49-F238E27FC236}">
              <a16:creationId xmlns:a16="http://schemas.microsoft.com/office/drawing/2014/main" id="{A5F44801-ABBA-3CC8-B960-95677867F069}"/>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905" name="Text Box 1065" hidden="1">
          <a:extLst>
            <a:ext uri="{FF2B5EF4-FFF2-40B4-BE49-F238E27FC236}">
              <a16:creationId xmlns:a16="http://schemas.microsoft.com/office/drawing/2014/main" id="{3A867F1A-DB9E-1B20-CAD3-7DCCF42F046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4" name="Text Box 1064" hidden="1">
          <a:extLst>
            <a:ext uri="{FF2B5EF4-FFF2-40B4-BE49-F238E27FC236}">
              <a16:creationId xmlns:a16="http://schemas.microsoft.com/office/drawing/2014/main" id="{A46BD5C6-4315-ADC2-0D34-90CBF103EE4E}"/>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9" name="Text Box 45" hidden="1">
          <a:extLst>
            <a:ext uri="{FF2B5EF4-FFF2-40B4-BE49-F238E27FC236}">
              <a16:creationId xmlns:a16="http://schemas.microsoft.com/office/drawing/2014/main" id="{5FE45257-A7CA-9B70-D2B2-4A2276FFDCE3}"/>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908" name="Text Box 44" hidden="1">
          <a:extLst>
            <a:ext uri="{FF2B5EF4-FFF2-40B4-BE49-F238E27FC236}">
              <a16:creationId xmlns:a16="http://schemas.microsoft.com/office/drawing/2014/main" id="{73EA9274-894B-F7BD-BDF8-FF1B56D49F7C}"/>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7" name="Text Box 43" hidden="1">
          <a:extLst>
            <a:ext uri="{FF2B5EF4-FFF2-40B4-BE49-F238E27FC236}">
              <a16:creationId xmlns:a16="http://schemas.microsoft.com/office/drawing/2014/main" id="{921266E3-2122-77DF-C5DA-7C218F438AD4}"/>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4" name="Text Box 6" hidden="1">
          <a:extLst>
            <a:ext uri="{FF2B5EF4-FFF2-40B4-BE49-F238E27FC236}">
              <a16:creationId xmlns:a16="http://schemas.microsoft.com/office/drawing/2014/main" id="{909A6A4C-6A5D-4CF6-2D57-88FCB72967BF}"/>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3" name="Text Box 5" hidden="1">
          <a:extLst>
            <a:ext uri="{FF2B5EF4-FFF2-40B4-BE49-F238E27FC236}">
              <a16:creationId xmlns:a16="http://schemas.microsoft.com/office/drawing/2014/main" id="{DF140B59-D4A1-AEF0-3CB2-7BF7A25A8064}"/>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2" name="Text Box 4" hidden="1">
          <a:extLst>
            <a:ext uri="{FF2B5EF4-FFF2-40B4-BE49-F238E27FC236}">
              <a16:creationId xmlns:a16="http://schemas.microsoft.com/office/drawing/2014/main" id="{652B5534-8628-3DEF-AAE1-2F4EE625A952}"/>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1" name="Text Box 3" hidden="1">
          <a:extLst>
            <a:ext uri="{FF2B5EF4-FFF2-40B4-BE49-F238E27FC236}">
              <a16:creationId xmlns:a16="http://schemas.microsoft.com/office/drawing/2014/main" id="{CE1AECB9-7A6D-4396-5A06-45A4B5B60D12}"/>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0" name="Text Box 2" hidden="1">
          <a:extLst>
            <a:ext uri="{FF2B5EF4-FFF2-40B4-BE49-F238E27FC236}">
              <a16:creationId xmlns:a16="http://schemas.microsoft.com/office/drawing/2014/main" id="{C89ACE0E-F785-7DAA-918D-7B91955CE6C3}"/>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69" name="Text Box 1" hidden="1">
          <a:extLst>
            <a:ext uri="{FF2B5EF4-FFF2-40B4-BE49-F238E27FC236}">
              <a16:creationId xmlns:a16="http://schemas.microsoft.com/office/drawing/2014/main" id="{9DAF1CFE-C5D0-7875-21F1-2B7C380548EC}"/>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7" name="Text Box 9" hidden="1">
          <a:extLst>
            <a:ext uri="{FF2B5EF4-FFF2-40B4-BE49-F238E27FC236}">
              <a16:creationId xmlns:a16="http://schemas.microsoft.com/office/drawing/2014/main" id="{E3CC37DD-4513-AD37-5955-882E8F9B5E07}"/>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6" name="Text Box 8" hidden="1">
          <a:extLst>
            <a:ext uri="{FF2B5EF4-FFF2-40B4-BE49-F238E27FC236}">
              <a16:creationId xmlns:a16="http://schemas.microsoft.com/office/drawing/2014/main" id="{3FACB48C-C75F-CCD4-9F34-06E938D5BC0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5" name="Text Box 7" hidden="1">
          <a:extLst>
            <a:ext uri="{FF2B5EF4-FFF2-40B4-BE49-F238E27FC236}">
              <a16:creationId xmlns:a16="http://schemas.microsoft.com/office/drawing/2014/main" id="{964F59D1-0016-4F3B-FD15-8C3E51CC2A7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0" name="Text Box 12" hidden="1">
          <a:extLst>
            <a:ext uri="{FF2B5EF4-FFF2-40B4-BE49-F238E27FC236}">
              <a16:creationId xmlns:a16="http://schemas.microsoft.com/office/drawing/2014/main" id="{A57AE242-44C5-6571-28DF-729A1FA59D36}"/>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9" name="Text Box 11" hidden="1">
          <a:extLst>
            <a:ext uri="{FF2B5EF4-FFF2-40B4-BE49-F238E27FC236}">
              <a16:creationId xmlns:a16="http://schemas.microsoft.com/office/drawing/2014/main" id="{2BDF44C8-B606-53E7-FC90-8F4A60E37F81}"/>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8" name="Text Box 10" hidden="1">
          <a:extLst>
            <a:ext uri="{FF2B5EF4-FFF2-40B4-BE49-F238E27FC236}">
              <a16:creationId xmlns:a16="http://schemas.microsoft.com/office/drawing/2014/main" id="{5D1EA86D-07A4-4DAD-3341-1B44A98EBBE6}"/>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3" name="Text Box 15" hidden="1">
          <a:extLst>
            <a:ext uri="{FF2B5EF4-FFF2-40B4-BE49-F238E27FC236}">
              <a16:creationId xmlns:a16="http://schemas.microsoft.com/office/drawing/2014/main" id="{05A02FCF-65D0-F9FF-DBD5-2A13237C5DBB}"/>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2" name="Text Box 14" hidden="1">
          <a:extLst>
            <a:ext uri="{FF2B5EF4-FFF2-40B4-BE49-F238E27FC236}">
              <a16:creationId xmlns:a16="http://schemas.microsoft.com/office/drawing/2014/main" id="{1482CC5A-6AA9-A150-7627-2E34C2081E7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1" name="Text Box 13" hidden="1">
          <a:extLst>
            <a:ext uri="{FF2B5EF4-FFF2-40B4-BE49-F238E27FC236}">
              <a16:creationId xmlns:a16="http://schemas.microsoft.com/office/drawing/2014/main" id="{59AE6AFE-BE59-69AE-8056-4E6D343A674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6" name="Text Box 18" hidden="1">
          <a:extLst>
            <a:ext uri="{FF2B5EF4-FFF2-40B4-BE49-F238E27FC236}">
              <a16:creationId xmlns:a16="http://schemas.microsoft.com/office/drawing/2014/main" id="{BF6E6B34-6536-133A-69F9-E201C5736454}"/>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5" name="Text Box 17" hidden="1">
          <a:extLst>
            <a:ext uri="{FF2B5EF4-FFF2-40B4-BE49-F238E27FC236}">
              <a16:creationId xmlns:a16="http://schemas.microsoft.com/office/drawing/2014/main" id="{6B3728F5-16A7-0BD9-5E6C-66CFE80F011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4" name="Text Box 16" hidden="1">
          <a:extLst>
            <a:ext uri="{FF2B5EF4-FFF2-40B4-BE49-F238E27FC236}">
              <a16:creationId xmlns:a16="http://schemas.microsoft.com/office/drawing/2014/main" id="{FAE92ADE-D3D6-E013-6DC8-0BBEA46AB98F}"/>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2" name="Text Box 24" hidden="1">
          <a:extLst>
            <a:ext uri="{FF2B5EF4-FFF2-40B4-BE49-F238E27FC236}">
              <a16:creationId xmlns:a16="http://schemas.microsoft.com/office/drawing/2014/main" id="{86445EA2-C958-D3AB-4939-3D9C9009CC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1" name="Text Box 23" hidden="1">
          <a:extLst>
            <a:ext uri="{FF2B5EF4-FFF2-40B4-BE49-F238E27FC236}">
              <a16:creationId xmlns:a16="http://schemas.microsoft.com/office/drawing/2014/main" id="{56C4CB05-9F52-993D-7006-17EA298C6052}"/>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0" name="Text Box 22" hidden="1">
          <a:extLst>
            <a:ext uri="{FF2B5EF4-FFF2-40B4-BE49-F238E27FC236}">
              <a16:creationId xmlns:a16="http://schemas.microsoft.com/office/drawing/2014/main" id="{A97183B6-158E-CBB5-F7D4-97393BDA9D90}"/>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9" name="Text Box 21" hidden="1">
          <a:extLst>
            <a:ext uri="{FF2B5EF4-FFF2-40B4-BE49-F238E27FC236}">
              <a16:creationId xmlns:a16="http://schemas.microsoft.com/office/drawing/2014/main" id="{FAFD43CD-B7C3-6C39-2CE5-2CA2CC2B468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8" name="Text Box 20" hidden="1">
          <a:extLst>
            <a:ext uri="{FF2B5EF4-FFF2-40B4-BE49-F238E27FC236}">
              <a16:creationId xmlns:a16="http://schemas.microsoft.com/office/drawing/2014/main" id="{EDD3762C-E603-4E48-0839-3213DCCE89C4}"/>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7" name="Text Box 19" hidden="1">
          <a:extLst>
            <a:ext uri="{FF2B5EF4-FFF2-40B4-BE49-F238E27FC236}">
              <a16:creationId xmlns:a16="http://schemas.microsoft.com/office/drawing/2014/main" id="{3E124CDC-5136-DFE2-4FA7-0C6DA852C28E}"/>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5" name="Text Box 27" hidden="1">
          <a:extLst>
            <a:ext uri="{FF2B5EF4-FFF2-40B4-BE49-F238E27FC236}">
              <a16:creationId xmlns:a16="http://schemas.microsoft.com/office/drawing/2014/main" id="{E3456175-2130-75EC-C8CD-F5C411DB67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4" name="Text Box 26" hidden="1">
          <a:extLst>
            <a:ext uri="{FF2B5EF4-FFF2-40B4-BE49-F238E27FC236}">
              <a16:creationId xmlns:a16="http://schemas.microsoft.com/office/drawing/2014/main" id="{74BF26FB-2F41-5BE2-F3B8-1FC0E41B54CE}"/>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3" name="Text Box 25" hidden="1">
          <a:extLst>
            <a:ext uri="{FF2B5EF4-FFF2-40B4-BE49-F238E27FC236}">
              <a16:creationId xmlns:a16="http://schemas.microsoft.com/office/drawing/2014/main" id="{E11D3415-9D00-A1D3-FD51-B4F19C825CC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8" name="Text Box 30" hidden="1">
          <a:extLst>
            <a:ext uri="{FF2B5EF4-FFF2-40B4-BE49-F238E27FC236}">
              <a16:creationId xmlns:a16="http://schemas.microsoft.com/office/drawing/2014/main" id="{FD280310-00EB-D1C3-3111-617430AEED5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7" name="Text Box 29" hidden="1">
          <a:extLst>
            <a:ext uri="{FF2B5EF4-FFF2-40B4-BE49-F238E27FC236}">
              <a16:creationId xmlns:a16="http://schemas.microsoft.com/office/drawing/2014/main" id="{48F85B53-1706-5654-36D1-9B908917B685}"/>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6" name="Text Box 28" hidden="1">
          <a:extLst>
            <a:ext uri="{FF2B5EF4-FFF2-40B4-BE49-F238E27FC236}">
              <a16:creationId xmlns:a16="http://schemas.microsoft.com/office/drawing/2014/main" id="{978C4297-2843-5A12-D25F-4C73AEE1DAC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601" name="Text Box 33" hidden="1">
          <a:extLst>
            <a:ext uri="{FF2B5EF4-FFF2-40B4-BE49-F238E27FC236}">
              <a16:creationId xmlns:a16="http://schemas.microsoft.com/office/drawing/2014/main" id="{88312548-429C-A981-9CA2-19713AB2DDBA}"/>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600" name="Text Box 32" hidden="1">
          <a:extLst>
            <a:ext uri="{FF2B5EF4-FFF2-40B4-BE49-F238E27FC236}">
              <a16:creationId xmlns:a16="http://schemas.microsoft.com/office/drawing/2014/main" id="{01263EB2-BA87-4A3B-0532-F581A5DF8896}"/>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9" name="Text Box 31" hidden="1">
          <a:extLst>
            <a:ext uri="{FF2B5EF4-FFF2-40B4-BE49-F238E27FC236}">
              <a16:creationId xmlns:a16="http://schemas.microsoft.com/office/drawing/2014/main" id="{6D11F9A7-3657-CE56-1CD3-B33A4F307EE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604" name="Text Box 36" hidden="1">
          <a:extLst>
            <a:ext uri="{FF2B5EF4-FFF2-40B4-BE49-F238E27FC236}">
              <a16:creationId xmlns:a16="http://schemas.microsoft.com/office/drawing/2014/main" id="{ED52A00F-218C-E805-D707-9A856AA2A55A}"/>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603" name="Text Box 35" hidden="1">
          <a:extLst>
            <a:ext uri="{FF2B5EF4-FFF2-40B4-BE49-F238E27FC236}">
              <a16:creationId xmlns:a16="http://schemas.microsoft.com/office/drawing/2014/main" id="{67046F62-50DC-0F77-7A03-2F3F2C78BFE6}"/>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602" name="Text Box 34" hidden="1">
          <a:extLst>
            <a:ext uri="{FF2B5EF4-FFF2-40B4-BE49-F238E27FC236}">
              <a16:creationId xmlns:a16="http://schemas.microsoft.com/office/drawing/2014/main" id="{60592406-9086-C0DF-68D9-DBDB274D3049}"/>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596" name="Text Box 4" hidden="1">
          <a:extLst>
            <a:ext uri="{FF2B5EF4-FFF2-40B4-BE49-F238E27FC236}">
              <a16:creationId xmlns:a16="http://schemas.microsoft.com/office/drawing/2014/main" id="{E7675201-16B7-63DD-F4CE-08CF996AD7C5}"/>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595" name="Text Box 3" hidden="1">
          <a:extLst>
            <a:ext uri="{FF2B5EF4-FFF2-40B4-BE49-F238E27FC236}">
              <a16:creationId xmlns:a16="http://schemas.microsoft.com/office/drawing/2014/main" id="{198C5B28-EF1A-B1D3-B99F-F6C2F4CECEDD}"/>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4" name="Text Box 2" hidden="1">
          <a:extLst>
            <a:ext uri="{FF2B5EF4-FFF2-40B4-BE49-F238E27FC236}">
              <a16:creationId xmlns:a16="http://schemas.microsoft.com/office/drawing/2014/main" id="{1D767B8B-EB61-43AA-78FA-4BE53DB1171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593" name="Text Box 1" hidden="1">
          <a:extLst>
            <a:ext uri="{FF2B5EF4-FFF2-40B4-BE49-F238E27FC236}">
              <a16:creationId xmlns:a16="http://schemas.microsoft.com/office/drawing/2014/main" id="{8DDB04C9-B491-5A70-49A5-E10380B0E439}"/>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2" name="Text Box 1025" hidden="1">
          <a:extLst>
            <a:ext uri="{FF2B5EF4-FFF2-40B4-BE49-F238E27FC236}">
              <a16:creationId xmlns:a16="http://schemas.microsoft.com/office/drawing/2014/main" id="{ECBB749B-8B56-4FEE-86FD-605AB42E077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3" name="Text Box 3" hidden="1">
          <a:extLst>
            <a:ext uri="{FF2B5EF4-FFF2-40B4-BE49-F238E27FC236}">
              <a16:creationId xmlns:a16="http://schemas.microsoft.com/office/drawing/2014/main" id="{743577EB-014D-49F1-BF3E-055AFC35F59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3000E331-2DB5-4881-86E7-2AC241D5C20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5" name="Text Box 4" hidden="1">
          <a:extLst>
            <a:ext uri="{FF2B5EF4-FFF2-40B4-BE49-F238E27FC236}">
              <a16:creationId xmlns:a16="http://schemas.microsoft.com/office/drawing/2014/main" id="{6926F21E-62E9-4EEA-9B3C-58F27AFC658D}"/>
            </a:ext>
          </a:extLst>
        </xdr:cNvPr>
        <xdr:cNvSpPr txBox="1">
          <a:spLocks noChangeArrowheads="1"/>
        </xdr:cNvSpPr>
      </xdr:nvSpPr>
      <xdr:spPr bwMode="auto">
        <a:xfrm>
          <a:off x="4572000" y="4361815"/>
          <a:ext cx="1447800" cy="74252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CAD8A8AB-337C-4100-9FC8-DA225D3F58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7" name="Text Box 4" hidden="1">
          <a:extLst>
            <a:ext uri="{FF2B5EF4-FFF2-40B4-BE49-F238E27FC236}">
              <a16:creationId xmlns:a16="http://schemas.microsoft.com/office/drawing/2014/main" id="{94355D08-E797-4AAB-B233-34CB6E0B40E7}"/>
            </a:ext>
          </a:extLst>
        </xdr:cNvPr>
        <xdr:cNvSpPr txBox="1">
          <a:spLocks noChangeArrowheads="1"/>
        </xdr:cNvSpPr>
      </xdr:nvSpPr>
      <xdr:spPr bwMode="auto">
        <a:xfrm>
          <a:off x="4572000" y="4361815"/>
          <a:ext cx="1447800" cy="7425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AE680059-4F6B-4C73-85B7-5A1F34A33F2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9" name="Text Box 4" hidden="1">
          <a:extLst>
            <a:ext uri="{FF2B5EF4-FFF2-40B4-BE49-F238E27FC236}">
              <a16:creationId xmlns:a16="http://schemas.microsoft.com/office/drawing/2014/main" id="{F0E07FDB-6EE7-4507-90A8-91297DA61B77}"/>
            </a:ext>
          </a:extLst>
        </xdr:cNvPr>
        <xdr:cNvSpPr txBox="1">
          <a:spLocks noChangeArrowheads="1"/>
        </xdr:cNvSpPr>
      </xdr:nvSpPr>
      <xdr:spPr bwMode="auto">
        <a:xfrm>
          <a:off x="4572000" y="4371975"/>
          <a:ext cx="1447800" cy="73490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 name="Text Box 5" hidden="1">
          <a:extLst>
            <a:ext uri="{FF2B5EF4-FFF2-40B4-BE49-F238E27FC236}">
              <a16:creationId xmlns:a16="http://schemas.microsoft.com/office/drawing/2014/main" id="{4E87788B-D118-475E-B17A-D66A6CBA5C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11" name="Text Box 4" hidden="1">
          <a:extLst>
            <a:ext uri="{FF2B5EF4-FFF2-40B4-BE49-F238E27FC236}">
              <a16:creationId xmlns:a16="http://schemas.microsoft.com/office/drawing/2014/main" id="{BD159F8E-BA8E-4B32-88A8-B7A9508B8022}"/>
            </a:ext>
          </a:extLst>
        </xdr:cNvPr>
        <xdr:cNvSpPr txBox="1">
          <a:spLocks noChangeArrowheads="1"/>
        </xdr:cNvSpPr>
      </xdr:nvSpPr>
      <xdr:spPr bwMode="auto">
        <a:xfrm>
          <a:off x="4572000" y="4361815"/>
          <a:ext cx="1447800" cy="7234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2" name="Text Box 5" hidden="1">
          <a:extLst>
            <a:ext uri="{FF2B5EF4-FFF2-40B4-BE49-F238E27FC236}">
              <a16:creationId xmlns:a16="http://schemas.microsoft.com/office/drawing/2014/main" id="{C50EB2B3-49BC-4BE4-A378-DB2B7579C5A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13" name="Text Box 4" hidden="1">
          <a:extLst>
            <a:ext uri="{FF2B5EF4-FFF2-40B4-BE49-F238E27FC236}">
              <a16:creationId xmlns:a16="http://schemas.microsoft.com/office/drawing/2014/main" id="{2735B47E-E903-474E-97BC-055FB4C05D26}"/>
            </a:ext>
          </a:extLst>
        </xdr:cNvPr>
        <xdr:cNvSpPr txBox="1">
          <a:spLocks noChangeArrowheads="1"/>
        </xdr:cNvSpPr>
      </xdr:nvSpPr>
      <xdr:spPr bwMode="auto">
        <a:xfrm>
          <a:off x="4572000" y="4352925"/>
          <a:ext cx="1447800" cy="7323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4" name="Text Box 6" hidden="1">
          <a:extLst>
            <a:ext uri="{FF2B5EF4-FFF2-40B4-BE49-F238E27FC236}">
              <a16:creationId xmlns:a16="http://schemas.microsoft.com/office/drawing/2014/main" id="{4AF253FC-3F46-4451-B47D-448ECEF3034B}"/>
            </a:ext>
          </a:extLst>
        </xdr:cNvPr>
        <xdr:cNvSpPr txBox="1">
          <a:spLocks noChangeArrowheads="1"/>
        </xdr:cNvSpPr>
      </xdr:nvSpPr>
      <xdr:spPr bwMode="auto">
        <a:xfrm>
          <a:off x="4533900" y="4191000"/>
          <a:ext cx="1295400" cy="78951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5" name="Text Box 1" hidden="1">
          <a:extLst>
            <a:ext uri="{FF2B5EF4-FFF2-40B4-BE49-F238E27FC236}">
              <a16:creationId xmlns:a16="http://schemas.microsoft.com/office/drawing/2014/main" id="{35473ED7-2342-4262-A85C-D53966C4D41E}"/>
            </a:ext>
          </a:extLst>
        </xdr:cNvPr>
        <xdr:cNvSpPr txBox="1">
          <a:spLocks noChangeArrowheads="1"/>
        </xdr:cNvSpPr>
      </xdr:nvSpPr>
      <xdr:spPr bwMode="auto">
        <a:xfrm>
          <a:off x="4533900" y="4191000"/>
          <a:ext cx="1295400" cy="78951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16" name="Text Box 1026" hidden="1">
          <a:extLst>
            <a:ext uri="{FF2B5EF4-FFF2-40B4-BE49-F238E27FC236}">
              <a16:creationId xmlns:a16="http://schemas.microsoft.com/office/drawing/2014/main" id="{A5955CC3-AA40-414C-BE42-64CFEE72049E}"/>
            </a:ext>
          </a:extLst>
        </xdr:cNvPr>
        <xdr:cNvSpPr txBox="1">
          <a:spLocks noChangeArrowheads="1"/>
        </xdr:cNvSpPr>
      </xdr:nvSpPr>
      <xdr:spPr bwMode="auto">
        <a:xfrm>
          <a:off x="4533900" y="4179570"/>
          <a:ext cx="1295400" cy="80094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7" name="Text Box 3" hidden="1">
          <a:extLst>
            <a:ext uri="{FF2B5EF4-FFF2-40B4-BE49-F238E27FC236}">
              <a16:creationId xmlns:a16="http://schemas.microsoft.com/office/drawing/2014/main" id="{057B7E9E-A5CF-414C-AB79-489B995413F3}"/>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8" name="Text Box 3" hidden="1">
          <a:extLst>
            <a:ext uri="{FF2B5EF4-FFF2-40B4-BE49-F238E27FC236}">
              <a16:creationId xmlns:a16="http://schemas.microsoft.com/office/drawing/2014/main" id="{83A6A10F-6E47-4B7B-B991-BDB83C381728}"/>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9" name="Text Box 3" hidden="1">
          <a:extLst>
            <a:ext uri="{FF2B5EF4-FFF2-40B4-BE49-F238E27FC236}">
              <a16:creationId xmlns:a16="http://schemas.microsoft.com/office/drawing/2014/main" id="{1C09CD8D-D2F3-49EA-B466-33E2F7A13A55}"/>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20" name="Text Box 3" hidden="1">
          <a:extLst>
            <a:ext uri="{FF2B5EF4-FFF2-40B4-BE49-F238E27FC236}">
              <a16:creationId xmlns:a16="http://schemas.microsoft.com/office/drawing/2014/main" id="{C8380F29-7F6C-4A45-8D9E-412E9730175D}"/>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870B1502-DA5E-4AA6-AEAD-009562DD9AE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2" name="Text Box 4" hidden="1">
          <a:extLst>
            <a:ext uri="{FF2B5EF4-FFF2-40B4-BE49-F238E27FC236}">
              <a16:creationId xmlns:a16="http://schemas.microsoft.com/office/drawing/2014/main" id="{96469756-4942-4D9F-A3E9-36E4E8460246}"/>
            </a:ext>
          </a:extLst>
        </xdr:cNvPr>
        <xdr:cNvSpPr txBox="1">
          <a:spLocks noChangeArrowheads="1"/>
        </xdr:cNvSpPr>
      </xdr:nvSpPr>
      <xdr:spPr bwMode="auto">
        <a:xfrm>
          <a:off x="4572000" y="7459133"/>
          <a:ext cx="1447800" cy="71578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8C0593E5-DD66-42FF-B9CA-5009E8F954B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4" name="Text Box 4" hidden="1">
          <a:extLst>
            <a:ext uri="{FF2B5EF4-FFF2-40B4-BE49-F238E27FC236}">
              <a16:creationId xmlns:a16="http://schemas.microsoft.com/office/drawing/2014/main" id="{8335CD08-C622-44E1-B3B0-66ED9F4B131E}"/>
            </a:ext>
          </a:extLst>
        </xdr:cNvPr>
        <xdr:cNvSpPr txBox="1">
          <a:spLocks noChangeArrowheads="1"/>
        </xdr:cNvSpPr>
      </xdr:nvSpPr>
      <xdr:spPr bwMode="auto">
        <a:xfrm>
          <a:off x="4572000" y="7459133"/>
          <a:ext cx="1447800" cy="71578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5" name="Text Box 3" hidden="1">
          <a:extLst>
            <a:ext uri="{FF2B5EF4-FFF2-40B4-BE49-F238E27FC236}">
              <a16:creationId xmlns:a16="http://schemas.microsoft.com/office/drawing/2014/main" id="{18DB5D99-62B7-4DCC-9847-94B4BE73B6FC}"/>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640F3FD6-AAD6-4DCC-9785-93B47809A6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7" name="Text Box 4" hidden="1">
          <a:extLst>
            <a:ext uri="{FF2B5EF4-FFF2-40B4-BE49-F238E27FC236}">
              <a16:creationId xmlns:a16="http://schemas.microsoft.com/office/drawing/2014/main" id="{6FB127F6-C68E-4846-BF99-84F8D0C55A27}"/>
            </a:ext>
          </a:extLst>
        </xdr:cNvPr>
        <xdr:cNvSpPr txBox="1">
          <a:spLocks noChangeArrowheads="1"/>
        </xdr:cNvSpPr>
      </xdr:nvSpPr>
      <xdr:spPr bwMode="auto">
        <a:xfrm>
          <a:off x="19573875" y="3667125"/>
          <a:ext cx="13239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5" hidden="1">
          <a:extLst>
            <a:ext uri="{FF2B5EF4-FFF2-40B4-BE49-F238E27FC236}">
              <a16:creationId xmlns:a16="http://schemas.microsoft.com/office/drawing/2014/main" id="{8A5CE19F-A7BA-41CE-A024-CC51F8DE846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9" name="Text Box 4" hidden="1">
          <a:extLst>
            <a:ext uri="{FF2B5EF4-FFF2-40B4-BE49-F238E27FC236}">
              <a16:creationId xmlns:a16="http://schemas.microsoft.com/office/drawing/2014/main" id="{B3577A04-62DF-464F-BDFC-379BD87178C7}"/>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5" hidden="1">
          <a:extLst>
            <a:ext uri="{FF2B5EF4-FFF2-40B4-BE49-F238E27FC236}">
              <a16:creationId xmlns:a16="http://schemas.microsoft.com/office/drawing/2014/main" id="{B64C5363-A72F-4202-826B-93221CA1B3D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1" name="Text Box 4" hidden="1">
          <a:extLst>
            <a:ext uri="{FF2B5EF4-FFF2-40B4-BE49-F238E27FC236}">
              <a16:creationId xmlns:a16="http://schemas.microsoft.com/office/drawing/2014/main" id="{8239C873-D2F7-4041-B370-242F389270F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9" hidden="1">
          <a:extLst>
            <a:ext uri="{FF2B5EF4-FFF2-40B4-BE49-F238E27FC236}">
              <a16:creationId xmlns:a16="http://schemas.microsoft.com/office/drawing/2014/main" id="{D60EEB46-ED75-4735-949B-0643CFDC93B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3" name="Text Box 8" hidden="1">
          <a:extLst>
            <a:ext uri="{FF2B5EF4-FFF2-40B4-BE49-F238E27FC236}">
              <a16:creationId xmlns:a16="http://schemas.microsoft.com/office/drawing/2014/main" id="{935C3AC4-A3E0-4A74-93AB-845A4CA67C8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7" hidden="1">
          <a:extLst>
            <a:ext uri="{FF2B5EF4-FFF2-40B4-BE49-F238E27FC236}">
              <a16:creationId xmlns:a16="http://schemas.microsoft.com/office/drawing/2014/main" id="{F9A7F44B-419B-455B-AC1B-46CC34E25B6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5" name="Text Box 6" hidden="1">
          <a:extLst>
            <a:ext uri="{FF2B5EF4-FFF2-40B4-BE49-F238E27FC236}">
              <a16:creationId xmlns:a16="http://schemas.microsoft.com/office/drawing/2014/main" id="{E7BA1937-2D57-44FF-8330-27503E636D7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9CAEF361-DD07-4E9B-8C35-3B567AE1592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7" name="Text Box 4" hidden="1">
          <a:extLst>
            <a:ext uri="{FF2B5EF4-FFF2-40B4-BE49-F238E27FC236}">
              <a16:creationId xmlns:a16="http://schemas.microsoft.com/office/drawing/2014/main" id="{806F69AC-0D09-4CC8-8C5C-3742A17A213F}"/>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9" hidden="1">
          <a:extLst>
            <a:ext uri="{FF2B5EF4-FFF2-40B4-BE49-F238E27FC236}">
              <a16:creationId xmlns:a16="http://schemas.microsoft.com/office/drawing/2014/main" id="{C70D3136-0B89-4946-931A-2A13B476252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9" name="Text Box 8" hidden="1">
          <a:extLst>
            <a:ext uri="{FF2B5EF4-FFF2-40B4-BE49-F238E27FC236}">
              <a16:creationId xmlns:a16="http://schemas.microsoft.com/office/drawing/2014/main" id="{099B51A5-22B5-4D1A-AA94-08CDB91C847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7" hidden="1">
          <a:extLst>
            <a:ext uri="{FF2B5EF4-FFF2-40B4-BE49-F238E27FC236}">
              <a16:creationId xmlns:a16="http://schemas.microsoft.com/office/drawing/2014/main" id="{90AD1CC4-BC6D-4DB6-96D6-006F37B51572}"/>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1" name="Text Box 6" hidden="1">
          <a:extLst>
            <a:ext uri="{FF2B5EF4-FFF2-40B4-BE49-F238E27FC236}">
              <a16:creationId xmlns:a16="http://schemas.microsoft.com/office/drawing/2014/main" id="{94405316-7CE4-4D2C-98AE-05D9747F90D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72EA4791-6467-4046-87A8-A848F283BC1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3" name="Text Box 4" hidden="1">
          <a:extLst>
            <a:ext uri="{FF2B5EF4-FFF2-40B4-BE49-F238E27FC236}">
              <a16:creationId xmlns:a16="http://schemas.microsoft.com/office/drawing/2014/main" id="{1F319975-7685-4F5F-B812-649ABADB35D3}"/>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4" name="Text Box 5" hidden="1">
          <a:extLst>
            <a:ext uri="{FF2B5EF4-FFF2-40B4-BE49-F238E27FC236}">
              <a16:creationId xmlns:a16="http://schemas.microsoft.com/office/drawing/2014/main" id="{1821865F-6519-482B-A655-B1726342441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5" name="Text Box 4" hidden="1">
          <a:extLst>
            <a:ext uri="{FF2B5EF4-FFF2-40B4-BE49-F238E27FC236}">
              <a16:creationId xmlns:a16="http://schemas.microsoft.com/office/drawing/2014/main" id="{D2E4AE40-3777-46F4-8265-1F6224032D29}"/>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6" name="Text Box 5" hidden="1">
          <a:extLst>
            <a:ext uri="{FF2B5EF4-FFF2-40B4-BE49-F238E27FC236}">
              <a16:creationId xmlns:a16="http://schemas.microsoft.com/office/drawing/2014/main" id="{E9D1E4EF-D5BB-4D4E-951B-96CE829BE0A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7" name="Text Box 4" hidden="1">
          <a:extLst>
            <a:ext uri="{FF2B5EF4-FFF2-40B4-BE49-F238E27FC236}">
              <a16:creationId xmlns:a16="http://schemas.microsoft.com/office/drawing/2014/main" id="{22262148-4E9F-490F-919A-2D69BE6347A1}"/>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8" name="Text Box 5" hidden="1">
          <a:extLst>
            <a:ext uri="{FF2B5EF4-FFF2-40B4-BE49-F238E27FC236}">
              <a16:creationId xmlns:a16="http://schemas.microsoft.com/office/drawing/2014/main" id="{C1FED71C-8C31-4499-89CE-B7E594B1F35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9" name="Text Box 4" hidden="1">
          <a:extLst>
            <a:ext uri="{FF2B5EF4-FFF2-40B4-BE49-F238E27FC236}">
              <a16:creationId xmlns:a16="http://schemas.microsoft.com/office/drawing/2014/main" id="{45084DBE-72B6-4B69-93AE-C584D4E1C67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0" name="Text Box 5" hidden="1">
          <a:extLst>
            <a:ext uri="{FF2B5EF4-FFF2-40B4-BE49-F238E27FC236}">
              <a16:creationId xmlns:a16="http://schemas.microsoft.com/office/drawing/2014/main" id="{280C5053-1D24-46A9-AFA0-17F3C3E103C6}"/>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1" name="Text Box 4" hidden="1">
          <a:extLst>
            <a:ext uri="{FF2B5EF4-FFF2-40B4-BE49-F238E27FC236}">
              <a16:creationId xmlns:a16="http://schemas.microsoft.com/office/drawing/2014/main" id="{87E6BC22-8546-44C1-827E-58C74BF059B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2" name="Text Box 5" hidden="1">
          <a:extLst>
            <a:ext uri="{FF2B5EF4-FFF2-40B4-BE49-F238E27FC236}">
              <a16:creationId xmlns:a16="http://schemas.microsoft.com/office/drawing/2014/main" id="{C8EB841C-9E05-4B1C-9250-AE5E0D786C8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3" name="Text Box 4" hidden="1">
          <a:extLst>
            <a:ext uri="{FF2B5EF4-FFF2-40B4-BE49-F238E27FC236}">
              <a16:creationId xmlns:a16="http://schemas.microsoft.com/office/drawing/2014/main" id="{D76CC649-7924-4DFF-B598-48807EEB394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4" name="Text Box 4" hidden="1">
          <a:extLst>
            <a:ext uri="{FF2B5EF4-FFF2-40B4-BE49-F238E27FC236}">
              <a16:creationId xmlns:a16="http://schemas.microsoft.com/office/drawing/2014/main" id="{6500A06E-E7C3-420F-A9DC-A7ECE4E9A243}"/>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5" name="Text Box 3" hidden="1">
          <a:extLst>
            <a:ext uri="{FF2B5EF4-FFF2-40B4-BE49-F238E27FC236}">
              <a16:creationId xmlns:a16="http://schemas.microsoft.com/office/drawing/2014/main" id="{956B44C7-F651-4277-95F5-B3A742647C7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56" name="Text Box 2" hidden="1">
          <a:extLst>
            <a:ext uri="{FF2B5EF4-FFF2-40B4-BE49-F238E27FC236}">
              <a16:creationId xmlns:a16="http://schemas.microsoft.com/office/drawing/2014/main" id="{EE904E9D-7EF9-4869-ABD9-AE48850E0562}"/>
            </a:ext>
          </a:extLst>
        </xdr:cNvPr>
        <xdr:cNvSpPr txBox="1">
          <a:spLocks noChangeArrowheads="1"/>
        </xdr:cNvSpPr>
      </xdr:nvSpPr>
      <xdr:spPr bwMode="auto">
        <a:xfrm>
          <a:off x="4514850" y="4391025"/>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57" name="Text Box 1" hidden="1">
          <a:extLst>
            <a:ext uri="{FF2B5EF4-FFF2-40B4-BE49-F238E27FC236}">
              <a16:creationId xmlns:a16="http://schemas.microsoft.com/office/drawing/2014/main" id="{09754733-3330-4F88-ABD3-A8CF2406792A}"/>
            </a:ext>
          </a:extLst>
        </xdr:cNvPr>
        <xdr:cNvSpPr txBox="1">
          <a:spLocks noChangeArrowheads="1"/>
        </xdr:cNvSpPr>
      </xdr:nvSpPr>
      <xdr:spPr bwMode="auto">
        <a:xfrm>
          <a:off x="16735425" y="4191000"/>
          <a:ext cx="14287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8" name="Text Box 1032" hidden="1">
          <a:extLst>
            <a:ext uri="{FF2B5EF4-FFF2-40B4-BE49-F238E27FC236}">
              <a16:creationId xmlns:a16="http://schemas.microsoft.com/office/drawing/2014/main" id="{468A70D8-57F8-4C4A-8C8E-2847E024DD5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9" name="Text Box 1031" hidden="1">
          <a:extLst>
            <a:ext uri="{FF2B5EF4-FFF2-40B4-BE49-F238E27FC236}">
              <a16:creationId xmlns:a16="http://schemas.microsoft.com/office/drawing/2014/main" id="{C87CB2BF-5434-428F-A432-0D91DC0BB0A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0" name="Text Box 1029" hidden="1">
          <a:extLst>
            <a:ext uri="{FF2B5EF4-FFF2-40B4-BE49-F238E27FC236}">
              <a16:creationId xmlns:a16="http://schemas.microsoft.com/office/drawing/2014/main" id="{BB4F5034-7A42-4C0E-B89D-F94658A4DC20}"/>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1" name="Text Box 1035" hidden="1">
          <a:extLst>
            <a:ext uri="{FF2B5EF4-FFF2-40B4-BE49-F238E27FC236}">
              <a16:creationId xmlns:a16="http://schemas.microsoft.com/office/drawing/2014/main" id="{01B086A1-DAD1-48E2-855E-A2021E55DE8D}"/>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2" name="Text Box 1034" hidden="1">
          <a:extLst>
            <a:ext uri="{FF2B5EF4-FFF2-40B4-BE49-F238E27FC236}">
              <a16:creationId xmlns:a16="http://schemas.microsoft.com/office/drawing/2014/main" id="{10DE6AB9-ED04-481E-9CBC-287F19B9E0D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3" name="Text Box 1033" hidden="1">
          <a:extLst>
            <a:ext uri="{FF2B5EF4-FFF2-40B4-BE49-F238E27FC236}">
              <a16:creationId xmlns:a16="http://schemas.microsoft.com/office/drawing/2014/main" id="{B78C0C4D-1250-456D-8542-417EC5DA38F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4" name="Text Box 1038" hidden="1">
          <a:extLst>
            <a:ext uri="{FF2B5EF4-FFF2-40B4-BE49-F238E27FC236}">
              <a16:creationId xmlns:a16="http://schemas.microsoft.com/office/drawing/2014/main" id="{C4ACEB07-B68B-4A82-AF31-8B2F659241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5" name="Text Box 1037" hidden="1">
          <a:extLst>
            <a:ext uri="{FF2B5EF4-FFF2-40B4-BE49-F238E27FC236}">
              <a16:creationId xmlns:a16="http://schemas.microsoft.com/office/drawing/2014/main" id="{14A91203-D8E4-47E9-BD31-B3CFD6AD86F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6" name="Text Box 1036" hidden="1">
          <a:extLst>
            <a:ext uri="{FF2B5EF4-FFF2-40B4-BE49-F238E27FC236}">
              <a16:creationId xmlns:a16="http://schemas.microsoft.com/office/drawing/2014/main" id="{2E171847-604A-40C1-B709-CB7CB986340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7" name="Text Box 1040" hidden="1">
          <a:extLst>
            <a:ext uri="{FF2B5EF4-FFF2-40B4-BE49-F238E27FC236}">
              <a16:creationId xmlns:a16="http://schemas.microsoft.com/office/drawing/2014/main" id="{0EAE56F9-0D04-4B98-B16E-1F8CCB30163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21</xdr:row>
      <xdr:rowOff>76200</xdr:rowOff>
    </xdr:from>
    <xdr:to>
      <xdr:col>20</xdr:col>
      <xdr:colOff>0</xdr:colOff>
      <xdr:row>25</xdr:row>
      <xdr:rowOff>76200</xdr:rowOff>
    </xdr:to>
    <xdr:sp macro="" textlink="">
      <xdr:nvSpPr>
        <xdr:cNvPr id="68" name="Text Box 1039" hidden="1">
          <a:extLst>
            <a:ext uri="{FF2B5EF4-FFF2-40B4-BE49-F238E27FC236}">
              <a16:creationId xmlns:a16="http://schemas.microsoft.com/office/drawing/2014/main" id="{AB926DBD-38CB-42A2-A78B-FB0739C8E0BC}"/>
            </a:ext>
          </a:extLst>
        </xdr:cNvPr>
        <xdr:cNvSpPr txBox="1">
          <a:spLocks noChangeArrowheads="1"/>
        </xdr:cNvSpPr>
      </xdr:nvSpPr>
      <xdr:spPr bwMode="auto">
        <a:xfrm>
          <a:off x="16735425" y="4352925"/>
          <a:ext cx="14097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69" name="Text Box 1042" hidden="1">
          <a:extLst>
            <a:ext uri="{FF2B5EF4-FFF2-40B4-BE49-F238E27FC236}">
              <a16:creationId xmlns:a16="http://schemas.microsoft.com/office/drawing/2014/main" id="{8329283A-8087-4C18-A9BD-563DDEB04F15}"/>
            </a:ext>
          </a:extLst>
        </xdr:cNvPr>
        <xdr:cNvSpPr txBox="1">
          <a:spLocks noChangeArrowheads="1"/>
        </xdr:cNvSpPr>
      </xdr:nvSpPr>
      <xdr:spPr bwMode="auto">
        <a:xfrm>
          <a:off x="4533900" y="419100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695325</xdr:colOff>
      <xdr:row>17</xdr:row>
      <xdr:rowOff>114300</xdr:rowOff>
    </xdr:from>
    <xdr:to>
      <xdr:col>23</xdr:col>
      <xdr:colOff>514350</xdr:colOff>
      <xdr:row>22</xdr:row>
      <xdr:rowOff>0</xdr:rowOff>
    </xdr:to>
    <xdr:sp macro="" textlink="">
      <xdr:nvSpPr>
        <xdr:cNvPr id="305153" name="Text Box 1025" hidden="1">
          <a:extLst>
            <a:ext uri="{FF2B5EF4-FFF2-40B4-BE49-F238E27FC236}">
              <a16:creationId xmlns:a16="http://schemas.microsoft.com/office/drawing/2014/main" id="{8A19B203-8A4B-4469-8F8E-140A390E820F}"/>
            </a:ext>
          </a:extLst>
        </xdr:cNvPr>
        <xdr:cNvSpPr txBox="1">
          <a:spLocks noChangeArrowheads="1"/>
        </xdr:cNvSpPr>
      </xdr:nvSpPr>
      <xdr:spPr bwMode="auto">
        <a:xfrm>
          <a:off x="18783300" y="374332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20</xdr:row>
      <xdr:rowOff>114300</xdr:rowOff>
    </xdr:from>
    <xdr:to>
      <xdr:col>3</xdr:col>
      <xdr:colOff>609600</xdr:colOff>
      <xdr:row>24</xdr:row>
      <xdr:rowOff>161925</xdr:rowOff>
    </xdr:to>
    <xdr:sp macro="" textlink="">
      <xdr:nvSpPr>
        <xdr:cNvPr id="305154" name="Text Box 1026" hidden="1">
          <a:extLst>
            <a:ext uri="{FF2B5EF4-FFF2-40B4-BE49-F238E27FC236}">
              <a16:creationId xmlns:a16="http://schemas.microsoft.com/office/drawing/2014/main" id="{179AB7F1-8982-40B4-9EDB-A6D528CB9452}"/>
            </a:ext>
          </a:extLst>
        </xdr:cNvPr>
        <xdr:cNvSpPr txBox="1">
          <a:spLocks noChangeArrowheads="1"/>
        </xdr:cNvSpPr>
      </xdr:nvSpPr>
      <xdr:spPr bwMode="auto">
        <a:xfrm>
          <a:off x="4352925" y="4295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504825</xdr:colOff>
      <xdr:row>21</xdr:row>
      <xdr:rowOff>114300</xdr:rowOff>
    </xdr:from>
    <xdr:to>
      <xdr:col>19</xdr:col>
      <xdr:colOff>514350</xdr:colOff>
      <xdr:row>25</xdr:row>
      <xdr:rowOff>161925</xdr:rowOff>
    </xdr:to>
    <xdr:sp macro="" textlink="">
      <xdr:nvSpPr>
        <xdr:cNvPr id="305155" name="Text Box 1027" hidden="1">
          <a:extLst>
            <a:ext uri="{FF2B5EF4-FFF2-40B4-BE49-F238E27FC236}">
              <a16:creationId xmlns:a16="http://schemas.microsoft.com/office/drawing/2014/main" id="{7B5117E5-9501-4A02-9D64-D4BC0ED9B360}"/>
            </a:ext>
          </a:extLst>
        </xdr:cNvPr>
        <xdr:cNvSpPr txBox="1">
          <a:spLocks noChangeArrowheads="1"/>
        </xdr:cNvSpPr>
      </xdr:nvSpPr>
      <xdr:spPr bwMode="auto">
        <a:xfrm>
          <a:off x="15982950" y="448627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58" name="Text Box 1030" hidden="1">
          <a:extLst>
            <a:ext uri="{FF2B5EF4-FFF2-40B4-BE49-F238E27FC236}">
              <a16:creationId xmlns:a16="http://schemas.microsoft.com/office/drawing/2014/main" id="{F4133E9F-DBCE-4536-867B-F8F3CC3EF09D}"/>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57" name="Text Box 1029" hidden="1">
          <a:extLst>
            <a:ext uri="{FF2B5EF4-FFF2-40B4-BE49-F238E27FC236}">
              <a16:creationId xmlns:a16="http://schemas.microsoft.com/office/drawing/2014/main" id="{3C232E9E-D919-490B-9ADD-6F64FAAC5221}"/>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6" name="Text Box 1028" hidden="1">
          <a:extLst>
            <a:ext uri="{FF2B5EF4-FFF2-40B4-BE49-F238E27FC236}">
              <a16:creationId xmlns:a16="http://schemas.microsoft.com/office/drawing/2014/main" id="{AEE9F60E-9602-4EA9-BA7F-C7DA6C41E869}"/>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1" name="Text Box 1033" hidden="1">
          <a:extLst>
            <a:ext uri="{FF2B5EF4-FFF2-40B4-BE49-F238E27FC236}">
              <a16:creationId xmlns:a16="http://schemas.microsoft.com/office/drawing/2014/main" id="{53AC921C-079B-429A-B92C-27CA4187C6D5}"/>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0" name="Text Box 1032" hidden="1">
          <a:extLst>
            <a:ext uri="{FF2B5EF4-FFF2-40B4-BE49-F238E27FC236}">
              <a16:creationId xmlns:a16="http://schemas.microsoft.com/office/drawing/2014/main" id="{1DB2F2FA-ED46-4181-9D98-0904C671087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9" name="Text Box 1031" hidden="1">
          <a:extLst>
            <a:ext uri="{FF2B5EF4-FFF2-40B4-BE49-F238E27FC236}">
              <a16:creationId xmlns:a16="http://schemas.microsoft.com/office/drawing/2014/main" id="{6C99C33D-6F80-4F65-A43D-C2114FE94D3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4" name="Text Box 1036" hidden="1">
          <a:extLst>
            <a:ext uri="{FF2B5EF4-FFF2-40B4-BE49-F238E27FC236}">
              <a16:creationId xmlns:a16="http://schemas.microsoft.com/office/drawing/2014/main" id="{6608A358-EEA4-8E11-6AC2-01FA1147F85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3" name="Text Box 1035" hidden="1">
          <a:extLst>
            <a:ext uri="{FF2B5EF4-FFF2-40B4-BE49-F238E27FC236}">
              <a16:creationId xmlns:a16="http://schemas.microsoft.com/office/drawing/2014/main" id="{ED78E389-9F09-2D6C-F255-009D4012A4BA}"/>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2" name="Text Box 1034" hidden="1">
          <a:extLst>
            <a:ext uri="{FF2B5EF4-FFF2-40B4-BE49-F238E27FC236}">
              <a16:creationId xmlns:a16="http://schemas.microsoft.com/office/drawing/2014/main" id="{9F5E3093-0F2B-4677-B3DE-69A1BDCBF0B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7" name="Text Box 15" hidden="1">
          <a:extLst>
            <a:ext uri="{FF2B5EF4-FFF2-40B4-BE49-F238E27FC236}">
              <a16:creationId xmlns:a16="http://schemas.microsoft.com/office/drawing/2014/main" id="{6740CFCA-E830-9625-CF49-920FCBCAC02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6" name="Text Box 14" hidden="1">
          <a:extLst>
            <a:ext uri="{FF2B5EF4-FFF2-40B4-BE49-F238E27FC236}">
              <a16:creationId xmlns:a16="http://schemas.microsoft.com/office/drawing/2014/main" id="{67A248F0-7982-2EA7-70C5-7DB34894D91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5" name="Text Box 13" hidden="1">
          <a:extLst>
            <a:ext uri="{FF2B5EF4-FFF2-40B4-BE49-F238E27FC236}">
              <a16:creationId xmlns:a16="http://schemas.microsoft.com/office/drawing/2014/main" id="{5A7FFB96-487D-EF12-E3A5-8F8F53354675}"/>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8" name="Text Box 6" hidden="1">
          <a:extLst>
            <a:ext uri="{FF2B5EF4-FFF2-40B4-BE49-F238E27FC236}">
              <a16:creationId xmlns:a16="http://schemas.microsoft.com/office/drawing/2014/main" id="{F1C5FA47-6129-26B9-E86D-1A05FD324A3A}"/>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7" name="Text Box 5" hidden="1">
          <a:extLst>
            <a:ext uri="{FF2B5EF4-FFF2-40B4-BE49-F238E27FC236}">
              <a16:creationId xmlns:a16="http://schemas.microsoft.com/office/drawing/2014/main" id="{0C5277D0-752F-ADB6-3E1D-09323BBC9BE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6" name="Text Box 4" hidden="1">
          <a:extLst>
            <a:ext uri="{FF2B5EF4-FFF2-40B4-BE49-F238E27FC236}">
              <a16:creationId xmlns:a16="http://schemas.microsoft.com/office/drawing/2014/main" id="{A12E1175-B113-F137-6D38-295FB2C98123}"/>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5" name="Text Box 3" hidden="1">
          <a:extLst>
            <a:ext uri="{FF2B5EF4-FFF2-40B4-BE49-F238E27FC236}">
              <a16:creationId xmlns:a16="http://schemas.microsoft.com/office/drawing/2014/main" id="{F8DE31D0-47A9-8C75-8335-C4A554634E6B}"/>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4" name="Text Box 2" hidden="1">
          <a:extLst>
            <a:ext uri="{FF2B5EF4-FFF2-40B4-BE49-F238E27FC236}">
              <a16:creationId xmlns:a16="http://schemas.microsoft.com/office/drawing/2014/main" id="{E5714DC6-2F00-39AE-AB6F-7791F0200C9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3" name="Text Box 1" hidden="1">
          <a:extLst>
            <a:ext uri="{FF2B5EF4-FFF2-40B4-BE49-F238E27FC236}">
              <a16:creationId xmlns:a16="http://schemas.microsoft.com/office/drawing/2014/main" id="{5C4E1F5D-1B82-B474-8732-45C2578B034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1" name="Text Box 9" hidden="1">
          <a:extLst>
            <a:ext uri="{FF2B5EF4-FFF2-40B4-BE49-F238E27FC236}">
              <a16:creationId xmlns:a16="http://schemas.microsoft.com/office/drawing/2014/main" id="{FAB88593-252F-78B1-289D-934462856D9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0" name="Text Box 8" hidden="1">
          <a:extLst>
            <a:ext uri="{FF2B5EF4-FFF2-40B4-BE49-F238E27FC236}">
              <a16:creationId xmlns:a16="http://schemas.microsoft.com/office/drawing/2014/main" id="{A2001170-08A6-FE22-1CDA-4494ABCB2F4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9" name="Text Box 7" hidden="1">
          <a:extLst>
            <a:ext uri="{FF2B5EF4-FFF2-40B4-BE49-F238E27FC236}">
              <a16:creationId xmlns:a16="http://schemas.microsoft.com/office/drawing/2014/main" id="{BD58DA73-CBF2-B60F-8C24-E2ECC7BDC2E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4" name="Text Box 12" hidden="1">
          <a:extLst>
            <a:ext uri="{FF2B5EF4-FFF2-40B4-BE49-F238E27FC236}">
              <a16:creationId xmlns:a16="http://schemas.microsoft.com/office/drawing/2014/main" id="{8CCE2989-BC19-25AB-508B-E30245A4A306}"/>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3" name="Text Box 11" hidden="1">
          <a:extLst>
            <a:ext uri="{FF2B5EF4-FFF2-40B4-BE49-F238E27FC236}">
              <a16:creationId xmlns:a16="http://schemas.microsoft.com/office/drawing/2014/main" id="{C7F64EF5-AB2F-9372-7758-6B972CA70B9C}"/>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2" name="Text Box 10" hidden="1">
          <a:extLst>
            <a:ext uri="{FF2B5EF4-FFF2-40B4-BE49-F238E27FC236}">
              <a16:creationId xmlns:a16="http://schemas.microsoft.com/office/drawing/2014/main" id="{6F398CBC-107B-59DB-3A18-EDB0BD37F9B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7" name="Text Box 15" hidden="1">
          <a:extLst>
            <a:ext uri="{FF2B5EF4-FFF2-40B4-BE49-F238E27FC236}">
              <a16:creationId xmlns:a16="http://schemas.microsoft.com/office/drawing/2014/main" id="{CFFD0B42-C987-5119-351C-D16AF1AB1DA4}"/>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6" name="Text Box 14" hidden="1">
          <a:extLst>
            <a:ext uri="{FF2B5EF4-FFF2-40B4-BE49-F238E27FC236}">
              <a16:creationId xmlns:a16="http://schemas.microsoft.com/office/drawing/2014/main" id="{0C231712-E793-3FDB-6140-BA201C6A4E1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5" name="Text Box 13" hidden="1">
          <a:extLst>
            <a:ext uri="{FF2B5EF4-FFF2-40B4-BE49-F238E27FC236}">
              <a16:creationId xmlns:a16="http://schemas.microsoft.com/office/drawing/2014/main" id="{79473F5A-6324-72F8-ECA4-26E07097E276}"/>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0" name="Text Box 18" hidden="1">
          <a:extLst>
            <a:ext uri="{FF2B5EF4-FFF2-40B4-BE49-F238E27FC236}">
              <a16:creationId xmlns:a16="http://schemas.microsoft.com/office/drawing/2014/main" id="{8059AAEE-0524-858F-6D02-31C2C7DBEBFD}"/>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9" name="Text Box 17" hidden="1">
          <a:extLst>
            <a:ext uri="{FF2B5EF4-FFF2-40B4-BE49-F238E27FC236}">
              <a16:creationId xmlns:a16="http://schemas.microsoft.com/office/drawing/2014/main" id="{3C84D185-C2FB-3D89-C360-3A2EBC8213A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8" name="Text Box 16" hidden="1">
          <a:extLst>
            <a:ext uri="{FF2B5EF4-FFF2-40B4-BE49-F238E27FC236}">
              <a16:creationId xmlns:a16="http://schemas.microsoft.com/office/drawing/2014/main" id="{C28B156D-8455-7D23-6C2F-5F63308D7825}"/>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6" name="Text Box 24" hidden="1">
          <a:extLst>
            <a:ext uri="{FF2B5EF4-FFF2-40B4-BE49-F238E27FC236}">
              <a16:creationId xmlns:a16="http://schemas.microsoft.com/office/drawing/2014/main" id="{0A77F3AF-36B4-4926-8AC1-6EA69E85573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5" name="Text Box 23" hidden="1">
          <a:extLst>
            <a:ext uri="{FF2B5EF4-FFF2-40B4-BE49-F238E27FC236}">
              <a16:creationId xmlns:a16="http://schemas.microsoft.com/office/drawing/2014/main" id="{44FEEE27-D204-1F83-D0CD-8E273578BB44}"/>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4" name="Text Box 22" hidden="1">
          <a:extLst>
            <a:ext uri="{FF2B5EF4-FFF2-40B4-BE49-F238E27FC236}">
              <a16:creationId xmlns:a16="http://schemas.microsoft.com/office/drawing/2014/main" id="{594E9550-54E1-F68C-6F04-AEF73EEB9FFF}"/>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3" name="Text Box 21" hidden="1">
          <a:extLst>
            <a:ext uri="{FF2B5EF4-FFF2-40B4-BE49-F238E27FC236}">
              <a16:creationId xmlns:a16="http://schemas.microsoft.com/office/drawing/2014/main" id="{1A8F2685-6968-D6D5-4B33-D5324D992369}"/>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2" name="Text Box 20" hidden="1">
          <a:extLst>
            <a:ext uri="{FF2B5EF4-FFF2-40B4-BE49-F238E27FC236}">
              <a16:creationId xmlns:a16="http://schemas.microsoft.com/office/drawing/2014/main" id="{5BC71980-BED8-DD29-A0BE-273B10A39AD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1" name="Text Box 19" hidden="1">
          <a:extLst>
            <a:ext uri="{FF2B5EF4-FFF2-40B4-BE49-F238E27FC236}">
              <a16:creationId xmlns:a16="http://schemas.microsoft.com/office/drawing/2014/main" id="{9AFED222-8DDE-39E9-99A9-94BCFD876D6B}"/>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9" name="Text Box 27" hidden="1">
          <a:extLst>
            <a:ext uri="{FF2B5EF4-FFF2-40B4-BE49-F238E27FC236}">
              <a16:creationId xmlns:a16="http://schemas.microsoft.com/office/drawing/2014/main" id="{6E756C30-9BC3-2525-4B61-A03C9653D2B7}"/>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8" name="Text Box 26" hidden="1">
          <a:extLst>
            <a:ext uri="{FF2B5EF4-FFF2-40B4-BE49-F238E27FC236}">
              <a16:creationId xmlns:a16="http://schemas.microsoft.com/office/drawing/2014/main" id="{78EC54B2-D089-257F-932F-D8EAB3E7672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7" name="Text Box 25" hidden="1">
          <a:extLst>
            <a:ext uri="{FF2B5EF4-FFF2-40B4-BE49-F238E27FC236}">
              <a16:creationId xmlns:a16="http://schemas.microsoft.com/office/drawing/2014/main" id="{F246CB4B-E70A-E77C-672D-53783416553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2" name="Text Box 30" hidden="1">
          <a:extLst>
            <a:ext uri="{FF2B5EF4-FFF2-40B4-BE49-F238E27FC236}">
              <a16:creationId xmlns:a16="http://schemas.microsoft.com/office/drawing/2014/main" id="{ADE16144-A7FB-7066-2EF4-84DB1A857A0A}"/>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1" name="Text Box 29" hidden="1">
          <a:extLst>
            <a:ext uri="{FF2B5EF4-FFF2-40B4-BE49-F238E27FC236}">
              <a16:creationId xmlns:a16="http://schemas.microsoft.com/office/drawing/2014/main" id="{03103931-C9ED-EB04-5F2D-1F187C17CF5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0" name="Text Box 28" hidden="1">
          <a:extLst>
            <a:ext uri="{FF2B5EF4-FFF2-40B4-BE49-F238E27FC236}">
              <a16:creationId xmlns:a16="http://schemas.microsoft.com/office/drawing/2014/main" id="{589406E7-4A8F-4C38-C15B-4528C896B223}"/>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5" name="Text Box 33" hidden="1">
          <a:extLst>
            <a:ext uri="{FF2B5EF4-FFF2-40B4-BE49-F238E27FC236}">
              <a16:creationId xmlns:a16="http://schemas.microsoft.com/office/drawing/2014/main" id="{F9BE8887-F913-D64F-D87E-C7F29667F35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4" name="Text Box 32" hidden="1">
          <a:extLst>
            <a:ext uri="{FF2B5EF4-FFF2-40B4-BE49-F238E27FC236}">
              <a16:creationId xmlns:a16="http://schemas.microsoft.com/office/drawing/2014/main" id="{6CDC001F-D4B0-0754-3937-EA6157627ABE}"/>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3" name="Text Box 31" hidden="1">
          <a:extLst>
            <a:ext uri="{FF2B5EF4-FFF2-40B4-BE49-F238E27FC236}">
              <a16:creationId xmlns:a16="http://schemas.microsoft.com/office/drawing/2014/main" id="{BD933650-D5E0-851A-D04C-927BE8ADDF04}"/>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8" name="Text Box 36" hidden="1">
          <a:extLst>
            <a:ext uri="{FF2B5EF4-FFF2-40B4-BE49-F238E27FC236}">
              <a16:creationId xmlns:a16="http://schemas.microsoft.com/office/drawing/2014/main" id="{49F94550-3F84-A444-5C8D-17D251CD67B8}"/>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7" name="Text Box 35" hidden="1">
          <a:extLst>
            <a:ext uri="{FF2B5EF4-FFF2-40B4-BE49-F238E27FC236}">
              <a16:creationId xmlns:a16="http://schemas.microsoft.com/office/drawing/2014/main" id="{756766B7-A8AF-6998-E843-E6D9B4FD8B07}"/>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6" name="Text Box 34" hidden="1">
          <a:extLst>
            <a:ext uri="{FF2B5EF4-FFF2-40B4-BE49-F238E27FC236}">
              <a16:creationId xmlns:a16="http://schemas.microsoft.com/office/drawing/2014/main" id="{5E19E3C3-4BC1-6E12-4F16-623BEDE665A6}"/>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19" name="Text Box 3" hidden="1">
          <a:extLst>
            <a:ext uri="{FF2B5EF4-FFF2-40B4-BE49-F238E27FC236}">
              <a16:creationId xmlns:a16="http://schemas.microsoft.com/office/drawing/2014/main" id="{494D44C9-09D3-94DA-9D63-D1E6E7BC3F8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18" name="Text Box 2" hidden="1">
          <a:extLst>
            <a:ext uri="{FF2B5EF4-FFF2-40B4-BE49-F238E27FC236}">
              <a16:creationId xmlns:a16="http://schemas.microsoft.com/office/drawing/2014/main" id="{EB50F576-DD5F-E050-92CA-59A38219AF19}"/>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17" name="Text Box 1" hidden="1">
          <a:extLst>
            <a:ext uri="{FF2B5EF4-FFF2-40B4-BE49-F238E27FC236}">
              <a16:creationId xmlns:a16="http://schemas.microsoft.com/office/drawing/2014/main" id="{678C5C1E-2FAC-65F7-8BA6-2519E8E1741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304800</xdr:colOff>
      <xdr:row>68</xdr:row>
      <xdr:rowOff>20443</xdr:rowOff>
    </xdr:from>
    <xdr:to>
      <xdr:col>5</xdr:col>
      <xdr:colOff>0</xdr:colOff>
      <xdr:row>72</xdr:row>
      <xdr:rowOff>175387</xdr:rowOff>
    </xdr:to>
    <xdr:sp macro="" textlink="">
      <xdr:nvSpPr>
        <xdr:cNvPr id="67587" name="Text Box 3" hidden="1">
          <a:extLst>
            <a:ext uri="{FF2B5EF4-FFF2-40B4-BE49-F238E27FC236}">
              <a16:creationId xmlns:a16="http://schemas.microsoft.com/office/drawing/2014/main" id="{13718763-8D19-4B0E-885F-81B95DC5049A}"/>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67</xdr:row>
      <xdr:rowOff>44340</xdr:rowOff>
    </xdr:from>
    <xdr:to>
      <xdr:col>4</xdr:col>
      <xdr:colOff>800100</xdr:colOff>
      <xdr:row>67</xdr:row>
      <xdr:rowOff>114198</xdr:rowOff>
    </xdr:to>
    <xdr:sp macro="" textlink="">
      <xdr:nvSpPr>
        <xdr:cNvPr id="67588" name="Text Box 4" hidden="1">
          <a:extLst>
            <a:ext uri="{FF2B5EF4-FFF2-40B4-BE49-F238E27FC236}">
              <a16:creationId xmlns:a16="http://schemas.microsoft.com/office/drawing/2014/main" id="{DBD514CE-E09E-4684-8C0C-29F8A0EB4689}"/>
            </a:ext>
          </a:extLst>
        </xdr:cNvPr>
        <xdr:cNvSpPr txBox="1">
          <a:spLocks noChangeArrowheads="1"/>
        </xdr:cNvSpPr>
      </xdr:nvSpPr>
      <xdr:spPr bwMode="auto">
        <a:xfrm>
          <a:off x="4145280" y="15300960"/>
          <a:ext cx="1257300" cy="76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68</xdr:row>
      <xdr:rowOff>20443</xdr:rowOff>
    </xdr:from>
    <xdr:to>
      <xdr:col>5</xdr:col>
      <xdr:colOff>0</xdr:colOff>
      <xdr:row>72</xdr:row>
      <xdr:rowOff>175387</xdr:rowOff>
    </xdr:to>
    <xdr:sp macro="" textlink="">
      <xdr:nvSpPr>
        <xdr:cNvPr id="67589" name="Text Box 5" hidden="1">
          <a:extLst>
            <a:ext uri="{FF2B5EF4-FFF2-40B4-BE49-F238E27FC236}">
              <a16:creationId xmlns:a16="http://schemas.microsoft.com/office/drawing/2014/main" id="{D780B812-8604-469E-9B33-8B1D82C0D7F5}"/>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67590" name="Text Box 6" hidden="1">
          <a:extLst>
            <a:ext uri="{FF2B5EF4-FFF2-40B4-BE49-F238E27FC236}">
              <a16:creationId xmlns:a16="http://schemas.microsoft.com/office/drawing/2014/main" id="{DD4B62F7-79C1-413B-B6E5-8C5EACA6430A}"/>
            </a:ext>
          </a:extLst>
        </xdr:cNvPr>
        <xdr:cNvSpPr txBox="1">
          <a:spLocks noChangeArrowheads="1"/>
        </xdr:cNvSpPr>
      </xdr:nvSpPr>
      <xdr:spPr bwMode="auto">
        <a:xfrm>
          <a:off x="12870180" y="4572000"/>
          <a:ext cx="126492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08" name="Text Box 1028" hidden="1">
          <a:extLst>
            <a:ext uri="{FF2B5EF4-FFF2-40B4-BE49-F238E27FC236}">
              <a16:creationId xmlns:a16="http://schemas.microsoft.com/office/drawing/2014/main" id="{19F9B95F-4D6C-479F-B6BF-4A92CBE4297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07" name="Text Box 1027" hidden="1">
          <a:extLst>
            <a:ext uri="{FF2B5EF4-FFF2-40B4-BE49-F238E27FC236}">
              <a16:creationId xmlns:a16="http://schemas.microsoft.com/office/drawing/2014/main" id="{706B9BE5-43A1-4802-85A7-2869B50DB2F8}"/>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06" name="Text Box 1026" hidden="1">
          <a:extLst>
            <a:ext uri="{FF2B5EF4-FFF2-40B4-BE49-F238E27FC236}">
              <a16:creationId xmlns:a16="http://schemas.microsoft.com/office/drawing/2014/main" id="{90C9A472-F0AE-4653-9D73-036EA63DA01F}"/>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5" name="Text Box 1025" hidden="1">
          <a:extLst>
            <a:ext uri="{FF2B5EF4-FFF2-40B4-BE49-F238E27FC236}">
              <a16:creationId xmlns:a16="http://schemas.microsoft.com/office/drawing/2014/main" id="{85906831-1EED-4A6E-8144-DC1933CE6259}"/>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12" name="Text Box 1032" hidden="1">
          <a:extLst>
            <a:ext uri="{FF2B5EF4-FFF2-40B4-BE49-F238E27FC236}">
              <a16:creationId xmlns:a16="http://schemas.microsoft.com/office/drawing/2014/main" id="{CAC5074E-0474-4CF8-8F13-DC787785896A}"/>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11" name="Text Box 1031" hidden="1">
          <a:extLst>
            <a:ext uri="{FF2B5EF4-FFF2-40B4-BE49-F238E27FC236}">
              <a16:creationId xmlns:a16="http://schemas.microsoft.com/office/drawing/2014/main" id="{F8E8DC70-AFA6-4217-AE74-066FE68CA59C}"/>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10" name="Text Box 1030" hidden="1">
          <a:extLst>
            <a:ext uri="{FF2B5EF4-FFF2-40B4-BE49-F238E27FC236}">
              <a16:creationId xmlns:a16="http://schemas.microsoft.com/office/drawing/2014/main" id="{EE9EEFB1-F90B-41AB-B797-D9D7FFED9D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9" name="Text Box 1029" hidden="1">
          <a:extLst>
            <a:ext uri="{FF2B5EF4-FFF2-40B4-BE49-F238E27FC236}">
              <a16:creationId xmlns:a16="http://schemas.microsoft.com/office/drawing/2014/main" id="{DC9D6A5D-77D1-45FD-9D1A-07E07768924B}"/>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16" name="Text Box 1036" hidden="1">
          <a:extLst>
            <a:ext uri="{FF2B5EF4-FFF2-40B4-BE49-F238E27FC236}">
              <a16:creationId xmlns:a16="http://schemas.microsoft.com/office/drawing/2014/main" id="{9487BF0F-D50F-4627-B515-69687776B1F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15" name="Text Box 1035" hidden="1">
          <a:extLst>
            <a:ext uri="{FF2B5EF4-FFF2-40B4-BE49-F238E27FC236}">
              <a16:creationId xmlns:a16="http://schemas.microsoft.com/office/drawing/2014/main" id="{3E6B5A71-00D1-450B-88EB-326421E14732}"/>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14" name="Text Box 1034" hidden="1">
          <a:extLst>
            <a:ext uri="{FF2B5EF4-FFF2-40B4-BE49-F238E27FC236}">
              <a16:creationId xmlns:a16="http://schemas.microsoft.com/office/drawing/2014/main" id="{5C7FC14F-A034-4708-8CD9-652DF8A7F1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3" name="Text Box 1033" hidden="1">
          <a:extLst>
            <a:ext uri="{FF2B5EF4-FFF2-40B4-BE49-F238E27FC236}">
              <a16:creationId xmlns:a16="http://schemas.microsoft.com/office/drawing/2014/main" id="{0AAC3D37-5D24-4678-8656-B04A2F6F2BB1}"/>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20" name="Text Box 1040" hidden="1">
          <a:extLst>
            <a:ext uri="{FF2B5EF4-FFF2-40B4-BE49-F238E27FC236}">
              <a16:creationId xmlns:a16="http://schemas.microsoft.com/office/drawing/2014/main" id="{624098F1-CCFF-4517-93B6-26AEA69371C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19" name="Text Box 1039" hidden="1">
          <a:extLst>
            <a:ext uri="{FF2B5EF4-FFF2-40B4-BE49-F238E27FC236}">
              <a16:creationId xmlns:a16="http://schemas.microsoft.com/office/drawing/2014/main" id="{E4E3B710-8F5D-4C3F-9637-245B73F03640}"/>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18" name="Text Box 1038" hidden="1">
          <a:extLst>
            <a:ext uri="{FF2B5EF4-FFF2-40B4-BE49-F238E27FC236}">
              <a16:creationId xmlns:a16="http://schemas.microsoft.com/office/drawing/2014/main" id="{0028AFA5-4302-4741-A540-715887AD824F}"/>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7" name="Text Box 1037" hidden="1">
          <a:extLst>
            <a:ext uri="{FF2B5EF4-FFF2-40B4-BE49-F238E27FC236}">
              <a16:creationId xmlns:a16="http://schemas.microsoft.com/office/drawing/2014/main" id="{CC501E3B-73CE-467F-AFC3-26F55F90FD91}"/>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24" name="Text Box 1044" hidden="1">
          <a:extLst>
            <a:ext uri="{FF2B5EF4-FFF2-40B4-BE49-F238E27FC236}">
              <a16:creationId xmlns:a16="http://schemas.microsoft.com/office/drawing/2014/main" id="{7C42C268-F439-43AF-BD45-62D31FEF7441}"/>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23" name="Text Box 1043" hidden="1">
          <a:extLst>
            <a:ext uri="{FF2B5EF4-FFF2-40B4-BE49-F238E27FC236}">
              <a16:creationId xmlns:a16="http://schemas.microsoft.com/office/drawing/2014/main" id="{24E3E5E4-8EE9-4F8F-864C-36733ACCCD75}"/>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22" name="Text Box 1042" hidden="1">
          <a:extLst>
            <a:ext uri="{FF2B5EF4-FFF2-40B4-BE49-F238E27FC236}">
              <a16:creationId xmlns:a16="http://schemas.microsoft.com/office/drawing/2014/main" id="{BCA07173-919E-4D2E-9A8E-468B1E31A7BE}"/>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1" name="Text Box 1041" hidden="1">
          <a:extLst>
            <a:ext uri="{FF2B5EF4-FFF2-40B4-BE49-F238E27FC236}">
              <a16:creationId xmlns:a16="http://schemas.microsoft.com/office/drawing/2014/main" id="{20FB8997-4302-4B6E-BB12-655072FA3E6F}"/>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28" name="Text Box 1048" hidden="1">
          <a:extLst>
            <a:ext uri="{FF2B5EF4-FFF2-40B4-BE49-F238E27FC236}">
              <a16:creationId xmlns:a16="http://schemas.microsoft.com/office/drawing/2014/main" id="{81C89C06-EF74-4DCA-86EB-678F070996AC}"/>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27" name="Text Box 1047" hidden="1">
          <a:extLst>
            <a:ext uri="{FF2B5EF4-FFF2-40B4-BE49-F238E27FC236}">
              <a16:creationId xmlns:a16="http://schemas.microsoft.com/office/drawing/2014/main" id="{EC0F85A6-99CB-49B0-B40A-086745B99F2A}"/>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26" name="Text Box 1046" hidden="1">
          <a:extLst>
            <a:ext uri="{FF2B5EF4-FFF2-40B4-BE49-F238E27FC236}">
              <a16:creationId xmlns:a16="http://schemas.microsoft.com/office/drawing/2014/main" id="{49540C25-BF8A-49F2-8B9E-96E5A8E7D4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5" name="Text Box 1045" hidden="1">
          <a:extLst>
            <a:ext uri="{FF2B5EF4-FFF2-40B4-BE49-F238E27FC236}">
              <a16:creationId xmlns:a16="http://schemas.microsoft.com/office/drawing/2014/main" id="{5396452F-13FF-4BCB-83E7-DD5C323C8548}"/>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32" name="Text Box 1052" hidden="1">
          <a:extLst>
            <a:ext uri="{FF2B5EF4-FFF2-40B4-BE49-F238E27FC236}">
              <a16:creationId xmlns:a16="http://schemas.microsoft.com/office/drawing/2014/main" id="{DA286031-F4EF-4C57-A8B5-FCE018A24E0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31" name="Text Box 1051" hidden="1">
          <a:extLst>
            <a:ext uri="{FF2B5EF4-FFF2-40B4-BE49-F238E27FC236}">
              <a16:creationId xmlns:a16="http://schemas.microsoft.com/office/drawing/2014/main" id="{447269CA-6073-4766-AF82-6276260FED69}"/>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30" name="Text Box 1050" hidden="1">
          <a:extLst>
            <a:ext uri="{FF2B5EF4-FFF2-40B4-BE49-F238E27FC236}">
              <a16:creationId xmlns:a16="http://schemas.microsoft.com/office/drawing/2014/main" id="{2C89D77A-61B3-418E-9486-EA43490463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35" name="Text Box 1055" hidden="1">
          <a:extLst>
            <a:ext uri="{FF2B5EF4-FFF2-40B4-BE49-F238E27FC236}">
              <a16:creationId xmlns:a16="http://schemas.microsoft.com/office/drawing/2014/main" id="{FE06F0EB-941A-482C-9F0F-952EB2B5AADB}"/>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34" name="Text Box 1054" hidden="1">
          <a:extLst>
            <a:ext uri="{FF2B5EF4-FFF2-40B4-BE49-F238E27FC236}">
              <a16:creationId xmlns:a16="http://schemas.microsoft.com/office/drawing/2014/main" id="{7A03DF36-3694-414A-8CC7-4B61057CB59D}"/>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33" name="Text Box 1053" hidden="1">
          <a:extLst>
            <a:ext uri="{FF2B5EF4-FFF2-40B4-BE49-F238E27FC236}">
              <a16:creationId xmlns:a16="http://schemas.microsoft.com/office/drawing/2014/main" id="{6E2E8A59-5C6B-4FD5-BDD6-8A5FD5C3E68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101</xdr:row>
      <xdr:rowOff>182373</xdr:rowOff>
    </xdr:from>
    <xdr:to>
      <xdr:col>20</xdr:col>
      <xdr:colOff>381000</xdr:colOff>
      <xdr:row>106</xdr:row>
      <xdr:rowOff>15899</xdr:rowOff>
    </xdr:to>
    <xdr:sp macro="" textlink="">
      <xdr:nvSpPr>
        <xdr:cNvPr id="251936" name="Text Box 1056" hidden="1">
          <a:extLst>
            <a:ext uri="{FF2B5EF4-FFF2-40B4-BE49-F238E27FC236}">
              <a16:creationId xmlns:a16="http://schemas.microsoft.com/office/drawing/2014/main" id="{0FF95A32-4A9A-49AF-BD06-64D408FF4B27}"/>
            </a:ext>
          </a:extLst>
        </xdr:cNvPr>
        <xdr:cNvSpPr txBox="1">
          <a:spLocks noChangeArrowheads="1"/>
        </xdr:cNvSpPr>
      </xdr:nvSpPr>
      <xdr:spPr bwMode="auto">
        <a:xfrm>
          <a:off x="12553950" y="23631525"/>
          <a:ext cx="13620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40" name="Text Box 1060" hidden="1">
          <a:extLst>
            <a:ext uri="{FF2B5EF4-FFF2-40B4-BE49-F238E27FC236}">
              <a16:creationId xmlns:a16="http://schemas.microsoft.com/office/drawing/2014/main" id="{6ECBD680-B41D-4797-A81D-44A9CB1BE9F6}"/>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39" name="Text Box 1059" hidden="1">
          <a:extLst>
            <a:ext uri="{FF2B5EF4-FFF2-40B4-BE49-F238E27FC236}">
              <a16:creationId xmlns:a16="http://schemas.microsoft.com/office/drawing/2014/main" id="{090E4475-FA59-4FC4-8319-9D32A7A8B658}"/>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38" name="Text Box 1058" hidden="1">
          <a:extLst>
            <a:ext uri="{FF2B5EF4-FFF2-40B4-BE49-F238E27FC236}">
              <a16:creationId xmlns:a16="http://schemas.microsoft.com/office/drawing/2014/main" id="{63C00021-3770-4737-8444-1784021FE95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100</xdr:row>
      <xdr:rowOff>122142</xdr:rowOff>
    </xdr:from>
    <xdr:to>
      <xdr:col>20</xdr:col>
      <xdr:colOff>381000</xdr:colOff>
      <xdr:row>104</xdr:row>
      <xdr:rowOff>111116</xdr:rowOff>
    </xdr:to>
    <xdr:sp macro="" textlink="">
      <xdr:nvSpPr>
        <xdr:cNvPr id="251941" name="Text Box 1061" hidden="1">
          <a:extLst>
            <a:ext uri="{FF2B5EF4-FFF2-40B4-BE49-F238E27FC236}">
              <a16:creationId xmlns:a16="http://schemas.microsoft.com/office/drawing/2014/main" id="{9164FE8A-661A-47EA-B1D1-FF85BD23B695}"/>
            </a:ext>
          </a:extLst>
        </xdr:cNvPr>
        <xdr:cNvSpPr txBox="1">
          <a:spLocks noChangeArrowheads="1"/>
        </xdr:cNvSpPr>
      </xdr:nvSpPr>
      <xdr:spPr bwMode="auto">
        <a:xfrm>
          <a:off x="12885420" y="23050500"/>
          <a:ext cx="140208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45" name="Text Box 1065" hidden="1">
          <a:extLst>
            <a:ext uri="{FF2B5EF4-FFF2-40B4-BE49-F238E27FC236}">
              <a16:creationId xmlns:a16="http://schemas.microsoft.com/office/drawing/2014/main" id="{75ECC086-E7F3-4304-9E42-B986D60811CB}"/>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44" name="Text Box 1064" hidden="1">
          <a:extLst>
            <a:ext uri="{FF2B5EF4-FFF2-40B4-BE49-F238E27FC236}">
              <a16:creationId xmlns:a16="http://schemas.microsoft.com/office/drawing/2014/main" id="{5CAAAF00-180B-442A-908F-A55E8751B3FB}"/>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43" name="Text Box 1063" hidden="1">
          <a:extLst>
            <a:ext uri="{FF2B5EF4-FFF2-40B4-BE49-F238E27FC236}">
              <a16:creationId xmlns:a16="http://schemas.microsoft.com/office/drawing/2014/main" id="{5DD777EF-3364-4FC0-BDFB-9DBA6DD154C9}"/>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124460</xdr:colOff>
      <xdr:row>100</xdr:row>
      <xdr:rowOff>122142</xdr:rowOff>
    </xdr:from>
    <xdr:to>
      <xdr:col>20</xdr:col>
      <xdr:colOff>381000</xdr:colOff>
      <xdr:row>104</xdr:row>
      <xdr:rowOff>111116</xdr:rowOff>
    </xdr:to>
    <xdr:sp macro="" textlink="">
      <xdr:nvSpPr>
        <xdr:cNvPr id="251942" name="Text Box 1062" hidden="1">
          <a:extLst>
            <a:ext uri="{FF2B5EF4-FFF2-40B4-BE49-F238E27FC236}">
              <a16:creationId xmlns:a16="http://schemas.microsoft.com/office/drawing/2014/main" id="{798FFDF5-689E-4B2C-A5B3-1F969BE022CB}"/>
            </a:ext>
          </a:extLst>
        </xdr:cNvPr>
        <xdr:cNvSpPr txBox="1">
          <a:spLocks noChangeArrowheads="1"/>
        </xdr:cNvSpPr>
      </xdr:nvSpPr>
      <xdr:spPr bwMode="auto">
        <a:xfrm>
          <a:off x="12877800" y="23042880"/>
          <a:ext cx="14097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49" name="Text Box 1069" hidden="1">
          <a:extLst>
            <a:ext uri="{FF2B5EF4-FFF2-40B4-BE49-F238E27FC236}">
              <a16:creationId xmlns:a16="http://schemas.microsoft.com/office/drawing/2014/main" id="{C4D7BA3E-C536-4EE0-94D0-3A54F2D4F6B2}"/>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48" name="Text Box 1068" hidden="1">
          <a:extLst>
            <a:ext uri="{FF2B5EF4-FFF2-40B4-BE49-F238E27FC236}">
              <a16:creationId xmlns:a16="http://schemas.microsoft.com/office/drawing/2014/main" id="{CAEC22FB-38E3-48B9-BAAB-A5D2C0831BE9}"/>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47" name="Text Box 1067" hidden="1">
          <a:extLst>
            <a:ext uri="{FF2B5EF4-FFF2-40B4-BE49-F238E27FC236}">
              <a16:creationId xmlns:a16="http://schemas.microsoft.com/office/drawing/2014/main" id="{054FBDFB-4503-4B86-8DCD-3162FDA6D3E4}"/>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111116</xdr:rowOff>
    </xdr:to>
    <xdr:sp macro="" textlink="">
      <xdr:nvSpPr>
        <xdr:cNvPr id="251946" name="Text Box 1066" hidden="1">
          <a:extLst>
            <a:ext uri="{FF2B5EF4-FFF2-40B4-BE49-F238E27FC236}">
              <a16:creationId xmlns:a16="http://schemas.microsoft.com/office/drawing/2014/main" id="{24FF4566-F65D-44F6-95A0-B22531095F80}"/>
            </a:ext>
          </a:extLst>
        </xdr:cNvPr>
        <xdr:cNvSpPr txBox="1">
          <a:spLocks noChangeArrowheads="1"/>
        </xdr:cNvSpPr>
      </xdr:nvSpPr>
      <xdr:spPr bwMode="auto">
        <a:xfrm>
          <a:off x="12870180" y="23042880"/>
          <a:ext cx="141732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53" name="Text Box 1073" hidden="1">
          <a:extLst>
            <a:ext uri="{FF2B5EF4-FFF2-40B4-BE49-F238E27FC236}">
              <a16:creationId xmlns:a16="http://schemas.microsoft.com/office/drawing/2014/main" id="{72185ADD-64D2-4942-9710-8B48BBE0B38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52" name="Text Box 1072" hidden="1">
          <a:extLst>
            <a:ext uri="{FF2B5EF4-FFF2-40B4-BE49-F238E27FC236}">
              <a16:creationId xmlns:a16="http://schemas.microsoft.com/office/drawing/2014/main" id="{CD2E9735-6CFF-4D7A-93B7-7EE9EFB73215}"/>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51" name="Text Box 1071" hidden="1">
          <a:extLst>
            <a:ext uri="{FF2B5EF4-FFF2-40B4-BE49-F238E27FC236}">
              <a16:creationId xmlns:a16="http://schemas.microsoft.com/office/drawing/2014/main" id="{768B63E0-AC37-4C1E-9ECC-C995B165E469}"/>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111116</xdr:rowOff>
    </xdr:to>
    <xdr:sp macro="" textlink="">
      <xdr:nvSpPr>
        <xdr:cNvPr id="251950" name="Text Box 1070" hidden="1">
          <a:extLst>
            <a:ext uri="{FF2B5EF4-FFF2-40B4-BE49-F238E27FC236}">
              <a16:creationId xmlns:a16="http://schemas.microsoft.com/office/drawing/2014/main" id="{E9F38450-1CBD-444A-943B-44193D175419}"/>
            </a:ext>
          </a:extLst>
        </xdr:cNvPr>
        <xdr:cNvSpPr txBox="1">
          <a:spLocks noChangeArrowheads="1"/>
        </xdr:cNvSpPr>
      </xdr:nvSpPr>
      <xdr:spPr bwMode="auto">
        <a:xfrm>
          <a:off x="12525375" y="23364825"/>
          <a:ext cx="13906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174690</xdr:rowOff>
    </xdr:from>
    <xdr:to>
      <xdr:col>5</xdr:col>
      <xdr:colOff>0</xdr:colOff>
      <xdr:row>59</xdr:row>
      <xdr:rowOff>16016</xdr:rowOff>
    </xdr:to>
    <xdr:sp macro="" textlink="">
      <xdr:nvSpPr>
        <xdr:cNvPr id="251957" name="Text Box 1077" hidden="1">
          <a:extLst>
            <a:ext uri="{FF2B5EF4-FFF2-40B4-BE49-F238E27FC236}">
              <a16:creationId xmlns:a16="http://schemas.microsoft.com/office/drawing/2014/main" id="{657808AD-0FB8-484F-8051-D27C2BC95C3D}"/>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56" name="Text Box 1076" hidden="1">
          <a:extLst>
            <a:ext uri="{FF2B5EF4-FFF2-40B4-BE49-F238E27FC236}">
              <a16:creationId xmlns:a16="http://schemas.microsoft.com/office/drawing/2014/main" id="{F3707A6E-41E7-47BC-912F-A1492280EBD7}"/>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174690</xdr:rowOff>
    </xdr:from>
    <xdr:to>
      <xdr:col>5</xdr:col>
      <xdr:colOff>0</xdr:colOff>
      <xdr:row>59</xdr:row>
      <xdr:rowOff>16016</xdr:rowOff>
    </xdr:to>
    <xdr:sp macro="" textlink="">
      <xdr:nvSpPr>
        <xdr:cNvPr id="251955" name="Text Box 1075" hidden="1">
          <a:extLst>
            <a:ext uri="{FF2B5EF4-FFF2-40B4-BE49-F238E27FC236}">
              <a16:creationId xmlns:a16="http://schemas.microsoft.com/office/drawing/2014/main" id="{B252879B-34CD-4946-A39C-F26428AA66CA}"/>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101</xdr:row>
      <xdr:rowOff>6964</xdr:rowOff>
    </xdr:from>
    <xdr:to>
      <xdr:col>20</xdr:col>
      <xdr:colOff>381000</xdr:colOff>
      <xdr:row>105</xdr:row>
      <xdr:rowOff>120674</xdr:rowOff>
    </xdr:to>
    <xdr:sp macro="" textlink="">
      <xdr:nvSpPr>
        <xdr:cNvPr id="251954" name="Text Box 1074" hidden="1">
          <a:extLst>
            <a:ext uri="{FF2B5EF4-FFF2-40B4-BE49-F238E27FC236}">
              <a16:creationId xmlns:a16="http://schemas.microsoft.com/office/drawing/2014/main" id="{432622F3-D6E0-4EC6-9582-5CDE60E3BC4B}"/>
            </a:ext>
          </a:extLst>
        </xdr:cNvPr>
        <xdr:cNvSpPr txBox="1">
          <a:spLocks noChangeArrowheads="1"/>
        </xdr:cNvSpPr>
      </xdr:nvSpPr>
      <xdr:spPr bwMode="auto">
        <a:xfrm>
          <a:off x="12525375" y="23479125"/>
          <a:ext cx="13906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100173</xdr:rowOff>
    </xdr:from>
    <xdr:to>
      <xdr:col>5</xdr:col>
      <xdr:colOff>0</xdr:colOff>
      <xdr:row>82</xdr:row>
      <xdr:rowOff>40835</xdr:rowOff>
    </xdr:to>
    <xdr:sp macro="" textlink="">
      <xdr:nvSpPr>
        <xdr:cNvPr id="251961" name="Text Box 1081" hidden="1">
          <a:extLst>
            <a:ext uri="{FF2B5EF4-FFF2-40B4-BE49-F238E27FC236}">
              <a16:creationId xmlns:a16="http://schemas.microsoft.com/office/drawing/2014/main" id="{7DAE9876-79AF-4C04-B235-C9B06004B5DF}"/>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115413</xdr:rowOff>
    </xdr:from>
    <xdr:to>
      <xdr:col>4</xdr:col>
      <xdr:colOff>800100</xdr:colOff>
      <xdr:row>75</xdr:row>
      <xdr:rowOff>137003</xdr:rowOff>
    </xdr:to>
    <xdr:sp macro="" textlink="">
      <xdr:nvSpPr>
        <xdr:cNvPr id="251960" name="Text Box 1080" hidden="1">
          <a:extLst>
            <a:ext uri="{FF2B5EF4-FFF2-40B4-BE49-F238E27FC236}">
              <a16:creationId xmlns:a16="http://schemas.microsoft.com/office/drawing/2014/main" id="{8EA217EB-A483-41E4-8760-EE706FAC9B7C}"/>
            </a:ext>
          </a:extLst>
        </xdr:cNvPr>
        <xdr:cNvSpPr txBox="1">
          <a:spLocks noChangeArrowheads="1"/>
        </xdr:cNvSpPr>
      </xdr:nvSpPr>
      <xdr:spPr bwMode="auto">
        <a:xfrm>
          <a:off x="4038600" y="17706975"/>
          <a:ext cx="12382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100173</xdr:rowOff>
    </xdr:from>
    <xdr:to>
      <xdr:col>5</xdr:col>
      <xdr:colOff>0</xdr:colOff>
      <xdr:row>82</xdr:row>
      <xdr:rowOff>40835</xdr:rowOff>
    </xdr:to>
    <xdr:sp macro="" textlink="">
      <xdr:nvSpPr>
        <xdr:cNvPr id="251959" name="Text Box 1079" hidden="1">
          <a:extLst>
            <a:ext uri="{FF2B5EF4-FFF2-40B4-BE49-F238E27FC236}">
              <a16:creationId xmlns:a16="http://schemas.microsoft.com/office/drawing/2014/main" id="{0E1DD930-89FB-4422-A45C-2F18737238BC}"/>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114890</xdr:rowOff>
    </xdr:from>
    <xdr:to>
      <xdr:col>20</xdr:col>
      <xdr:colOff>381000</xdr:colOff>
      <xdr:row>138</xdr:row>
      <xdr:rowOff>93430</xdr:rowOff>
    </xdr:to>
    <xdr:sp macro="" textlink="">
      <xdr:nvSpPr>
        <xdr:cNvPr id="251958" name="Text Box 1078" hidden="1">
          <a:extLst>
            <a:ext uri="{FF2B5EF4-FFF2-40B4-BE49-F238E27FC236}">
              <a16:creationId xmlns:a16="http://schemas.microsoft.com/office/drawing/2014/main" id="{0EA53887-6901-46A5-8B66-846DCCE0D8A4}"/>
            </a:ext>
          </a:extLst>
        </xdr:cNvPr>
        <xdr:cNvSpPr txBox="1">
          <a:spLocks noChangeArrowheads="1"/>
        </xdr:cNvSpPr>
      </xdr:nvSpPr>
      <xdr:spPr bwMode="auto">
        <a:xfrm>
          <a:off x="12525375" y="29918025"/>
          <a:ext cx="1390650"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100173</xdr:rowOff>
    </xdr:from>
    <xdr:to>
      <xdr:col>5</xdr:col>
      <xdr:colOff>0</xdr:colOff>
      <xdr:row>82</xdr:row>
      <xdr:rowOff>22420</xdr:rowOff>
    </xdr:to>
    <xdr:sp macro="" textlink="">
      <xdr:nvSpPr>
        <xdr:cNvPr id="251965" name="Text Box 1085" hidden="1">
          <a:extLst>
            <a:ext uri="{FF2B5EF4-FFF2-40B4-BE49-F238E27FC236}">
              <a16:creationId xmlns:a16="http://schemas.microsoft.com/office/drawing/2014/main" id="{0AE1BDFF-A322-4006-81B3-140AF08C15F7}"/>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100173</xdr:rowOff>
    </xdr:from>
    <xdr:to>
      <xdr:col>4</xdr:col>
      <xdr:colOff>800100</xdr:colOff>
      <xdr:row>75</xdr:row>
      <xdr:rowOff>100173</xdr:rowOff>
    </xdr:to>
    <xdr:sp macro="" textlink="">
      <xdr:nvSpPr>
        <xdr:cNvPr id="251964" name="Text Box 1084" hidden="1">
          <a:extLst>
            <a:ext uri="{FF2B5EF4-FFF2-40B4-BE49-F238E27FC236}">
              <a16:creationId xmlns:a16="http://schemas.microsoft.com/office/drawing/2014/main" id="{E79B9250-43AC-412B-A00E-E74F24890B50}"/>
            </a:ext>
          </a:extLst>
        </xdr:cNvPr>
        <xdr:cNvSpPr txBox="1">
          <a:spLocks noChangeArrowheads="1"/>
        </xdr:cNvSpPr>
      </xdr:nvSpPr>
      <xdr:spPr bwMode="auto">
        <a:xfrm>
          <a:off x="4222750" y="1751330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100173</xdr:rowOff>
    </xdr:from>
    <xdr:to>
      <xdr:col>5</xdr:col>
      <xdr:colOff>0</xdr:colOff>
      <xdr:row>82</xdr:row>
      <xdr:rowOff>22420</xdr:rowOff>
    </xdr:to>
    <xdr:sp macro="" textlink="">
      <xdr:nvSpPr>
        <xdr:cNvPr id="251963" name="Text Box 1083" hidden="1">
          <a:extLst>
            <a:ext uri="{FF2B5EF4-FFF2-40B4-BE49-F238E27FC236}">
              <a16:creationId xmlns:a16="http://schemas.microsoft.com/office/drawing/2014/main" id="{434770B8-7E56-46BA-A377-5C3F343232B9}"/>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115789</xdr:rowOff>
    </xdr:from>
    <xdr:to>
      <xdr:col>20</xdr:col>
      <xdr:colOff>381000</xdr:colOff>
      <xdr:row>138</xdr:row>
      <xdr:rowOff>68665</xdr:rowOff>
    </xdr:to>
    <xdr:sp macro="" textlink="">
      <xdr:nvSpPr>
        <xdr:cNvPr id="251962" name="Text Box 1082" hidden="1">
          <a:extLst>
            <a:ext uri="{FF2B5EF4-FFF2-40B4-BE49-F238E27FC236}">
              <a16:creationId xmlns:a16="http://schemas.microsoft.com/office/drawing/2014/main" id="{90BBE9E0-5CAB-4918-BAE8-C25F7677F71F}"/>
            </a:ext>
          </a:extLst>
        </xdr:cNvPr>
        <xdr:cNvSpPr txBox="1">
          <a:spLocks noChangeArrowheads="1"/>
        </xdr:cNvSpPr>
      </xdr:nvSpPr>
      <xdr:spPr bwMode="auto">
        <a:xfrm>
          <a:off x="13157200" y="29546550"/>
          <a:ext cx="1447800" cy="984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139700</xdr:colOff>
      <xdr:row>42</xdr:row>
      <xdr:rowOff>137648</xdr:rowOff>
    </xdr:from>
    <xdr:to>
      <xdr:col>21</xdr:col>
      <xdr:colOff>438150</xdr:colOff>
      <xdr:row>45</xdr:row>
      <xdr:rowOff>89256</xdr:rowOff>
    </xdr:to>
    <xdr:sp macro="" textlink="">
      <xdr:nvSpPr>
        <xdr:cNvPr id="251966" name="Text Box 1086" hidden="1">
          <a:extLst>
            <a:ext uri="{FF2B5EF4-FFF2-40B4-BE49-F238E27FC236}">
              <a16:creationId xmlns:a16="http://schemas.microsoft.com/office/drawing/2014/main" id="{FF4B2B03-8D85-48F2-B84F-2BA6B63559C5}"/>
            </a:ext>
          </a:extLst>
        </xdr:cNvPr>
        <xdr:cNvSpPr txBox="1">
          <a:spLocks noChangeArrowheads="1"/>
        </xdr:cNvSpPr>
      </xdr:nvSpPr>
      <xdr:spPr bwMode="auto">
        <a:xfrm>
          <a:off x="13792200" y="105918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139700</xdr:colOff>
      <xdr:row>99</xdr:row>
      <xdr:rowOff>57622</xdr:rowOff>
    </xdr:from>
    <xdr:to>
      <xdr:col>13</xdr:col>
      <xdr:colOff>19050</xdr:colOff>
      <xdr:row>103</xdr:row>
      <xdr:rowOff>31252</xdr:rowOff>
    </xdr:to>
    <xdr:sp macro="" textlink="">
      <xdr:nvSpPr>
        <xdr:cNvPr id="251967" name="Text Box 1087" hidden="1">
          <a:extLst>
            <a:ext uri="{FF2B5EF4-FFF2-40B4-BE49-F238E27FC236}">
              <a16:creationId xmlns:a16="http://schemas.microsoft.com/office/drawing/2014/main" id="{B50FC282-483F-43DD-94EE-DB0FF7345EE9}"/>
            </a:ext>
          </a:extLst>
        </xdr:cNvPr>
        <xdr:cNvSpPr txBox="1">
          <a:spLocks noChangeArrowheads="1"/>
        </xdr:cNvSpPr>
      </xdr:nvSpPr>
      <xdr:spPr bwMode="auto">
        <a:xfrm>
          <a:off x="8763000" y="2282190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78278</xdr:rowOff>
    </xdr:from>
    <xdr:to>
      <xdr:col>5</xdr:col>
      <xdr:colOff>0</xdr:colOff>
      <xdr:row>70</xdr:row>
      <xdr:rowOff>6236</xdr:rowOff>
    </xdr:to>
    <xdr:sp macro="" textlink="">
      <xdr:nvSpPr>
        <xdr:cNvPr id="251973" name="Text Box 1093" hidden="1">
          <a:extLst>
            <a:ext uri="{FF2B5EF4-FFF2-40B4-BE49-F238E27FC236}">
              <a16:creationId xmlns:a16="http://schemas.microsoft.com/office/drawing/2014/main" id="{169F5613-1728-43CD-B080-585B4434F19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78278</xdr:rowOff>
    </xdr:to>
    <xdr:sp macro="" textlink="">
      <xdr:nvSpPr>
        <xdr:cNvPr id="251972" name="Text Box 1092" hidden="1">
          <a:extLst>
            <a:ext uri="{FF2B5EF4-FFF2-40B4-BE49-F238E27FC236}">
              <a16:creationId xmlns:a16="http://schemas.microsoft.com/office/drawing/2014/main" id="{428DF8DA-E27B-4CAC-9076-50D9B164CCE3}"/>
            </a:ext>
          </a:extLst>
        </xdr:cNvPr>
        <xdr:cNvSpPr txBox="1">
          <a:spLocks noChangeArrowheads="1"/>
        </xdr:cNvSpPr>
      </xdr:nvSpPr>
      <xdr:spPr bwMode="auto">
        <a:xfrm>
          <a:off x="4222750" y="1505585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78278</xdr:rowOff>
    </xdr:from>
    <xdr:to>
      <xdr:col>5</xdr:col>
      <xdr:colOff>0</xdr:colOff>
      <xdr:row>70</xdr:row>
      <xdr:rowOff>6236</xdr:rowOff>
    </xdr:to>
    <xdr:sp macro="" textlink="">
      <xdr:nvSpPr>
        <xdr:cNvPr id="251971" name="Text Box 1091" hidden="1">
          <a:extLst>
            <a:ext uri="{FF2B5EF4-FFF2-40B4-BE49-F238E27FC236}">
              <a16:creationId xmlns:a16="http://schemas.microsoft.com/office/drawing/2014/main" id="{759CCB70-22EC-4297-B6DF-A1B10781963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1970" name="Text Box 1090" hidden="1">
          <a:extLst>
            <a:ext uri="{FF2B5EF4-FFF2-40B4-BE49-F238E27FC236}">
              <a16:creationId xmlns:a16="http://schemas.microsoft.com/office/drawing/2014/main" id="{5214A7F8-6FBE-4E1F-AA18-3AF745636412}"/>
            </a:ext>
          </a:extLst>
        </xdr:cNvPr>
        <xdr:cNvSpPr txBox="1">
          <a:spLocks noChangeArrowheads="1"/>
        </xdr:cNvSpPr>
      </xdr:nvSpPr>
      <xdr:spPr bwMode="auto">
        <a:xfrm>
          <a:off x="13157200" y="24657050"/>
          <a:ext cx="14478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133350</xdr:colOff>
      <xdr:row>30</xdr:row>
      <xdr:rowOff>338494</xdr:rowOff>
    </xdr:from>
    <xdr:to>
      <xdr:col>21</xdr:col>
      <xdr:colOff>438150</xdr:colOff>
      <xdr:row>33</xdr:row>
      <xdr:rowOff>168326</xdr:rowOff>
    </xdr:to>
    <xdr:sp macro="" textlink="">
      <xdr:nvSpPr>
        <xdr:cNvPr id="251969" name="Text Box 1089" hidden="1">
          <a:extLst>
            <a:ext uri="{FF2B5EF4-FFF2-40B4-BE49-F238E27FC236}">
              <a16:creationId xmlns:a16="http://schemas.microsoft.com/office/drawing/2014/main" id="{05F613D8-04C6-4375-9CA1-727ABF740BDD}"/>
            </a:ext>
          </a:extLst>
        </xdr:cNvPr>
        <xdr:cNvSpPr txBox="1">
          <a:spLocks noChangeArrowheads="1"/>
        </xdr:cNvSpPr>
      </xdr:nvSpPr>
      <xdr:spPr bwMode="auto">
        <a:xfrm>
          <a:off x="13785850" y="75819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133350</xdr:colOff>
      <xdr:row>85</xdr:row>
      <xdr:rowOff>547661</xdr:rowOff>
    </xdr:from>
    <xdr:to>
      <xdr:col>13</xdr:col>
      <xdr:colOff>19050</xdr:colOff>
      <xdr:row>89</xdr:row>
      <xdr:rowOff>79625</xdr:rowOff>
    </xdr:to>
    <xdr:sp macro="" textlink="">
      <xdr:nvSpPr>
        <xdr:cNvPr id="251968" name="Text Box 1088" hidden="1">
          <a:extLst>
            <a:ext uri="{FF2B5EF4-FFF2-40B4-BE49-F238E27FC236}">
              <a16:creationId xmlns:a16="http://schemas.microsoft.com/office/drawing/2014/main" id="{59A17960-AA96-4437-8F69-D8C5BD453C07}"/>
            </a:ext>
          </a:extLst>
        </xdr:cNvPr>
        <xdr:cNvSpPr txBox="1">
          <a:spLocks noChangeArrowheads="1"/>
        </xdr:cNvSpPr>
      </xdr:nvSpPr>
      <xdr:spPr bwMode="auto">
        <a:xfrm>
          <a:off x="8756650" y="200342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95250</xdr:colOff>
      <xdr:row>110</xdr:row>
      <xdr:rowOff>163460</xdr:rowOff>
    </xdr:from>
    <xdr:to>
      <xdr:col>21</xdr:col>
      <xdr:colOff>266700</xdr:colOff>
      <xdr:row>114</xdr:row>
      <xdr:rowOff>132664</xdr:rowOff>
    </xdr:to>
    <xdr:sp macro="" textlink="">
      <xdr:nvSpPr>
        <xdr:cNvPr id="251974" name="Text Box 1094" hidden="1">
          <a:extLst>
            <a:ext uri="{FF2B5EF4-FFF2-40B4-BE49-F238E27FC236}">
              <a16:creationId xmlns:a16="http://schemas.microsoft.com/office/drawing/2014/main" id="{3DA92314-7B10-4EC4-9720-4886F705B438}"/>
            </a:ext>
          </a:extLst>
        </xdr:cNvPr>
        <xdr:cNvSpPr txBox="1">
          <a:spLocks noChangeArrowheads="1"/>
        </xdr:cNvSpPr>
      </xdr:nvSpPr>
      <xdr:spPr bwMode="auto">
        <a:xfrm>
          <a:off x="13747750" y="251396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1981" name="Text Box 1101" hidden="1">
          <a:extLst>
            <a:ext uri="{FF2B5EF4-FFF2-40B4-BE49-F238E27FC236}">
              <a16:creationId xmlns:a16="http://schemas.microsoft.com/office/drawing/2014/main" id="{EC7962EE-4ED2-4240-8C59-AB0679CB2CF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1980" name="Text Box 1100" hidden="1">
          <a:extLst>
            <a:ext uri="{FF2B5EF4-FFF2-40B4-BE49-F238E27FC236}">
              <a16:creationId xmlns:a16="http://schemas.microsoft.com/office/drawing/2014/main" id="{AF034AC4-5143-4988-93B7-5535E420909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1979" name="Text Box 1099" hidden="1">
          <a:extLst>
            <a:ext uri="{FF2B5EF4-FFF2-40B4-BE49-F238E27FC236}">
              <a16:creationId xmlns:a16="http://schemas.microsoft.com/office/drawing/2014/main" id="{31D60284-3CA8-45D5-8360-C8F57E068E8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1978" name="Text Box 1098" hidden="1">
          <a:extLst>
            <a:ext uri="{FF2B5EF4-FFF2-40B4-BE49-F238E27FC236}">
              <a16:creationId xmlns:a16="http://schemas.microsoft.com/office/drawing/2014/main" id="{E8FAB7A1-662B-4C15-8304-863C33752D03}"/>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1977" name="Text Box 1097" hidden="1">
          <a:extLst>
            <a:ext uri="{FF2B5EF4-FFF2-40B4-BE49-F238E27FC236}">
              <a16:creationId xmlns:a16="http://schemas.microsoft.com/office/drawing/2014/main" id="{99DE35C0-4FC1-4368-B796-9AD80FBBF8FA}"/>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1976" name="Text Box 1096" hidden="1">
          <a:extLst>
            <a:ext uri="{FF2B5EF4-FFF2-40B4-BE49-F238E27FC236}">
              <a16:creationId xmlns:a16="http://schemas.microsoft.com/office/drawing/2014/main" id="{CD306671-3948-43B1-A982-6DF26C3BE808}"/>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75" name="Text Box 1095" hidden="1">
          <a:extLst>
            <a:ext uri="{FF2B5EF4-FFF2-40B4-BE49-F238E27FC236}">
              <a16:creationId xmlns:a16="http://schemas.microsoft.com/office/drawing/2014/main" id="{7386195F-7295-4893-B983-742583E18545}"/>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1988" name="Text Box 1108" hidden="1">
          <a:extLst>
            <a:ext uri="{FF2B5EF4-FFF2-40B4-BE49-F238E27FC236}">
              <a16:creationId xmlns:a16="http://schemas.microsoft.com/office/drawing/2014/main" id="{FC3B9A22-BB64-4B9F-81CA-1AB669D54203}"/>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1987" name="Text Box 1107" hidden="1">
          <a:extLst>
            <a:ext uri="{FF2B5EF4-FFF2-40B4-BE49-F238E27FC236}">
              <a16:creationId xmlns:a16="http://schemas.microsoft.com/office/drawing/2014/main" id="{FB443918-9D80-4309-B929-A55B5D8D4A27}"/>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1986" name="Text Box 1106" hidden="1">
          <a:extLst>
            <a:ext uri="{FF2B5EF4-FFF2-40B4-BE49-F238E27FC236}">
              <a16:creationId xmlns:a16="http://schemas.microsoft.com/office/drawing/2014/main" id="{29E77375-409B-467D-A1A6-2CBABC436C7D}"/>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1985" name="Text Box 1105" hidden="1">
          <a:extLst>
            <a:ext uri="{FF2B5EF4-FFF2-40B4-BE49-F238E27FC236}">
              <a16:creationId xmlns:a16="http://schemas.microsoft.com/office/drawing/2014/main" id="{4AC94954-F2D6-41E9-B47E-807DFEC901A1}"/>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1984" name="Text Box 1104" hidden="1">
          <a:extLst>
            <a:ext uri="{FF2B5EF4-FFF2-40B4-BE49-F238E27FC236}">
              <a16:creationId xmlns:a16="http://schemas.microsoft.com/office/drawing/2014/main" id="{B14C94AF-5325-45B4-9846-DD548DECDBD4}"/>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1983" name="Text Box 1103" hidden="1">
          <a:extLst>
            <a:ext uri="{FF2B5EF4-FFF2-40B4-BE49-F238E27FC236}">
              <a16:creationId xmlns:a16="http://schemas.microsoft.com/office/drawing/2014/main" id="{3D48479A-A510-4B99-BEF1-CF2888E3CE93}"/>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2" name="Text Box 1102" hidden="1">
          <a:extLst>
            <a:ext uri="{FF2B5EF4-FFF2-40B4-BE49-F238E27FC236}">
              <a16:creationId xmlns:a16="http://schemas.microsoft.com/office/drawing/2014/main" id="{DD1D27DB-8EA2-4528-A3C3-80BB589B6C08}"/>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1995" name="Text Box 1115" hidden="1">
          <a:extLst>
            <a:ext uri="{FF2B5EF4-FFF2-40B4-BE49-F238E27FC236}">
              <a16:creationId xmlns:a16="http://schemas.microsoft.com/office/drawing/2014/main" id="{20AC4FB9-32B1-4267-8949-AE9B118D5155}"/>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1994" name="Text Box 1114" hidden="1">
          <a:extLst>
            <a:ext uri="{FF2B5EF4-FFF2-40B4-BE49-F238E27FC236}">
              <a16:creationId xmlns:a16="http://schemas.microsoft.com/office/drawing/2014/main" id="{0B599199-3261-4C33-8430-D8D67D7B820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1993" name="Text Box 1113" hidden="1">
          <a:extLst>
            <a:ext uri="{FF2B5EF4-FFF2-40B4-BE49-F238E27FC236}">
              <a16:creationId xmlns:a16="http://schemas.microsoft.com/office/drawing/2014/main" id="{6F854041-C871-4D28-AA8C-0AAEA6822C5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1992" name="Text Box 1112" hidden="1">
          <a:extLst>
            <a:ext uri="{FF2B5EF4-FFF2-40B4-BE49-F238E27FC236}">
              <a16:creationId xmlns:a16="http://schemas.microsoft.com/office/drawing/2014/main" id="{4169791F-CF40-421F-A12F-08E6F579701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1991" name="Text Box 1111" hidden="1">
          <a:extLst>
            <a:ext uri="{FF2B5EF4-FFF2-40B4-BE49-F238E27FC236}">
              <a16:creationId xmlns:a16="http://schemas.microsoft.com/office/drawing/2014/main" id="{1294A92E-CEB7-4C51-B95A-781B45616DE5}"/>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1990" name="Text Box 1110" hidden="1">
          <a:extLst>
            <a:ext uri="{FF2B5EF4-FFF2-40B4-BE49-F238E27FC236}">
              <a16:creationId xmlns:a16="http://schemas.microsoft.com/office/drawing/2014/main" id="{CFEF325D-5F90-4819-9E83-66E324B62CC0}"/>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9" name="Text Box 1109" hidden="1">
          <a:extLst>
            <a:ext uri="{FF2B5EF4-FFF2-40B4-BE49-F238E27FC236}">
              <a16:creationId xmlns:a16="http://schemas.microsoft.com/office/drawing/2014/main" id="{D2A3F652-7BA8-47CC-B1EE-EAB4C7596C6A}"/>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16" name="Text Box 1136" hidden="1">
          <a:extLst>
            <a:ext uri="{FF2B5EF4-FFF2-40B4-BE49-F238E27FC236}">
              <a16:creationId xmlns:a16="http://schemas.microsoft.com/office/drawing/2014/main" id="{A078B7EB-F249-4B7A-A631-11FA8C7D7DC3}"/>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15" name="Text Box 1135" hidden="1">
          <a:extLst>
            <a:ext uri="{FF2B5EF4-FFF2-40B4-BE49-F238E27FC236}">
              <a16:creationId xmlns:a16="http://schemas.microsoft.com/office/drawing/2014/main" id="{557AD597-27EC-495D-BC09-467BAAEAF609}"/>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14" name="Text Box 1134" hidden="1">
          <a:extLst>
            <a:ext uri="{FF2B5EF4-FFF2-40B4-BE49-F238E27FC236}">
              <a16:creationId xmlns:a16="http://schemas.microsoft.com/office/drawing/2014/main" id="{09D81D85-3AEB-4B01-B097-F9E9FDC5A1A8}"/>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13" name="Text Box 1133" hidden="1">
          <a:extLst>
            <a:ext uri="{FF2B5EF4-FFF2-40B4-BE49-F238E27FC236}">
              <a16:creationId xmlns:a16="http://schemas.microsoft.com/office/drawing/2014/main" id="{1A51DC67-8792-4628-9675-C3C8BA7B11D7}"/>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12" name="Text Box 1132" hidden="1">
          <a:extLst>
            <a:ext uri="{FF2B5EF4-FFF2-40B4-BE49-F238E27FC236}">
              <a16:creationId xmlns:a16="http://schemas.microsoft.com/office/drawing/2014/main" id="{3F457E8B-9071-4383-A903-925EFD4B280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11" name="Text Box 1131" hidden="1">
          <a:extLst>
            <a:ext uri="{FF2B5EF4-FFF2-40B4-BE49-F238E27FC236}">
              <a16:creationId xmlns:a16="http://schemas.microsoft.com/office/drawing/2014/main" id="{8B1110A6-7827-4206-AA88-552984CB459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0" name="Text Box 1130" hidden="1">
          <a:extLst>
            <a:ext uri="{FF2B5EF4-FFF2-40B4-BE49-F238E27FC236}">
              <a16:creationId xmlns:a16="http://schemas.microsoft.com/office/drawing/2014/main" id="{A46F4962-0EBE-4E6A-97AE-BAED469F21F4}"/>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09" name="Text Box 1129" hidden="1">
          <a:extLst>
            <a:ext uri="{FF2B5EF4-FFF2-40B4-BE49-F238E27FC236}">
              <a16:creationId xmlns:a16="http://schemas.microsoft.com/office/drawing/2014/main" id="{0B5463A9-DCE0-4CAF-B1AE-03BC4977E22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08" name="Text Box 1128" hidden="1">
          <a:extLst>
            <a:ext uri="{FF2B5EF4-FFF2-40B4-BE49-F238E27FC236}">
              <a16:creationId xmlns:a16="http://schemas.microsoft.com/office/drawing/2014/main" id="{432E5410-5180-47B3-AEEF-3514B9DFA2BE}"/>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07" name="Text Box 1127" hidden="1">
          <a:extLst>
            <a:ext uri="{FF2B5EF4-FFF2-40B4-BE49-F238E27FC236}">
              <a16:creationId xmlns:a16="http://schemas.microsoft.com/office/drawing/2014/main" id="{78A2312C-0371-4312-9289-4CB40CC8736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06" name="Text Box 1126" hidden="1">
          <a:extLst>
            <a:ext uri="{FF2B5EF4-FFF2-40B4-BE49-F238E27FC236}">
              <a16:creationId xmlns:a16="http://schemas.microsoft.com/office/drawing/2014/main" id="{DD45C663-B009-4618-B003-D4128FC6112C}"/>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05" name="Text Box 1125" hidden="1">
          <a:extLst>
            <a:ext uri="{FF2B5EF4-FFF2-40B4-BE49-F238E27FC236}">
              <a16:creationId xmlns:a16="http://schemas.microsoft.com/office/drawing/2014/main" id="{180101FA-46A1-466E-B9B5-28FB93D9262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04" name="Text Box 1124" hidden="1">
          <a:extLst>
            <a:ext uri="{FF2B5EF4-FFF2-40B4-BE49-F238E27FC236}">
              <a16:creationId xmlns:a16="http://schemas.microsoft.com/office/drawing/2014/main" id="{74918F63-F361-474A-9262-E2E019CAFD5F}"/>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03" name="Text Box 1123" hidden="1">
          <a:extLst>
            <a:ext uri="{FF2B5EF4-FFF2-40B4-BE49-F238E27FC236}">
              <a16:creationId xmlns:a16="http://schemas.microsoft.com/office/drawing/2014/main" id="{0DF80242-43DE-4CC9-A4FA-9B1A9A1E5F0C}"/>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02" name="Text Box 1122" hidden="1">
          <a:extLst>
            <a:ext uri="{FF2B5EF4-FFF2-40B4-BE49-F238E27FC236}">
              <a16:creationId xmlns:a16="http://schemas.microsoft.com/office/drawing/2014/main" id="{AB3B20CD-F02D-4EC0-8C40-DED0BA25262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01" name="Text Box 1121" hidden="1">
          <a:extLst>
            <a:ext uri="{FF2B5EF4-FFF2-40B4-BE49-F238E27FC236}">
              <a16:creationId xmlns:a16="http://schemas.microsoft.com/office/drawing/2014/main" id="{8998727E-B600-4E6E-A29D-E15EEDD8B6AC}"/>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00" name="Text Box 1120" hidden="1">
          <a:extLst>
            <a:ext uri="{FF2B5EF4-FFF2-40B4-BE49-F238E27FC236}">
              <a16:creationId xmlns:a16="http://schemas.microsoft.com/office/drawing/2014/main" id="{F137F477-79A6-43F6-8661-C6E6E47EA907}"/>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1999" name="Text Box 1119" hidden="1">
          <a:extLst>
            <a:ext uri="{FF2B5EF4-FFF2-40B4-BE49-F238E27FC236}">
              <a16:creationId xmlns:a16="http://schemas.microsoft.com/office/drawing/2014/main" id="{426B642F-A42D-415D-98D3-AE85DFAFD39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1998" name="Text Box 1118" hidden="1">
          <a:extLst>
            <a:ext uri="{FF2B5EF4-FFF2-40B4-BE49-F238E27FC236}">
              <a16:creationId xmlns:a16="http://schemas.microsoft.com/office/drawing/2014/main" id="{2AAEAEC0-F19C-4CE4-936F-58A986E6EC0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1997" name="Text Box 1117" hidden="1">
          <a:extLst>
            <a:ext uri="{FF2B5EF4-FFF2-40B4-BE49-F238E27FC236}">
              <a16:creationId xmlns:a16="http://schemas.microsoft.com/office/drawing/2014/main" id="{A05F41FA-8F4B-4194-B1BC-AFC6C2A11063}"/>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96" name="Text Box 1116" hidden="1">
          <a:extLst>
            <a:ext uri="{FF2B5EF4-FFF2-40B4-BE49-F238E27FC236}">
              <a16:creationId xmlns:a16="http://schemas.microsoft.com/office/drawing/2014/main" id="{CE617B58-960F-44C8-97AA-CE424A357E66}"/>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37" name="Text Box 1157" hidden="1">
          <a:extLst>
            <a:ext uri="{FF2B5EF4-FFF2-40B4-BE49-F238E27FC236}">
              <a16:creationId xmlns:a16="http://schemas.microsoft.com/office/drawing/2014/main" id="{93C97E4F-F6E1-47E1-AAA2-257EF16DBAB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36" name="Text Box 1156" hidden="1">
          <a:extLst>
            <a:ext uri="{FF2B5EF4-FFF2-40B4-BE49-F238E27FC236}">
              <a16:creationId xmlns:a16="http://schemas.microsoft.com/office/drawing/2014/main" id="{E4BDEE3D-E92A-4D4B-B4F6-BBE776816902}"/>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35" name="Text Box 1155" hidden="1">
          <a:extLst>
            <a:ext uri="{FF2B5EF4-FFF2-40B4-BE49-F238E27FC236}">
              <a16:creationId xmlns:a16="http://schemas.microsoft.com/office/drawing/2014/main" id="{F87765DF-E56E-4FB8-9077-119349DEF6EF}"/>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34" name="Text Box 1154" hidden="1">
          <a:extLst>
            <a:ext uri="{FF2B5EF4-FFF2-40B4-BE49-F238E27FC236}">
              <a16:creationId xmlns:a16="http://schemas.microsoft.com/office/drawing/2014/main" id="{D791D423-8408-4763-A1F2-BAE54F61C6F5}"/>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33" name="Text Box 1153" hidden="1">
          <a:extLst>
            <a:ext uri="{FF2B5EF4-FFF2-40B4-BE49-F238E27FC236}">
              <a16:creationId xmlns:a16="http://schemas.microsoft.com/office/drawing/2014/main" id="{7F5C50E3-6116-403D-BAC3-DEA6FE17E7B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32" name="Text Box 1152" hidden="1">
          <a:extLst>
            <a:ext uri="{FF2B5EF4-FFF2-40B4-BE49-F238E27FC236}">
              <a16:creationId xmlns:a16="http://schemas.microsoft.com/office/drawing/2014/main" id="{C4D42879-FD2D-454A-B51B-7F3EC8CD8D32}"/>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1" name="Text Box 1151" hidden="1">
          <a:extLst>
            <a:ext uri="{FF2B5EF4-FFF2-40B4-BE49-F238E27FC236}">
              <a16:creationId xmlns:a16="http://schemas.microsoft.com/office/drawing/2014/main" id="{A49B9002-5F5E-4933-866F-3B82BC804A19}"/>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30" name="Text Box 1150" hidden="1">
          <a:extLst>
            <a:ext uri="{FF2B5EF4-FFF2-40B4-BE49-F238E27FC236}">
              <a16:creationId xmlns:a16="http://schemas.microsoft.com/office/drawing/2014/main" id="{2ACCE138-E05E-47A3-B803-D81D9882AF10}"/>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29" name="Text Box 1149" hidden="1">
          <a:extLst>
            <a:ext uri="{FF2B5EF4-FFF2-40B4-BE49-F238E27FC236}">
              <a16:creationId xmlns:a16="http://schemas.microsoft.com/office/drawing/2014/main" id="{FF50026F-0045-4995-BCE4-4C51AA5AF02B}"/>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28" name="Text Box 1148" hidden="1">
          <a:extLst>
            <a:ext uri="{FF2B5EF4-FFF2-40B4-BE49-F238E27FC236}">
              <a16:creationId xmlns:a16="http://schemas.microsoft.com/office/drawing/2014/main" id="{7240F781-A41D-4458-B0F5-D71D24C14CBE}"/>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27" name="Text Box 1147" hidden="1">
          <a:extLst>
            <a:ext uri="{FF2B5EF4-FFF2-40B4-BE49-F238E27FC236}">
              <a16:creationId xmlns:a16="http://schemas.microsoft.com/office/drawing/2014/main" id="{2233D495-C919-45A1-844E-25B803977729}"/>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26" name="Text Box 1146" hidden="1">
          <a:extLst>
            <a:ext uri="{FF2B5EF4-FFF2-40B4-BE49-F238E27FC236}">
              <a16:creationId xmlns:a16="http://schemas.microsoft.com/office/drawing/2014/main" id="{32036B17-B8C4-4565-9732-B7C243CBCC42}"/>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25" name="Text Box 1145" hidden="1">
          <a:extLst>
            <a:ext uri="{FF2B5EF4-FFF2-40B4-BE49-F238E27FC236}">
              <a16:creationId xmlns:a16="http://schemas.microsoft.com/office/drawing/2014/main" id="{3A85BCCC-0977-4CC0-8E66-DBE057B60059}"/>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24" name="Text Box 1144" hidden="1">
          <a:extLst>
            <a:ext uri="{FF2B5EF4-FFF2-40B4-BE49-F238E27FC236}">
              <a16:creationId xmlns:a16="http://schemas.microsoft.com/office/drawing/2014/main" id="{C9B5DC22-A7AB-48F6-943E-EC9E8CE12A0B}"/>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23" name="Text Box 1143" hidden="1">
          <a:extLst>
            <a:ext uri="{FF2B5EF4-FFF2-40B4-BE49-F238E27FC236}">
              <a16:creationId xmlns:a16="http://schemas.microsoft.com/office/drawing/2014/main" id="{9DFAF1BC-DE27-4F17-8D3B-29C1CDDFD5D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22" name="Text Box 1142" hidden="1">
          <a:extLst>
            <a:ext uri="{FF2B5EF4-FFF2-40B4-BE49-F238E27FC236}">
              <a16:creationId xmlns:a16="http://schemas.microsoft.com/office/drawing/2014/main" id="{8E1804F3-DFEF-4DE1-99D6-0CCAA8D8C0C8}"/>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21" name="Text Box 1141" hidden="1">
          <a:extLst>
            <a:ext uri="{FF2B5EF4-FFF2-40B4-BE49-F238E27FC236}">
              <a16:creationId xmlns:a16="http://schemas.microsoft.com/office/drawing/2014/main" id="{D37D9035-B832-4430-BE28-B946CDCB13D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20" name="Text Box 1140" hidden="1">
          <a:extLst>
            <a:ext uri="{FF2B5EF4-FFF2-40B4-BE49-F238E27FC236}">
              <a16:creationId xmlns:a16="http://schemas.microsoft.com/office/drawing/2014/main" id="{5FBC1B2B-4D27-4B5D-B928-DA12FD581E42}"/>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19" name="Text Box 1139" hidden="1">
          <a:extLst>
            <a:ext uri="{FF2B5EF4-FFF2-40B4-BE49-F238E27FC236}">
              <a16:creationId xmlns:a16="http://schemas.microsoft.com/office/drawing/2014/main" id="{660E006F-CED3-47BE-A5A2-B9FD2CB530FE}"/>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18" name="Text Box 1138" hidden="1">
          <a:extLst>
            <a:ext uri="{FF2B5EF4-FFF2-40B4-BE49-F238E27FC236}">
              <a16:creationId xmlns:a16="http://schemas.microsoft.com/office/drawing/2014/main" id="{4AE2770A-85EC-4EAC-86EC-D7CDC7B6144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7" name="Text Box 1137" hidden="1">
          <a:extLst>
            <a:ext uri="{FF2B5EF4-FFF2-40B4-BE49-F238E27FC236}">
              <a16:creationId xmlns:a16="http://schemas.microsoft.com/office/drawing/2014/main" id="{399C5A40-08F7-4459-A2F7-E451D20678AE}"/>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44" name="Text Box 1164" hidden="1">
          <a:extLst>
            <a:ext uri="{FF2B5EF4-FFF2-40B4-BE49-F238E27FC236}">
              <a16:creationId xmlns:a16="http://schemas.microsoft.com/office/drawing/2014/main" id="{4389088C-6A33-4F49-BC41-0D72115967DF}"/>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43" name="Text Box 1163" hidden="1">
          <a:extLst>
            <a:ext uri="{FF2B5EF4-FFF2-40B4-BE49-F238E27FC236}">
              <a16:creationId xmlns:a16="http://schemas.microsoft.com/office/drawing/2014/main" id="{6C2EC84C-A584-4936-B1C6-379E1BFE0AFA}"/>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42" name="Text Box 1162" hidden="1">
          <a:extLst>
            <a:ext uri="{FF2B5EF4-FFF2-40B4-BE49-F238E27FC236}">
              <a16:creationId xmlns:a16="http://schemas.microsoft.com/office/drawing/2014/main" id="{74645F5D-87CF-488E-A08F-61E7F4F34DD9}"/>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41" name="Text Box 1161" hidden="1">
          <a:extLst>
            <a:ext uri="{FF2B5EF4-FFF2-40B4-BE49-F238E27FC236}">
              <a16:creationId xmlns:a16="http://schemas.microsoft.com/office/drawing/2014/main" id="{A90B1259-B399-445F-A476-4F7D8B875518}"/>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40" name="Text Box 1160" hidden="1">
          <a:extLst>
            <a:ext uri="{FF2B5EF4-FFF2-40B4-BE49-F238E27FC236}">
              <a16:creationId xmlns:a16="http://schemas.microsoft.com/office/drawing/2014/main" id="{1AD2F970-1FA8-478C-B603-12D432A4AECF}"/>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39" name="Text Box 1159" hidden="1">
          <a:extLst>
            <a:ext uri="{FF2B5EF4-FFF2-40B4-BE49-F238E27FC236}">
              <a16:creationId xmlns:a16="http://schemas.microsoft.com/office/drawing/2014/main" id="{5DA0E931-24D8-4022-B733-C943DACC8137}"/>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8" name="Text Box 1158" hidden="1">
          <a:extLst>
            <a:ext uri="{FF2B5EF4-FFF2-40B4-BE49-F238E27FC236}">
              <a16:creationId xmlns:a16="http://schemas.microsoft.com/office/drawing/2014/main" id="{0144FF79-D64F-410F-8EFA-CF08DBF84094}"/>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51" name="Text Box 1171" hidden="1">
          <a:extLst>
            <a:ext uri="{FF2B5EF4-FFF2-40B4-BE49-F238E27FC236}">
              <a16:creationId xmlns:a16="http://schemas.microsoft.com/office/drawing/2014/main" id="{5034679F-54CE-4EFE-8513-A93B54543F99}"/>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50" name="Text Box 1170" hidden="1">
          <a:extLst>
            <a:ext uri="{FF2B5EF4-FFF2-40B4-BE49-F238E27FC236}">
              <a16:creationId xmlns:a16="http://schemas.microsoft.com/office/drawing/2014/main" id="{C3206BD2-25D3-43B7-810A-F367DCCC77F0}"/>
            </a:ext>
          </a:extLst>
        </xdr:cNvPr>
        <xdr:cNvSpPr txBox="1">
          <a:spLocks noChangeArrowheads="1"/>
        </xdr:cNvSpPr>
      </xdr:nvSpPr>
      <xdr:spPr bwMode="auto">
        <a:xfrm>
          <a:off x="4160520" y="15026640"/>
          <a:ext cx="12725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49" name="Text Box 1169" hidden="1">
          <a:extLst>
            <a:ext uri="{FF2B5EF4-FFF2-40B4-BE49-F238E27FC236}">
              <a16:creationId xmlns:a16="http://schemas.microsoft.com/office/drawing/2014/main" id="{5C3DDD3B-E216-4726-97EC-5F7FC3A75005}"/>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48" name="Text Box 1168" hidden="1">
          <a:extLst>
            <a:ext uri="{FF2B5EF4-FFF2-40B4-BE49-F238E27FC236}">
              <a16:creationId xmlns:a16="http://schemas.microsoft.com/office/drawing/2014/main" id="{6E706B32-F3B8-49DD-8817-4EF29DAFDEA4}"/>
            </a:ext>
          </a:extLst>
        </xdr:cNvPr>
        <xdr:cNvSpPr txBox="1">
          <a:spLocks noChangeArrowheads="1"/>
        </xdr:cNvSpPr>
      </xdr:nvSpPr>
      <xdr:spPr bwMode="auto">
        <a:xfrm>
          <a:off x="1300734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47" name="Text Box 1167" hidden="1">
          <a:extLst>
            <a:ext uri="{FF2B5EF4-FFF2-40B4-BE49-F238E27FC236}">
              <a16:creationId xmlns:a16="http://schemas.microsoft.com/office/drawing/2014/main" id="{91CCAE61-6E86-468C-81B5-BA708EF2ECC1}"/>
            </a:ext>
          </a:extLst>
        </xdr:cNvPr>
        <xdr:cNvSpPr txBox="1">
          <a:spLocks noChangeArrowheads="1"/>
        </xdr:cNvSpPr>
      </xdr:nvSpPr>
      <xdr:spPr bwMode="auto">
        <a:xfrm>
          <a:off x="13601700" y="7581900"/>
          <a:ext cx="144780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46" name="Text Box 1166" hidden="1">
          <a:extLst>
            <a:ext uri="{FF2B5EF4-FFF2-40B4-BE49-F238E27FC236}">
              <a16:creationId xmlns:a16="http://schemas.microsoft.com/office/drawing/2014/main" id="{C1FC316E-DBC0-4D79-AF2F-C828F1357D62}"/>
            </a:ext>
          </a:extLst>
        </xdr:cNvPr>
        <xdr:cNvSpPr txBox="1">
          <a:spLocks noChangeArrowheads="1"/>
        </xdr:cNvSpPr>
      </xdr:nvSpPr>
      <xdr:spPr bwMode="auto">
        <a:xfrm>
          <a:off x="861822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45" name="Text Box 1165" hidden="1">
          <a:extLst>
            <a:ext uri="{FF2B5EF4-FFF2-40B4-BE49-F238E27FC236}">
              <a16:creationId xmlns:a16="http://schemas.microsoft.com/office/drawing/2014/main" id="{05EDC26C-67FC-4231-A1F7-52298B0F0BE6}"/>
            </a:ext>
          </a:extLst>
        </xdr:cNvPr>
        <xdr:cNvSpPr txBox="1">
          <a:spLocks noChangeArrowheads="1"/>
        </xdr:cNvSpPr>
      </xdr:nvSpPr>
      <xdr:spPr bwMode="auto">
        <a:xfrm>
          <a:off x="13563600" y="25085040"/>
          <a:ext cx="13335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58" name="Text Box 1178" hidden="1">
          <a:extLst>
            <a:ext uri="{FF2B5EF4-FFF2-40B4-BE49-F238E27FC236}">
              <a16:creationId xmlns:a16="http://schemas.microsoft.com/office/drawing/2014/main" id="{2C8D152F-3884-4D4C-84AA-EB302F6F5EA7}"/>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57" name="Text Box 1177" hidden="1">
          <a:extLst>
            <a:ext uri="{FF2B5EF4-FFF2-40B4-BE49-F238E27FC236}">
              <a16:creationId xmlns:a16="http://schemas.microsoft.com/office/drawing/2014/main" id="{498047AF-AAE9-4F8A-8500-E0E90FE391EC}"/>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56" name="Text Box 1176" hidden="1">
          <a:extLst>
            <a:ext uri="{FF2B5EF4-FFF2-40B4-BE49-F238E27FC236}">
              <a16:creationId xmlns:a16="http://schemas.microsoft.com/office/drawing/2014/main" id="{C7F24D32-4DF8-45DF-8FA0-11DC9B447B48}"/>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55" name="Text Box 1175" hidden="1">
          <a:extLst>
            <a:ext uri="{FF2B5EF4-FFF2-40B4-BE49-F238E27FC236}">
              <a16:creationId xmlns:a16="http://schemas.microsoft.com/office/drawing/2014/main" id="{C74896F8-3A3D-4CE8-9F27-C5B54D926227}"/>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54" name="Text Box 1174" hidden="1">
          <a:extLst>
            <a:ext uri="{FF2B5EF4-FFF2-40B4-BE49-F238E27FC236}">
              <a16:creationId xmlns:a16="http://schemas.microsoft.com/office/drawing/2014/main" id="{1C60E7B6-1D14-41FA-AA03-B419F6E48EEC}"/>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53" name="Text Box 1173" hidden="1">
          <a:extLst>
            <a:ext uri="{FF2B5EF4-FFF2-40B4-BE49-F238E27FC236}">
              <a16:creationId xmlns:a16="http://schemas.microsoft.com/office/drawing/2014/main" id="{8598895C-2D46-4727-8FE2-385EF828CA6E}"/>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2" name="Text Box 1172" hidden="1">
          <a:extLst>
            <a:ext uri="{FF2B5EF4-FFF2-40B4-BE49-F238E27FC236}">
              <a16:creationId xmlns:a16="http://schemas.microsoft.com/office/drawing/2014/main" id="{EE583212-0F9E-4D9A-88EA-9912DD1EC720}"/>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65" name="Text Box 1185" hidden="1">
          <a:extLst>
            <a:ext uri="{FF2B5EF4-FFF2-40B4-BE49-F238E27FC236}">
              <a16:creationId xmlns:a16="http://schemas.microsoft.com/office/drawing/2014/main" id="{C227EB26-E903-480E-B1D4-A43B391597B0}"/>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64" name="Text Box 1184" hidden="1">
          <a:extLst>
            <a:ext uri="{FF2B5EF4-FFF2-40B4-BE49-F238E27FC236}">
              <a16:creationId xmlns:a16="http://schemas.microsoft.com/office/drawing/2014/main" id="{01D36F64-FBD2-4F14-8DFD-3210CCA12A4B}"/>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63" name="Text Box 1183" hidden="1">
          <a:extLst>
            <a:ext uri="{FF2B5EF4-FFF2-40B4-BE49-F238E27FC236}">
              <a16:creationId xmlns:a16="http://schemas.microsoft.com/office/drawing/2014/main" id="{773C4D44-3717-4309-9CE0-77940CBE616A}"/>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62" name="Text Box 1182" hidden="1">
          <a:extLst>
            <a:ext uri="{FF2B5EF4-FFF2-40B4-BE49-F238E27FC236}">
              <a16:creationId xmlns:a16="http://schemas.microsoft.com/office/drawing/2014/main" id="{5F7C242E-8AF4-479A-89FE-0426E3991AAC}"/>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335177</xdr:rowOff>
    </xdr:from>
    <xdr:to>
      <xdr:col>21</xdr:col>
      <xdr:colOff>419100</xdr:colOff>
      <xdr:row>33</xdr:row>
      <xdr:rowOff>149276</xdr:rowOff>
    </xdr:to>
    <xdr:sp macro="" textlink="">
      <xdr:nvSpPr>
        <xdr:cNvPr id="252061" name="Text Box 1181" hidden="1">
          <a:extLst>
            <a:ext uri="{FF2B5EF4-FFF2-40B4-BE49-F238E27FC236}">
              <a16:creationId xmlns:a16="http://schemas.microsoft.com/office/drawing/2014/main" id="{B0C2D165-FB6B-4C3E-B17A-036210639E25}"/>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60" name="Text Box 1180" hidden="1">
          <a:extLst>
            <a:ext uri="{FF2B5EF4-FFF2-40B4-BE49-F238E27FC236}">
              <a16:creationId xmlns:a16="http://schemas.microsoft.com/office/drawing/2014/main" id="{96BBF136-CE44-4A9A-BF3D-F6D90F3FFF35}"/>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9" name="Text Box 1179" hidden="1">
          <a:extLst>
            <a:ext uri="{FF2B5EF4-FFF2-40B4-BE49-F238E27FC236}">
              <a16:creationId xmlns:a16="http://schemas.microsoft.com/office/drawing/2014/main" id="{BDE8E9EE-40D5-452B-887B-458EA39A3002}"/>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72" name="Text Box 1192" hidden="1">
          <a:extLst>
            <a:ext uri="{FF2B5EF4-FFF2-40B4-BE49-F238E27FC236}">
              <a16:creationId xmlns:a16="http://schemas.microsoft.com/office/drawing/2014/main" id="{A188E377-C478-487B-8BB7-AC45A0A5F321}"/>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71" name="Text Box 1191" hidden="1">
          <a:extLst>
            <a:ext uri="{FF2B5EF4-FFF2-40B4-BE49-F238E27FC236}">
              <a16:creationId xmlns:a16="http://schemas.microsoft.com/office/drawing/2014/main" id="{9EF5D299-973C-40DD-B42E-DE8D0B9E46BA}"/>
            </a:ext>
          </a:extLst>
        </xdr:cNvPr>
        <xdr:cNvSpPr txBox="1">
          <a:spLocks noChangeArrowheads="1"/>
        </xdr:cNvSpPr>
      </xdr:nvSpPr>
      <xdr:spPr bwMode="auto">
        <a:xfrm>
          <a:off x="4038600" y="15211425"/>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70" name="Text Box 1190" hidden="1">
          <a:extLst>
            <a:ext uri="{FF2B5EF4-FFF2-40B4-BE49-F238E27FC236}">
              <a16:creationId xmlns:a16="http://schemas.microsoft.com/office/drawing/2014/main" id="{22CBB9E5-2F9E-4025-A4BC-9D9E7E2E4105}"/>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69" name="Text Box 1189" hidden="1">
          <a:extLst>
            <a:ext uri="{FF2B5EF4-FFF2-40B4-BE49-F238E27FC236}">
              <a16:creationId xmlns:a16="http://schemas.microsoft.com/office/drawing/2014/main" id="{F85BACF5-7DA0-4BAF-B758-C39589498CF2}"/>
            </a:ext>
          </a:extLst>
        </xdr:cNvPr>
        <xdr:cNvSpPr txBox="1">
          <a:spLocks noChangeArrowheads="1"/>
        </xdr:cNvSpPr>
      </xdr:nvSpPr>
      <xdr:spPr bwMode="auto">
        <a:xfrm>
          <a:off x="12525375"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335177</xdr:rowOff>
    </xdr:from>
    <xdr:to>
      <xdr:col>21</xdr:col>
      <xdr:colOff>419100</xdr:colOff>
      <xdr:row>33</xdr:row>
      <xdr:rowOff>149276</xdr:rowOff>
    </xdr:to>
    <xdr:sp macro="" textlink="">
      <xdr:nvSpPr>
        <xdr:cNvPr id="252068" name="Text Box 1188" hidden="1">
          <a:extLst>
            <a:ext uri="{FF2B5EF4-FFF2-40B4-BE49-F238E27FC236}">
              <a16:creationId xmlns:a16="http://schemas.microsoft.com/office/drawing/2014/main" id="{772D3347-81B3-4AEB-A86C-2A720FBA6C16}"/>
            </a:ext>
          </a:extLst>
        </xdr:cNvPr>
        <xdr:cNvSpPr txBox="1">
          <a:spLocks noChangeArrowheads="1"/>
        </xdr:cNvSpPr>
      </xdr:nvSpPr>
      <xdr:spPr bwMode="auto">
        <a:xfrm>
          <a:off x="13115925" y="7658100"/>
          <a:ext cx="139065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67" name="Text Box 1187" hidden="1">
          <a:extLst>
            <a:ext uri="{FF2B5EF4-FFF2-40B4-BE49-F238E27FC236}">
              <a16:creationId xmlns:a16="http://schemas.microsoft.com/office/drawing/2014/main" id="{C4241641-7743-4F5C-9CCD-13D76D7C67CB}"/>
            </a:ext>
          </a:extLst>
        </xdr:cNvPr>
        <xdr:cNvSpPr txBox="1">
          <a:spLocks noChangeArrowheads="1"/>
        </xdr:cNvSpPr>
      </xdr:nvSpPr>
      <xdr:spPr bwMode="auto">
        <a:xfrm>
          <a:off x="83248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66" name="Text Box 1186" hidden="1">
          <a:extLst>
            <a:ext uri="{FF2B5EF4-FFF2-40B4-BE49-F238E27FC236}">
              <a16:creationId xmlns:a16="http://schemas.microsoft.com/office/drawing/2014/main" id="{3911940D-7527-41EF-B2AE-533A65AE47AF}"/>
            </a:ext>
          </a:extLst>
        </xdr:cNvPr>
        <xdr:cNvSpPr txBox="1">
          <a:spLocks noChangeArrowheads="1"/>
        </xdr:cNvSpPr>
      </xdr:nvSpPr>
      <xdr:spPr bwMode="auto">
        <a:xfrm>
          <a:off x="13077825" y="254317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52079" name="Text Box 175" hidden="1">
          <a:extLst>
            <a:ext uri="{FF2B5EF4-FFF2-40B4-BE49-F238E27FC236}">
              <a16:creationId xmlns:a16="http://schemas.microsoft.com/office/drawing/2014/main" id="{B317AF6B-AB28-405B-AB9E-DC2D2772525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4</xdr:col>
      <xdr:colOff>800100</xdr:colOff>
      <xdr:row>57</xdr:row>
      <xdr:rowOff>12593</xdr:rowOff>
    </xdr:to>
    <xdr:sp macro="" textlink="">
      <xdr:nvSpPr>
        <xdr:cNvPr id="252078" name="Text Box 174" hidden="1">
          <a:extLst>
            <a:ext uri="{FF2B5EF4-FFF2-40B4-BE49-F238E27FC236}">
              <a16:creationId xmlns:a16="http://schemas.microsoft.com/office/drawing/2014/main" id="{73198BB2-144A-46FB-8C39-79C98FFD6DDD}"/>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52077" name="Text Box 173" hidden="1">
          <a:extLst>
            <a:ext uri="{FF2B5EF4-FFF2-40B4-BE49-F238E27FC236}">
              <a16:creationId xmlns:a16="http://schemas.microsoft.com/office/drawing/2014/main" id="{A27AFE38-3437-4BFD-B95C-6CA2542FC5CA}"/>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161158</xdr:rowOff>
    </xdr:from>
    <xdr:to>
      <xdr:col>20</xdr:col>
      <xdr:colOff>381000</xdr:colOff>
      <xdr:row>97</xdr:row>
      <xdr:rowOff>168604</xdr:rowOff>
    </xdr:to>
    <xdr:sp macro="" textlink="">
      <xdr:nvSpPr>
        <xdr:cNvPr id="252076" name="Text Box 172" hidden="1">
          <a:extLst>
            <a:ext uri="{FF2B5EF4-FFF2-40B4-BE49-F238E27FC236}">
              <a16:creationId xmlns:a16="http://schemas.microsoft.com/office/drawing/2014/main" id="{74AF9B0D-1D3E-4FC0-AC16-5320098F13EC}"/>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50799</xdr:rowOff>
    </xdr:from>
    <xdr:to>
      <xdr:col>21</xdr:col>
      <xdr:colOff>419100</xdr:colOff>
      <xdr:row>30</xdr:row>
      <xdr:rowOff>20887</xdr:rowOff>
    </xdr:to>
    <xdr:sp macro="" textlink="">
      <xdr:nvSpPr>
        <xdr:cNvPr id="252075" name="Text Box 171" hidden="1">
          <a:extLst>
            <a:ext uri="{FF2B5EF4-FFF2-40B4-BE49-F238E27FC236}">
              <a16:creationId xmlns:a16="http://schemas.microsoft.com/office/drawing/2014/main" id="{34B62A09-15C5-434E-B4AA-02E776BFFD3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52852</xdr:rowOff>
    </xdr:from>
    <xdr:to>
      <xdr:col>13</xdr:col>
      <xdr:colOff>0</xdr:colOff>
      <xdr:row>85</xdr:row>
      <xdr:rowOff>34541</xdr:rowOff>
    </xdr:to>
    <xdr:sp macro="" textlink="">
      <xdr:nvSpPr>
        <xdr:cNvPr id="252074" name="Text Box 170" hidden="1">
          <a:extLst>
            <a:ext uri="{FF2B5EF4-FFF2-40B4-BE49-F238E27FC236}">
              <a16:creationId xmlns:a16="http://schemas.microsoft.com/office/drawing/2014/main" id="{6F0195D3-C642-4437-89BE-DC4E4C4C0272}"/>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43905</xdr:rowOff>
    </xdr:from>
    <xdr:to>
      <xdr:col>21</xdr:col>
      <xdr:colOff>266700</xdr:colOff>
      <xdr:row>98</xdr:row>
      <xdr:rowOff>53127</xdr:rowOff>
    </xdr:to>
    <xdr:sp macro="" textlink="">
      <xdr:nvSpPr>
        <xdr:cNvPr id="252073" name="Text Box 169" hidden="1">
          <a:extLst>
            <a:ext uri="{FF2B5EF4-FFF2-40B4-BE49-F238E27FC236}">
              <a16:creationId xmlns:a16="http://schemas.microsoft.com/office/drawing/2014/main" id="{80445609-5411-4278-B7C3-B7C2B212B897}"/>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52084" name="Text Box 180" hidden="1">
          <a:extLst>
            <a:ext uri="{FF2B5EF4-FFF2-40B4-BE49-F238E27FC236}">
              <a16:creationId xmlns:a16="http://schemas.microsoft.com/office/drawing/2014/main" id="{098C99D5-88C7-4093-8D63-B0F6F920F530}"/>
            </a:ext>
          </a:extLst>
        </xdr:cNvPr>
        <xdr:cNvSpPr txBox="1">
          <a:spLocks noChangeArrowheads="1"/>
        </xdr:cNvSpPr>
      </xdr:nvSpPr>
      <xdr:spPr bwMode="auto">
        <a:xfrm>
          <a:off x="8305800" y="2724150"/>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83</xdr:row>
      <xdr:rowOff>154835</xdr:rowOff>
    </xdr:from>
    <xdr:to>
      <xdr:col>4</xdr:col>
      <xdr:colOff>133350</xdr:colOff>
      <xdr:row>85</xdr:row>
      <xdr:rowOff>435029</xdr:rowOff>
    </xdr:to>
    <xdr:sp macro="" textlink="">
      <xdr:nvSpPr>
        <xdr:cNvPr id="252086" name="Text Box 182" hidden="1">
          <a:extLst>
            <a:ext uri="{FF2B5EF4-FFF2-40B4-BE49-F238E27FC236}">
              <a16:creationId xmlns:a16="http://schemas.microsoft.com/office/drawing/2014/main" id="{5CE36323-38F8-4F09-8D0C-98FF0650FBB3}"/>
            </a:ext>
          </a:extLst>
        </xdr:cNvPr>
        <xdr:cNvSpPr txBox="1">
          <a:spLocks noChangeArrowheads="1"/>
        </xdr:cNvSpPr>
      </xdr:nvSpPr>
      <xdr:spPr bwMode="auto">
        <a:xfrm>
          <a:off x="3352800" y="1932622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98</xdr:row>
      <xdr:rowOff>91227</xdr:rowOff>
    </xdr:from>
    <xdr:to>
      <xdr:col>4</xdr:col>
      <xdr:colOff>133350</xdr:colOff>
      <xdr:row>101</xdr:row>
      <xdr:rowOff>162121</xdr:rowOff>
    </xdr:to>
    <xdr:sp macro="" textlink="">
      <xdr:nvSpPr>
        <xdr:cNvPr id="252087" name="Text Box 183" hidden="1">
          <a:extLst>
            <a:ext uri="{FF2B5EF4-FFF2-40B4-BE49-F238E27FC236}">
              <a16:creationId xmlns:a16="http://schemas.microsoft.com/office/drawing/2014/main" id="{F226E613-9971-4656-A20C-BA011308C0E0}"/>
            </a:ext>
          </a:extLst>
        </xdr:cNvPr>
        <xdr:cNvSpPr txBox="1">
          <a:spLocks noChangeArrowheads="1"/>
        </xdr:cNvSpPr>
      </xdr:nvSpPr>
      <xdr:spPr bwMode="auto">
        <a:xfrm>
          <a:off x="3352800" y="228028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93898" name="Text Box 10" hidden="1">
          <a:extLst>
            <a:ext uri="{FF2B5EF4-FFF2-40B4-BE49-F238E27FC236}">
              <a16:creationId xmlns:a16="http://schemas.microsoft.com/office/drawing/2014/main" id="{E0512BDE-B27D-4003-BD6C-0D4D977B66CF}"/>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4</xdr:col>
      <xdr:colOff>800100</xdr:colOff>
      <xdr:row>57</xdr:row>
      <xdr:rowOff>12593</xdr:rowOff>
    </xdr:to>
    <xdr:sp macro="" textlink="">
      <xdr:nvSpPr>
        <xdr:cNvPr id="293897" name="Text Box 9" hidden="1">
          <a:extLst>
            <a:ext uri="{FF2B5EF4-FFF2-40B4-BE49-F238E27FC236}">
              <a16:creationId xmlns:a16="http://schemas.microsoft.com/office/drawing/2014/main" id="{76A602A8-F02E-4B7D-A82E-C860BCE72439}"/>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93896" name="Text Box 8" hidden="1">
          <a:extLst>
            <a:ext uri="{FF2B5EF4-FFF2-40B4-BE49-F238E27FC236}">
              <a16:creationId xmlns:a16="http://schemas.microsoft.com/office/drawing/2014/main" id="{945EEC46-747C-43C6-B4D5-F96343CC99B8}"/>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161158</xdr:rowOff>
    </xdr:from>
    <xdr:to>
      <xdr:col>20</xdr:col>
      <xdr:colOff>381000</xdr:colOff>
      <xdr:row>97</xdr:row>
      <xdr:rowOff>168604</xdr:rowOff>
    </xdr:to>
    <xdr:sp macro="" textlink="">
      <xdr:nvSpPr>
        <xdr:cNvPr id="293895" name="Text Box 7" hidden="1">
          <a:extLst>
            <a:ext uri="{FF2B5EF4-FFF2-40B4-BE49-F238E27FC236}">
              <a16:creationId xmlns:a16="http://schemas.microsoft.com/office/drawing/2014/main" id="{4BFBC3AF-C8D0-491D-895C-F4FD2E0F5ABE}"/>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50799</xdr:rowOff>
    </xdr:from>
    <xdr:to>
      <xdr:col>21</xdr:col>
      <xdr:colOff>419100</xdr:colOff>
      <xdr:row>30</xdr:row>
      <xdr:rowOff>20887</xdr:rowOff>
    </xdr:to>
    <xdr:sp macro="" textlink="">
      <xdr:nvSpPr>
        <xdr:cNvPr id="293894" name="Text Box 6" hidden="1">
          <a:extLst>
            <a:ext uri="{FF2B5EF4-FFF2-40B4-BE49-F238E27FC236}">
              <a16:creationId xmlns:a16="http://schemas.microsoft.com/office/drawing/2014/main" id="{23270087-C0ED-42DB-97D1-B54C954DAA7D}"/>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52852</xdr:rowOff>
    </xdr:from>
    <xdr:to>
      <xdr:col>13</xdr:col>
      <xdr:colOff>0</xdr:colOff>
      <xdr:row>85</xdr:row>
      <xdr:rowOff>34541</xdr:rowOff>
    </xdr:to>
    <xdr:sp macro="" textlink="">
      <xdr:nvSpPr>
        <xdr:cNvPr id="293893" name="Text Box 5" hidden="1">
          <a:extLst>
            <a:ext uri="{FF2B5EF4-FFF2-40B4-BE49-F238E27FC236}">
              <a16:creationId xmlns:a16="http://schemas.microsoft.com/office/drawing/2014/main" id="{DD4CF83D-6C63-4158-8AF2-EB7363DC65B1}"/>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43905</xdr:rowOff>
    </xdr:from>
    <xdr:to>
      <xdr:col>21</xdr:col>
      <xdr:colOff>266700</xdr:colOff>
      <xdr:row>98</xdr:row>
      <xdr:rowOff>53127</xdr:rowOff>
    </xdr:to>
    <xdr:sp macro="" textlink="">
      <xdr:nvSpPr>
        <xdr:cNvPr id="293892" name="Text Box 4" hidden="1">
          <a:extLst>
            <a:ext uri="{FF2B5EF4-FFF2-40B4-BE49-F238E27FC236}">
              <a16:creationId xmlns:a16="http://schemas.microsoft.com/office/drawing/2014/main" id="{460E213B-E6D5-466E-842C-68B8FD561918}"/>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891" name="Text Box 3" hidden="1">
          <a:extLst>
            <a:ext uri="{FF2B5EF4-FFF2-40B4-BE49-F238E27FC236}">
              <a16:creationId xmlns:a16="http://schemas.microsoft.com/office/drawing/2014/main" id="{DB7B5F7B-73D5-4B5E-A4CF-572E21432B74}"/>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83</xdr:row>
      <xdr:rowOff>154835</xdr:rowOff>
    </xdr:from>
    <xdr:to>
      <xdr:col>4</xdr:col>
      <xdr:colOff>133350</xdr:colOff>
      <xdr:row>85</xdr:row>
      <xdr:rowOff>435029</xdr:rowOff>
    </xdr:to>
    <xdr:sp macro="" textlink="">
      <xdr:nvSpPr>
        <xdr:cNvPr id="293890" name="Text Box 2" hidden="1">
          <a:extLst>
            <a:ext uri="{FF2B5EF4-FFF2-40B4-BE49-F238E27FC236}">
              <a16:creationId xmlns:a16="http://schemas.microsoft.com/office/drawing/2014/main" id="{C559AF24-FEFF-4607-99C7-236F5938B8A7}"/>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98</xdr:row>
      <xdr:rowOff>91227</xdr:rowOff>
    </xdr:from>
    <xdr:to>
      <xdr:col>4</xdr:col>
      <xdr:colOff>133350</xdr:colOff>
      <xdr:row>101</xdr:row>
      <xdr:rowOff>162121</xdr:rowOff>
    </xdr:to>
    <xdr:sp macro="" textlink="">
      <xdr:nvSpPr>
        <xdr:cNvPr id="293889" name="Text Box 1" hidden="1">
          <a:extLst>
            <a:ext uri="{FF2B5EF4-FFF2-40B4-BE49-F238E27FC236}">
              <a16:creationId xmlns:a16="http://schemas.microsoft.com/office/drawing/2014/main" id="{C6A1FBF9-DEFD-45A9-8A8C-63C78447F6EB}"/>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93908" name="Text Box 20" hidden="1">
          <a:extLst>
            <a:ext uri="{FF2B5EF4-FFF2-40B4-BE49-F238E27FC236}">
              <a16:creationId xmlns:a16="http://schemas.microsoft.com/office/drawing/2014/main" id="{9A22CBFF-6911-45D6-B6F2-CF718001486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4</xdr:col>
      <xdr:colOff>800100</xdr:colOff>
      <xdr:row>57</xdr:row>
      <xdr:rowOff>12593</xdr:rowOff>
    </xdr:to>
    <xdr:sp macro="" textlink="">
      <xdr:nvSpPr>
        <xdr:cNvPr id="293907" name="Text Box 19" hidden="1">
          <a:extLst>
            <a:ext uri="{FF2B5EF4-FFF2-40B4-BE49-F238E27FC236}">
              <a16:creationId xmlns:a16="http://schemas.microsoft.com/office/drawing/2014/main" id="{FE833D99-F3A8-431D-AFAB-091F895F8C0F}"/>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93906" name="Text Box 18" hidden="1">
          <a:extLst>
            <a:ext uri="{FF2B5EF4-FFF2-40B4-BE49-F238E27FC236}">
              <a16:creationId xmlns:a16="http://schemas.microsoft.com/office/drawing/2014/main" id="{7167697A-213C-4FC5-8E7E-A593E6E0DCEE}"/>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161158</xdr:rowOff>
    </xdr:from>
    <xdr:to>
      <xdr:col>20</xdr:col>
      <xdr:colOff>381000</xdr:colOff>
      <xdr:row>97</xdr:row>
      <xdr:rowOff>168604</xdr:rowOff>
    </xdr:to>
    <xdr:sp macro="" textlink="">
      <xdr:nvSpPr>
        <xdr:cNvPr id="293905" name="Text Box 17" hidden="1">
          <a:extLst>
            <a:ext uri="{FF2B5EF4-FFF2-40B4-BE49-F238E27FC236}">
              <a16:creationId xmlns:a16="http://schemas.microsoft.com/office/drawing/2014/main" id="{DBD9EB33-023C-426C-AE7A-CA4A9D3A81B7}"/>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50799</xdr:rowOff>
    </xdr:from>
    <xdr:to>
      <xdr:col>21</xdr:col>
      <xdr:colOff>419100</xdr:colOff>
      <xdr:row>30</xdr:row>
      <xdr:rowOff>20887</xdr:rowOff>
    </xdr:to>
    <xdr:sp macro="" textlink="">
      <xdr:nvSpPr>
        <xdr:cNvPr id="293904" name="Text Box 16" hidden="1">
          <a:extLst>
            <a:ext uri="{FF2B5EF4-FFF2-40B4-BE49-F238E27FC236}">
              <a16:creationId xmlns:a16="http://schemas.microsoft.com/office/drawing/2014/main" id="{773F0D6C-6EAB-46C3-A076-FFEFF612EFB3}"/>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52852</xdr:rowOff>
    </xdr:from>
    <xdr:to>
      <xdr:col>13</xdr:col>
      <xdr:colOff>0</xdr:colOff>
      <xdr:row>85</xdr:row>
      <xdr:rowOff>34541</xdr:rowOff>
    </xdr:to>
    <xdr:sp macro="" textlink="">
      <xdr:nvSpPr>
        <xdr:cNvPr id="293903" name="Text Box 15" hidden="1">
          <a:extLst>
            <a:ext uri="{FF2B5EF4-FFF2-40B4-BE49-F238E27FC236}">
              <a16:creationId xmlns:a16="http://schemas.microsoft.com/office/drawing/2014/main" id="{54EEE69D-FD9D-4DC1-95C3-6338D5AD6D77}"/>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43905</xdr:rowOff>
    </xdr:from>
    <xdr:to>
      <xdr:col>21</xdr:col>
      <xdr:colOff>266700</xdr:colOff>
      <xdr:row>98</xdr:row>
      <xdr:rowOff>53127</xdr:rowOff>
    </xdr:to>
    <xdr:sp macro="" textlink="">
      <xdr:nvSpPr>
        <xdr:cNvPr id="293902" name="Text Box 14" hidden="1">
          <a:extLst>
            <a:ext uri="{FF2B5EF4-FFF2-40B4-BE49-F238E27FC236}">
              <a16:creationId xmlns:a16="http://schemas.microsoft.com/office/drawing/2014/main" id="{F7AE9D25-33AB-4B08-B99B-754E426F6B9E}"/>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01" name="Text Box 13" hidden="1">
          <a:extLst>
            <a:ext uri="{FF2B5EF4-FFF2-40B4-BE49-F238E27FC236}">
              <a16:creationId xmlns:a16="http://schemas.microsoft.com/office/drawing/2014/main" id="{C7FA5DC9-9DC5-46CB-A873-0EEB4CBEC103}"/>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83</xdr:row>
      <xdr:rowOff>154835</xdr:rowOff>
    </xdr:from>
    <xdr:to>
      <xdr:col>4</xdr:col>
      <xdr:colOff>133350</xdr:colOff>
      <xdr:row>85</xdr:row>
      <xdr:rowOff>435029</xdr:rowOff>
    </xdr:to>
    <xdr:sp macro="" textlink="">
      <xdr:nvSpPr>
        <xdr:cNvPr id="293900" name="Text Box 12" hidden="1">
          <a:extLst>
            <a:ext uri="{FF2B5EF4-FFF2-40B4-BE49-F238E27FC236}">
              <a16:creationId xmlns:a16="http://schemas.microsoft.com/office/drawing/2014/main" id="{A870F692-4263-41B1-8A35-550F35C8A241}"/>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98</xdr:row>
      <xdr:rowOff>91227</xdr:rowOff>
    </xdr:from>
    <xdr:to>
      <xdr:col>4</xdr:col>
      <xdr:colOff>133350</xdr:colOff>
      <xdr:row>101</xdr:row>
      <xdr:rowOff>162121</xdr:rowOff>
    </xdr:to>
    <xdr:sp macro="" textlink="">
      <xdr:nvSpPr>
        <xdr:cNvPr id="293899" name="Text Box 11" hidden="1">
          <a:extLst>
            <a:ext uri="{FF2B5EF4-FFF2-40B4-BE49-F238E27FC236}">
              <a16:creationId xmlns:a16="http://schemas.microsoft.com/office/drawing/2014/main" id="{BD907220-6F42-4A24-9F6B-B304CDE65EE0}"/>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93918" name="Text Box 30" hidden="1">
          <a:extLst>
            <a:ext uri="{FF2B5EF4-FFF2-40B4-BE49-F238E27FC236}">
              <a16:creationId xmlns:a16="http://schemas.microsoft.com/office/drawing/2014/main" id="{B2E1EA6C-0375-463A-BA05-D54B5FC3862C}"/>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4</xdr:col>
      <xdr:colOff>800100</xdr:colOff>
      <xdr:row>57</xdr:row>
      <xdr:rowOff>12593</xdr:rowOff>
    </xdr:to>
    <xdr:sp macro="" textlink="">
      <xdr:nvSpPr>
        <xdr:cNvPr id="293917" name="Text Box 29" hidden="1">
          <a:extLst>
            <a:ext uri="{FF2B5EF4-FFF2-40B4-BE49-F238E27FC236}">
              <a16:creationId xmlns:a16="http://schemas.microsoft.com/office/drawing/2014/main" id="{8801CE6A-F259-4898-A62D-2DC4E7A4316C}"/>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93916" name="Text Box 28" hidden="1">
          <a:extLst>
            <a:ext uri="{FF2B5EF4-FFF2-40B4-BE49-F238E27FC236}">
              <a16:creationId xmlns:a16="http://schemas.microsoft.com/office/drawing/2014/main" id="{6312F2BE-F356-4382-B40C-9E512E8986AB}"/>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161158</xdr:rowOff>
    </xdr:from>
    <xdr:to>
      <xdr:col>20</xdr:col>
      <xdr:colOff>381000</xdr:colOff>
      <xdr:row>97</xdr:row>
      <xdr:rowOff>168604</xdr:rowOff>
    </xdr:to>
    <xdr:sp macro="" textlink="">
      <xdr:nvSpPr>
        <xdr:cNvPr id="293915" name="Text Box 27" hidden="1">
          <a:extLst>
            <a:ext uri="{FF2B5EF4-FFF2-40B4-BE49-F238E27FC236}">
              <a16:creationId xmlns:a16="http://schemas.microsoft.com/office/drawing/2014/main" id="{606E5DAA-DF8D-4557-B462-96985283BBF8}"/>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50799</xdr:rowOff>
    </xdr:from>
    <xdr:to>
      <xdr:col>21</xdr:col>
      <xdr:colOff>419100</xdr:colOff>
      <xdr:row>30</xdr:row>
      <xdr:rowOff>20887</xdr:rowOff>
    </xdr:to>
    <xdr:sp macro="" textlink="">
      <xdr:nvSpPr>
        <xdr:cNvPr id="293914" name="Text Box 26" hidden="1">
          <a:extLst>
            <a:ext uri="{FF2B5EF4-FFF2-40B4-BE49-F238E27FC236}">
              <a16:creationId xmlns:a16="http://schemas.microsoft.com/office/drawing/2014/main" id="{884887B6-232C-4031-A623-49A23BF28F6D}"/>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52852</xdr:rowOff>
    </xdr:from>
    <xdr:to>
      <xdr:col>13</xdr:col>
      <xdr:colOff>0</xdr:colOff>
      <xdr:row>85</xdr:row>
      <xdr:rowOff>34541</xdr:rowOff>
    </xdr:to>
    <xdr:sp macro="" textlink="">
      <xdr:nvSpPr>
        <xdr:cNvPr id="293913" name="Text Box 25" hidden="1">
          <a:extLst>
            <a:ext uri="{FF2B5EF4-FFF2-40B4-BE49-F238E27FC236}">
              <a16:creationId xmlns:a16="http://schemas.microsoft.com/office/drawing/2014/main" id="{6FA5BD45-CED1-4A00-AD86-DD02A8F62B8C}"/>
            </a:ext>
          </a:extLst>
        </xdr:cNvPr>
        <xdr:cNvSpPr txBox="1">
          <a:spLocks noChangeArrowheads="1"/>
        </xdr:cNvSpPr>
      </xdr:nvSpPr>
      <xdr:spPr bwMode="auto">
        <a:xfrm>
          <a:off x="8737600" y="1868170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43905</xdr:rowOff>
    </xdr:from>
    <xdr:to>
      <xdr:col>21</xdr:col>
      <xdr:colOff>266700</xdr:colOff>
      <xdr:row>98</xdr:row>
      <xdr:rowOff>53127</xdr:rowOff>
    </xdr:to>
    <xdr:sp macro="" textlink="">
      <xdr:nvSpPr>
        <xdr:cNvPr id="293912" name="Text Box 24" hidden="1">
          <a:extLst>
            <a:ext uri="{FF2B5EF4-FFF2-40B4-BE49-F238E27FC236}">
              <a16:creationId xmlns:a16="http://schemas.microsoft.com/office/drawing/2014/main" id="{D4ACAA66-78EF-4D39-815D-EED2DD3665F4}"/>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11" name="Text Box 23" hidden="1">
          <a:extLst>
            <a:ext uri="{FF2B5EF4-FFF2-40B4-BE49-F238E27FC236}">
              <a16:creationId xmlns:a16="http://schemas.microsoft.com/office/drawing/2014/main" id="{8870F2A7-9904-4ED1-8516-AA6531CFBAAD}"/>
            </a:ext>
          </a:extLst>
        </xdr:cNvPr>
        <xdr:cNvSpPr txBox="1">
          <a:spLocks noChangeArrowheads="1"/>
        </xdr:cNvSpPr>
      </xdr:nvSpPr>
      <xdr:spPr bwMode="auto">
        <a:xfrm>
          <a:off x="871855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83</xdr:row>
      <xdr:rowOff>154835</xdr:rowOff>
    </xdr:from>
    <xdr:to>
      <xdr:col>4</xdr:col>
      <xdr:colOff>133350</xdr:colOff>
      <xdr:row>85</xdr:row>
      <xdr:rowOff>435029</xdr:rowOff>
    </xdr:to>
    <xdr:sp macro="" textlink="">
      <xdr:nvSpPr>
        <xdr:cNvPr id="293910" name="Text Box 22" hidden="1">
          <a:extLst>
            <a:ext uri="{FF2B5EF4-FFF2-40B4-BE49-F238E27FC236}">
              <a16:creationId xmlns:a16="http://schemas.microsoft.com/office/drawing/2014/main" id="{6260F265-9379-49E2-BAF0-F2ED08F458DB}"/>
            </a:ext>
          </a:extLst>
        </xdr:cNvPr>
        <xdr:cNvSpPr txBox="1">
          <a:spLocks noChangeArrowheads="1"/>
        </xdr:cNvSpPr>
      </xdr:nvSpPr>
      <xdr:spPr bwMode="auto">
        <a:xfrm>
          <a:off x="3511550" y="19107150"/>
          <a:ext cx="13208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98</xdr:row>
      <xdr:rowOff>91227</xdr:rowOff>
    </xdr:from>
    <xdr:to>
      <xdr:col>4</xdr:col>
      <xdr:colOff>133350</xdr:colOff>
      <xdr:row>101</xdr:row>
      <xdr:rowOff>162121</xdr:rowOff>
    </xdr:to>
    <xdr:sp macro="" textlink="">
      <xdr:nvSpPr>
        <xdr:cNvPr id="293909" name="Text Box 21" hidden="1">
          <a:extLst>
            <a:ext uri="{FF2B5EF4-FFF2-40B4-BE49-F238E27FC236}">
              <a16:creationId xmlns:a16="http://schemas.microsoft.com/office/drawing/2014/main" id="{AAB2EA4F-E386-4D01-982E-EC5155D176D8}"/>
            </a:ext>
          </a:extLst>
        </xdr:cNvPr>
        <xdr:cNvSpPr txBox="1">
          <a:spLocks noChangeArrowheads="1"/>
        </xdr:cNvSpPr>
      </xdr:nvSpPr>
      <xdr:spPr bwMode="auto">
        <a:xfrm>
          <a:off x="3511550" y="2255520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137728</xdr:rowOff>
    </xdr:to>
    <xdr:sp macro="" textlink="">
      <xdr:nvSpPr>
        <xdr:cNvPr id="293928" name="Text Box 40" hidden="1">
          <a:extLst>
            <a:ext uri="{FF2B5EF4-FFF2-40B4-BE49-F238E27FC236}">
              <a16:creationId xmlns:a16="http://schemas.microsoft.com/office/drawing/2014/main" id="{6A9F0DBB-4C56-48C3-ABCF-464DD54B0B77}"/>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4</xdr:col>
      <xdr:colOff>800100</xdr:colOff>
      <xdr:row>57</xdr:row>
      <xdr:rowOff>12593</xdr:rowOff>
    </xdr:to>
    <xdr:sp macro="" textlink="">
      <xdr:nvSpPr>
        <xdr:cNvPr id="293927" name="Text Box 39" hidden="1">
          <a:extLst>
            <a:ext uri="{FF2B5EF4-FFF2-40B4-BE49-F238E27FC236}">
              <a16:creationId xmlns:a16="http://schemas.microsoft.com/office/drawing/2014/main" id="{F8434335-8BD3-4D5E-A177-655A820DECAD}"/>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137728</xdr:rowOff>
    </xdr:to>
    <xdr:sp macro="" textlink="">
      <xdr:nvSpPr>
        <xdr:cNvPr id="293926" name="Text Box 38" hidden="1">
          <a:extLst>
            <a:ext uri="{FF2B5EF4-FFF2-40B4-BE49-F238E27FC236}">
              <a16:creationId xmlns:a16="http://schemas.microsoft.com/office/drawing/2014/main" id="{F7A2B2FF-6DAE-41B3-960A-647E8CE0E6D1}"/>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161158</xdr:rowOff>
    </xdr:from>
    <xdr:to>
      <xdr:col>20</xdr:col>
      <xdr:colOff>381000</xdr:colOff>
      <xdr:row>97</xdr:row>
      <xdr:rowOff>168604</xdr:rowOff>
    </xdr:to>
    <xdr:sp macro="" textlink="">
      <xdr:nvSpPr>
        <xdr:cNvPr id="293925" name="Text Box 37" hidden="1">
          <a:extLst>
            <a:ext uri="{FF2B5EF4-FFF2-40B4-BE49-F238E27FC236}">
              <a16:creationId xmlns:a16="http://schemas.microsoft.com/office/drawing/2014/main" id="{948A30CE-1213-4705-BC4B-36387289EF7D}"/>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50799</xdr:rowOff>
    </xdr:from>
    <xdr:to>
      <xdr:col>21</xdr:col>
      <xdr:colOff>419100</xdr:colOff>
      <xdr:row>30</xdr:row>
      <xdr:rowOff>20887</xdr:rowOff>
    </xdr:to>
    <xdr:sp macro="" textlink="">
      <xdr:nvSpPr>
        <xdr:cNvPr id="293924" name="Text Box 36" hidden="1">
          <a:extLst>
            <a:ext uri="{FF2B5EF4-FFF2-40B4-BE49-F238E27FC236}">
              <a16:creationId xmlns:a16="http://schemas.microsoft.com/office/drawing/2014/main" id="{E79A4A16-D1A4-44B7-8C31-3CD29328D54C}"/>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85</xdr:row>
      <xdr:rowOff>13904</xdr:rowOff>
    </xdr:to>
    <xdr:sp macro="" textlink="">
      <xdr:nvSpPr>
        <xdr:cNvPr id="293923" name="Text Box 35" hidden="1">
          <a:extLst>
            <a:ext uri="{FF2B5EF4-FFF2-40B4-BE49-F238E27FC236}">
              <a16:creationId xmlns:a16="http://schemas.microsoft.com/office/drawing/2014/main" id="{BC75D42F-5419-4EC5-820C-9BCED42AA7EF}"/>
            </a:ext>
          </a:extLst>
        </xdr:cNvPr>
        <xdr:cNvSpPr txBox="1">
          <a:spLocks noChangeArrowheads="1"/>
        </xdr:cNvSpPr>
      </xdr:nvSpPr>
      <xdr:spPr bwMode="auto">
        <a:xfrm>
          <a:off x="8737600" y="1866265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43905</xdr:rowOff>
    </xdr:from>
    <xdr:to>
      <xdr:col>21</xdr:col>
      <xdr:colOff>266700</xdr:colOff>
      <xdr:row>98</xdr:row>
      <xdr:rowOff>53127</xdr:rowOff>
    </xdr:to>
    <xdr:sp macro="" textlink="">
      <xdr:nvSpPr>
        <xdr:cNvPr id="293922" name="Text Box 34" hidden="1">
          <a:extLst>
            <a:ext uri="{FF2B5EF4-FFF2-40B4-BE49-F238E27FC236}">
              <a16:creationId xmlns:a16="http://schemas.microsoft.com/office/drawing/2014/main" id="{47818C34-E616-4C45-B7DE-32AF00F869E8}"/>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293921" name="Text Box 33" hidden="1">
          <a:extLst>
            <a:ext uri="{FF2B5EF4-FFF2-40B4-BE49-F238E27FC236}">
              <a16:creationId xmlns:a16="http://schemas.microsoft.com/office/drawing/2014/main" id="{604F62BE-5642-4DA9-93D5-0FAF95BB142C}"/>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83</xdr:row>
      <xdr:rowOff>154835</xdr:rowOff>
    </xdr:from>
    <xdr:to>
      <xdr:col>4</xdr:col>
      <xdr:colOff>114300</xdr:colOff>
      <xdr:row>85</xdr:row>
      <xdr:rowOff>409629</xdr:rowOff>
    </xdr:to>
    <xdr:sp macro="" textlink="">
      <xdr:nvSpPr>
        <xdr:cNvPr id="293920" name="Text Box 32" hidden="1">
          <a:extLst>
            <a:ext uri="{FF2B5EF4-FFF2-40B4-BE49-F238E27FC236}">
              <a16:creationId xmlns:a16="http://schemas.microsoft.com/office/drawing/2014/main" id="{672E5FD3-2777-4DD8-B59B-EC7AA0CD0EEE}"/>
            </a:ext>
          </a:extLst>
        </xdr:cNvPr>
        <xdr:cNvSpPr txBox="1">
          <a:spLocks noChangeArrowheads="1"/>
        </xdr:cNvSpPr>
      </xdr:nvSpPr>
      <xdr:spPr bwMode="auto">
        <a:xfrm>
          <a:off x="3492500" y="191071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98</xdr:row>
      <xdr:rowOff>91227</xdr:rowOff>
    </xdr:from>
    <xdr:to>
      <xdr:col>4</xdr:col>
      <xdr:colOff>114300</xdr:colOff>
      <xdr:row>101</xdr:row>
      <xdr:rowOff>143071</xdr:rowOff>
    </xdr:to>
    <xdr:sp macro="" textlink="">
      <xdr:nvSpPr>
        <xdr:cNvPr id="293919" name="Text Box 31" hidden="1">
          <a:extLst>
            <a:ext uri="{FF2B5EF4-FFF2-40B4-BE49-F238E27FC236}">
              <a16:creationId xmlns:a16="http://schemas.microsoft.com/office/drawing/2014/main" id="{2BCFB714-DF4E-493D-A49A-8B2A4B8BBE60}"/>
            </a:ext>
          </a:extLst>
        </xdr:cNvPr>
        <xdr:cNvSpPr txBox="1">
          <a:spLocks noChangeArrowheads="1"/>
        </xdr:cNvSpPr>
      </xdr:nvSpPr>
      <xdr:spPr bwMode="auto">
        <a:xfrm>
          <a:off x="3492500" y="2255520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137728</xdr:rowOff>
    </xdr:to>
    <xdr:sp macro="" textlink="">
      <xdr:nvSpPr>
        <xdr:cNvPr id="306187" name="Text Box 11" hidden="1">
          <a:extLst>
            <a:ext uri="{FF2B5EF4-FFF2-40B4-BE49-F238E27FC236}">
              <a16:creationId xmlns:a16="http://schemas.microsoft.com/office/drawing/2014/main" id="{5B811DD8-6A0A-4A9E-AB81-4878733C605A}"/>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4</xdr:col>
      <xdr:colOff>800100</xdr:colOff>
      <xdr:row>57</xdr:row>
      <xdr:rowOff>12593</xdr:rowOff>
    </xdr:to>
    <xdr:sp macro="" textlink="">
      <xdr:nvSpPr>
        <xdr:cNvPr id="306186" name="Text Box 10" hidden="1">
          <a:extLst>
            <a:ext uri="{FF2B5EF4-FFF2-40B4-BE49-F238E27FC236}">
              <a16:creationId xmlns:a16="http://schemas.microsoft.com/office/drawing/2014/main" id="{03EFAF25-C483-4107-AC02-8241EDC8CC5E}"/>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137728</xdr:rowOff>
    </xdr:to>
    <xdr:sp macro="" textlink="">
      <xdr:nvSpPr>
        <xdr:cNvPr id="306185" name="Text Box 9" hidden="1">
          <a:extLst>
            <a:ext uri="{FF2B5EF4-FFF2-40B4-BE49-F238E27FC236}">
              <a16:creationId xmlns:a16="http://schemas.microsoft.com/office/drawing/2014/main" id="{FEF944FD-B7BF-4126-9B62-D0BF1EA91ECC}"/>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114</xdr:row>
      <xdr:rowOff>57561</xdr:rowOff>
    </xdr:from>
    <xdr:to>
      <xdr:col>20</xdr:col>
      <xdr:colOff>381000</xdr:colOff>
      <xdr:row>127</xdr:row>
      <xdr:rowOff>59016</xdr:rowOff>
    </xdr:to>
    <xdr:sp macro="" textlink="">
      <xdr:nvSpPr>
        <xdr:cNvPr id="306184" name="Text Box 8" hidden="1">
          <a:extLst>
            <a:ext uri="{FF2B5EF4-FFF2-40B4-BE49-F238E27FC236}">
              <a16:creationId xmlns:a16="http://schemas.microsoft.com/office/drawing/2014/main" id="{7A5FC83F-9294-4103-A171-0759B4B54087}"/>
            </a:ext>
          </a:extLst>
        </xdr:cNvPr>
        <xdr:cNvSpPr txBox="1">
          <a:spLocks noChangeArrowheads="1"/>
        </xdr:cNvSpPr>
      </xdr:nvSpPr>
      <xdr:spPr bwMode="auto">
        <a:xfrm>
          <a:off x="12525375" y="25946100"/>
          <a:ext cx="1400175"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50799</xdr:rowOff>
    </xdr:from>
    <xdr:to>
      <xdr:col>21</xdr:col>
      <xdr:colOff>419100</xdr:colOff>
      <xdr:row>30</xdr:row>
      <xdr:rowOff>20887</xdr:rowOff>
    </xdr:to>
    <xdr:sp macro="" textlink="">
      <xdr:nvSpPr>
        <xdr:cNvPr id="306183" name="Text Box 7" hidden="1">
          <a:extLst>
            <a:ext uri="{FF2B5EF4-FFF2-40B4-BE49-F238E27FC236}">
              <a16:creationId xmlns:a16="http://schemas.microsoft.com/office/drawing/2014/main" id="{FC2C127B-B0E7-463E-8E1A-34E90DF08D5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85</xdr:row>
      <xdr:rowOff>13904</xdr:rowOff>
    </xdr:to>
    <xdr:sp macro="" textlink="">
      <xdr:nvSpPr>
        <xdr:cNvPr id="306182" name="Text Box 6" hidden="1">
          <a:extLst>
            <a:ext uri="{FF2B5EF4-FFF2-40B4-BE49-F238E27FC236}">
              <a16:creationId xmlns:a16="http://schemas.microsoft.com/office/drawing/2014/main" id="{317A9970-CE61-4FF1-AB73-BCB4914D991A}"/>
            </a:ext>
          </a:extLst>
        </xdr:cNvPr>
        <xdr:cNvSpPr txBox="1">
          <a:spLocks noChangeArrowheads="1"/>
        </xdr:cNvSpPr>
      </xdr:nvSpPr>
      <xdr:spPr bwMode="auto">
        <a:xfrm>
          <a:off x="8324850" y="1886902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114</xdr:row>
      <xdr:rowOff>57561</xdr:rowOff>
    </xdr:from>
    <xdr:to>
      <xdr:col>21</xdr:col>
      <xdr:colOff>266700</xdr:colOff>
      <xdr:row>123</xdr:row>
      <xdr:rowOff>86824</xdr:rowOff>
    </xdr:to>
    <xdr:sp macro="" textlink="">
      <xdr:nvSpPr>
        <xdr:cNvPr id="306181" name="Text Box 5" hidden="1">
          <a:extLst>
            <a:ext uri="{FF2B5EF4-FFF2-40B4-BE49-F238E27FC236}">
              <a16:creationId xmlns:a16="http://schemas.microsoft.com/office/drawing/2014/main" id="{DB0B4CFD-C24C-4798-B11D-540EE196C880}"/>
            </a:ext>
          </a:extLst>
        </xdr:cNvPr>
        <xdr:cNvSpPr txBox="1">
          <a:spLocks noChangeArrowheads="1"/>
        </xdr:cNvSpPr>
      </xdr:nvSpPr>
      <xdr:spPr bwMode="auto">
        <a:xfrm>
          <a:off x="13077825" y="259461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80" name="Text Box 4" hidden="1">
          <a:extLst>
            <a:ext uri="{FF2B5EF4-FFF2-40B4-BE49-F238E27FC236}">
              <a16:creationId xmlns:a16="http://schemas.microsoft.com/office/drawing/2014/main" id="{DCBDF7EB-6470-4E89-8319-AF479B9A9FD1}"/>
            </a:ext>
          </a:extLst>
        </xdr:cNvPr>
        <xdr:cNvSpPr txBox="1">
          <a:spLocks noChangeArrowheads="1"/>
        </xdr:cNvSpPr>
      </xdr:nvSpPr>
      <xdr:spPr bwMode="auto">
        <a:xfrm>
          <a:off x="828675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83</xdr:row>
      <xdr:rowOff>154835</xdr:rowOff>
    </xdr:from>
    <xdr:to>
      <xdr:col>4</xdr:col>
      <xdr:colOff>114300</xdr:colOff>
      <xdr:row>85</xdr:row>
      <xdr:rowOff>409629</xdr:rowOff>
    </xdr:to>
    <xdr:sp macro="" textlink="">
      <xdr:nvSpPr>
        <xdr:cNvPr id="306179" name="Text Box 3" hidden="1">
          <a:extLst>
            <a:ext uri="{FF2B5EF4-FFF2-40B4-BE49-F238E27FC236}">
              <a16:creationId xmlns:a16="http://schemas.microsoft.com/office/drawing/2014/main" id="{71F2872E-7126-4895-B430-D010004E8D3F}"/>
            </a:ext>
          </a:extLst>
        </xdr:cNvPr>
        <xdr:cNvSpPr txBox="1">
          <a:spLocks noChangeArrowheads="1"/>
        </xdr:cNvSpPr>
      </xdr:nvSpPr>
      <xdr:spPr bwMode="auto">
        <a:xfrm>
          <a:off x="3333750" y="19326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114</xdr:row>
      <xdr:rowOff>57561</xdr:rowOff>
    </xdr:from>
    <xdr:to>
      <xdr:col>4</xdr:col>
      <xdr:colOff>114300</xdr:colOff>
      <xdr:row>121</xdr:row>
      <xdr:rowOff>87234</xdr:rowOff>
    </xdr:to>
    <xdr:sp macro="" textlink="">
      <xdr:nvSpPr>
        <xdr:cNvPr id="306178" name="Text Box 2" hidden="1">
          <a:extLst>
            <a:ext uri="{FF2B5EF4-FFF2-40B4-BE49-F238E27FC236}">
              <a16:creationId xmlns:a16="http://schemas.microsoft.com/office/drawing/2014/main" id="{CBC0F275-A953-4670-BF04-43E83DB0B585}"/>
            </a:ext>
          </a:extLst>
        </xdr:cNvPr>
        <xdr:cNvSpPr txBox="1">
          <a:spLocks noChangeArrowheads="1"/>
        </xdr:cNvSpPr>
      </xdr:nvSpPr>
      <xdr:spPr bwMode="auto">
        <a:xfrm>
          <a:off x="3333750" y="25946100"/>
          <a:ext cx="1257300" cy="1314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12</xdr:row>
      <xdr:rowOff>114300</xdr:rowOff>
    </xdr:from>
    <xdr:to>
      <xdr:col>23</xdr:col>
      <xdr:colOff>266700</xdr:colOff>
      <xdr:row>15</xdr:row>
      <xdr:rowOff>323850</xdr:rowOff>
    </xdr:to>
    <xdr:sp macro="" textlink="">
      <xdr:nvSpPr>
        <xdr:cNvPr id="306177" name="Text Box 1" hidden="1">
          <a:extLst>
            <a:ext uri="{FF2B5EF4-FFF2-40B4-BE49-F238E27FC236}">
              <a16:creationId xmlns:a16="http://schemas.microsoft.com/office/drawing/2014/main" id="{B8A13A94-88F4-40E7-BDF5-9BB766477BDF}"/>
            </a:ext>
          </a:extLst>
        </xdr:cNvPr>
        <xdr:cNvSpPr txBox="1">
          <a:spLocks noChangeArrowheads="1"/>
        </xdr:cNvSpPr>
      </xdr:nvSpPr>
      <xdr:spPr bwMode="auto">
        <a:xfrm>
          <a:off x="14182725" y="31051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85</xdr:row>
      <xdr:rowOff>139700</xdr:rowOff>
    </xdr:from>
    <xdr:to>
      <xdr:col>5</xdr:col>
      <xdr:colOff>0</xdr:colOff>
      <xdr:row>92</xdr:row>
      <xdr:rowOff>174624</xdr:rowOff>
    </xdr:to>
    <xdr:sp macro="" textlink="">
      <xdr:nvSpPr>
        <xdr:cNvPr id="306198" name="Text Box 22" hidden="1">
          <a:extLst>
            <a:ext uri="{FF2B5EF4-FFF2-40B4-BE49-F238E27FC236}">
              <a16:creationId xmlns:a16="http://schemas.microsoft.com/office/drawing/2014/main" id="{A3039B22-B2F8-4416-BDD4-54B334684259}"/>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85</xdr:row>
      <xdr:rowOff>139700</xdr:rowOff>
    </xdr:from>
    <xdr:to>
      <xdr:col>4</xdr:col>
      <xdr:colOff>800100</xdr:colOff>
      <xdr:row>85</xdr:row>
      <xdr:rowOff>177800</xdr:rowOff>
    </xdr:to>
    <xdr:sp macro="" textlink="">
      <xdr:nvSpPr>
        <xdr:cNvPr id="306197" name="Text Box 21" hidden="1">
          <a:extLst>
            <a:ext uri="{FF2B5EF4-FFF2-40B4-BE49-F238E27FC236}">
              <a16:creationId xmlns:a16="http://schemas.microsoft.com/office/drawing/2014/main" id="{268DE216-4DAA-4D3A-A76E-485D30460B37}"/>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85</xdr:row>
      <xdr:rowOff>139700</xdr:rowOff>
    </xdr:from>
    <xdr:to>
      <xdr:col>5</xdr:col>
      <xdr:colOff>0</xdr:colOff>
      <xdr:row>92</xdr:row>
      <xdr:rowOff>174624</xdr:rowOff>
    </xdr:to>
    <xdr:sp macro="" textlink="">
      <xdr:nvSpPr>
        <xdr:cNvPr id="306196" name="Text Box 20" hidden="1">
          <a:extLst>
            <a:ext uri="{FF2B5EF4-FFF2-40B4-BE49-F238E27FC236}">
              <a16:creationId xmlns:a16="http://schemas.microsoft.com/office/drawing/2014/main" id="{F8319C4F-11C5-4DDA-BCFA-A913C39D51D2}"/>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195" name="Text Box 19" hidden="1">
          <a:extLst>
            <a:ext uri="{FF2B5EF4-FFF2-40B4-BE49-F238E27FC236}">
              <a16:creationId xmlns:a16="http://schemas.microsoft.com/office/drawing/2014/main" id="{82AB33E4-39E8-431B-9C3F-8C5D96BECADB}"/>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36511</xdr:rowOff>
    </xdr:from>
    <xdr:to>
      <xdr:col>21</xdr:col>
      <xdr:colOff>419100</xdr:colOff>
      <xdr:row>55</xdr:row>
      <xdr:rowOff>165893</xdr:rowOff>
    </xdr:to>
    <xdr:sp macro="" textlink="">
      <xdr:nvSpPr>
        <xdr:cNvPr id="306194" name="Text Box 18" hidden="1">
          <a:extLst>
            <a:ext uri="{FF2B5EF4-FFF2-40B4-BE49-F238E27FC236}">
              <a16:creationId xmlns:a16="http://schemas.microsoft.com/office/drawing/2014/main" id="{D7BB16F3-1770-4973-BB8D-B24F8B7E2C97}"/>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120</xdr:row>
      <xdr:rowOff>174627</xdr:rowOff>
    </xdr:to>
    <xdr:sp macro="" textlink="">
      <xdr:nvSpPr>
        <xdr:cNvPr id="306193" name="Text Box 17" hidden="1">
          <a:extLst>
            <a:ext uri="{FF2B5EF4-FFF2-40B4-BE49-F238E27FC236}">
              <a16:creationId xmlns:a16="http://schemas.microsoft.com/office/drawing/2014/main" id="{410CA958-3A26-46FA-A41D-EB6638ACABE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192" name="Text Box 16" hidden="1">
          <a:extLst>
            <a:ext uri="{FF2B5EF4-FFF2-40B4-BE49-F238E27FC236}">
              <a16:creationId xmlns:a16="http://schemas.microsoft.com/office/drawing/2014/main" id="{7E9351A4-BF81-4DCA-90A0-54E0BE81E8D2}"/>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91" name="Text Box 15" hidden="1">
          <a:extLst>
            <a:ext uri="{FF2B5EF4-FFF2-40B4-BE49-F238E27FC236}">
              <a16:creationId xmlns:a16="http://schemas.microsoft.com/office/drawing/2014/main" id="{CB36D58D-B02C-4C70-96CE-3CE31F5D828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22227</xdr:rowOff>
    </xdr:to>
    <xdr:sp macro="" textlink="">
      <xdr:nvSpPr>
        <xdr:cNvPr id="306190" name="Text Box 14" hidden="1">
          <a:extLst>
            <a:ext uri="{FF2B5EF4-FFF2-40B4-BE49-F238E27FC236}">
              <a16:creationId xmlns:a16="http://schemas.microsoft.com/office/drawing/2014/main" id="{B1A5FBE6-D157-4E76-AB21-D33A696C990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11907</xdr:rowOff>
    </xdr:to>
    <xdr:sp macro="" textlink="">
      <xdr:nvSpPr>
        <xdr:cNvPr id="306189" name="Text Box 13" hidden="1">
          <a:extLst>
            <a:ext uri="{FF2B5EF4-FFF2-40B4-BE49-F238E27FC236}">
              <a16:creationId xmlns:a16="http://schemas.microsoft.com/office/drawing/2014/main" id="{377B4557-378D-415D-85C6-C38D287A57A3}"/>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61120</xdr:rowOff>
    </xdr:to>
    <xdr:sp macro="" textlink="">
      <xdr:nvSpPr>
        <xdr:cNvPr id="306199" name="Text Box 23" hidden="1">
          <a:extLst>
            <a:ext uri="{FF2B5EF4-FFF2-40B4-BE49-F238E27FC236}">
              <a16:creationId xmlns:a16="http://schemas.microsoft.com/office/drawing/2014/main" id="{B2240279-C95B-4CF5-9DB4-F645FEC779A5}"/>
            </a:ext>
          </a:extLst>
        </xdr:cNvPr>
        <xdr:cNvSpPr txBox="1">
          <a:spLocks noChangeArrowheads="1"/>
        </xdr:cNvSpPr>
      </xdr:nvSpPr>
      <xdr:spPr bwMode="auto">
        <a:xfrm>
          <a:off x="3530600" y="28035250"/>
          <a:ext cx="14351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133350</xdr:rowOff>
    </xdr:from>
    <xdr:to>
      <xdr:col>23</xdr:col>
      <xdr:colOff>266700</xdr:colOff>
      <xdr:row>15</xdr:row>
      <xdr:rowOff>152400</xdr:rowOff>
    </xdr:to>
    <xdr:sp macro="" textlink="">
      <xdr:nvSpPr>
        <xdr:cNvPr id="306200" name="Text Box 24" hidden="1">
          <a:extLst>
            <a:ext uri="{FF2B5EF4-FFF2-40B4-BE49-F238E27FC236}">
              <a16:creationId xmlns:a16="http://schemas.microsoft.com/office/drawing/2014/main" id="{6EAB2794-9286-44B7-B588-4F5C4F4A2E06}"/>
            </a:ext>
          </a:extLst>
        </xdr:cNvPr>
        <xdr:cNvSpPr txBox="1">
          <a:spLocks noChangeArrowheads="1"/>
        </xdr:cNvSpPr>
      </xdr:nvSpPr>
      <xdr:spPr bwMode="auto">
        <a:xfrm>
          <a:off x="14878050" y="29146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85</xdr:row>
      <xdr:rowOff>139700</xdr:rowOff>
    </xdr:from>
    <xdr:to>
      <xdr:col>5</xdr:col>
      <xdr:colOff>0</xdr:colOff>
      <xdr:row>92</xdr:row>
      <xdr:rowOff>174624</xdr:rowOff>
    </xdr:to>
    <xdr:sp macro="" textlink="">
      <xdr:nvSpPr>
        <xdr:cNvPr id="306212" name="Text Box 36" hidden="1">
          <a:extLst>
            <a:ext uri="{FF2B5EF4-FFF2-40B4-BE49-F238E27FC236}">
              <a16:creationId xmlns:a16="http://schemas.microsoft.com/office/drawing/2014/main" id="{8CF77190-207C-46DA-A720-ED738085C808}"/>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85</xdr:row>
      <xdr:rowOff>139700</xdr:rowOff>
    </xdr:from>
    <xdr:to>
      <xdr:col>4</xdr:col>
      <xdr:colOff>800100</xdr:colOff>
      <xdr:row>85</xdr:row>
      <xdr:rowOff>177800</xdr:rowOff>
    </xdr:to>
    <xdr:sp macro="" textlink="">
      <xdr:nvSpPr>
        <xdr:cNvPr id="306211" name="Text Box 35" hidden="1">
          <a:extLst>
            <a:ext uri="{FF2B5EF4-FFF2-40B4-BE49-F238E27FC236}">
              <a16:creationId xmlns:a16="http://schemas.microsoft.com/office/drawing/2014/main" id="{A5CB6D1C-172E-47AB-8407-994172FCE3E2}"/>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85</xdr:row>
      <xdr:rowOff>139700</xdr:rowOff>
    </xdr:from>
    <xdr:to>
      <xdr:col>5</xdr:col>
      <xdr:colOff>0</xdr:colOff>
      <xdr:row>92</xdr:row>
      <xdr:rowOff>174624</xdr:rowOff>
    </xdr:to>
    <xdr:sp macro="" textlink="">
      <xdr:nvSpPr>
        <xdr:cNvPr id="306210" name="Text Box 34" hidden="1">
          <a:extLst>
            <a:ext uri="{FF2B5EF4-FFF2-40B4-BE49-F238E27FC236}">
              <a16:creationId xmlns:a16="http://schemas.microsoft.com/office/drawing/2014/main" id="{17C49B12-8080-4D62-BC2A-BC75A30CD623}"/>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209" name="Text Box 33" hidden="1">
          <a:extLst>
            <a:ext uri="{FF2B5EF4-FFF2-40B4-BE49-F238E27FC236}">
              <a16:creationId xmlns:a16="http://schemas.microsoft.com/office/drawing/2014/main" id="{3A8D6E41-5676-43B3-8C00-1737BDE6BB9C}"/>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36511</xdr:rowOff>
    </xdr:from>
    <xdr:to>
      <xdr:col>21</xdr:col>
      <xdr:colOff>419100</xdr:colOff>
      <xdr:row>55</xdr:row>
      <xdr:rowOff>165893</xdr:rowOff>
    </xdr:to>
    <xdr:sp macro="" textlink="">
      <xdr:nvSpPr>
        <xdr:cNvPr id="306208" name="Text Box 32" hidden="1">
          <a:extLst>
            <a:ext uri="{FF2B5EF4-FFF2-40B4-BE49-F238E27FC236}">
              <a16:creationId xmlns:a16="http://schemas.microsoft.com/office/drawing/2014/main" id="{66064FA6-4095-462E-9655-9D63913F338B}"/>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120</xdr:row>
      <xdr:rowOff>174627</xdr:rowOff>
    </xdr:to>
    <xdr:sp macro="" textlink="">
      <xdr:nvSpPr>
        <xdr:cNvPr id="306207" name="Text Box 31" hidden="1">
          <a:extLst>
            <a:ext uri="{FF2B5EF4-FFF2-40B4-BE49-F238E27FC236}">
              <a16:creationId xmlns:a16="http://schemas.microsoft.com/office/drawing/2014/main" id="{EBD731C1-D238-45CE-A131-3CAABF84A84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206" name="Text Box 30" hidden="1">
          <a:extLst>
            <a:ext uri="{FF2B5EF4-FFF2-40B4-BE49-F238E27FC236}">
              <a16:creationId xmlns:a16="http://schemas.microsoft.com/office/drawing/2014/main" id="{34F1671E-919F-4F5C-AFE6-12666F08C891}"/>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05" name="Text Box 29" hidden="1">
          <a:extLst>
            <a:ext uri="{FF2B5EF4-FFF2-40B4-BE49-F238E27FC236}">
              <a16:creationId xmlns:a16="http://schemas.microsoft.com/office/drawing/2014/main" id="{26DC3CE1-3042-49C7-B2FF-F62A68F1559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22227</xdr:rowOff>
    </xdr:to>
    <xdr:sp macro="" textlink="">
      <xdr:nvSpPr>
        <xdr:cNvPr id="306204" name="Text Box 28" hidden="1">
          <a:extLst>
            <a:ext uri="{FF2B5EF4-FFF2-40B4-BE49-F238E27FC236}">
              <a16:creationId xmlns:a16="http://schemas.microsoft.com/office/drawing/2014/main" id="{5E818C6F-1C37-4FBC-867C-715EE6C79D6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11907</xdr:rowOff>
    </xdr:to>
    <xdr:sp macro="" textlink="">
      <xdr:nvSpPr>
        <xdr:cNvPr id="306203" name="Text Box 27" hidden="1">
          <a:extLst>
            <a:ext uri="{FF2B5EF4-FFF2-40B4-BE49-F238E27FC236}">
              <a16:creationId xmlns:a16="http://schemas.microsoft.com/office/drawing/2014/main" id="{34560232-ABD8-43C3-A10F-2AB2C86DCB57}"/>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61120</xdr:rowOff>
    </xdr:to>
    <xdr:sp macro="" textlink="">
      <xdr:nvSpPr>
        <xdr:cNvPr id="306202" name="Text Box 26" hidden="1">
          <a:extLst>
            <a:ext uri="{FF2B5EF4-FFF2-40B4-BE49-F238E27FC236}">
              <a16:creationId xmlns:a16="http://schemas.microsoft.com/office/drawing/2014/main" id="{C4F9A626-DDAF-4BF2-B00A-5B396048273B}"/>
            </a:ext>
          </a:extLst>
        </xdr:cNvPr>
        <xdr:cNvSpPr txBox="1">
          <a:spLocks noChangeArrowheads="1"/>
        </xdr:cNvSpPr>
      </xdr:nvSpPr>
      <xdr:spPr bwMode="auto">
        <a:xfrm>
          <a:off x="3530600" y="28035250"/>
          <a:ext cx="14351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01" name="Text Box 25" hidden="1">
          <a:extLst>
            <a:ext uri="{FF2B5EF4-FFF2-40B4-BE49-F238E27FC236}">
              <a16:creationId xmlns:a16="http://schemas.microsoft.com/office/drawing/2014/main" id="{A52E1C00-33FE-4935-956D-793F857F2ECB}"/>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52</xdr:row>
      <xdr:rowOff>34131</xdr:rowOff>
    </xdr:from>
    <xdr:to>
      <xdr:col>5</xdr:col>
      <xdr:colOff>0</xdr:colOff>
      <xdr:row>60</xdr:row>
      <xdr:rowOff>141287</xdr:rowOff>
    </xdr:to>
    <xdr:sp macro="" textlink="">
      <xdr:nvSpPr>
        <xdr:cNvPr id="306224" name="Text Box 48" hidden="1">
          <a:extLst>
            <a:ext uri="{FF2B5EF4-FFF2-40B4-BE49-F238E27FC236}">
              <a16:creationId xmlns:a16="http://schemas.microsoft.com/office/drawing/2014/main" id="{5302C56D-3501-8AA0-6D62-BF2568D9549C}"/>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52</xdr:row>
      <xdr:rowOff>34131</xdr:rowOff>
    </xdr:from>
    <xdr:to>
      <xdr:col>4</xdr:col>
      <xdr:colOff>800100</xdr:colOff>
      <xdr:row>52</xdr:row>
      <xdr:rowOff>75406</xdr:rowOff>
    </xdr:to>
    <xdr:sp macro="" textlink="">
      <xdr:nvSpPr>
        <xdr:cNvPr id="306223" name="Text Box 47" hidden="1">
          <a:extLst>
            <a:ext uri="{FF2B5EF4-FFF2-40B4-BE49-F238E27FC236}">
              <a16:creationId xmlns:a16="http://schemas.microsoft.com/office/drawing/2014/main" id="{34AE6466-2637-AAC5-7C86-89F45D4DC3DE}"/>
            </a:ext>
          </a:extLst>
        </xdr:cNvPr>
        <xdr:cNvSpPr txBox="1">
          <a:spLocks noChangeArrowheads="1"/>
        </xdr:cNvSpPr>
      </xdr:nvSpPr>
      <xdr:spPr bwMode="auto">
        <a:xfrm>
          <a:off x="4229100" y="124968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52</xdr:row>
      <xdr:rowOff>34131</xdr:rowOff>
    </xdr:from>
    <xdr:to>
      <xdr:col>5</xdr:col>
      <xdr:colOff>0</xdr:colOff>
      <xdr:row>60</xdr:row>
      <xdr:rowOff>141287</xdr:rowOff>
    </xdr:to>
    <xdr:sp macro="" textlink="">
      <xdr:nvSpPr>
        <xdr:cNvPr id="306222" name="Text Box 46" hidden="1">
          <a:extLst>
            <a:ext uri="{FF2B5EF4-FFF2-40B4-BE49-F238E27FC236}">
              <a16:creationId xmlns:a16="http://schemas.microsoft.com/office/drawing/2014/main" id="{240CF804-0DEE-506E-B971-59244EE8A188}"/>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123825</xdr:colOff>
      <xdr:row>108</xdr:row>
      <xdr:rowOff>11907</xdr:rowOff>
    </xdr:from>
    <xdr:to>
      <xdr:col>20</xdr:col>
      <xdr:colOff>381000</xdr:colOff>
      <xdr:row>120</xdr:row>
      <xdr:rowOff>70644</xdr:rowOff>
    </xdr:to>
    <xdr:sp macro="" textlink="">
      <xdr:nvSpPr>
        <xdr:cNvPr id="306221" name="Text Box 45" hidden="1">
          <a:extLst>
            <a:ext uri="{FF2B5EF4-FFF2-40B4-BE49-F238E27FC236}">
              <a16:creationId xmlns:a16="http://schemas.microsoft.com/office/drawing/2014/main" id="{2539E1E6-75FE-88E1-AACF-FB786312F5E7}"/>
            </a:ext>
          </a:extLst>
        </xdr:cNvPr>
        <xdr:cNvSpPr txBox="1">
          <a:spLocks noChangeArrowheads="1"/>
        </xdr:cNvSpPr>
      </xdr:nvSpPr>
      <xdr:spPr bwMode="auto">
        <a:xfrm>
          <a:off x="13163550" y="24422100"/>
          <a:ext cx="1447800" cy="226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123825</xdr:colOff>
      <xdr:row>16</xdr:row>
      <xdr:rowOff>133350</xdr:rowOff>
    </xdr:from>
    <xdr:to>
      <xdr:col>21</xdr:col>
      <xdr:colOff>419100</xdr:colOff>
      <xdr:row>19</xdr:row>
      <xdr:rowOff>152400</xdr:rowOff>
    </xdr:to>
    <xdr:sp macro="" textlink="">
      <xdr:nvSpPr>
        <xdr:cNvPr id="306220" name="Text Box 44" hidden="1">
          <a:extLst>
            <a:ext uri="{FF2B5EF4-FFF2-40B4-BE49-F238E27FC236}">
              <a16:creationId xmlns:a16="http://schemas.microsoft.com/office/drawing/2014/main" id="{25DCD74D-9D22-0992-726F-A7672F0BA018}"/>
            </a:ext>
          </a:extLst>
        </xdr:cNvPr>
        <xdr:cNvSpPr txBox="1">
          <a:spLocks noChangeArrowheads="1"/>
        </xdr:cNvSpPr>
      </xdr:nvSpPr>
      <xdr:spPr bwMode="auto">
        <a:xfrm>
          <a:off x="13779500" y="4076700"/>
          <a:ext cx="1441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123825</xdr:colOff>
      <xdr:row>75</xdr:row>
      <xdr:rowOff>116681</xdr:rowOff>
    </xdr:from>
    <xdr:to>
      <xdr:col>13</xdr:col>
      <xdr:colOff>0</xdr:colOff>
      <xdr:row>85</xdr:row>
      <xdr:rowOff>569119</xdr:rowOff>
    </xdr:to>
    <xdr:sp macro="" textlink="">
      <xdr:nvSpPr>
        <xdr:cNvPr id="306219" name="Text Box 43" hidden="1">
          <a:extLst>
            <a:ext uri="{FF2B5EF4-FFF2-40B4-BE49-F238E27FC236}">
              <a16:creationId xmlns:a16="http://schemas.microsoft.com/office/drawing/2014/main" id="{88094021-8262-238A-E84A-0629C28729D0}"/>
            </a:ext>
          </a:extLst>
        </xdr:cNvPr>
        <xdr:cNvSpPr txBox="1">
          <a:spLocks noChangeArrowheads="1"/>
        </xdr:cNvSpPr>
      </xdr:nvSpPr>
      <xdr:spPr bwMode="auto">
        <a:xfrm>
          <a:off x="8743950" y="17513300"/>
          <a:ext cx="1441450" cy="250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18" name="Text Box 42" hidden="1">
          <a:extLst>
            <a:ext uri="{FF2B5EF4-FFF2-40B4-BE49-F238E27FC236}">
              <a16:creationId xmlns:a16="http://schemas.microsoft.com/office/drawing/2014/main" id="{1026286C-302C-9758-D6B8-99270870BDBA}"/>
            </a:ext>
          </a:extLst>
        </xdr:cNvPr>
        <xdr:cNvSpPr txBox="1">
          <a:spLocks noChangeArrowheads="1"/>
        </xdr:cNvSpPr>
      </xdr:nvSpPr>
      <xdr:spPr bwMode="auto">
        <a:xfrm>
          <a:off x="13735050" y="24422100"/>
          <a:ext cx="1333500" cy="1631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17" name="Text Box 41" hidden="1">
          <a:extLst>
            <a:ext uri="{FF2B5EF4-FFF2-40B4-BE49-F238E27FC236}">
              <a16:creationId xmlns:a16="http://schemas.microsoft.com/office/drawing/2014/main" id="{841BBD42-875C-8A24-7916-1F33DE8EAC8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123825</xdr:colOff>
      <xdr:row>85</xdr:row>
      <xdr:rowOff>540544</xdr:rowOff>
    </xdr:to>
    <xdr:sp macro="" textlink="">
      <xdr:nvSpPr>
        <xdr:cNvPr id="306216" name="Text Box 40" hidden="1">
          <a:extLst>
            <a:ext uri="{FF2B5EF4-FFF2-40B4-BE49-F238E27FC236}">
              <a16:creationId xmlns:a16="http://schemas.microsoft.com/office/drawing/2014/main" id="{1EB794AB-F959-5B5B-F2E5-69CDE00F4CEF}"/>
            </a:ext>
          </a:extLst>
        </xdr:cNvPr>
        <xdr:cNvSpPr txBox="1">
          <a:spLocks noChangeArrowheads="1"/>
        </xdr:cNvSpPr>
      </xdr:nvSpPr>
      <xdr:spPr bwMode="auto">
        <a:xfrm>
          <a:off x="3492500" y="18376900"/>
          <a:ext cx="1327150" cy="161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123825</xdr:colOff>
      <xdr:row>114</xdr:row>
      <xdr:rowOff>51594</xdr:rowOff>
    </xdr:to>
    <xdr:sp macro="" textlink="">
      <xdr:nvSpPr>
        <xdr:cNvPr id="306215" name="Text Box 39" hidden="1">
          <a:extLst>
            <a:ext uri="{FF2B5EF4-FFF2-40B4-BE49-F238E27FC236}">
              <a16:creationId xmlns:a16="http://schemas.microsoft.com/office/drawing/2014/main" id="{92EC50CD-5865-A18F-D2CA-26551C492C0D}"/>
            </a:ext>
          </a:extLst>
        </xdr:cNvPr>
        <xdr:cNvSpPr txBox="1">
          <a:spLocks noChangeArrowheads="1"/>
        </xdr:cNvSpPr>
      </xdr:nvSpPr>
      <xdr:spPr bwMode="auto">
        <a:xfrm>
          <a:off x="3492500" y="24422100"/>
          <a:ext cx="1327150" cy="115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123825</xdr:rowOff>
    </xdr:from>
    <xdr:to>
      <xdr:col>23</xdr:col>
      <xdr:colOff>266700</xdr:colOff>
      <xdr:row>15</xdr:row>
      <xdr:rowOff>152400</xdr:rowOff>
    </xdr:to>
    <xdr:sp macro="" textlink="">
      <xdr:nvSpPr>
        <xdr:cNvPr id="306213" name="Text Box 37" hidden="1">
          <a:extLst>
            <a:ext uri="{FF2B5EF4-FFF2-40B4-BE49-F238E27FC236}">
              <a16:creationId xmlns:a16="http://schemas.microsoft.com/office/drawing/2014/main" id="{BF1417F1-ECB1-0664-4877-057BBFD0B62D}"/>
            </a:ext>
          </a:extLst>
        </xdr:cNvPr>
        <xdr:cNvSpPr txBox="1">
          <a:spLocks noChangeArrowheads="1"/>
        </xdr:cNvSpPr>
      </xdr:nvSpPr>
      <xdr:spPr bwMode="auto">
        <a:xfrm>
          <a:off x="14878050" y="290195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06235" name="Text Box 59" hidden="1">
          <a:extLst>
            <a:ext uri="{FF2B5EF4-FFF2-40B4-BE49-F238E27FC236}">
              <a16:creationId xmlns:a16="http://schemas.microsoft.com/office/drawing/2014/main" id="{0D00DC6B-42F0-C01A-48CF-24839C858F5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06234" name="Text Box 58" hidden="1">
          <a:extLst>
            <a:ext uri="{FF2B5EF4-FFF2-40B4-BE49-F238E27FC236}">
              <a16:creationId xmlns:a16="http://schemas.microsoft.com/office/drawing/2014/main" id="{898B7E11-403D-46C7-83EC-E0F515DB7821}"/>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06233" name="Text Box 57" hidden="1">
          <a:extLst>
            <a:ext uri="{FF2B5EF4-FFF2-40B4-BE49-F238E27FC236}">
              <a16:creationId xmlns:a16="http://schemas.microsoft.com/office/drawing/2014/main" id="{CEB0AE62-A8CF-F481-0B85-9FB0A88F3E2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70644</xdr:rowOff>
    </xdr:to>
    <xdr:sp macro="" textlink="">
      <xdr:nvSpPr>
        <xdr:cNvPr id="306232" name="Text Box 56" hidden="1">
          <a:extLst>
            <a:ext uri="{FF2B5EF4-FFF2-40B4-BE49-F238E27FC236}">
              <a16:creationId xmlns:a16="http://schemas.microsoft.com/office/drawing/2014/main" id="{36F5F04C-D85D-1DA7-5C37-BAAA3DB62282}"/>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06231" name="Text Box 55" hidden="1">
          <a:extLst>
            <a:ext uri="{FF2B5EF4-FFF2-40B4-BE49-F238E27FC236}">
              <a16:creationId xmlns:a16="http://schemas.microsoft.com/office/drawing/2014/main" id="{98D72F2C-1DDB-0A83-F04E-7986652EA1EC}"/>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06230" name="Text Box 54" hidden="1">
          <a:extLst>
            <a:ext uri="{FF2B5EF4-FFF2-40B4-BE49-F238E27FC236}">
              <a16:creationId xmlns:a16="http://schemas.microsoft.com/office/drawing/2014/main" id="{A5641EBA-B25A-4B87-9042-28E69EBBFF29}"/>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29" name="Text Box 53" hidden="1">
          <a:extLst>
            <a:ext uri="{FF2B5EF4-FFF2-40B4-BE49-F238E27FC236}">
              <a16:creationId xmlns:a16="http://schemas.microsoft.com/office/drawing/2014/main" id="{AA09E97E-700D-FDDC-848D-45832F1A894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28" name="Text Box 52" hidden="1">
          <a:extLst>
            <a:ext uri="{FF2B5EF4-FFF2-40B4-BE49-F238E27FC236}">
              <a16:creationId xmlns:a16="http://schemas.microsoft.com/office/drawing/2014/main" id="{E4C1838D-85EA-5B66-6188-2AE53CA397A7}"/>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114300</xdr:colOff>
      <xdr:row>85</xdr:row>
      <xdr:rowOff>531019</xdr:rowOff>
    </xdr:to>
    <xdr:sp macro="" textlink="">
      <xdr:nvSpPr>
        <xdr:cNvPr id="306227" name="Text Box 51" hidden="1">
          <a:extLst>
            <a:ext uri="{FF2B5EF4-FFF2-40B4-BE49-F238E27FC236}">
              <a16:creationId xmlns:a16="http://schemas.microsoft.com/office/drawing/2014/main" id="{D6FFD7A9-5877-546C-9BE1-E83B574342B6}"/>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51594</xdr:rowOff>
    </xdr:to>
    <xdr:sp macro="" textlink="">
      <xdr:nvSpPr>
        <xdr:cNvPr id="306226" name="Text Box 50" hidden="1">
          <a:extLst>
            <a:ext uri="{FF2B5EF4-FFF2-40B4-BE49-F238E27FC236}">
              <a16:creationId xmlns:a16="http://schemas.microsoft.com/office/drawing/2014/main" id="{A6BA0ECE-3DA1-B4CA-5433-FC2CFA0555CD}"/>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25" name="Text Box 49" hidden="1">
          <a:extLst>
            <a:ext uri="{FF2B5EF4-FFF2-40B4-BE49-F238E27FC236}">
              <a16:creationId xmlns:a16="http://schemas.microsoft.com/office/drawing/2014/main" id="{9FB324D6-D676-C502-9235-ADAE168BDEEC}"/>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06236" name="Text Box 60" hidden="1">
          <a:extLst>
            <a:ext uri="{FF2B5EF4-FFF2-40B4-BE49-F238E27FC236}">
              <a16:creationId xmlns:a16="http://schemas.microsoft.com/office/drawing/2014/main" id="{F4C3FEC3-9C97-1757-113B-9992C663E85F}"/>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118269</xdr:rowOff>
    </xdr:from>
    <xdr:to>
      <xdr:col>33</xdr:col>
      <xdr:colOff>1409700</xdr:colOff>
      <xdr:row>85</xdr:row>
      <xdr:rowOff>5556</xdr:rowOff>
    </xdr:to>
    <xdr:sp macro="" textlink="">
      <xdr:nvSpPr>
        <xdr:cNvPr id="306237" name="Text Box 61" hidden="1">
          <a:extLst>
            <a:ext uri="{FF2B5EF4-FFF2-40B4-BE49-F238E27FC236}">
              <a16:creationId xmlns:a16="http://schemas.microsoft.com/office/drawing/2014/main" id="{0A067CA0-52B5-C9E4-510C-AA36D0BBB57D}"/>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42" name="Text Box 26" hidden="1">
          <a:extLst>
            <a:ext uri="{FF2B5EF4-FFF2-40B4-BE49-F238E27FC236}">
              <a16:creationId xmlns:a16="http://schemas.microsoft.com/office/drawing/2014/main" id="{8DA4791F-4EFA-3D22-0D3A-12F8EB2C0BA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67641" name="Text Box 25" hidden="1">
          <a:extLst>
            <a:ext uri="{FF2B5EF4-FFF2-40B4-BE49-F238E27FC236}">
              <a16:creationId xmlns:a16="http://schemas.microsoft.com/office/drawing/2014/main" id="{99152CDE-855D-5837-29BD-DD89082E3593}"/>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40" name="Text Box 24" hidden="1">
          <a:extLst>
            <a:ext uri="{FF2B5EF4-FFF2-40B4-BE49-F238E27FC236}">
              <a16:creationId xmlns:a16="http://schemas.microsoft.com/office/drawing/2014/main" id="{7D3BE3F7-E250-627B-149D-D30ABFFF964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70644</xdr:rowOff>
    </xdr:to>
    <xdr:sp macro="" textlink="">
      <xdr:nvSpPr>
        <xdr:cNvPr id="367639" name="Text Box 23" hidden="1">
          <a:extLst>
            <a:ext uri="{FF2B5EF4-FFF2-40B4-BE49-F238E27FC236}">
              <a16:creationId xmlns:a16="http://schemas.microsoft.com/office/drawing/2014/main" id="{FC98C220-CA8A-A3C3-C94E-DECE9A352A8F}"/>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38" name="Text Box 22" hidden="1">
          <a:extLst>
            <a:ext uri="{FF2B5EF4-FFF2-40B4-BE49-F238E27FC236}">
              <a16:creationId xmlns:a16="http://schemas.microsoft.com/office/drawing/2014/main" id="{408DD1FE-3182-FC57-5CBB-8C19CDF4677D}"/>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67637" name="Text Box 21" hidden="1">
          <a:extLst>
            <a:ext uri="{FF2B5EF4-FFF2-40B4-BE49-F238E27FC236}">
              <a16:creationId xmlns:a16="http://schemas.microsoft.com/office/drawing/2014/main" id="{A6A8B7C4-15EE-5A22-DBC5-C7A32C220E73}"/>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36" name="Text Box 20" hidden="1">
          <a:extLst>
            <a:ext uri="{FF2B5EF4-FFF2-40B4-BE49-F238E27FC236}">
              <a16:creationId xmlns:a16="http://schemas.microsoft.com/office/drawing/2014/main" id="{95055690-ED54-648A-41C1-13BE3B4F655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35" name="Text Box 19" hidden="1">
          <a:extLst>
            <a:ext uri="{FF2B5EF4-FFF2-40B4-BE49-F238E27FC236}">
              <a16:creationId xmlns:a16="http://schemas.microsoft.com/office/drawing/2014/main" id="{1C73FEE1-54B6-3CAF-6278-19A51D5483A9}"/>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114300</xdr:colOff>
      <xdr:row>85</xdr:row>
      <xdr:rowOff>531019</xdr:rowOff>
    </xdr:to>
    <xdr:sp macro="" textlink="">
      <xdr:nvSpPr>
        <xdr:cNvPr id="367634" name="Text Box 18" hidden="1">
          <a:extLst>
            <a:ext uri="{FF2B5EF4-FFF2-40B4-BE49-F238E27FC236}">
              <a16:creationId xmlns:a16="http://schemas.microsoft.com/office/drawing/2014/main" id="{001B567C-71A0-96D9-23CD-69C12D3EFCBE}"/>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51594</xdr:rowOff>
    </xdr:to>
    <xdr:sp macro="" textlink="">
      <xdr:nvSpPr>
        <xdr:cNvPr id="367633" name="Text Box 17" hidden="1">
          <a:extLst>
            <a:ext uri="{FF2B5EF4-FFF2-40B4-BE49-F238E27FC236}">
              <a16:creationId xmlns:a16="http://schemas.microsoft.com/office/drawing/2014/main" id="{5FB03DA6-434D-32E6-46A0-EB709BB0153E}"/>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32" name="Text Box 16" hidden="1">
          <a:extLst>
            <a:ext uri="{FF2B5EF4-FFF2-40B4-BE49-F238E27FC236}">
              <a16:creationId xmlns:a16="http://schemas.microsoft.com/office/drawing/2014/main" id="{0FC56CB1-DF4D-AD4C-622A-037B658DADA3}"/>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67631" name="Text Box 15" hidden="1">
          <a:extLst>
            <a:ext uri="{FF2B5EF4-FFF2-40B4-BE49-F238E27FC236}">
              <a16:creationId xmlns:a16="http://schemas.microsoft.com/office/drawing/2014/main" id="{0BB9AE78-439C-1B80-2B89-38B42D901B6C}"/>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118269</xdr:rowOff>
    </xdr:from>
    <xdr:to>
      <xdr:col>33</xdr:col>
      <xdr:colOff>1409700</xdr:colOff>
      <xdr:row>85</xdr:row>
      <xdr:rowOff>5556</xdr:rowOff>
    </xdr:to>
    <xdr:sp macro="" textlink="">
      <xdr:nvSpPr>
        <xdr:cNvPr id="367630" name="Text Box 14" hidden="1">
          <a:extLst>
            <a:ext uri="{FF2B5EF4-FFF2-40B4-BE49-F238E27FC236}">
              <a16:creationId xmlns:a16="http://schemas.microsoft.com/office/drawing/2014/main" id="{78FEEF54-AE30-0D49-9FAF-036539B87D5A}"/>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29" name="Text Box 13" hidden="1">
          <a:extLst>
            <a:ext uri="{FF2B5EF4-FFF2-40B4-BE49-F238E27FC236}">
              <a16:creationId xmlns:a16="http://schemas.microsoft.com/office/drawing/2014/main" id="{0AE8EBCA-88CE-7242-2ABD-87BE852A4AC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67628" name="Text Box 12" hidden="1">
          <a:extLst>
            <a:ext uri="{FF2B5EF4-FFF2-40B4-BE49-F238E27FC236}">
              <a16:creationId xmlns:a16="http://schemas.microsoft.com/office/drawing/2014/main" id="{67365CCF-9321-13AF-CFD6-CBAAD3EBE9F7}"/>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27" name="Text Box 11" hidden="1">
          <a:extLst>
            <a:ext uri="{FF2B5EF4-FFF2-40B4-BE49-F238E27FC236}">
              <a16:creationId xmlns:a16="http://schemas.microsoft.com/office/drawing/2014/main" id="{1D64E1D0-CAB0-E7EE-9BA5-219BE03C00FD}"/>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70644</xdr:rowOff>
    </xdr:to>
    <xdr:sp macro="" textlink="">
      <xdr:nvSpPr>
        <xdr:cNvPr id="367626" name="Text Box 10" hidden="1">
          <a:extLst>
            <a:ext uri="{FF2B5EF4-FFF2-40B4-BE49-F238E27FC236}">
              <a16:creationId xmlns:a16="http://schemas.microsoft.com/office/drawing/2014/main" id="{C2121305-4B50-91DE-0E4C-B489692E1F71}"/>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25" name="Text Box 9" hidden="1">
          <a:extLst>
            <a:ext uri="{FF2B5EF4-FFF2-40B4-BE49-F238E27FC236}">
              <a16:creationId xmlns:a16="http://schemas.microsoft.com/office/drawing/2014/main" id="{B6A303C6-7C00-4736-57E4-BF17D9CB5A62}"/>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67624" name="Text Box 8" hidden="1">
          <a:extLst>
            <a:ext uri="{FF2B5EF4-FFF2-40B4-BE49-F238E27FC236}">
              <a16:creationId xmlns:a16="http://schemas.microsoft.com/office/drawing/2014/main" id="{CB2DC365-6604-3799-A1A2-D59BB10A2A32}"/>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23" name="Text Box 7" hidden="1">
          <a:extLst>
            <a:ext uri="{FF2B5EF4-FFF2-40B4-BE49-F238E27FC236}">
              <a16:creationId xmlns:a16="http://schemas.microsoft.com/office/drawing/2014/main" id="{5C43D4E9-9C24-869A-E081-F46EFC8A0807}"/>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22" name="Text Box 6" hidden="1">
          <a:extLst>
            <a:ext uri="{FF2B5EF4-FFF2-40B4-BE49-F238E27FC236}">
              <a16:creationId xmlns:a16="http://schemas.microsoft.com/office/drawing/2014/main" id="{514B25BA-6398-B57D-D715-69D31D64012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114300</xdr:colOff>
      <xdr:row>85</xdr:row>
      <xdr:rowOff>531019</xdr:rowOff>
    </xdr:to>
    <xdr:sp macro="" textlink="">
      <xdr:nvSpPr>
        <xdr:cNvPr id="367621" name="Text Box 5" hidden="1">
          <a:extLst>
            <a:ext uri="{FF2B5EF4-FFF2-40B4-BE49-F238E27FC236}">
              <a16:creationId xmlns:a16="http://schemas.microsoft.com/office/drawing/2014/main" id="{315618D7-D378-7D28-CA60-9EC1AE1FED7B}"/>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51594</xdr:rowOff>
    </xdr:to>
    <xdr:sp macro="" textlink="">
      <xdr:nvSpPr>
        <xdr:cNvPr id="367620" name="Text Box 4" hidden="1">
          <a:extLst>
            <a:ext uri="{FF2B5EF4-FFF2-40B4-BE49-F238E27FC236}">
              <a16:creationId xmlns:a16="http://schemas.microsoft.com/office/drawing/2014/main" id="{CBFC325A-23CB-D3F4-4086-879218DD9134}"/>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19" name="Text Box 3" hidden="1">
          <a:extLst>
            <a:ext uri="{FF2B5EF4-FFF2-40B4-BE49-F238E27FC236}">
              <a16:creationId xmlns:a16="http://schemas.microsoft.com/office/drawing/2014/main" id="{266C2F47-9660-5150-4B9D-C7BBF00452E4}"/>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67618" name="Text Box 2" hidden="1">
          <a:extLst>
            <a:ext uri="{FF2B5EF4-FFF2-40B4-BE49-F238E27FC236}">
              <a16:creationId xmlns:a16="http://schemas.microsoft.com/office/drawing/2014/main" id="{59C2CA1A-ED8A-373E-B836-9F5F7DB4F475}"/>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118269</xdr:rowOff>
    </xdr:from>
    <xdr:to>
      <xdr:col>33</xdr:col>
      <xdr:colOff>1409700</xdr:colOff>
      <xdr:row>85</xdr:row>
      <xdr:rowOff>5556</xdr:rowOff>
    </xdr:to>
    <xdr:sp macro="" textlink="">
      <xdr:nvSpPr>
        <xdr:cNvPr id="367617" name="Text Box 1" hidden="1">
          <a:extLst>
            <a:ext uri="{FF2B5EF4-FFF2-40B4-BE49-F238E27FC236}">
              <a16:creationId xmlns:a16="http://schemas.microsoft.com/office/drawing/2014/main" id="{4B972311-C628-EA04-7BB0-B65693E45DB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55" name="Text Box 39" hidden="1">
          <a:extLst>
            <a:ext uri="{FF2B5EF4-FFF2-40B4-BE49-F238E27FC236}">
              <a16:creationId xmlns:a16="http://schemas.microsoft.com/office/drawing/2014/main" id="{88CD9EDD-65F7-B15E-99E5-A181D3E98E7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67654" name="Text Box 38" hidden="1">
          <a:extLst>
            <a:ext uri="{FF2B5EF4-FFF2-40B4-BE49-F238E27FC236}">
              <a16:creationId xmlns:a16="http://schemas.microsoft.com/office/drawing/2014/main" id="{394C53A2-A87A-A5E0-5CA9-2F6EC8B3BCDF}"/>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53" name="Text Box 37" hidden="1">
          <a:extLst>
            <a:ext uri="{FF2B5EF4-FFF2-40B4-BE49-F238E27FC236}">
              <a16:creationId xmlns:a16="http://schemas.microsoft.com/office/drawing/2014/main" id="{E956C27E-51D5-D8EA-37E5-1955049B2AC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119</xdr:row>
      <xdr:rowOff>181769</xdr:rowOff>
    </xdr:from>
    <xdr:to>
      <xdr:col>20</xdr:col>
      <xdr:colOff>381000</xdr:colOff>
      <xdr:row>138</xdr:row>
      <xdr:rowOff>15875</xdr:rowOff>
    </xdr:to>
    <xdr:sp macro="" textlink="">
      <xdr:nvSpPr>
        <xdr:cNvPr id="367652" name="Text Box 36" hidden="1">
          <a:extLst>
            <a:ext uri="{FF2B5EF4-FFF2-40B4-BE49-F238E27FC236}">
              <a16:creationId xmlns:a16="http://schemas.microsoft.com/office/drawing/2014/main" id="{25786F20-F36E-8D3E-59F0-73C9428CA833}"/>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51" name="Text Box 35" hidden="1">
          <a:extLst>
            <a:ext uri="{FF2B5EF4-FFF2-40B4-BE49-F238E27FC236}">
              <a16:creationId xmlns:a16="http://schemas.microsoft.com/office/drawing/2014/main" id="{90815B53-FC53-D45D-6F40-98A2D04B62A4}"/>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67650" name="Text Box 34" hidden="1">
          <a:extLst>
            <a:ext uri="{FF2B5EF4-FFF2-40B4-BE49-F238E27FC236}">
              <a16:creationId xmlns:a16="http://schemas.microsoft.com/office/drawing/2014/main" id="{AB95AFD5-0C0F-3EE3-108C-2AD11A701A4C}"/>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119</xdr:row>
      <xdr:rowOff>181769</xdr:rowOff>
    </xdr:from>
    <xdr:to>
      <xdr:col>21</xdr:col>
      <xdr:colOff>266700</xdr:colOff>
      <xdr:row>134</xdr:row>
      <xdr:rowOff>84931</xdr:rowOff>
    </xdr:to>
    <xdr:sp macro="" textlink="">
      <xdr:nvSpPr>
        <xdr:cNvPr id="367649" name="Text Box 33" hidden="1">
          <a:extLst>
            <a:ext uri="{FF2B5EF4-FFF2-40B4-BE49-F238E27FC236}">
              <a16:creationId xmlns:a16="http://schemas.microsoft.com/office/drawing/2014/main" id="{6F6DF78B-2EAA-6605-2264-9C3B1B0FE29C}"/>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48" name="Text Box 32" hidden="1">
          <a:extLst>
            <a:ext uri="{FF2B5EF4-FFF2-40B4-BE49-F238E27FC236}">
              <a16:creationId xmlns:a16="http://schemas.microsoft.com/office/drawing/2014/main" id="{BF28CCAB-93DB-7ABF-2A0F-2FAB296D76C8}"/>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114300</xdr:colOff>
      <xdr:row>85</xdr:row>
      <xdr:rowOff>531019</xdr:rowOff>
    </xdr:to>
    <xdr:sp macro="" textlink="">
      <xdr:nvSpPr>
        <xdr:cNvPr id="367647" name="Text Box 31" hidden="1">
          <a:extLst>
            <a:ext uri="{FF2B5EF4-FFF2-40B4-BE49-F238E27FC236}">
              <a16:creationId xmlns:a16="http://schemas.microsoft.com/office/drawing/2014/main" id="{DBA037C6-9E3A-0223-05A4-38F6295D9318}"/>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119</xdr:row>
      <xdr:rowOff>181769</xdr:rowOff>
    </xdr:from>
    <xdr:to>
      <xdr:col>4</xdr:col>
      <xdr:colOff>120650</xdr:colOff>
      <xdr:row>131</xdr:row>
      <xdr:rowOff>180975</xdr:rowOff>
    </xdr:to>
    <xdr:sp macro="" textlink="">
      <xdr:nvSpPr>
        <xdr:cNvPr id="367646" name="Text Box 30" hidden="1">
          <a:extLst>
            <a:ext uri="{FF2B5EF4-FFF2-40B4-BE49-F238E27FC236}">
              <a16:creationId xmlns:a16="http://schemas.microsoft.com/office/drawing/2014/main" id="{790CDD54-C74B-F41E-C6B2-9C24766BE7CE}"/>
            </a:ext>
          </a:extLst>
        </xdr:cNvPr>
        <xdr:cNvSpPr txBox="1">
          <a:spLocks noChangeArrowheads="1"/>
        </xdr:cNvSpPr>
      </xdr:nvSpPr>
      <xdr:spPr bwMode="auto">
        <a:xfrm>
          <a:off x="3492500" y="26625550"/>
          <a:ext cx="132715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45" name="Text Box 29" hidden="1">
          <a:extLst>
            <a:ext uri="{FF2B5EF4-FFF2-40B4-BE49-F238E27FC236}">
              <a16:creationId xmlns:a16="http://schemas.microsoft.com/office/drawing/2014/main" id="{8DD5EA5B-CA74-8BD8-323A-B1588E7F526D}"/>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67644" name="Text Box 28" hidden="1">
          <a:extLst>
            <a:ext uri="{FF2B5EF4-FFF2-40B4-BE49-F238E27FC236}">
              <a16:creationId xmlns:a16="http://schemas.microsoft.com/office/drawing/2014/main" id="{F5B421D8-EB7E-9F11-869E-05EE767886FA}"/>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118269</xdr:rowOff>
    </xdr:from>
    <xdr:to>
      <xdr:col>33</xdr:col>
      <xdr:colOff>1409700</xdr:colOff>
      <xdr:row>85</xdr:row>
      <xdr:rowOff>5556</xdr:rowOff>
    </xdr:to>
    <xdr:sp macro="" textlink="">
      <xdr:nvSpPr>
        <xdr:cNvPr id="367643" name="Text Box 27" hidden="1">
          <a:extLst>
            <a:ext uri="{FF2B5EF4-FFF2-40B4-BE49-F238E27FC236}">
              <a16:creationId xmlns:a16="http://schemas.microsoft.com/office/drawing/2014/main" id="{DAD6A8A9-E00C-1FC1-5325-F35D18BA9C60}"/>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68" name="Text Box 52" hidden="1">
          <a:extLst>
            <a:ext uri="{FF2B5EF4-FFF2-40B4-BE49-F238E27FC236}">
              <a16:creationId xmlns:a16="http://schemas.microsoft.com/office/drawing/2014/main" id="{283C1A9F-50DC-3305-6D7C-6CF53D392B74}"/>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67667" name="Text Box 51" hidden="1">
          <a:extLst>
            <a:ext uri="{FF2B5EF4-FFF2-40B4-BE49-F238E27FC236}">
              <a16:creationId xmlns:a16="http://schemas.microsoft.com/office/drawing/2014/main" id="{C62FC30B-77F3-622E-782B-B10B07E7EB7C}"/>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66" name="Text Box 50" hidden="1">
          <a:extLst>
            <a:ext uri="{FF2B5EF4-FFF2-40B4-BE49-F238E27FC236}">
              <a16:creationId xmlns:a16="http://schemas.microsoft.com/office/drawing/2014/main" id="{32FB4BBD-B19B-675E-DD7D-3FFCFFBFB657}"/>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119</xdr:row>
      <xdr:rowOff>181769</xdr:rowOff>
    </xdr:from>
    <xdr:to>
      <xdr:col>20</xdr:col>
      <xdr:colOff>381000</xdr:colOff>
      <xdr:row>138</xdr:row>
      <xdr:rowOff>15875</xdr:rowOff>
    </xdr:to>
    <xdr:sp macro="" textlink="">
      <xdr:nvSpPr>
        <xdr:cNvPr id="367665" name="Text Box 49" hidden="1">
          <a:extLst>
            <a:ext uri="{FF2B5EF4-FFF2-40B4-BE49-F238E27FC236}">
              <a16:creationId xmlns:a16="http://schemas.microsoft.com/office/drawing/2014/main" id="{D47544F4-6B0D-9776-C78E-3847B2D07CA7}"/>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64" name="Text Box 48" hidden="1">
          <a:extLst>
            <a:ext uri="{FF2B5EF4-FFF2-40B4-BE49-F238E27FC236}">
              <a16:creationId xmlns:a16="http://schemas.microsoft.com/office/drawing/2014/main" id="{399D773F-190D-6A32-50B4-7AC276CB6307}"/>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67663" name="Text Box 47" hidden="1">
          <a:extLst>
            <a:ext uri="{FF2B5EF4-FFF2-40B4-BE49-F238E27FC236}">
              <a16:creationId xmlns:a16="http://schemas.microsoft.com/office/drawing/2014/main" id="{2C96A9EB-848B-3B48-78FF-E7191AADE7A8}"/>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119</xdr:row>
      <xdr:rowOff>181769</xdr:rowOff>
    </xdr:from>
    <xdr:to>
      <xdr:col>21</xdr:col>
      <xdr:colOff>266700</xdr:colOff>
      <xdr:row>134</xdr:row>
      <xdr:rowOff>84931</xdr:rowOff>
    </xdr:to>
    <xdr:sp macro="" textlink="">
      <xdr:nvSpPr>
        <xdr:cNvPr id="367662" name="Text Box 46" hidden="1">
          <a:extLst>
            <a:ext uri="{FF2B5EF4-FFF2-40B4-BE49-F238E27FC236}">
              <a16:creationId xmlns:a16="http://schemas.microsoft.com/office/drawing/2014/main" id="{C8B5E089-DE76-6E36-B397-6B633A58F814}"/>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61" name="Text Box 45" hidden="1">
          <a:extLst>
            <a:ext uri="{FF2B5EF4-FFF2-40B4-BE49-F238E27FC236}">
              <a16:creationId xmlns:a16="http://schemas.microsoft.com/office/drawing/2014/main" id="{EB7C8AE6-D8EC-620D-86B2-3B39AFA1A9F6}"/>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114300</xdr:colOff>
      <xdr:row>85</xdr:row>
      <xdr:rowOff>531019</xdr:rowOff>
    </xdr:to>
    <xdr:sp macro="" textlink="">
      <xdr:nvSpPr>
        <xdr:cNvPr id="367660" name="Text Box 44" hidden="1">
          <a:extLst>
            <a:ext uri="{FF2B5EF4-FFF2-40B4-BE49-F238E27FC236}">
              <a16:creationId xmlns:a16="http://schemas.microsoft.com/office/drawing/2014/main" id="{BA43D89B-3D75-4354-574C-3D30519966F4}"/>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119</xdr:row>
      <xdr:rowOff>181769</xdr:rowOff>
    </xdr:from>
    <xdr:to>
      <xdr:col>4</xdr:col>
      <xdr:colOff>114300</xdr:colOff>
      <xdr:row>131</xdr:row>
      <xdr:rowOff>180975</xdr:rowOff>
    </xdr:to>
    <xdr:sp macro="" textlink="">
      <xdr:nvSpPr>
        <xdr:cNvPr id="367659" name="Text Box 43" hidden="1">
          <a:extLst>
            <a:ext uri="{FF2B5EF4-FFF2-40B4-BE49-F238E27FC236}">
              <a16:creationId xmlns:a16="http://schemas.microsoft.com/office/drawing/2014/main" id="{9805DFD8-4933-F8BB-6C56-97B5FD2FE0BC}"/>
            </a:ext>
          </a:extLst>
        </xdr:cNvPr>
        <xdr:cNvSpPr txBox="1">
          <a:spLocks noChangeArrowheads="1"/>
        </xdr:cNvSpPr>
      </xdr:nvSpPr>
      <xdr:spPr bwMode="auto">
        <a:xfrm>
          <a:off x="3492500" y="2662555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58" name="Text Box 42" hidden="1">
          <a:extLst>
            <a:ext uri="{FF2B5EF4-FFF2-40B4-BE49-F238E27FC236}">
              <a16:creationId xmlns:a16="http://schemas.microsoft.com/office/drawing/2014/main" id="{B33B43EA-F272-5414-35AB-5A2F6A71510F}"/>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67657" name="Text Box 41" hidden="1">
          <a:extLst>
            <a:ext uri="{FF2B5EF4-FFF2-40B4-BE49-F238E27FC236}">
              <a16:creationId xmlns:a16="http://schemas.microsoft.com/office/drawing/2014/main" id="{9BBF3302-800A-426B-582C-B70A02E913B0}"/>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118269</xdr:rowOff>
    </xdr:from>
    <xdr:to>
      <xdr:col>33</xdr:col>
      <xdr:colOff>1409700</xdr:colOff>
      <xdr:row>85</xdr:row>
      <xdr:rowOff>5556</xdr:rowOff>
    </xdr:to>
    <xdr:sp macro="" textlink="">
      <xdr:nvSpPr>
        <xdr:cNvPr id="367656" name="Text Box 40" hidden="1">
          <a:extLst>
            <a:ext uri="{FF2B5EF4-FFF2-40B4-BE49-F238E27FC236}">
              <a16:creationId xmlns:a16="http://schemas.microsoft.com/office/drawing/2014/main" id="{14EDEF08-CAA5-91A7-4C66-C761B7BF1EC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81" name="Text Box 65" hidden="1">
          <a:extLst>
            <a:ext uri="{FF2B5EF4-FFF2-40B4-BE49-F238E27FC236}">
              <a16:creationId xmlns:a16="http://schemas.microsoft.com/office/drawing/2014/main" id="{73472372-DAFC-7289-D7E0-F2339B98DFD1}"/>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67680" name="Text Box 64" hidden="1">
          <a:extLst>
            <a:ext uri="{FF2B5EF4-FFF2-40B4-BE49-F238E27FC236}">
              <a16:creationId xmlns:a16="http://schemas.microsoft.com/office/drawing/2014/main" id="{D00C0834-7A33-A599-1A79-73470E5667BB}"/>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79" name="Text Box 63" hidden="1">
          <a:extLst>
            <a:ext uri="{FF2B5EF4-FFF2-40B4-BE49-F238E27FC236}">
              <a16:creationId xmlns:a16="http://schemas.microsoft.com/office/drawing/2014/main" id="{84976813-3610-C072-B1EE-CB8A4B6A8072}"/>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119</xdr:row>
      <xdr:rowOff>181769</xdr:rowOff>
    </xdr:from>
    <xdr:to>
      <xdr:col>20</xdr:col>
      <xdr:colOff>381000</xdr:colOff>
      <xdr:row>138</xdr:row>
      <xdr:rowOff>15875</xdr:rowOff>
    </xdr:to>
    <xdr:sp macro="" textlink="">
      <xdr:nvSpPr>
        <xdr:cNvPr id="367678" name="Text Box 62" hidden="1">
          <a:extLst>
            <a:ext uri="{FF2B5EF4-FFF2-40B4-BE49-F238E27FC236}">
              <a16:creationId xmlns:a16="http://schemas.microsoft.com/office/drawing/2014/main" id="{E6882C7C-DD3B-E4DA-13B9-FEF62591BCA9}"/>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77" name="Text Box 61" hidden="1">
          <a:extLst>
            <a:ext uri="{FF2B5EF4-FFF2-40B4-BE49-F238E27FC236}">
              <a16:creationId xmlns:a16="http://schemas.microsoft.com/office/drawing/2014/main" id="{E95E86DA-5E21-E2FE-AB99-98F3BA1C0DFC}"/>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67676" name="Text Box 60" hidden="1">
          <a:extLst>
            <a:ext uri="{FF2B5EF4-FFF2-40B4-BE49-F238E27FC236}">
              <a16:creationId xmlns:a16="http://schemas.microsoft.com/office/drawing/2014/main" id="{87A0F7A7-23B0-8E4A-F624-E5F774F4E3C1}"/>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119</xdr:row>
      <xdr:rowOff>181769</xdr:rowOff>
    </xdr:from>
    <xdr:to>
      <xdr:col>21</xdr:col>
      <xdr:colOff>266700</xdr:colOff>
      <xdr:row>134</xdr:row>
      <xdr:rowOff>84931</xdr:rowOff>
    </xdr:to>
    <xdr:sp macro="" textlink="">
      <xdr:nvSpPr>
        <xdr:cNvPr id="367675" name="Text Box 59" hidden="1">
          <a:extLst>
            <a:ext uri="{FF2B5EF4-FFF2-40B4-BE49-F238E27FC236}">
              <a16:creationId xmlns:a16="http://schemas.microsoft.com/office/drawing/2014/main" id="{18C56653-D963-8036-50C6-4D3E377BAB0A}"/>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74" name="Text Box 58" hidden="1">
          <a:extLst>
            <a:ext uri="{FF2B5EF4-FFF2-40B4-BE49-F238E27FC236}">
              <a16:creationId xmlns:a16="http://schemas.microsoft.com/office/drawing/2014/main" id="{5271292A-D830-F0DB-DE0F-CA01CEEA10E9}"/>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114300</xdr:colOff>
      <xdr:row>85</xdr:row>
      <xdr:rowOff>531019</xdr:rowOff>
    </xdr:to>
    <xdr:sp macro="" textlink="">
      <xdr:nvSpPr>
        <xdr:cNvPr id="367673" name="Text Box 57" hidden="1">
          <a:extLst>
            <a:ext uri="{FF2B5EF4-FFF2-40B4-BE49-F238E27FC236}">
              <a16:creationId xmlns:a16="http://schemas.microsoft.com/office/drawing/2014/main" id="{1C1BFF61-AF26-6C63-2062-8A344E1B1CB8}"/>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119</xdr:row>
      <xdr:rowOff>181769</xdr:rowOff>
    </xdr:from>
    <xdr:to>
      <xdr:col>4</xdr:col>
      <xdr:colOff>114300</xdr:colOff>
      <xdr:row>131</xdr:row>
      <xdr:rowOff>180975</xdr:rowOff>
    </xdr:to>
    <xdr:sp macro="" textlink="">
      <xdr:nvSpPr>
        <xdr:cNvPr id="367672" name="Text Box 56" hidden="1">
          <a:extLst>
            <a:ext uri="{FF2B5EF4-FFF2-40B4-BE49-F238E27FC236}">
              <a16:creationId xmlns:a16="http://schemas.microsoft.com/office/drawing/2014/main" id="{716B7739-15FC-7526-0896-6EF6CC28B14D}"/>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71" name="Text Box 55" hidden="1">
          <a:extLst>
            <a:ext uri="{FF2B5EF4-FFF2-40B4-BE49-F238E27FC236}">
              <a16:creationId xmlns:a16="http://schemas.microsoft.com/office/drawing/2014/main" id="{0C5A8C0F-4C6B-7CAC-9AFB-D09F37B8E11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67670" name="Text Box 54" hidden="1">
          <a:extLst>
            <a:ext uri="{FF2B5EF4-FFF2-40B4-BE49-F238E27FC236}">
              <a16:creationId xmlns:a16="http://schemas.microsoft.com/office/drawing/2014/main" id="{3B2CC3C5-5918-10A7-4040-3B5B77E53870}"/>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118269</xdr:rowOff>
    </xdr:from>
    <xdr:to>
      <xdr:col>33</xdr:col>
      <xdr:colOff>1409700</xdr:colOff>
      <xdr:row>85</xdr:row>
      <xdr:rowOff>5556</xdr:rowOff>
    </xdr:to>
    <xdr:sp macro="" textlink="">
      <xdr:nvSpPr>
        <xdr:cNvPr id="367669" name="Text Box 53" hidden="1">
          <a:extLst>
            <a:ext uri="{FF2B5EF4-FFF2-40B4-BE49-F238E27FC236}">
              <a16:creationId xmlns:a16="http://schemas.microsoft.com/office/drawing/2014/main" id="{89A7979A-8035-8753-F323-352AD9A19DA7}"/>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94" name="Text Box 78" hidden="1">
          <a:extLst>
            <a:ext uri="{FF2B5EF4-FFF2-40B4-BE49-F238E27FC236}">
              <a16:creationId xmlns:a16="http://schemas.microsoft.com/office/drawing/2014/main" id="{2BCA42D0-F567-8F32-9E90-8A006789B930}"/>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67693" name="Text Box 77" hidden="1">
          <a:extLst>
            <a:ext uri="{FF2B5EF4-FFF2-40B4-BE49-F238E27FC236}">
              <a16:creationId xmlns:a16="http://schemas.microsoft.com/office/drawing/2014/main" id="{10507864-813B-FB03-5D5B-C77814CB9F4C}"/>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92" name="Text Box 76" hidden="1">
          <a:extLst>
            <a:ext uri="{FF2B5EF4-FFF2-40B4-BE49-F238E27FC236}">
              <a16:creationId xmlns:a16="http://schemas.microsoft.com/office/drawing/2014/main" id="{04E8A679-6FCC-E765-7EB1-A62A90FE8204}"/>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119</xdr:row>
      <xdr:rowOff>181769</xdr:rowOff>
    </xdr:from>
    <xdr:to>
      <xdr:col>20</xdr:col>
      <xdr:colOff>381000</xdr:colOff>
      <xdr:row>138</xdr:row>
      <xdr:rowOff>15875</xdr:rowOff>
    </xdr:to>
    <xdr:sp macro="" textlink="">
      <xdr:nvSpPr>
        <xdr:cNvPr id="367691" name="Text Box 75" hidden="1">
          <a:extLst>
            <a:ext uri="{FF2B5EF4-FFF2-40B4-BE49-F238E27FC236}">
              <a16:creationId xmlns:a16="http://schemas.microsoft.com/office/drawing/2014/main" id="{29F7CD72-28B3-3B76-5081-B25DAE2A7EB5}"/>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90" name="Text Box 74" hidden="1">
          <a:extLst>
            <a:ext uri="{FF2B5EF4-FFF2-40B4-BE49-F238E27FC236}">
              <a16:creationId xmlns:a16="http://schemas.microsoft.com/office/drawing/2014/main" id="{A0758AAE-5C05-5203-7EB1-9685303ECB7F}"/>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67689" name="Text Box 73" hidden="1">
          <a:extLst>
            <a:ext uri="{FF2B5EF4-FFF2-40B4-BE49-F238E27FC236}">
              <a16:creationId xmlns:a16="http://schemas.microsoft.com/office/drawing/2014/main" id="{5B90A8FB-312F-7448-BE83-F6092989EF66}"/>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119</xdr:row>
      <xdr:rowOff>181769</xdr:rowOff>
    </xdr:from>
    <xdr:to>
      <xdr:col>21</xdr:col>
      <xdr:colOff>266700</xdr:colOff>
      <xdr:row>134</xdr:row>
      <xdr:rowOff>84931</xdr:rowOff>
    </xdr:to>
    <xdr:sp macro="" textlink="">
      <xdr:nvSpPr>
        <xdr:cNvPr id="367688" name="Text Box 72" hidden="1">
          <a:extLst>
            <a:ext uri="{FF2B5EF4-FFF2-40B4-BE49-F238E27FC236}">
              <a16:creationId xmlns:a16="http://schemas.microsoft.com/office/drawing/2014/main" id="{A75E8FEC-5D42-D27D-E7D9-48A1F3D36E3D}"/>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87" name="Text Box 71" hidden="1">
          <a:extLst>
            <a:ext uri="{FF2B5EF4-FFF2-40B4-BE49-F238E27FC236}">
              <a16:creationId xmlns:a16="http://schemas.microsoft.com/office/drawing/2014/main" id="{4053E3A7-D4DE-BB58-3D77-30DDFA1BCA0F}"/>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114300</xdr:colOff>
      <xdr:row>85</xdr:row>
      <xdr:rowOff>531019</xdr:rowOff>
    </xdr:to>
    <xdr:sp macro="" textlink="">
      <xdr:nvSpPr>
        <xdr:cNvPr id="367686" name="Text Box 70" hidden="1">
          <a:extLst>
            <a:ext uri="{FF2B5EF4-FFF2-40B4-BE49-F238E27FC236}">
              <a16:creationId xmlns:a16="http://schemas.microsoft.com/office/drawing/2014/main" id="{4216AE81-9955-A0DB-4A84-1C9FE89CB154}"/>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119</xdr:row>
      <xdr:rowOff>181769</xdr:rowOff>
    </xdr:from>
    <xdr:to>
      <xdr:col>4</xdr:col>
      <xdr:colOff>114300</xdr:colOff>
      <xdr:row>131</xdr:row>
      <xdr:rowOff>180975</xdr:rowOff>
    </xdr:to>
    <xdr:sp macro="" textlink="">
      <xdr:nvSpPr>
        <xdr:cNvPr id="367685" name="Text Box 69" hidden="1">
          <a:extLst>
            <a:ext uri="{FF2B5EF4-FFF2-40B4-BE49-F238E27FC236}">
              <a16:creationId xmlns:a16="http://schemas.microsoft.com/office/drawing/2014/main" id="{6694AF7C-78CE-13ED-05C9-B95CB675ACA1}"/>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84" name="Text Box 68" hidden="1">
          <a:extLst>
            <a:ext uri="{FF2B5EF4-FFF2-40B4-BE49-F238E27FC236}">
              <a16:creationId xmlns:a16="http://schemas.microsoft.com/office/drawing/2014/main" id="{6FF09682-7C31-C39C-7A7D-334EA84AE246}"/>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67683" name="Text Box 67" hidden="1">
          <a:extLst>
            <a:ext uri="{FF2B5EF4-FFF2-40B4-BE49-F238E27FC236}">
              <a16:creationId xmlns:a16="http://schemas.microsoft.com/office/drawing/2014/main" id="{66537227-E4A9-8E26-DBD9-AE9B989B6E54}"/>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118269</xdr:rowOff>
    </xdr:from>
    <xdr:to>
      <xdr:col>33</xdr:col>
      <xdr:colOff>1409700</xdr:colOff>
      <xdr:row>85</xdr:row>
      <xdr:rowOff>5556</xdr:rowOff>
    </xdr:to>
    <xdr:sp macro="" textlink="">
      <xdr:nvSpPr>
        <xdr:cNvPr id="367682" name="Text Box 66" hidden="1">
          <a:extLst>
            <a:ext uri="{FF2B5EF4-FFF2-40B4-BE49-F238E27FC236}">
              <a16:creationId xmlns:a16="http://schemas.microsoft.com/office/drawing/2014/main" id="{20FB1E2A-6766-1153-8F29-585669A03F11}"/>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24" name="Text Box 108" hidden="1">
          <a:extLst>
            <a:ext uri="{FF2B5EF4-FFF2-40B4-BE49-F238E27FC236}">
              <a16:creationId xmlns:a16="http://schemas.microsoft.com/office/drawing/2014/main" id="{EA078691-3CFF-3632-C85F-CE9C189C2BC0}"/>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4</xdr:col>
      <xdr:colOff>800100</xdr:colOff>
      <xdr:row>74</xdr:row>
      <xdr:rowOff>185738</xdr:rowOff>
    </xdr:to>
    <xdr:sp macro="" textlink="">
      <xdr:nvSpPr>
        <xdr:cNvPr id="367723" name="Text Box 107" hidden="1">
          <a:extLst>
            <a:ext uri="{FF2B5EF4-FFF2-40B4-BE49-F238E27FC236}">
              <a16:creationId xmlns:a16="http://schemas.microsoft.com/office/drawing/2014/main" id="{C9B7B9CA-9E5E-0F7C-1E9B-D8DB65B417DA}"/>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22" name="Text Box 106" hidden="1">
          <a:extLst>
            <a:ext uri="{FF2B5EF4-FFF2-40B4-BE49-F238E27FC236}">
              <a16:creationId xmlns:a16="http://schemas.microsoft.com/office/drawing/2014/main" id="{59932D5C-1D5B-206E-E487-D0F17A674422}"/>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21" name="Text Box 105" hidden="1">
          <a:extLst>
            <a:ext uri="{FF2B5EF4-FFF2-40B4-BE49-F238E27FC236}">
              <a16:creationId xmlns:a16="http://schemas.microsoft.com/office/drawing/2014/main" id="{AFBB356D-2FC1-A97A-8DAF-DC864652D33A}"/>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7720" name="Text Box 104" hidden="1">
          <a:extLst>
            <a:ext uri="{FF2B5EF4-FFF2-40B4-BE49-F238E27FC236}">
              <a16:creationId xmlns:a16="http://schemas.microsoft.com/office/drawing/2014/main" id="{7AF3C3EE-0B25-FBCB-3864-1C640516A808}"/>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19" name="Text Box 103" hidden="1">
          <a:extLst>
            <a:ext uri="{FF2B5EF4-FFF2-40B4-BE49-F238E27FC236}">
              <a16:creationId xmlns:a16="http://schemas.microsoft.com/office/drawing/2014/main" id="{4EECCBD6-3EA6-77D0-F3C3-45D2DCC7552A}"/>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18" name="Text Box 102" hidden="1">
          <a:extLst>
            <a:ext uri="{FF2B5EF4-FFF2-40B4-BE49-F238E27FC236}">
              <a16:creationId xmlns:a16="http://schemas.microsoft.com/office/drawing/2014/main" id="{E6C4FFB6-B6D2-18DD-74EC-02CBC9D1ED46}"/>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17" name="Text Box 101" hidden="1">
          <a:extLst>
            <a:ext uri="{FF2B5EF4-FFF2-40B4-BE49-F238E27FC236}">
              <a16:creationId xmlns:a16="http://schemas.microsoft.com/office/drawing/2014/main" id="{4BAA45AE-F371-4AE4-8F7B-9D1560958874}"/>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109538</xdr:rowOff>
    </xdr:from>
    <xdr:to>
      <xdr:col>4</xdr:col>
      <xdr:colOff>114300</xdr:colOff>
      <xdr:row>107</xdr:row>
      <xdr:rowOff>35719</xdr:rowOff>
    </xdr:to>
    <xdr:sp macro="" textlink="">
      <xdr:nvSpPr>
        <xdr:cNvPr id="367716" name="Text Box 100" hidden="1">
          <a:extLst>
            <a:ext uri="{FF2B5EF4-FFF2-40B4-BE49-F238E27FC236}">
              <a16:creationId xmlns:a16="http://schemas.microsoft.com/office/drawing/2014/main" id="{B10AD18B-6D25-037D-E18C-9F797D53671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15" name="Text Box 99" hidden="1">
          <a:extLst>
            <a:ext uri="{FF2B5EF4-FFF2-40B4-BE49-F238E27FC236}">
              <a16:creationId xmlns:a16="http://schemas.microsoft.com/office/drawing/2014/main" id="{43D83BB7-8FBB-0E70-E500-200FDF59E1EC}"/>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14" name="Text Box 98" hidden="1">
          <a:extLst>
            <a:ext uri="{FF2B5EF4-FFF2-40B4-BE49-F238E27FC236}">
              <a16:creationId xmlns:a16="http://schemas.microsoft.com/office/drawing/2014/main" id="{C965C0B5-3EE1-3F0B-BEF1-6A0EC6D19305}"/>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713" name="Text Box 97" hidden="1">
          <a:extLst>
            <a:ext uri="{FF2B5EF4-FFF2-40B4-BE49-F238E27FC236}">
              <a16:creationId xmlns:a16="http://schemas.microsoft.com/office/drawing/2014/main" id="{1A02AB2D-AB37-08EC-16EE-3CDA5378E54D}"/>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712" name="Text Box 96" hidden="1">
          <a:extLst>
            <a:ext uri="{FF2B5EF4-FFF2-40B4-BE49-F238E27FC236}">
              <a16:creationId xmlns:a16="http://schemas.microsoft.com/office/drawing/2014/main" id="{9FDB276C-522C-CD00-69D6-EBAB11195E60}"/>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11" name="Text Box 95" hidden="1">
          <a:extLst>
            <a:ext uri="{FF2B5EF4-FFF2-40B4-BE49-F238E27FC236}">
              <a16:creationId xmlns:a16="http://schemas.microsoft.com/office/drawing/2014/main" id="{5040BB48-D388-C6A8-652B-B2D3BF34B683}"/>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14288</xdr:rowOff>
    </xdr:from>
    <xdr:to>
      <xdr:col>23</xdr:col>
      <xdr:colOff>266700</xdr:colOff>
      <xdr:row>28</xdr:row>
      <xdr:rowOff>19050</xdr:rowOff>
    </xdr:to>
    <xdr:sp macro="" textlink="">
      <xdr:nvSpPr>
        <xdr:cNvPr id="367710" name="Text Box 94" hidden="1">
          <a:extLst>
            <a:ext uri="{FF2B5EF4-FFF2-40B4-BE49-F238E27FC236}">
              <a16:creationId xmlns:a16="http://schemas.microsoft.com/office/drawing/2014/main" id="{9127477E-B80E-B03B-6115-6FE6EE780A51}"/>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07" name="Text Box 91" hidden="1">
          <a:extLst>
            <a:ext uri="{FF2B5EF4-FFF2-40B4-BE49-F238E27FC236}">
              <a16:creationId xmlns:a16="http://schemas.microsoft.com/office/drawing/2014/main" id="{8BC0C6F4-83D3-1C11-3807-FABDD7EC7BF4}"/>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4</xdr:col>
      <xdr:colOff>800100</xdr:colOff>
      <xdr:row>74</xdr:row>
      <xdr:rowOff>185738</xdr:rowOff>
    </xdr:to>
    <xdr:sp macro="" textlink="">
      <xdr:nvSpPr>
        <xdr:cNvPr id="367706" name="Text Box 90" hidden="1">
          <a:extLst>
            <a:ext uri="{FF2B5EF4-FFF2-40B4-BE49-F238E27FC236}">
              <a16:creationId xmlns:a16="http://schemas.microsoft.com/office/drawing/2014/main" id="{1B6A559B-F260-E8E3-6C7A-E5C21148D5AB}"/>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05" name="Text Box 89" hidden="1">
          <a:extLst>
            <a:ext uri="{FF2B5EF4-FFF2-40B4-BE49-F238E27FC236}">
              <a16:creationId xmlns:a16="http://schemas.microsoft.com/office/drawing/2014/main" id="{83BD6858-19C0-5AF4-4BBF-EA10D6D1B598}"/>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04" name="Text Box 88" hidden="1">
          <a:extLst>
            <a:ext uri="{FF2B5EF4-FFF2-40B4-BE49-F238E27FC236}">
              <a16:creationId xmlns:a16="http://schemas.microsoft.com/office/drawing/2014/main" id="{2B262CEA-49A6-42A4-798F-1F75A4F6F33E}"/>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7703" name="Text Box 87" hidden="1">
          <a:extLst>
            <a:ext uri="{FF2B5EF4-FFF2-40B4-BE49-F238E27FC236}">
              <a16:creationId xmlns:a16="http://schemas.microsoft.com/office/drawing/2014/main" id="{47C0E494-BB01-752F-102B-FF31E619B039}"/>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02" name="Text Box 86" hidden="1">
          <a:extLst>
            <a:ext uri="{FF2B5EF4-FFF2-40B4-BE49-F238E27FC236}">
              <a16:creationId xmlns:a16="http://schemas.microsoft.com/office/drawing/2014/main" id="{7BC9E475-50B3-9896-0BC2-E6FBF25E24E4}"/>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01" name="Text Box 85" hidden="1">
          <a:extLst>
            <a:ext uri="{FF2B5EF4-FFF2-40B4-BE49-F238E27FC236}">
              <a16:creationId xmlns:a16="http://schemas.microsoft.com/office/drawing/2014/main" id="{21AA6ABC-812B-44E1-F59F-42ED3A5E44E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00" name="Text Box 84" hidden="1">
          <a:extLst>
            <a:ext uri="{FF2B5EF4-FFF2-40B4-BE49-F238E27FC236}">
              <a16:creationId xmlns:a16="http://schemas.microsoft.com/office/drawing/2014/main" id="{D0D94FE2-C141-5013-A5FA-7700368AA5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109538</xdr:rowOff>
    </xdr:from>
    <xdr:to>
      <xdr:col>4</xdr:col>
      <xdr:colOff>114300</xdr:colOff>
      <xdr:row>107</xdr:row>
      <xdr:rowOff>35719</xdr:rowOff>
    </xdr:to>
    <xdr:sp macro="" textlink="">
      <xdr:nvSpPr>
        <xdr:cNvPr id="367699" name="Text Box 83" hidden="1">
          <a:extLst>
            <a:ext uri="{FF2B5EF4-FFF2-40B4-BE49-F238E27FC236}">
              <a16:creationId xmlns:a16="http://schemas.microsoft.com/office/drawing/2014/main" id="{B952A6AE-35FC-539C-45AF-E8230944CF3E}"/>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698" name="Text Box 82" hidden="1">
          <a:extLst>
            <a:ext uri="{FF2B5EF4-FFF2-40B4-BE49-F238E27FC236}">
              <a16:creationId xmlns:a16="http://schemas.microsoft.com/office/drawing/2014/main" id="{83557947-B6B0-8349-9AFD-B37D5ACB722C}"/>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97" name="Text Box 81" hidden="1">
          <a:extLst>
            <a:ext uri="{FF2B5EF4-FFF2-40B4-BE49-F238E27FC236}">
              <a16:creationId xmlns:a16="http://schemas.microsoft.com/office/drawing/2014/main" id="{11CB1B69-D16A-67E9-B40C-81953524707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696" name="Text Box 80" hidden="1">
          <a:extLst>
            <a:ext uri="{FF2B5EF4-FFF2-40B4-BE49-F238E27FC236}">
              <a16:creationId xmlns:a16="http://schemas.microsoft.com/office/drawing/2014/main" id="{8FD44F98-F56D-E9B7-8C3F-628A243E6B8B}"/>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695" name="Text Box 79" hidden="1">
          <a:extLst>
            <a:ext uri="{FF2B5EF4-FFF2-40B4-BE49-F238E27FC236}">
              <a16:creationId xmlns:a16="http://schemas.microsoft.com/office/drawing/2014/main" id="{DBE887B3-3F7F-3700-73DA-55BABAF106C6}"/>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08" name="Text Box 92" hidden="1">
          <a:extLst>
            <a:ext uri="{FF2B5EF4-FFF2-40B4-BE49-F238E27FC236}">
              <a16:creationId xmlns:a16="http://schemas.microsoft.com/office/drawing/2014/main" id="{218DD9AF-B969-A9D7-CC4E-1E675C59E916}"/>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14288</xdr:rowOff>
    </xdr:from>
    <xdr:to>
      <xdr:col>23</xdr:col>
      <xdr:colOff>266700</xdr:colOff>
      <xdr:row>28</xdr:row>
      <xdr:rowOff>19050</xdr:rowOff>
    </xdr:to>
    <xdr:sp macro="" textlink="">
      <xdr:nvSpPr>
        <xdr:cNvPr id="367709" name="Text Box 93" hidden="1">
          <a:extLst>
            <a:ext uri="{FF2B5EF4-FFF2-40B4-BE49-F238E27FC236}">
              <a16:creationId xmlns:a16="http://schemas.microsoft.com/office/drawing/2014/main" id="{CC8E7544-1116-D675-E920-DC01CD440F7E}"/>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39" name="Text Box 123" hidden="1">
          <a:extLst>
            <a:ext uri="{FF2B5EF4-FFF2-40B4-BE49-F238E27FC236}">
              <a16:creationId xmlns:a16="http://schemas.microsoft.com/office/drawing/2014/main" id="{B7A62AFC-C601-873E-7926-1A6A002E9B61}"/>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4</xdr:col>
      <xdr:colOff>800100</xdr:colOff>
      <xdr:row>74</xdr:row>
      <xdr:rowOff>185738</xdr:rowOff>
    </xdr:to>
    <xdr:sp macro="" textlink="">
      <xdr:nvSpPr>
        <xdr:cNvPr id="367738" name="Text Box 122" hidden="1">
          <a:extLst>
            <a:ext uri="{FF2B5EF4-FFF2-40B4-BE49-F238E27FC236}">
              <a16:creationId xmlns:a16="http://schemas.microsoft.com/office/drawing/2014/main" id="{9D019FA0-39F2-67BD-4536-F1A1C6530CE4}"/>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37" name="Text Box 121" hidden="1">
          <a:extLst>
            <a:ext uri="{FF2B5EF4-FFF2-40B4-BE49-F238E27FC236}">
              <a16:creationId xmlns:a16="http://schemas.microsoft.com/office/drawing/2014/main" id="{09B5D65E-D6F7-0335-F13B-B34AF82D9FF5}"/>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36" name="Text Box 120" hidden="1">
          <a:extLst>
            <a:ext uri="{FF2B5EF4-FFF2-40B4-BE49-F238E27FC236}">
              <a16:creationId xmlns:a16="http://schemas.microsoft.com/office/drawing/2014/main" id="{28E71303-E264-759B-691F-9228257DEDF8}"/>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7735" name="Text Box 119" hidden="1">
          <a:extLst>
            <a:ext uri="{FF2B5EF4-FFF2-40B4-BE49-F238E27FC236}">
              <a16:creationId xmlns:a16="http://schemas.microsoft.com/office/drawing/2014/main" id="{D0B20D55-94EB-48A5-3BB8-E0CAB11FD1B3}"/>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34" name="Text Box 118" hidden="1">
          <a:extLst>
            <a:ext uri="{FF2B5EF4-FFF2-40B4-BE49-F238E27FC236}">
              <a16:creationId xmlns:a16="http://schemas.microsoft.com/office/drawing/2014/main" id="{367CE936-C238-9009-4EFB-9F95134CB75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33" name="Text Box 117" hidden="1">
          <a:extLst>
            <a:ext uri="{FF2B5EF4-FFF2-40B4-BE49-F238E27FC236}">
              <a16:creationId xmlns:a16="http://schemas.microsoft.com/office/drawing/2014/main" id="{973395E6-5900-42C6-1AA3-A7EC8F288DE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32" name="Text Box 116" hidden="1">
          <a:extLst>
            <a:ext uri="{FF2B5EF4-FFF2-40B4-BE49-F238E27FC236}">
              <a16:creationId xmlns:a16="http://schemas.microsoft.com/office/drawing/2014/main" id="{008C2A05-3245-4EA6-DDEC-80D23B54B1FB}"/>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109538</xdr:rowOff>
    </xdr:from>
    <xdr:to>
      <xdr:col>4</xdr:col>
      <xdr:colOff>114300</xdr:colOff>
      <xdr:row>107</xdr:row>
      <xdr:rowOff>35719</xdr:rowOff>
    </xdr:to>
    <xdr:sp macro="" textlink="">
      <xdr:nvSpPr>
        <xdr:cNvPr id="367731" name="Text Box 115" hidden="1">
          <a:extLst>
            <a:ext uri="{FF2B5EF4-FFF2-40B4-BE49-F238E27FC236}">
              <a16:creationId xmlns:a16="http://schemas.microsoft.com/office/drawing/2014/main" id="{C0C17212-33FA-7522-FA9E-23D072C1EBC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30" name="Text Box 114" hidden="1">
          <a:extLst>
            <a:ext uri="{FF2B5EF4-FFF2-40B4-BE49-F238E27FC236}">
              <a16:creationId xmlns:a16="http://schemas.microsoft.com/office/drawing/2014/main" id="{BF4C66AC-4444-4905-5207-BED6C6786E64}"/>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29" name="Text Box 113" hidden="1">
          <a:extLst>
            <a:ext uri="{FF2B5EF4-FFF2-40B4-BE49-F238E27FC236}">
              <a16:creationId xmlns:a16="http://schemas.microsoft.com/office/drawing/2014/main" id="{60CDA666-BC40-0957-D679-00DA22EA9EE0}"/>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728" name="Text Box 112" hidden="1">
          <a:extLst>
            <a:ext uri="{FF2B5EF4-FFF2-40B4-BE49-F238E27FC236}">
              <a16:creationId xmlns:a16="http://schemas.microsoft.com/office/drawing/2014/main" id="{F49058D8-E9C0-9C4C-6939-718274B2E7B9}"/>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727" name="Text Box 111" hidden="1">
          <a:extLst>
            <a:ext uri="{FF2B5EF4-FFF2-40B4-BE49-F238E27FC236}">
              <a16:creationId xmlns:a16="http://schemas.microsoft.com/office/drawing/2014/main" id="{A036953D-C9C7-35FE-62AC-226DBD2DD0DC}"/>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26" name="Text Box 110" hidden="1">
          <a:extLst>
            <a:ext uri="{FF2B5EF4-FFF2-40B4-BE49-F238E27FC236}">
              <a16:creationId xmlns:a16="http://schemas.microsoft.com/office/drawing/2014/main" id="{02CDB1E4-65E8-F921-2FFC-6CD3A6628A99}"/>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14288</xdr:rowOff>
    </xdr:from>
    <xdr:to>
      <xdr:col>23</xdr:col>
      <xdr:colOff>266700</xdr:colOff>
      <xdr:row>28</xdr:row>
      <xdr:rowOff>19050</xdr:rowOff>
    </xdr:to>
    <xdr:sp macro="" textlink="">
      <xdr:nvSpPr>
        <xdr:cNvPr id="367725" name="Text Box 109" hidden="1">
          <a:extLst>
            <a:ext uri="{FF2B5EF4-FFF2-40B4-BE49-F238E27FC236}">
              <a16:creationId xmlns:a16="http://schemas.microsoft.com/office/drawing/2014/main" id="{31B829A5-1DD2-3908-891A-5A1B581C7F6E}"/>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54" name="Text Box 138" hidden="1">
          <a:extLst>
            <a:ext uri="{FF2B5EF4-FFF2-40B4-BE49-F238E27FC236}">
              <a16:creationId xmlns:a16="http://schemas.microsoft.com/office/drawing/2014/main" id="{4E3F4DED-A2D1-2020-20BA-DC10D053ECD2}"/>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4</xdr:col>
      <xdr:colOff>800100</xdr:colOff>
      <xdr:row>74</xdr:row>
      <xdr:rowOff>185738</xdr:rowOff>
    </xdr:to>
    <xdr:sp macro="" textlink="">
      <xdr:nvSpPr>
        <xdr:cNvPr id="367753" name="Text Box 137" hidden="1">
          <a:extLst>
            <a:ext uri="{FF2B5EF4-FFF2-40B4-BE49-F238E27FC236}">
              <a16:creationId xmlns:a16="http://schemas.microsoft.com/office/drawing/2014/main" id="{32C29962-3297-2316-2517-39CECCD9C71C}"/>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52" name="Text Box 136" hidden="1">
          <a:extLst>
            <a:ext uri="{FF2B5EF4-FFF2-40B4-BE49-F238E27FC236}">
              <a16:creationId xmlns:a16="http://schemas.microsoft.com/office/drawing/2014/main" id="{E05F2753-EF5D-577B-D9E9-3E506CC6E351}"/>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51" name="Text Box 135" hidden="1">
          <a:extLst>
            <a:ext uri="{FF2B5EF4-FFF2-40B4-BE49-F238E27FC236}">
              <a16:creationId xmlns:a16="http://schemas.microsoft.com/office/drawing/2014/main" id="{1CF512FC-6F85-CC41-5FCD-BDC95127988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7750" name="Text Box 134" hidden="1">
          <a:extLst>
            <a:ext uri="{FF2B5EF4-FFF2-40B4-BE49-F238E27FC236}">
              <a16:creationId xmlns:a16="http://schemas.microsoft.com/office/drawing/2014/main" id="{09F45BCA-E840-05A6-5D6F-19B88947600D}"/>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49" name="Text Box 133" hidden="1">
          <a:extLst>
            <a:ext uri="{FF2B5EF4-FFF2-40B4-BE49-F238E27FC236}">
              <a16:creationId xmlns:a16="http://schemas.microsoft.com/office/drawing/2014/main" id="{8E4A38E8-536A-750B-DE64-639632E8CA71}"/>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48" name="Text Box 132" hidden="1">
          <a:extLst>
            <a:ext uri="{FF2B5EF4-FFF2-40B4-BE49-F238E27FC236}">
              <a16:creationId xmlns:a16="http://schemas.microsoft.com/office/drawing/2014/main" id="{7023F255-5122-7B44-6CCA-A0D62D0ECF8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47" name="Text Box 131" hidden="1">
          <a:extLst>
            <a:ext uri="{FF2B5EF4-FFF2-40B4-BE49-F238E27FC236}">
              <a16:creationId xmlns:a16="http://schemas.microsoft.com/office/drawing/2014/main" id="{AA8305C8-B50A-B807-F257-8076A4D4DA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109538</xdr:rowOff>
    </xdr:from>
    <xdr:to>
      <xdr:col>4</xdr:col>
      <xdr:colOff>114300</xdr:colOff>
      <xdr:row>107</xdr:row>
      <xdr:rowOff>35719</xdr:rowOff>
    </xdr:to>
    <xdr:sp macro="" textlink="">
      <xdr:nvSpPr>
        <xdr:cNvPr id="367746" name="Text Box 130" hidden="1">
          <a:extLst>
            <a:ext uri="{FF2B5EF4-FFF2-40B4-BE49-F238E27FC236}">
              <a16:creationId xmlns:a16="http://schemas.microsoft.com/office/drawing/2014/main" id="{FFDB203F-B7B8-1363-613D-3CF140B0ACD4}"/>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45" name="Text Box 129" hidden="1">
          <a:extLst>
            <a:ext uri="{FF2B5EF4-FFF2-40B4-BE49-F238E27FC236}">
              <a16:creationId xmlns:a16="http://schemas.microsoft.com/office/drawing/2014/main" id="{34F72CA4-C4FE-9E75-9F64-6B83554F2B96}"/>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44" name="Text Box 128" hidden="1">
          <a:extLst>
            <a:ext uri="{FF2B5EF4-FFF2-40B4-BE49-F238E27FC236}">
              <a16:creationId xmlns:a16="http://schemas.microsoft.com/office/drawing/2014/main" id="{93C7F93F-FCD1-457F-3F2D-D24D7359F7C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743" name="Text Box 127" hidden="1">
          <a:extLst>
            <a:ext uri="{FF2B5EF4-FFF2-40B4-BE49-F238E27FC236}">
              <a16:creationId xmlns:a16="http://schemas.microsoft.com/office/drawing/2014/main" id="{37DC8980-D352-64CB-AD51-9EC3C7451195}"/>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742" name="Text Box 126" hidden="1">
          <a:extLst>
            <a:ext uri="{FF2B5EF4-FFF2-40B4-BE49-F238E27FC236}">
              <a16:creationId xmlns:a16="http://schemas.microsoft.com/office/drawing/2014/main" id="{E5A374D3-5EA9-4192-61B3-6AC5C439BA6D}"/>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41" name="Text Box 125" hidden="1">
          <a:extLst>
            <a:ext uri="{FF2B5EF4-FFF2-40B4-BE49-F238E27FC236}">
              <a16:creationId xmlns:a16="http://schemas.microsoft.com/office/drawing/2014/main" id="{36F4AA16-86BD-FD25-17E5-A1BFA880515B}"/>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14288</xdr:rowOff>
    </xdr:from>
    <xdr:to>
      <xdr:col>23</xdr:col>
      <xdr:colOff>266700</xdr:colOff>
      <xdr:row>28</xdr:row>
      <xdr:rowOff>19050</xdr:rowOff>
    </xdr:to>
    <xdr:sp macro="" textlink="">
      <xdr:nvSpPr>
        <xdr:cNvPr id="367740" name="Text Box 124" hidden="1">
          <a:extLst>
            <a:ext uri="{FF2B5EF4-FFF2-40B4-BE49-F238E27FC236}">
              <a16:creationId xmlns:a16="http://schemas.microsoft.com/office/drawing/2014/main" id="{05D8B8F7-43AC-A3C0-7AB7-CBBEC6C87B59}"/>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69" name="Text Box 153" hidden="1">
          <a:extLst>
            <a:ext uri="{FF2B5EF4-FFF2-40B4-BE49-F238E27FC236}">
              <a16:creationId xmlns:a16="http://schemas.microsoft.com/office/drawing/2014/main" id="{7518290A-428A-B862-1861-2EDB7716583E}"/>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4</xdr:col>
      <xdr:colOff>800100</xdr:colOff>
      <xdr:row>74</xdr:row>
      <xdr:rowOff>185738</xdr:rowOff>
    </xdr:to>
    <xdr:sp macro="" textlink="">
      <xdr:nvSpPr>
        <xdr:cNvPr id="367768" name="Text Box 152" hidden="1">
          <a:extLst>
            <a:ext uri="{FF2B5EF4-FFF2-40B4-BE49-F238E27FC236}">
              <a16:creationId xmlns:a16="http://schemas.microsoft.com/office/drawing/2014/main" id="{27A82099-68E3-4F9D-24A3-1512D1402DE7}"/>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67" name="Text Box 151" hidden="1">
          <a:extLst>
            <a:ext uri="{FF2B5EF4-FFF2-40B4-BE49-F238E27FC236}">
              <a16:creationId xmlns:a16="http://schemas.microsoft.com/office/drawing/2014/main" id="{82B353D8-ABD8-7CEA-0520-93BA20E5978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66" name="Text Box 150" hidden="1">
          <a:extLst>
            <a:ext uri="{FF2B5EF4-FFF2-40B4-BE49-F238E27FC236}">
              <a16:creationId xmlns:a16="http://schemas.microsoft.com/office/drawing/2014/main" id="{F563850A-C065-9576-292B-66F6D7C1DBD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7765" name="Text Box 149" hidden="1">
          <a:extLst>
            <a:ext uri="{FF2B5EF4-FFF2-40B4-BE49-F238E27FC236}">
              <a16:creationId xmlns:a16="http://schemas.microsoft.com/office/drawing/2014/main" id="{EEE5FC09-C273-40AE-5206-30D52F8DE6D6}"/>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64" name="Text Box 148" hidden="1">
          <a:extLst>
            <a:ext uri="{FF2B5EF4-FFF2-40B4-BE49-F238E27FC236}">
              <a16:creationId xmlns:a16="http://schemas.microsoft.com/office/drawing/2014/main" id="{96E92800-471B-9349-5F48-242AF630218F}"/>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63" name="Text Box 147" hidden="1">
          <a:extLst>
            <a:ext uri="{FF2B5EF4-FFF2-40B4-BE49-F238E27FC236}">
              <a16:creationId xmlns:a16="http://schemas.microsoft.com/office/drawing/2014/main" id="{7F6961C9-DD79-2FB0-828E-DC764B6C12CB}"/>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62" name="Text Box 146" hidden="1">
          <a:extLst>
            <a:ext uri="{FF2B5EF4-FFF2-40B4-BE49-F238E27FC236}">
              <a16:creationId xmlns:a16="http://schemas.microsoft.com/office/drawing/2014/main" id="{9E015E55-7905-2153-D134-F412469DDD96}"/>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109538</xdr:rowOff>
    </xdr:from>
    <xdr:to>
      <xdr:col>4</xdr:col>
      <xdr:colOff>114300</xdr:colOff>
      <xdr:row>107</xdr:row>
      <xdr:rowOff>35719</xdr:rowOff>
    </xdr:to>
    <xdr:sp macro="" textlink="">
      <xdr:nvSpPr>
        <xdr:cNvPr id="367761" name="Text Box 145" hidden="1">
          <a:extLst>
            <a:ext uri="{FF2B5EF4-FFF2-40B4-BE49-F238E27FC236}">
              <a16:creationId xmlns:a16="http://schemas.microsoft.com/office/drawing/2014/main" id="{3119575F-B057-6EEC-EFC9-EED4A16D5B20}"/>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60" name="Text Box 144" hidden="1">
          <a:extLst>
            <a:ext uri="{FF2B5EF4-FFF2-40B4-BE49-F238E27FC236}">
              <a16:creationId xmlns:a16="http://schemas.microsoft.com/office/drawing/2014/main" id="{A372555F-0BB0-1559-7A60-02CBC3846005}"/>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59" name="Text Box 143" hidden="1">
          <a:extLst>
            <a:ext uri="{FF2B5EF4-FFF2-40B4-BE49-F238E27FC236}">
              <a16:creationId xmlns:a16="http://schemas.microsoft.com/office/drawing/2014/main" id="{CDADDE96-8AC4-E6C3-F69C-0397D1F8E01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758" name="Text Box 142" hidden="1">
          <a:extLst>
            <a:ext uri="{FF2B5EF4-FFF2-40B4-BE49-F238E27FC236}">
              <a16:creationId xmlns:a16="http://schemas.microsoft.com/office/drawing/2014/main" id="{95ACBA79-5934-80CB-DD3B-23715F759DE2}"/>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757" name="Text Box 141" hidden="1">
          <a:extLst>
            <a:ext uri="{FF2B5EF4-FFF2-40B4-BE49-F238E27FC236}">
              <a16:creationId xmlns:a16="http://schemas.microsoft.com/office/drawing/2014/main" id="{230DB0AB-B3A3-CF70-7F50-C4FDB739D13B}"/>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56" name="Text Box 140" hidden="1">
          <a:extLst>
            <a:ext uri="{FF2B5EF4-FFF2-40B4-BE49-F238E27FC236}">
              <a16:creationId xmlns:a16="http://schemas.microsoft.com/office/drawing/2014/main" id="{923410E2-1C2E-1A5D-9A92-C98DE7B697C0}"/>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14288</xdr:rowOff>
    </xdr:from>
    <xdr:to>
      <xdr:col>23</xdr:col>
      <xdr:colOff>266700</xdr:colOff>
      <xdr:row>28</xdr:row>
      <xdr:rowOff>19050</xdr:rowOff>
    </xdr:to>
    <xdr:sp macro="" textlink="">
      <xdr:nvSpPr>
        <xdr:cNvPr id="367755" name="Text Box 139" hidden="1">
          <a:extLst>
            <a:ext uri="{FF2B5EF4-FFF2-40B4-BE49-F238E27FC236}">
              <a16:creationId xmlns:a16="http://schemas.microsoft.com/office/drawing/2014/main" id="{3498E4C4-A206-7A6D-80AB-8A2E0B430BCD}"/>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84" name="Text Box 168" hidden="1">
          <a:extLst>
            <a:ext uri="{FF2B5EF4-FFF2-40B4-BE49-F238E27FC236}">
              <a16:creationId xmlns:a16="http://schemas.microsoft.com/office/drawing/2014/main" id="{7A370B5C-43DF-F7AB-BAC6-17D3CD68B40B}"/>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4</xdr:col>
      <xdr:colOff>800100</xdr:colOff>
      <xdr:row>74</xdr:row>
      <xdr:rowOff>185738</xdr:rowOff>
    </xdr:to>
    <xdr:sp macro="" textlink="">
      <xdr:nvSpPr>
        <xdr:cNvPr id="367783" name="Text Box 167" hidden="1">
          <a:extLst>
            <a:ext uri="{FF2B5EF4-FFF2-40B4-BE49-F238E27FC236}">
              <a16:creationId xmlns:a16="http://schemas.microsoft.com/office/drawing/2014/main" id="{34708B24-AD7E-F709-60CC-F61C8A23F597}"/>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82" name="Text Box 166" hidden="1">
          <a:extLst>
            <a:ext uri="{FF2B5EF4-FFF2-40B4-BE49-F238E27FC236}">
              <a16:creationId xmlns:a16="http://schemas.microsoft.com/office/drawing/2014/main" id="{20C3FB36-BC46-C565-F0D2-D13F35D5ED04}"/>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81" name="Text Box 165" hidden="1">
          <a:extLst>
            <a:ext uri="{FF2B5EF4-FFF2-40B4-BE49-F238E27FC236}">
              <a16:creationId xmlns:a16="http://schemas.microsoft.com/office/drawing/2014/main" id="{F9D48B00-2152-A6C6-1D77-6B85F467BFD6}"/>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7780" name="Text Box 164" hidden="1">
          <a:extLst>
            <a:ext uri="{FF2B5EF4-FFF2-40B4-BE49-F238E27FC236}">
              <a16:creationId xmlns:a16="http://schemas.microsoft.com/office/drawing/2014/main" id="{5D38FE64-E917-F6BF-9E0F-FCBE86274336}"/>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79" name="Text Box 163" hidden="1">
          <a:extLst>
            <a:ext uri="{FF2B5EF4-FFF2-40B4-BE49-F238E27FC236}">
              <a16:creationId xmlns:a16="http://schemas.microsoft.com/office/drawing/2014/main" id="{2FAA91F5-ED59-4096-8D1D-73CC7DEAAE8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78" name="Text Box 162" hidden="1">
          <a:extLst>
            <a:ext uri="{FF2B5EF4-FFF2-40B4-BE49-F238E27FC236}">
              <a16:creationId xmlns:a16="http://schemas.microsoft.com/office/drawing/2014/main" id="{CCE5F00B-4B7A-F936-97C9-2833147D0D1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77" name="Text Box 161" hidden="1">
          <a:extLst>
            <a:ext uri="{FF2B5EF4-FFF2-40B4-BE49-F238E27FC236}">
              <a16:creationId xmlns:a16="http://schemas.microsoft.com/office/drawing/2014/main" id="{70FF53C4-B124-4AFE-2CB7-2384CBBA9F2F}"/>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109538</xdr:rowOff>
    </xdr:from>
    <xdr:to>
      <xdr:col>4</xdr:col>
      <xdr:colOff>114300</xdr:colOff>
      <xdr:row>107</xdr:row>
      <xdr:rowOff>35719</xdr:rowOff>
    </xdr:to>
    <xdr:sp macro="" textlink="">
      <xdr:nvSpPr>
        <xdr:cNvPr id="367776" name="Text Box 160" hidden="1">
          <a:extLst>
            <a:ext uri="{FF2B5EF4-FFF2-40B4-BE49-F238E27FC236}">
              <a16:creationId xmlns:a16="http://schemas.microsoft.com/office/drawing/2014/main" id="{35EDC5B9-3827-45C3-CE12-340BD374EA17}"/>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75" name="Text Box 159" hidden="1">
          <a:extLst>
            <a:ext uri="{FF2B5EF4-FFF2-40B4-BE49-F238E27FC236}">
              <a16:creationId xmlns:a16="http://schemas.microsoft.com/office/drawing/2014/main" id="{F27F2F71-A945-A3EA-7008-734498624E0E}"/>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74" name="Text Box 158" hidden="1">
          <a:extLst>
            <a:ext uri="{FF2B5EF4-FFF2-40B4-BE49-F238E27FC236}">
              <a16:creationId xmlns:a16="http://schemas.microsoft.com/office/drawing/2014/main" id="{CE9093E4-6D68-BA70-F6D5-432945133A1E}"/>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773" name="Text Box 157" hidden="1">
          <a:extLst>
            <a:ext uri="{FF2B5EF4-FFF2-40B4-BE49-F238E27FC236}">
              <a16:creationId xmlns:a16="http://schemas.microsoft.com/office/drawing/2014/main" id="{2EA99159-7ACC-66E1-3B26-6EB1B9A4C004}"/>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772" name="Text Box 156" hidden="1">
          <a:extLst>
            <a:ext uri="{FF2B5EF4-FFF2-40B4-BE49-F238E27FC236}">
              <a16:creationId xmlns:a16="http://schemas.microsoft.com/office/drawing/2014/main" id="{058CE598-B2D5-5C9E-5B21-BE485D16DDBB}"/>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71" name="Text Box 155" hidden="1">
          <a:extLst>
            <a:ext uri="{FF2B5EF4-FFF2-40B4-BE49-F238E27FC236}">
              <a16:creationId xmlns:a16="http://schemas.microsoft.com/office/drawing/2014/main" id="{9A14E063-DD4D-F081-023A-F17C1879D7F5}"/>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14288</xdr:rowOff>
    </xdr:from>
    <xdr:to>
      <xdr:col>23</xdr:col>
      <xdr:colOff>266700</xdr:colOff>
      <xdr:row>28</xdr:row>
      <xdr:rowOff>19050</xdr:rowOff>
    </xdr:to>
    <xdr:sp macro="" textlink="">
      <xdr:nvSpPr>
        <xdr:cNvPr id="367770" name="Text Box 154" hidden="1">
          <a:extLst>
            <a:ext uri="{FF2B5EF4-FFF2-40B4-BE49-F238E27FC236}">
              <a16:creationId xmlns:a16="http://schemas.microsoft.com/office/drawing/2014/main" id="{A2B9DF4D-DC3A-8B82-73C4-3E330A52CA9C}"/>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8653" name="Text Box 13" hidden="1">
          <a:extLst>
            <a:ext uri="{FF2B5EF4-FFF2-40B4-BE49-F238E27FC236}">
              <a16:creationId xmlns:a16="http://schemas.microsoft.com/office/drawing/2014/main" id="{9210C73A-719F-0ECB-54F9-638A3AF919B5}"/>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4</xdr:col>
      <xdr:colOff>800100</xdr:colOff>
      <xdr:row>74</xdr:row>
      <xdr:rowOff>185738</xdr:rowOff>
    </xdr:to>
    <xdr:sp macro="" textlink="">
      <xdr:nvSpPr>
        <xdr:cNvPr id="368652" name="Text Box 12" hidden="1">
          <a:extLst>
            <a:ext uri="{FF2B5EF4-FFF2-40B4-BE49-F238E27FC236}">
              <a16:creationId xmlns:a16="http://schemas.microsoft.com/office/drawing/2014/main" id="{A636CA8A-9358-8ABC-1C11-E02958860085}"/>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8651" name="Text Box 11" hidden="1">
          <a:extLst>
            <a:ext uri="{FF2B5EF4-FFF2-40B4-BE49-F238E27FC236}">
              <a16:creationId xmlns:a16="http://schemas.microsoft.com/office/drawing/2014/main" id="{A4D6EF07-0A8B-33F9-A7E4-4FAC96D2C11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8650" name="Text Box 10" hidden="1">
          <a:extLst>
            <a:ext uri="{FF2B5EF4-FFF2-40B4-BE49-F238E27FC236}">
              <a16:creationId xmlns:a16="http://schemas.microsoft.com/office/drawing/2014/main" id="{D29D7BE1-1C22-4E91-20EA-9A7F401CAE17}"/>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8649" name="Text Box 9" hidden="1">
          <a:extLst>
            <a:ext uri="{FF2B5EF4-FFF2-40B4-BE49-F238E27FC236}">
              <a16:creationId xmlns:a16="http://schemas.microsoft.com/office/drawing/2014/main" id="{CD05286D-918D-76CE-C011-AAB644CB65CB}"/>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8648" name="Text Box 8" hidden="1">
          <a:extLst>
            <a:ext uri="{FF2B5EF4-FFF2-40B4-BE49-F238E27FC236}">
              <a16:creationId xmlns:a16="http://schemas.microsoft.com/office/drawing/2014/main" id="{B79B4BD4-10D2-8636-C0C8-6D83019F772E}"/>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8647" name="Text Box 7" hidden="1">
          <a:extLst>
            <a:ext uri="{FF2B5EF4-FFF2-40B4-BE49-F238E27FC236}">
              <a16:creationId xmlns:a16="http://schemas.microsoft.com/office/drawing/2014/main" id="{3E7C12C4-40E4-C6CA-A46E-36C38E8C3191}"/>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46" name="Text Box 6" hidden="1">
          <a:extLst>
            <a:ext uri="{FF2B5EF4-FFF2-40B4-BE49-F238E27FC236}">
              <a16:creationId xmlns:a16="http://schemas.microsoft.com/office/drawing/2014/main" id="{87B66337-D5BE-1FF1-5C60-C8974367C308}"/>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109538</xdr:rowOff>
    </xdr:from>
    <xdr:to>
      <xdr:col>4</xdr:col>
      <xdr:colOff>114300</xdr:colOff>
      <xdr:row>107</xdr:row>
      <xdr:rowOff>35719</xdr:rowOff>
    </xdr:to>
    <xdr:sp macro="" textlink="">
      <xdr:nvSpPr>
        <xdr:cNvPr id="368645" name="Text Box 5" hidden="1">
          <a:extLst>
            <a:ext uri="{FF2B5EF4-FFF2-40B4-BE49-F238E27FC236}">
              <a16:creationId xmlns:a16="http://schemas.microsoft.com/office/drawing/2014/main" id="{C96720AA-F8CB-E6C6-8141-EA24E3264F8B}"/>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8644" name="Text Box 4" hidden="1">
          <a:extLst>
            <a:ext uri="{FF2B5EF4-FFF2-40B4-BE49-F238E27FC236}">
              <a16:creationId xmlns:a16="http://schemas.microsoft.com/office/drawing/2014/main" id="{8891DB4C-7030-11DE-0DA0-EE8A100F927E}"/>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43" name="Text Box 3" hidden="1">
          <a:extLst>
            <a:ext uri="{FF2B5EF4-FFF2-40B4-BE49-F238E27FC236}">
              <a16:creationId xmlns:a16="http://schemas.microsoft.com/office/drawing/2014/main" id="{A6DFC123-670D-54D8-002C-BFF35B1B9ABD}"/>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8642" name="Text Box 2" hidden="1">
          <a:extLst>
            <a:ext uri="{FF2B5EF4-FFF2-40B4-BE49-F238E27FC236}">
              <a16:creationId xmlns:a16="http://schemas.microsoft.com/office/drawing/2014/main" id="{476936D4-B467-D8F0-A907-32FC21AA56DC}"/>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8641" name="Text Box 1" hidden="1">
          <a:extLst>
            <a:ext uri="{FF2B5EF4-FFF2-40B4-BE49-F238E27FC236}">
              <a16:creationId xmlns:a16="http://schemas.microsoft.com/office/drawing/2014/main" id="{B309A852-AD17-7B5A-22F2-470D13218EF2}"/>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37</xdr:col>
      <xdr:colOff>227364</xdr:colOff>
      <xdr:row>61</xdr:row>
      <xdr:rowOff>66573</xdr:rowOff>
    </xdr:from>
    <xdr:to>
      <xdr:col>38</xdr:col>
      <xdr:colOff>418991</xdr:colOff>
      <xdr:row>61</xdr:row>
      <xdr:rowOff>66573</xdr:rowOff>
    </xdr:to>
    <xdr:sp macro="" textlink="">
      <xdr:nvSpPr>
        <xdr:cNvPr id="48133" name="Text Box 5" hidden="1">
          <a:extLst>
            <a:ext uri="{FF2B5EF4-FFF2-40B4-BE49-F238E27FC236}">
              <a16:creationId xmlns:a16="http://schemas.microsoft.com/office/drawing/2014/main" id="{15CD92A7-CD3A-447E-94AD-8CA058F0B53D}"/>
            </a:ext>
          </a:extLst>
        </xdr:cNvPr>
        <xdr:cNvSpPr txBox="1">
          <a:spLocks noChangeArrowheads="1"/>
        </xdr:cNvSpPr>
      </xdr:nvSpPr>
      <xdr:spPr bwMode="auto">
        <a:xfrm>
          <a:off x="31097220" y="14554200"/>
          <a:ext cx="952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61</xdr:row>
      <xdr:rowOff>66573</xdr:rowOff>
    </xdr:from>
    <xdr:to>
      <xdr:col>38</xdr:col>
      <xdr:colOff>304691</xdr:colOff>
      <xdr:row>63</xdr:row>
      <xdr:rowOff>140014</xdr:rowOff>
    </xdr:to>
    <xdr:sp macro="" textlink="">
      <xdr:nvSpPr>
        <xdr:cNvPr id="48137" name="Text Box 9" hidden="1">
          <a:extLst>
            <a:ext uri="{FF2B5EF4-FFF2-40B4-BE49-F238E27FC236}">
              <a16:creationId xmlns:a16="http://schemas.microsoft.com/office/drawing/2014/main" id="{4F8DA397-2046-48C4-8C47-6091877697BB}"/>
            </a:ext>
          </a:extLst>
        </xdr:cNvPr>
        <xdr:cNvSpPr txBox="1">
          <a:spLocks noChangeArrowheads="1"/>
        </xdr:cNvSpPr>
      </xdr:nvSpPr>
      <xdr:spPr bwMode="auto">
        <a:xfrm>
          <a:off x="31021020" y="14554200"/>
          <a:ext cx="914400" cy="396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74</xdr:row>
      <xdr:rowOff>29464</xdr:rowOff>
    </xdr:from>
    <xdr:to>
      <xdr:col>38</xdr:col>
      <xdr:colOff>304691</xdr:colOff>
      <xdr:row>74</xdr:row>
      <xdr:rowOff>29464</xdr:rowOff>
    </xdr:to>
    <xdr:sp macro="" textlink="">
      <xdr:nvSpPr>
        <xdr:cNvPr id="48138" name="Text Box 10" hidden="1">
          <a:extLst>
            <a:ext uri="{FF2B5EF4-FFF2-40B4-BE49-F238E27FC236}">
              <a16:creationId xmlns:a16="http://schemas.microsoft.com/office/drawing/2014/main" id="{D635FED5-F357-4822-B34B-79F43F775B0E}"/>
            </a:ext>
          </a:extLst>
        </xdr:cNvPr>
        <xdr:cNvSpPr txBox="1">
          <a:spLocks noChangeArrowheads="1"/>
        </xdr:cNvSpPr>
      </xdr:nvSpPr>
      <xdr:spPr bwMode="auto">
        <a:xfrm>
          <a:off x="310210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227364</xdr:colOff>
      <xdr:row>74</xdr:row>
      <xdr:rowOff>29464</xdr:rowOff>
    </xdr:from>
    <xdr:to>
      <xdr:col>38</xdr:col>
      <xdr:colOff>380891</xdr:colOff>
      <xdr:row>74</xdr:row>
      <xdr:rowOff>29464</xdr:rowOff>
    </xdr:to>
    <xdr:sp macro="" textlink="">
      <xdr:nvSpPr>
        <xdr:cNvPr id="48140" name="Text Box 12" hidden="1">
          <a:extLst>
            <a:ext uri="{FF2B5EF4-FFF2-40B4-BE49-F238E27FC236}">
              <a16:creationId xmlns:a16="http://schemas.microsoft.com/office/drawing/2014/main" id="{EE431A50-2463-478B-99AA-7AE8CF25F5B9}"/>
            </a:ext>
          </a:extLst>
        </xdr:cNvPr>
        <xdr:cNvSpPr txBox="1">
          <a:spLocks noChangeArrowheads="1"/>
        </xdr:cNvSpPr>
      </xdr:nvSpPr>
      <xdr:spPr bwMode="auto">
        <a:xfrm>
          <a:off x="310972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227364</xdr:colOff>
      <xdr:row>61</xdr:row>
      <xdr:rowOff>66573</xdr:rowOff>
    </xdr:from>
    <xdr:to>
      <xdr:col>38</xdr:col>
      <xdr:colOff>380891</xdr:colOff>
      <xdr:row>61</xdr:row>
      <xdr:rowOff>66573</xdr:rowOff>
    </xdr:to>
    <xdr:sp macro="" textlink="">
      <xdr:nvSpPr>
        <xdr:cNvPr id="48141" name="Text Box 13" hidden="1">
          <a:extLst>
            <a:ext uri="{FF2B5EF4-FFF2-40B4-BE49-F238E27FC236}">
              <a16:creationId xmlns:a16="http://schemas.microsoft.com/office/drawing/2014/main" id="{13E6C608-B3E9-44FD-AE34-A278D9803D77}"/>
            </a:ext>
          </a:extLst>
        </xdr:cNvPr>
        <xdr:cNvSpPr txBox="1">
          <a:spLocks noChangeArrowheads="1"/>
        </xdr:cNvSpPr>
      </xdr:nvSpPr>
      <xdr:spPr bwMode="auto">
        <a:xfrm>
          <a:off x="31097220" y="1455420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65187</xdr:rowOff>
    </xdr:to>
    <xdr:sp macro="" textlink="">
      <xdr:nvSpPr>
        <xdr:cNvPr id="48142" name="Text Box 14" hidden="1">
          <a:extLst>
            <a:ext uri="{FF2B5EF4-FFF2-40B4-BE49-F238E27FC236}">
              <a16:creationId xmlns:a16="http://schemas.microsoft.com/office/drawing/2014/main" id="{2272FC6E-7156-4E74-B746-6BD360EFAA70}"/>
            </a:ext>
          </a:extLst>
        </xdr:cNvPr>
        <xdr:cNvSpPr txBox="1">
          <a:spLocks noChangeArrowheads="1"/>
        </xdr:cNvSpPr>
      </xdr:nvSpPr>
      <xdr:spPr bwMode="auto">
        <a:xfrm>
          <a:off x="3916680" y="1882140"/>
          <a:ext cx="134874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126664</xdr:rowOff>
    </xdr:to>
    <xdr:sp macro="" textlink="">
      <xdr:nvSpPr>
        <xdr:cNvPr id="48143" name="Text Box 15" hidden="1">
          <a:extLst>
            <a:ext uri="{FF2B5EF4-FFF2-40B4-BE49-F238E27FC236}">
              <a16:creationId xmlns:a16="http://schemas.microsoft.com/office/drawing/2014/main" id="{9897F1E9-E165-49E4-95E4-24511FE30CE6}"/>
            </a:ext>
          </a:extLst>
        </xdr:cNvPr>
        <xdr:cNvSpPr txBox="1">
          <a:spLocks noChangeArrowheads="1"/>
        </xdr:cNvSpPr>
      </xdr:nvSpPr>
      <xdr:spPr bwMode="auto">
        <a:xfrm>
          <a:off x="3916680" y="2133600"/>
          <a:ext cx="13487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564864</xdr:colOff>
      <xdr:row>16</xdr:row>
      <xdr:rowOff>107079</xdr:rowOff>
    </xdr:to>
    <xdr:sp macro="" textlink="">
      <xdr:nvSpPr>
        <xdr:cNvPr id="48144" name="Text Box 16" hidden="1">
          <a:extLst>
            <a:ext uri="{FF2B5EF4-FFF2-40B4-BE49-F238E27FC236}">
              <a16:creationId xmlns:a16="http://schemas.microsoft.com/office/drawing/2014/main" id="{CDCDD0A0-5983-4DF7-B6D3-B6EE0BEC7E2F}"/>
            </a:ext>
          </a:extLst>
        </xdr:cNvPr>
        <xdr:cNvSpPr txBox="1">
          <a:spLocks noChangeArrowheads="1"/>
        </xdr:cNvSpPr>
      </xdr:nvSpPr>
      <xdr:spPr bwMode="auto">
        <a:xfrm>
          <a:off x="3916680" y="2575560"/>
          <a:ext cx="134874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198154</xdr:colOff>
      <xdr:row>46</xdr:row>
      <xdr:rowOff>140449</xdr:rowOff>
    </xdr:from>
    <xdr:to>
      <xdr:col>38</xdr:col>
      <xdr:colOff>418991</xdr:colOff>
      <xdr:row>46</xdr:row>
      <xdr:rowOff>140449</xdr:rowOff>
    </xdr:to>
    <xdr:sp macro="" textlink="">
      <xdr:nvSpPr>
        <xdr:cNvPr id="252936" name="Text Box 8" hidden="1">
          <a:extLst>
            <a:ext uri="{FF2B5EF4-FFF2-40B4-BE49-F238E27FC236}">
              <a16:creationId xmlns:a16="http://schemas.microsoft.com/office/drawing/2014/main" id="{6F469F85-E901-4955-888C-81B1FE8B86C7}"/>
            </a:ext>
          </a:extLst>
        </xdr:cNvPr>
        <xdr:cNvSpPr txBox="1">
          <a:spLocks noChangeArrowheads="1"/>
        </xdr:cNvSpPr>
      </xdr:nvSpPr>
      <xdr:spPr bwMode="auto">
        <a:xfrm>
          <a:off x="30146625" y="10753725"/>
          <a:ext cx="9620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46</xdr:row>
      <xdr:rowOff>140449</xdr:rowOff>
    </xdr:from>
    <xdr:to>
      <xdr:col>38</xdr:col>
      <xdr:colOff>304691</xdr:colOff>
      <xdr:row>52</xdr:row>
      <xdr:rowOff>25493</xdr:rowOff>
    </xdr:to>
    <xdr:sp macro="" textlink="">
      <xdr:nvSpPr>
        <xdr:cNvPr id="252935" name="Text Box 7" hidden="1">
          <a:extLst>
            <a:ext uri="{FF2B5EF4-FFF2-40B4-BE49-F238E27FC236}">
              <a16:creationId xmlns:a16="http://schemas.microsoft.com/office/drawing/2014/main" id="{13BE16B6-4531-4E12-8F3B-81E0D5E31DC2}"/>
            </a:ext>
          </a:extLst>
        </xdr:cNvPr>
        <xdr:cNvSpPr txBox="1">
          <a:spLocks noChangeArrowheads="1"/>
        </xdr:cNvSpPr>
      </xdr:nvSpPr>
      <xdr:spPr bwMode="auto">
        <a:xfrm>
          <a:off x="30079950" y="10753725"/>
          <a:ext cx="9144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53</xdr:row>
      <xdr:rowOff>219998</xdr:rowOff>
    </xdr:from>
    <xdr:to>
      <xdr:col>38</xdr:col>
      <xdr:colOff>304691</xdr:colOff>
      <xdr:row>53</xdr:row>
      <xdr:rowOff>219998</xdr:rowOff>
    </xdr:to>
    <xdr:sp macro="" textlink="">
      <xdr:nvSpPr>
        <xdr:cNvPr id="252934" name="Text Box 6" hidden="1">
          <a:extLst>
            <a:ext uri="{FF2B5EF4-FFF2-40B4-BE49-F238E27FC236}">
              <a16:creationId xmlns:a16="http://schemas.microsoft.com/office/drawing/2014/main" id="{9291E109-DCDB-4545-A1A1-01AB169C021C}"/>
            </a:ext>
          </a:extLst>
        </xdr:cNvPr>
        <xdr:cNvSpPr txBox="1">
          <a:spLocks noChangeArrowheads="1"/>
        </xdr:cNvSpPr>
      </xdr:nvSpPr>
      <xdr:spPr bwMode="auto">
        <a:xfrm>
          <a:off x="30079950" y="12230100"/>
          <a:ext cx="91440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198154</xdr:colOff>
      <xdr:row>53</xdr:row>
      <xdr:rowOff>219998</xdr:rowOff>
    </xdr:from>
    <xdr:to>
      <xdr:col>38</xdr:col>
      <xdr:colOff>380891</xdr:colOff>
      <xdr:row>53</xdr:row>
      <xdr:rowOff>219998</xdr:rowOff>
    </xdr:to>
    <xdr:sp macro="" textlink="">
      <xdr:nvSpPr>
        <xdr:cNvPr id="252933" name="Text Box 5" hidden="1">
          <a:extLst>
            <a:ext uri="{FF2B5EF4-FFF2-40B4-BE49-F238E27FC236}">
              <a16:creationId xmlns:a16="http://schemas.microsoft.com/office/drawing/2014/main" id="{34B91F96-E697-42D8-B5B6-A243D330D911}"/>
            </a:ext>
          </a:extLst>
        </xdr:cNvPr>
        <xdr:cNvSpPr txBox="1">
          <a:spLocks noChangeArrowheads="1"/>
        </xdr:cNvSpPr>
      </xdr:nvSpPr>
      <xdr:spPr bwMode="auto">
        <a:xfrm>
          <a:off x="30146625" y="12230100"/>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198154</xdr:colOff>
      <xdr:row>46</xdr:row>
      <xdr:rowOff>140449</xdr:rowOff>
    </xdr:from>
    <xdr:to>
      <xdr:col>38</xdr:col>
      <xdr:colOff>380891</xdr:colOff>
      <xdr:row>46</xdr:row>
      <xdr:rowOff>140449</xdr:rowOff>
    </xdr:to>
    <xdr:sp macro="" textlink="">
      <xdr:nvSpPr>
        <xdr:cNvPr id="252932" name="Text Box 4" hidden="1">
          <a:extLst>
            <a:ext uri="{FF2B5EF4-FFF2-40B4-BE49-F238E27FC236}">
              <a16:creationId xmlns:a16="http://schemas.microsoft.com/office/drawing/2014/main" id="{D8D1D499-3363-4B1E-8827-2A3497BBAD9D}"/>
            </a:ext>
          </a:extLst>
        </xdr:cNvPr>
        <xdr:cNvSpPr txBox="1">
          <a:spLocks noChangeArrowheads="1"/>
        </xdr:cNvSpPr>
      </xdr:nvSpPr>
      <xdr:spPr bwMode="auto">
        <a:xfrm>
          <a:off x="30146625" y="107537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65187</xdr:rowOff>
    </xdr:to>
    <xdr:sp macro="" textlink="">
      <xdr:nvSpPr>
        <xdr:cNvPr id="252931" name="Text Box 3" hidden="1">
          <a:extLst>
            <a:ext uri="{FF2B5EF4-FFF2-40B4-BE49-F238E27FC236}">
              <a16:creationId xmlns:a16="http://schemas.microsoft.com/office/drawing/2014/main" id="{3B89C92C-9378-43AA-9CFC-9E270B027BCE}"/>
            </a:ext>
          </a:extLst>
        </xdr:cNvPr>
        <xdr:cNvSpPr txBox="1">
          <a:spLocks noChangeArrowheads="1"/>
        </xdr:cNvSpPr>
      </xdr:nvSpPr>
      <xdr:spPr bwMode="auto">
        <a:xfrm>
          <a:off x="3800475" y="1905000"/>
          <a:ext cx="13144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126664</xdr:rowOff>
    </xdr:to>
    <xdr:sp macro="" textlink="">
      <xdr:nvSpPr>
        <xdr:cNvPr id="252930" name="Text Box 2" hidden="1">
          <a:extLst>
            <a:ext uri="{FF2B5EF4-FFF2-40B4-BE49-F238E27FC236}">
              <a16:creationId xmlns:a16="http://schemas.microsoft.com/office/drawing/2014/main" id="{AF17B70A-55D9-4991-9582-D9D33066EF10}"/>
            </a:ext>
          </a:extLst>
        </xdr:cNvPr>
        <xdr:cNvSpPr txBox="1">
          <a:spLocks noChangeArrowheads="1"/>
        </xdr:cNvSpPr>
      </xdr:nvSpPr>
      <xdr:spPr bwMode="auto">
        <a:xfrm>
          <a:off x="3800475" y="2162175"/>
          <a:ext cx="13144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564864</xdr:colOff>
      <xdr:row>16</xdr:row>
      <xdr:rowOff>107079</xdr:rowOff>
    </xdr:to>
    <xdr:sp macro="" textlink="">
      <xdr:nvSpPr>
        <xdr:cNvPr id="252929" name="Text Box 1" hidden="1">
          <a:extLst>
            <a:ext uri="{FF2B5EF4-FFF2-40B4-BE49-F238E27FC236}">
              <a16:creationId xmlns:a16="http://schemas.microsoft.com/office/drawing/2014/main" id="{5C1C8FF7-34FD-4EAB-ACEE-D5D878FF6E3A}"/>
            </a:ext>
          </a:extLst>
        </xdr:cNvPr>
        <xdr:cNvSpPr txBox="1">
          <a:spLocks noChangeArrowheads="1"/>
        </xdr:cNvSpPr>
      </xdr:nvSpPr>
      <xdr:spPr bwMode="auto">
        <a:xfrm>
          <a:off x="3800475" y="26098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392723</xdr:colOff>
      <xdr:row>39</xdr:row>
      <xdr:rowOff>25692</xdr:rowOff>
    </xdr:to>
    <xdr:sp macro="" textlink="">
      <xdr:nvSpPr>
        <xdr:cNvPr id="252944" name="Text Box 16" hidden="1">
          <a:extLst>
            <a:ext uri="{FF2B5EF4-FFF2-40B4-BE49-F238E27FC236}">
              <a16:creationId xmlns:a16="http://schemas.microsoft.com/office/drawing/2014/main" id="{9CCA4A50-7403-47E1-8CC0-F290157A4F2E}"/>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39</xdr:row>
      <xdr:rowOff>18072</xdr:rowOff>
    </xdr:from>
    <xdr:to>
      <xdr:col>38</xdr:col>
      <xdr:colOff>276518</xdr:colOff>
      <xdr:row>47</xdr:row>
      <xdr:rowOff>8416</xdr:rowOff>
    </xdr:to>
    <xdr:sp macro="" textlink="">
      <xdr:nvSpPr>
        <xdr:cNvPr id="252943" name="Text Box 15" hidden="1">
          <a:extLst>
            <a:ext uri="{FF2B5EF4-FFF2-40B4-BE49-F238E27FC236}">
              <a16:creationId xmlns:a16="http://schemas.microsoft.com/office/drawing/2014/main" id="{74EFF6A7-FE24-41A3-95B8-F75D4034508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49</xdr:row>
      <xdr:rowOff>86580</xdr:rowOff>
    </xdr:from>
    <xdr:to>
      <xdr:col>38</xdr:col>
      <xdr:colOff>276518</xdr:colOff>
      <xdr:row>50</xdr:row>
      <xdr:rowOff>29430</xdr:rowOff>
    </xdr:to>
    <xdr:sp macro="" textlink="">
      <xdr:nvSpPr>
        <xdr:cNvPr id="252942" name="Text Box 14" hidden="1">
          <a:extLst>
            <a:ext uri="{FF2B5EF4-FFF2-40B4-BE49-F238E27FC236}">
              <a16:creationId xmlns:a16="http://schemas.microsoft.com/office/drawing/2014/main" id="{6C70BA9F-88B0-4854-B844-DDB2DDBC3FD2}"/>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49</xdr:row>
      <xdr:rowOff>86580</xdr:rowOff>
    </xdr:from>
    <xdr:to>
      <xdr:col>38</xdr:col>
      <xdr:colOff>352718</xdr:colOff>
      <xdr:row>50</xdr:row>
      <xdr:rowOff>29430</xdr:rowOff>
    </xdr:to>
    <xdr:sp macro="" textlink="">
      <xdr:nvSpPr>
        <xdr:cNvPr id="252941" name="Text Box 13" hidden="1">
          <a:extLst>
            <a:ext uri="{FF2B5EF4-FFF2-40B4-BE49-F238E27FC236}">
              <a16:creationId xmlns:a16="http://schemas.microsoft.com/office/drawing/2014/main" id="{4ADB5933-103E-4E84-8094-A05ED8FDF6AD}"/>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352718</xdr:colOff>
      <xdr:row>39</xdr:row>
      <xdr:rowOff>25692</xdr:rowOff>
    </xdr:to>
    <xdr:sp macro="" textlink="">
      <xdr:nvSpPr>
        <xdr:cNvPr id="252940" name="Text Box 12" hidden="1">
          <a:extLst>
            <a:ext uri="{FF2B5EF4-FFF2-40B4-BE49-F238E27FC236}">
              <a16:creationId xmlns:a16="http://schemas.microsoft.com/office/drawing/2014/main" id="{019A3510-28C7-4C11-BB21-C29F2EFB7362}"/>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392723</xdr:colOff>
      <xdr:row>39</xdr:row>
      <xdr:rowOff>25692</xdr:rowOff>
    </xdr:to>
    <xdr:sp macro="" textlink="">
      <xdr:nvSpPr>
        <xdr:cNvPr id="252949" name="Text Box 21" hidden="1">
          <a:extLst>
            <a:ext uri="{FF2B5EF4-FFF2-40B4-BE49-F238E27FC236}">
              <a16:creationId xmlns:a16="http://schemas.microsoft.com/office/drawing/2014/main" id="{24E5732B-415D-439E-9A97-1FF4340BAF4C}"/>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39</xdr:row>
      <xdr:rowOff>18072</xdr:rowOff>
    </xdr:from>
    <xdr:to>
      <xdr:col>38</xdr:col>
      <xdr:colOff>276518</xdr:colOff>
      <xdr:row>47</xdr:row>
      <xdr:rowOff>8416</xdr:rowOff>
    </xdr:to>
    <xdr:sp macro="" textlink="">
      <xdr:nvSpPr>
        <xdr:cNvPr id="252948" name="Text Box 20" hidden="1">
          <a:extLst>
            <a:ext uri="{FF2B5EF4-FFF2-40B4-BE49-F238E27FC236}">
              <a16:creationId xmlns:a16="http://schemas.microsoft.com/office/drawing/2014/main" id="{583BB590-CA17-42A2-A731-0F38369C2E5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49</xdr:row>
      <xdr:rowOff>86580</xdr:rowOff>
    </xdr:from>
    <xdr:to>
      <xdr:col>38</xdr:col>
      <xdr:colOff>276518</xdr:colOff>
      <xdr:row>50</xdr:row>
      <xdr:rowOff>29430</xdr:rowOff>
    </xdr:to>
    <xdr:sp macro="" textlink="">
      <xdr:nvSpPr>
        <xdr:cNvPr id="252947" name="Text Box 19" hidden="1">
          <a:extLst>
            <a:ext uri="{FF2B5EF4-FFF2-40B4-BE49-F238E27FC236}">
              <a16:creationId xmlns:a16="http://schemas.microsoft.com/office/drawing/2014/main" id="{34161C3E-251C-4E5B-9E5D-3F3FE65520CA}"/>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49</xdr:row>
      <xdr:rowOff>86580</xdr:rowOff>
    </xdr:from>
    <xdr:to>
      <xdr:col>38</xdr:col>
      <xdr:colOff>352718</xdr:colOff>
      <xdr:row>50</xdr:row>
      <xdr:rowOff>29430</xdr:rowOff>
    </xdr:to>
    <xdr:sp macro="" textlink="">
      <xdr:nvSpPr>
        <xdr:cNvPr id="252946" name="Text Box 18" hidden="1">
          <a:extLst>
            <a:ext uri="{FF2B5EF4-FFF2-40B4-BE49-F238E27FC236}">
              <a16:creationId xmlns:a16="http://schemas.microsoft.com/office/drawing/2014/main" id="{44CA8B3D-174D-4CF4-AF8A-63AA8EC7665E}"/>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352718</xdr:colOff>
      <xdr:row>39</xdr:row>
      <xdr:rowOff>25692</xdr:rowOff>
    </xdr:to>
    <xdr:sp macro="" textlink="">
      <xdr:nvSpPr>
        <xdr:cNvPr id="252945" name="Text Box 17" hidden="1">
          <a:extLst>
            <a:ext uri="{FF2B5EF4-FFF2-40B4-BE49-F238E27FC236}">
              <a16:creationId xmlns:a16="http://schemas.microsoft.com/office/drawing/2014/main" id="{AAD2393C-B08C-4C9F-873B-0FD55CB002BA}"/>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392723</xdr:colOff>
      <xdr:row>39</xdr:row>
      <xdr:rowOff>25692</xdr:rowOff>
    </xdr:to>
    <xdr:sp macro="" textlink="">
      <xdr:nvSpPr>
        <xdr:cNvPr id="252954" name="Text Box 26" hidden="1">
          <a:extLst>
            <a:ext uri="{FF2B5EF4-FFF2-40B4-BE49-F238E27FC236}">
              <a16:creationId xmlns:a16="http://schemas.microsoft.com/office/drawing/2014/main" id="{3C891323-E76A-407C-88E8-12B8106EBC18}"/>
            </a:ext>
          </a:extLst>
        </xdr:cNvPr>
        <xdr:cNvSpPr txBox="1">
          <a:spLocks noChangeArrowheads="1"/>
        </xdr:cNvSpPr>
      </xdr:nvSpPr>
      <xdr:spPr bwMode="auto">
        <a:xfrm>
          <a:off x="31074360" y="9182100"/>
          <a:ext cx="100584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39</xdr:row>
      <xdr:rowOff>18072</xdr:rowOff>
    </xdr:from>
    <xdr:to>
      <xdr:col>38</xdr:col>
      <xdr:colOff>276518</xdr:colOff>
      <xdr:row>46</xdr:row>
      <xdr:rowOff>162811</xdr:rowOff>
    </xdr:to>
    <xdr:sp macro="" textlink="">
      <xdr:nvSpPr>
        <xdr:cNvPr id="252953" name="Text Box 25" hidden="1">
          <a:extLst>
            <a:ext uri="{FF2B5EF4-FFF2-40B4-BE49-F238E27FC236}">
              <a16:creationId xmlns:a16="http://schemas.microsoft.com/office/drawing/2014/main" id="{61ECF97E-5E64-4693-86CD-E54A91D323FB}"/>
            </a:ext>
          </a:extLst>
        </xdr:cNvPr>
        <xdr:cNvSpPr txBox="1">
          <a:spLocks noChangeArrowheads="1"/>
        </xdr:cNvSpPr>
      </xdr:nvSpPr>
      <xdr:spPr bwMode="auto">
        <a:xfrm>
          <a:off x="31005780" y="9182100"/>
          <a:ext cx="944880" cy="1424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49</xdr:row>
      <xdr:rowOff>102849</xdr:rowOff>
    </xdr:from>
    <xdr:to>
      <xdr:col>38</xdr:col>
      <xdr:colOff>276518</xdr:colOff>
      <xdr:row>50</xdr:row>
      <xdr:rowOff>12406</xdr:rowOff>
    </xdr:to>
    <xdr:sp macro="" textlink="">
      <xdr:nvSpPr>
        <xdr:cNvPr id="252952" name="Text Box 24" hidden="1">
          <a:extLst>
            <a:ext uri="{FF2B5EF4-FFF2-40B4-BE49-F238E27FC236}">
              <a16:creationId xmlns:a16="http://schemas.microsoft.com/office/drawing/2014/main" id="{E0C89A7B-8F9F-4DAA-9706-C7B66450BB88}"/>
            </a:ext>
          </a:extLst>
        </xdr:cNvPr>
        <xdr:cNvSpPr txBox="1">
          <a:spLocks noChangeArrowheads="1"/>
        </xdr:cNvSpPr>
      </xdr:nvSpPr>
      <xdr:spPr bwMode="auto">
        <a:xfrm>
          <a:off x="31005780" y="1104900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49</xdr:row>
      <xdr:rowOff>102849</xdr:rowOff>
    </xdr:from>
    <xdr:to>
      <xdr:col>38</xdr:col>
      <xdr:colOff>352718</xdr:colOff>
      <xdr:row>50</xdr:row>
      <xdr:rowOff>12406</xdr:rowOff>
    </xdr:to>
    <xdr:sp macro="" textlink="">
      <xdr:nvSpPr>
        <xdr:cNvPr id="252951" name="Text Box 23" hidden="1">
          <a:extLst>
            <a:ext uri="{FF2B5EF4-FFF2-40B4-BE49-F238E27FC236}">
              <a16:creationId xmlns:a16="http://schemas.microsoft.com/office/drawing/2014/main" id="{320CFB50-3AD1-4203-89EC-E454B249AB09}"/>
            </a:ext>
          </a:extLst>
        </xdr:cNvPr>
        <xdr:cNvSpPr txBox="1">
          <a:spLocks noChangeArrowheads="1"/>
        </xdr:cNvSpPr>
      </xdr:nvSpPr>
      <xdr:spPr bwMode="auto">
        <a:xfrm>
          <a:off x="31074360" y="1104900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352718</xdr:colOff>
      <xdr:row>39</xdr:row>
      <xdr:rowOff>25692</xdr:rowOff>
    </xdr:to>
    <xdr:sp macro="" textlink="">
      <xdr:nvSpPr>
        <xdr:cNvPr id="252950" name="Text Box 22" hidden="1">
          <a:extLst>
            <a:ext uri="{FF2B5EF4-FFF2-40B4-BE49-F238E27FC236}">
              <a16:creationId xmlns:a16="http://schemas.microsoft.com/office/drawing/2014/main" id="{A462AF66-2A46-47A3-98FD-77AB5B570FC3}"/>
            </a:ext>
          </a:extLst>
        </xdr:cNvPr>
        <xdr:cNvSpPr txBox="1">
          <a:spLocks noChangeArrowheads="1"/>
        </xdr:cNvSpPr>
      </xdr:nvSpPr>
      <xdr:spPr bwMode="auto">
        <a:xfrm>
          <a:off x="31074360" y="9182100"/>
          <a:ext cx="95250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392723</xdr:colOff>
      <xdr:row>39</xdr:row>
      <xdr:rowOff>25692</xdr:rowOff>
    </xdr:to>
    <xdr:sp macro="" textlink="">
      <xdr:nvSpPr>
        <xdr:cNvPr id="252959" name="Text Box 31" hidden="1">
          <a:extLst>
            <a:ext uri="{FF2B5EF4-FFF2-40B4-BE49-F238E27FC236}">
              <a16:creationId xmlns:a16="http://schemas.microsoft.com/office/drawing/2014/main" id="{4DEACF51-F30D-44F1-9204-889832AE9BBF}"/>
            </a:ext>
          </a:extLst>
        </xdr:cNvPr>
        <xdr:cNvSpPr txBox="1">
          <a:spLocks noChangeArrowheads="1"/>
        </xdr:cNvSpPr>
      </xdr:nvSpPr>
      <xdr:spPr bwMode="auto">
        <a:xfrm>
          <a:off x="31066740" y="9182100"/>
          <a:ext cx="10134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39</xdr:row>
      <xdr:rowOff>18072</xdr:rowOff>
    </xdr:from>
    <xdr:to>
      <xdr:col>38</xdr:col>
      <xdr:colOff>276518</xdr:colOff>
      <xdr:row>46</xdr:row>
      <xdr:rowOff>162811</xdr:rowOff>
    </xdr:to>
    <xdr:sp macro="" textlink="">
      <xdr:nvSpPr>
        <xdr:cNvPr id="252958" name="Text Box 30" hidden="1">
          <a:extLst>
            <a:ext uri="{FF2B5EF4-FFF2-40B4-BE49-F238E27FC236}">
              <a16:creationId xmlns:a16="http://schemas.microsoft.com/office/drawing/2014/main" id="{6463DD54-AB05-4343-9DCE-2BBBCA407800}"/>
            </a:ext>
          </a:extLst>
        </xdr:cNvPr>
        <xdr:cNvSpPr txBox="1">
          <a:spLocks noChangeArrowheads="1"/>
        </xdr:cNvSpPr>
      </xdr:nvSpPr>
      <xdr:spPr bwMode="auto">
        <a:xfrm>
          <a:off x="30998160" y="9182100"/>
          <a:ext cx="9448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49</xdr:row>
      <xdr:rowOff>102849</xdr:rowOff>
    </xdr:from>
    <xdr:to>
      <xdr:col>38</xdr:col>
      <xdr:colOff>276518</xdr:colOff>
      <xdr:row>50</xdr:row>
      <xdr:rowOff>12406</xdr:rowOff>
    </xdr:to>
    <xdr:sp macro="" textlink="">
      <xdr:nvSpPr>
        <xdr:cNvPr id="252957" name="Text Box 29" hidden="1">
          <a:extLst>
            <a:ext uri="{FF2B5EF4-FFF2-40B4-BE49-F238E27FC236}">
              <a16:creationId xmlns:a16="http://schemas.microsoft.com/office/drawing/2014/main" id="{4059B9B1-6440-4DB7-9BE4-D095C8912E0A}"/>
            </a:ext>
          </a:extLst>
        </xdr:cNvPr>
        <xdr:cNvSpPr txBox="1">
          <a:spLocks noChangeArrowheads="1"/>
        </xdr:cNvSpPr>
      </xdr:nvSpPr>
      <xdr:spPr bwMode="auto">
        <a:xfrm>
          <a:off x="30998160" y="1104138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49</xdr:row>
      <xdr:rowOff>102849</xdr:rowOff>
    </xdr:from>
    <xdr:to>
      <xdr:col>38</xdr:col>
      <xdr:colOff>352718</xdr:colOff>
      <xdr:row>50</xdr:row>
      <xdr:rowOff>12406</xdr:rowOff>
    </xdr:to>
    <xdr:sp macro="" textlink="">
      <xdr:nvSpPr>
        <xdr:cNvPr id="252956" name="Text Box 28" hidden="1">
          <a:extLst>
            <a:ext uri="{FF2B5EF4-FFF2-40B4-BE49-F238E27FC236}">
              <a16:creationId xmlns:a16="http://schemas.microsoft.com/office/drawing/2014/main" id="{DE9C1765-F87E-4A31-93AA-69EFFDF2BE86}"/>
            </a:ext>
          </a:extLst>
        </xdr:cNvPr>
        <xdr:cNvSpPr txBox="1">
          <a:spLocks noChangeArrowheads="1"/>
        </xdr:cNvSpPr>
      </xdr:nvSpPr>
      <xdr:spPr bwMode="auto">
        <a:xfrm>
          <a:off x="31066740" y="1104138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352718</xdr:colOff>
      <xdr:row>39</xdr:row>
      <xdr:rowOff>25692</xdr:rowOff>
    </xdr:to>
    <xdr:sp macro="" textlink="">
      <xdr:nvSpPr>
        <xdr:cNvPr id="252955" name="Text Box 27" hidden="1">
          <a:extLst>
            <a:ext uri="{FF2B5EF4-FFF2-40B4-BE49-F238E27FC236}">
              <a16:creationId xmlns:a16="http://schemas.microsoft.com/office/drawing/2014/main" id="{57035444-BBC5-426C-93BF-8E7570DBDA01}"/>
            </a:ext>
          </a:extLst>
        </xdr:cNvPr>
        <xdr:cNvSpPr txBox="1">
          <a:spLocks noChangeArrowheads="1"/>
        </xdr:cNvSpPr>
      </xdr:nvSpPr>
      <xdr:spPr bwMode="auto">
        <a:xfrm>
          <a:off x="31066740" y="9182100"/>
          <a:ext cx="952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18072</xdr:rowOff>
    </xdr:from>
    <xdr:to>
      <xdr:col>38</xdr:col>
      <xdr:colOff>392723</xdr:colOff>
      <xdr:row>39</xdr:row>
      <xdr:rowOff>39158</xdr:rowOff>
    </xdr:to>
    <xdr:sp macro="" textlink="">
      <xdr:nvSpPr>
        <xdr:cNvPr id="252964" name="Text Box 36" hidden="1">
          <a:extLst>
            <a:ext uri="{FF2B5EF4-FFF2-40B4-BE49-F238E27FC236}">
              <a16:creationId xmlns:a16="http://schemas.microsoft.com/office/drawing/2014/main" id="{68A2020A-3B41-477A-A799-21E4A30D071D}"/>
            </a:ext>
          </a:extLst>
        </xdr:cNvPr>
        <xdr:cNvSpPr txBox="1">
          <a:spLocks noChangeArrowheads="1"/>
        </xdr:cNvSpPr>
      </xdr:nvSpPr>
      <xdr:spPr bwMode="auto">
        <a:xfrm>
          <a:off x="30127575" y="934402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39</xdr:row>
      <xdr:rowOff>18072</xdr:rowOff>
    </xdr:from>
    <xdr:to>
      <xdr:col>38</xdr:col>
      <xdr:colOff>276518</xdr:colOff>
      <xdr:row>46</xdr:row>
      <xdr:rowOff>162811</xdr:rowOff>
    </xdr:to>
    <xdr:sp macro="" textlink="">
      <xdr:nvSpPr>
        <xdr:cNvPr id="252963" name="Text Box 35" hidden="1">
          <a:extLst>
            <a:ext uri="{FF2B5EF4-FFF2-40B4-BE49-F238E27FC236}">
              <a16:creationId xmlns:a16="http://schemas.microsoft.com/office/drawing/2014/main" id="{1037621C-C7F3-4023-B091-BAF39AC4CA68}"/>
            </a:ext>
          </a:extLst>
        </xdr:cNvPr>
        <xdr:cNvSpPr txBox="1">
          <a:spLocks noChangeArrowheads="1"/>
        </xdr:cNvSpPr>
      </xdr:nvSpPr>
      <xdr:spPr bwMode="auto">
        <a:xfrm>
          <a:off x="30060900" y="9344025"/>
          <a:ext cx="91440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49</xdr:row>
      <xdr:rowOff>102849</xdr:rowOff>
    </xdr:from>
    <xdr:to>
      <xdr:col>38</xdr:col>
      <xdr:colOff>276518</xdr:colOff>
      <xdr:row>50</xdr:row>
      <xdr:rowOff>12406</xdr:rowOff>
    </xdr:to>
    <xdr:sp macro="" textlink="">
      <xdr:nvSpPr>
        <xdr:cNvPr id="252962" name="Text Box 34" hidden="1">
          <a:extLst>
            <a:ext uri="{FF2B5EF4-FFF2-40B4-BE49-F238E27FC236}">
              <a16:creationId xmlns:a16="http://schemas.microsoft.com/office/drawing/2014/main" id="{E9912762-3D67-4238-88E2-DC7222293139}"/>
            </a:ext>
          </a:extLst>
        </xdr:cNvPr>
        <xdr:cNvSpPr txBox="1">
          <a:spLocks noChangeArrowheads="1"/>
        </xdr:cNvSpPr>
      </xdr:nvSpPr>
      <xdr:spPr bwMode="auto">
        <a:xfrm>
          <a:off x="30060900" y="1125855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49</xdr:row>
      <xdr:rowOff>102849</xdr:rowOff>
    </xdr:from>
    <xdr:to>
      <xdr:col>38</xdr:col>
      <xdr:colOff>352718</xdr:colOff>
      <xdr:row>50</xdr:row>
      <xdr:rowOff>12406</xdr:rowOff>
    </xdr:to>
    <xdr:sp macro="" textlink="">
      <xdr:nvSpPr>
        <xdr:cNvPr id="252961" name="Text Box 33" hidden="1">
          <a:extLst>
            <a:ext uri="{FF2B5EF4-FFF2-40B4-BE49-F238E27FC236}">
              <a16:creationId xmlns:a16="http://schemas.microsoft.com/office/drawing/2014/main" id="{2404B1F8-E1F5-43EA-963C-1E2A090160FA}"/>
            </a:ext>
          </a:extLst>
        </xdr:cNvPr>
        <xdr:cNvSpPr txBox="1">
          <a:spLocks noChangeArrowheads="1"/>
        </xdr:cNvSpPr>
      </xdr:nvSpPr>
      <xdr:spPr bwMode="auto">
        <a:xfrm>
          <a:off x="30127575" y="1125855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18072</xdr:rowOff>
    </xdr:from>
    <xdr:to>
      <xdr:col>38</xdr:col>
      <xdr:colOff>352718</xdr:colOff>
      <xdr:row>39</xdr:row>
      <xdr:rowOff>39158</xdr:rowOff>
    </xdr:to>
    <xdr:sp macro="" textlink="">
      <xdr:nvSpPr>
        <xdr:cNvPr id="252960" name="Text Box 32" hidden="1">
          <a:extLst>
            <a:ext uri="{FF2B5EF4-FFF2-40B4-BE49-F238E27FC236}">
              <a16:creationId xmlns:a16="http://schemas.microsoft.com/office/drawing/2014/main" id="{1890B0FB-19B1-417B-A58E-2210E591B13A}"/>
            </a:ext>
          </a:extLst>
        </xdr:cNvPr>
        <xdr:cNvSpPr txBox="1">
          <a:spLocks noChangeArrowheads="1"/>
        </xdr:cNvSpPr>
      </xdr:nvSpPr>
      <xdr:spPr bwMode="auto">
        <a:xfrm>
          <a:off x="30127575" y="93440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161855</xdr:rowOff>
    </xdr:from>
    <xdr:to>
      <xdr:col>38</xdr:col>
      <xdr:colOff>392723</xdr:colOff>
      <xdr:row>39</xdr:row>
      <xdr:rowOff>170534</xdr:rowOff>
    </xdr:to>
    <xdr:sp macro="" textlink="">
      <xdr:nvSpPr>
        <xdr:cNvPr id="252969" name="Text Box 41" hidden="1">
          <a:extLst>
            <a:ext uri="{FF2B5EF4-FFF2-40B4-BE49-F238E27FC236}">
              <a16:creationId xmlns:a16="http://schemas.microsoft.com/office/drawing/2014/main" id="{3788E8AC-2054-4869-A54F-426879347DFB}"/>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39</xdr:row>
      <xdr:rowOff>161855</xdr:rowOff>
    </xdr:from>
    <xdr:to>
      <xdr:col>38</xdr:col>
      <xdr:colOff>240323</xdr:colOff>
      <xdr:row>53</xdr:row>
      <xdr:rowOff>178534</xdr:rowOff>
    </xdr:to>
    <xdr:sp macro="" textlink="">
      <xdr:nvSpPr>
        <xdr:cNvPr id="252968" name="Text Box 40" hidden="1">
          <a:extLst>
            <a:ext uri="{FF2B5EF4-FFF2-40B4-BE49-F238E27FC236}">
              <a16:creationId xmlns:a16="http://schemas.microsoft.com/office/drawing/2014/main" id="{26FAF55B-77B7-47EE-BA2F-828B45D76F61}"/>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48</xdr:row>
      <xdr:rowOff>139722</xdr:rowOff>
    </xdr:from>
    <xdr:to>
      <xdr:col>38</xdr:col>
      <xdr:colOff>240323</xdr:colOff>
      <xdr:row>48</xdr:row>
      <xdr:rowOff>139722</xdr:rowOff>
    </xdr:to>
    <xdr:sp macro="" textlink="">
      <xdr:nvSpPr>
        <xdr:cNvPr id="252967" name="Text Box 39" hidden="1">
          <a:extLst>
            <a:ext uri="{FF2B5EF4-FFF2-40B4-BE49-F238E27FC236}">
              <a16:creationId xmlns:a16="http://schemas.microsoft.com/office/drawing/2014/main" id="{0B6DF588-52D4-4336-9541-15FFAEBACF3C}"/>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48</xdr:row>
      <xdr:rowOff>139722</xdr:rowOff>
    </xdr:from>
    <xdr:to>
      <xdr:col>38</xdr:col>
      <xdr:colOff>316523</xdr:colOff>
      <xdr:row>48</xdr:row>
      <xdr:rowOff>139722</xdr:rowOff>
    </xdr:to>
    <xdr:sp macro="" textlink="">
      <xdr:nvSpPr>
        <xdr:cNvPr id="252966" name="Text Box 38" hidden="1">
          <a:extLst>
            <a:ext uri="{FF2B5EF4-FFF2-40B4-BE49-F238E27FC236}">
              <a16:creationId xmlns:a16="http://schemas.microsoft.com/office/drawing/2014/main" id="{E4EEF175-76F4-400F-A15C-65A81EAF87B6}"/>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161855</xdr:rowOff>
    </xdr:from>
    <xdr:to>
      <xdr:col>38</xdr:col>
      <xdr:colOff>316523</xdr:colOff>
      <xdr:row>39</xdr:row>
      <xdr:rowOff>170534</xdr:rowOff>
    </xdr:to>
    <xdr:sp macro="" textlink="">
      <xdr:nvSpPr>
        <xdr:cNvPr id="252965" name="Text Box 37" hidden="1">
          <a:extLst>
            <a:ext uri="{FF2B5EF4-FFF2-40B4-BE49-F238E27FC236}">
              <a16:creationId xmlns:a16="http://schemas.microsoft.com/office/drawing/2014/main" id="{2FCAFE45-AFAC-461D-92F3-B968F165F487}"/>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125197</xdr:rowOff>
    </xdr:to>
    <xdr:sp macro="" textlink="">
      <xdr:nvSpPr>
        <xdr:cNvPr id="252970" name="Text Box 42" hidden="1">
          <a:extLst>
            <a:ext uri="{FF2B5EF4-FFF2-40B4-BE49-F238E27FC236}">
              <a16:creationId xmlns:a16="http://schemas.microsoft.com/office/drawing/2014/main" id="{28B0A706-A281-4013-BFBF-6AB24A942F5E}"/>
            </a:ext>
          </a:extLst>
        </xdr:cNvPr>
        <xdr:cNvSpPr txBox="1">
          <a:spLocks noChangeArrowheads="1"/>
        </xdr:cNvSpPr>
      </xdr:nvSpPr>
      <xdr:spPr bwMode="auto">
        <a:xfrm>
          <a:off x="4695825" y="47720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1" name="Text Box 43" hidden="1">
          <a:extLst>
            <a:ext uri="{FF2B5EF4-FFF2-40B4-BE49-F238E27FC236}">
              <a16:creationId xmlns:a16="http://schemas.microsoft.com/office/drawing/2014/main" id="{FE333180-0697-4528-8E24-8CBE273B9E42}"/>
            </a:ext>
          </a:extLst>
        </xdr:cNvPr>
        <xdr:cNvSpPr txBox="1">
          <a:spLocks noChangeArrowheads="1"/>
        </xdr:cNvSpPr>
      </xdr:nvSpPr>
      <xdr:spPr bwMode="auto">
        <a:xfrm>
          <a:off x="4657725" y="1533525"/>
          <a:ext cx="12382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72" name="Text Box 44" hidden="1">
          <a:extLst>
            <a:ext uri="{FF2B5EF4-FFF2-40B4-BE49-F238E27FC236}">
              <a16:creationId xmlns:a16="http://schemas.microsoft.com/office/drawing/2014/main" id="{70E1DB2C-5B7E-4093-B794-73BEB90A08C5}"/>
            </a:ext>
          </a:extLst>
        </xdr:cNvPr>
        <xdr:cNvSpPr txBox="1">
          <a:spLocks noChangeArrowheads="1"/>
        </xdr:cNvSpPr>
      </xdr:nvSpPr>
      <xdr:spPr bwMode="auto">
        <a:xfrm>
          <a:off x="4657725" y="1790700"/>
          <a:ext cx="12382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122779</xdr:rowOff>
    </xdr:from>
    <xdr:to>
      <xdr:col>20</xdr:col>
      <xdr:colOff>149519</xdr:colOff>
      <xdr:row>27</xdr:row>
      <xdr:rowOff>164038</xdr:rowOff>
    </xdr:to>
    <xdr:sp macro="" textlink="">
      <xdr:nvSpPr>
        <xdr:cNvPr id="252973" name="Text Box 45" hidden="1">
          <a:extLst>
            <a:ext uri="{FF2B5EF4-FFF2-40B4-BE49-F238E27FC236}">
              <a16:creationId xmlns:a16="http://schemas.microsoft.com/office/drawing/2014/main" id="{A3658ADF-5822-4B2C-BAE0-69558E367330}"/>
            </a:ext>
          </a:extLst>
        </xdr:cNvPr>
        <xdr:cNvSpPr txBox="1">
          <a:spLocks noChangeArrowheads="1"/>
        </xdr:cNvSpPr>
      </xdr:nvSpPr>
      <xdr:spPr bwMode="auto">
        <a:xfrm>
          <a:off x="16773525" y="5105400"/>
          <a:ext cx="1247775"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161855</xdr:rowOff>
    </xdr:from>
    <xdr:to>
      <xdr:col>38</xdr:col>
      <xdr:colOff>392723</xdr:colOff>
      <xdr:row>39</xdr:row>
      <xdr:rowOff>170534</xdr:rowOff>
    </xdr:to>
    <xdr:sp macro="" textlink="">
      <xdr:nvSpPr>
        <xdr:cNvPr id="252982" name="Text Box 54" hidden="1">
          <a:extLst>
            <a:ext uri="{FF2B5EF4-FFF2-40B4-BE49-F238E27FC236}">
              <a16:creationId xmlns:a16="http://schemas.microsoft.com/office/drawing/2014/main" id="{0BE3F2EB-4954-4CA3-AF6E-BD72A1CCEF07}"/>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39</xdr:row>
      <xdr:rowOff>161855</xdr:rowOff>
    </xdr:from>
    <xdr:to>
      <xdr:col>38</xdr:col>
      <xdr:colOff>240323</xdr:colOff>
      <xdr:row>53</xdr:row>
      <xdr:rowOff>178534</xdr:rowOff>
    </xdr:to>
    <xdr:sp macro="" textlink="">
      <xdr:nvSpPr>
        <xdr:cNvPr id="252981" name="Text Box 53" hidden="1">
          <a:extLst>
            <a:ext uri="{FF2B5EF4-FFF2-40B4-BE49-F238E27FC236}">
              <a16:creationId xmlns:a16="http://schemas.microsoft.com/office/drawing/2014/main" id="{23DCBB77-3513-42B6-90B2-3CD3CDB3DEBE}"/>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48</xdr:row>
      <xdr:rowOff>139722</xdr:rowOff>
    </xdr:from>
    <xdr:to>
      <xdr:col>38</xdr:col>
      <xdr:colOff>240323</xdr:colOff>
      <xdr:row>48</xdr:row>
      <xdr:rowOff>139722</xdr:rowOff>
    </xdr:to>
    <xdr:sp macro="" textlink="">
      <xdr:nvSpPr>
        <xdr:cNvPr id="252980" name="Text Box 52" hidden="1">
          <a:extLst>
            <a:ext uri="{FF2B5EF4-FFF2-40B4-BE49-F238E27FC236}">
              <a16:creationId xmlns:a16="http://schemas.microsoft.com/office/drawing/2014/main" id="{AD69B076-C91E-4D04-BC12-22A334449DE8}"/>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48</xdr:row>
      <xdr:rowOff>139722</xdr:rowOff>
    </xdr:from>
    <xdr:to>
      <xdr:col>38</xdr:col>
      <xdr:colOff>316523</xdr:colOff>
      <xdr:row>48</xdr:row>
      <xdr:rowOff>139722</xdr:rowOff>
    </xdr:to>
    <xdr:sp macro="" textlink="">
      <xdr:nvSpPr>
        <xdr:cNvPr id="252979" name="Text Box 51" hidden="1">
          <a:extLst>
            <a:ext uri="{FF2B5EF4-FFF2-40B4-BE49-F238E27FC236}">
              <a16:creationId xmlns:a16="http://schemas.microsoft.com/office/drawing/2014/main" id="{11F9DD7D-ABFE-4559-A1A9-7424B48D89AF}"/>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161855</xdr:rowOff>
    </xdr:from>
    <xdr:to>
      <xdr:col>38</xdr:col>
      <xdr:colOff>316523</xdr:colOff>
      <xdr:row>39</xdr:row>
      <xdr:rowOff>170534</xdr:rowOff>
    </xdr:to>
    <xdr:sp macro="" textlink="">
      <xdr:nvSpPr>
        <xdr:cNvPr id="252978" name="Text Box 50" hidden="1">
          <a:extLst>
            <a:ext uri="{FF2B5EF4-FFF2-40B4-BE49-F238E27FC236}">
              <a16:creationId xmlns:a16="http://schemas.microsoft.com/office/drawing/2014/main" id="{C5BF4F7F-B33C-4B3A-9511-1BFBAEECA128}"/>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125197</xdr:rowOff>
    </xdr:to>
    <xdr:sp macro="" textlink="">
      <xdr:nvSpPr>
        <xdr:cNvPr id="252977" name="Text Box 49" hidden="1">
          <a:extLst>
            <a:ext uri="{FF2B5EF4-FFF2-40B4-BE49-F238E27FC236}">
              <a16:creationId xmlns:a16="http://schemas.microsoft.com/office/drawing/2014/main" id="{049360C9-661E-4425-B7C7-AF95F6C277B7}"/>
            </a:ext>
          </a:extLst>
        </xdr:cNvPr>
        <xdr:cNvSpPr txBox="1">
          <a:spLocks noChangeArrowheads="1"/>
        </xdr:cNvSpPr>
      </xdr:nvSpPr>
      <xdr:spPr bwMode="auto">
        <a:xfrm>
          <a:off x="4695825" y="4772025"/>
          <a:ext cx="135255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6" name="Text Box 48" hidden="1">
          <a:extLst>
            <a:ext uri="{FF2B5EF4-FFF2-40B4-BE49-F238E27FC236}">
              <a16:creationId xmlns:a16="http://schemas.microsoft.com/office/drawing/2014/main" id="{92B6BF94-2DE9-49A3-B33C-A5E08F003560}"/>
            </a:ext>
          </a:extLst>
        </xdr:cNvPr>
        <xdr:cNvSpPr txBox="1">
          <a:spLocks noChangeArrowheads="1"/>
        </xdr:cNvSpPr>
      </xdr:nvSpPr>
      <xdr:spPr bwMode="auto">
        <a:xfrm>
          <a:off x="4657725" y="1533525"/>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75" name="Text Box 47" hidden="1">
          <a:extLst>
            <a:ext uri="{FF2B5EF4-FFF2-40B4-BE49-F238E27FC236}">
              <a16:creationId xmlns:a16="http://schemas.microsoft.com/office/drawing/2014/main" id="{59A159B8-A8F3-4898-803A-D5D60C7CE7AD}"/>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122779</xdr:rowOff>
    </xdr:from>
    <xdr:to>
      <xdr:col>20</xdr:col>
      <xdr:colOff>149519</xdr:colOff>
      <xdr:row>27</xdr:row>
      <xdr:rowOff>164038</xdr:rowOff>
    </xdr:to>
    <xdr:sp macro="" textlink="">
      <xdr:nvSpPr>
        <xdr:cNvPr id="252974" name="Text Box 46" hidden="1">
          <a:extLst>
            <a:ext uri="{FF2B5EF4-FFF2-40B4-BE49-F238E27FC236}">
              <a16:creationId xmlns:a16="http://schemas.microsoft.com/office/drawing/2014/main" id="{6546A510-A1DD-4760-A2ED-36F2630B4036}"/>
            </a:ext>
          </a:extLst>
        </xdr:cNvPr>
        <xdr:cNvSpPr txBox="1">
          <a:spLocks noChangeArrowheads="1"/>
        </xdr:cNvSpPr>
      </xdr:nvSpPr>
      <xdr:spPr bwMode="auto">
        <a:xfrm>
          <a:off x="16773525" y="5105400"/>
          <a:ext cx="1247775"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83188</xdr:rowOff>
    </xdr:from>
    <xdr:to>
      <xdr:col>38</xdr:col>
      <xdr:colOff>392723</xdr:colOff>
      <xdr:row>56</xdr:row>
      <xdr:rowOff>47456</xdr:rowOff>
    </xdr:to>
    <xdr:sp macro="" textlink="">
      <xdr:nvSpPr>
        <xdr:cNvPr id="252991" name="Text Box 63" hidden="1">
          <a:extLst>
            <a:ext uri="{FF2B5EF4-FFF2-40B4-BE49-F238E27FC236}">
              <a16:creationId xmlns:a16="http://schemas.microsoft.com/office/drawing/2014/main" id="{BFD1EE6B-95A4-47ED-A487-E207D12A5C58}"/>
            </a:ext>
          </a:extLst>
        </xdr:cNvPr>
        <xdr:cNvSpPr txBox="1">
          <a:spLocks noChangeArrowheads="1"/>
        </xdr:cNvSpPr>
      </xdr:nvSpPr>
      <xdr:spPr bwMode="auto">
        <a:xfrm>
          <a:off x="31059120" y="12115800"/>
          <a:ext cx="10210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54</xdr:row>
      <xdr:rowOff>83188</xdr:rowOff>
    </xdr:from>
    <xdr:to>
      <xdr:col>38</xdr:col>
      <xdr:colOff>240323</xdr:colOff>
      <xdr:row>65</xdr:row>
      <xdr:rowOff>163166</xdr:rowOff>
    </xdr:to>
    <xdr:sp macro="" textlink="">
      <xdr:nvSpPr>
        <xdr:cNvPr id="252990" name="Text Box 62" hidden="1">
          <a:extLst>
            <a:ext uri="{FF2B5EF4-FFF2-40B4-BE49-F238E27FC236}">
              <a16:creationId xmlns:a16="http://schemas.microsoft.com/office/drawing/2014/main" id="{69398DC4-9088-4944-8533-807E8BFE1887}"/>
            </a:ext>
          </a:extLst>
        </xdr:cNvPr>
        <xdr:cNvSpPr txBox="1">
          <a:spLocks noChangeArrowheads="1"/>
        </xdr:cNvSpPr>
      </xdr:nvSpPr>
      <xdr:spPr bwMode="auto">
        <a:xfrm>
          <a:off x="30982920" y="12115800"/>
          <a:ext cx="944880" cy="2865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59</xdr:row>
      <xdr:rowOff>284951</xdr:rowOff>
    </xdr:from>
    <xdr:to>
      <xdr:col>38</xdr:col>
      <xdr:colOff>240323</xdr:colOff>
      <xdr:row>59</xdr:row>
      <xdr:rowOff>284951</xdr:rowOff>
    </xdr:to>
    <xdr:sp macro="" textlink="">
      <xdr:nvSpPr>
        <xdr:cNvPr id="252989" name="Text Box 61" hidden="1">
          <a:extLst>
            <a:ext uri="{FF2B5EF4-FFF2-40B4-BE49-F238E27FC236}">
              <a16:creationId xmlns:a16="http://schemas.microsoft.com/office/drawing/2014/main" id="{DCAA9619-86FB-43AC-A53F-810870FD8E9B}"/>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59</xdr:row>
      <xdr:rowOff>284951</xdr:rowOff>
    </xdr:from>
    <xdr:to>
      <xdr:col>38</xdr:col>
      <xdr:colOff>316523</xdr:colOff>
      <xdr:row>59</xdr:row>
      <xdr:rowOff>284951</xdr:rowOff>
    </xdr:to>
    <xdr:sp macro="" textlink="">
      <xdr:nvSpPr>
        <xdr:cNvPr id="252988" name="Text Box 60" hidden="1">
          <a:extLst>
            <a:ext uri="{FF2B5EF4-FFF2-40B4-BE49-F238E27FC236}">
              <a16:creationId xmlns:a16="http://schemas.microsoft.com/office/drawing/2014/main" id="{CEFD9844-1CFC-42DF-8B44-2FA445227019}"/>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83188</xdr:rowOff>
    </xdr:from>
    <xdr:to>
      <xdr:col>38</xdr:col>
      <xdr:colOff>316523</xdr:colOff>
      <xdr:row>56</xdr:row>
      <xdr:rowOff>47456</xdr:rowOff>
    </xdr:to>
    <xdr:sp macro="" textlink="">
      <xdr:nvSpPr>
        <xdr:cNvPr id="252987" name="Text Box 59" hidden="1">
          <a:extLst>
            <a:ext uri="{FF2B5EF4-FFF2-40B4-BE49-F238E27FC236}">
              <a16:creationId xmlns:a16="http://schemas.microsoft.com/office/drawing/2014/main" id="{25690184-2451-433B-86AF-12849052092B}"/>
            </a:ext>
          </a:extLst>
        </xdr:cNvPr>
        <xdr:cNvSpPr txBox="1">
          <a:spLocks noChangeArrowheads="1"/>
        </xdr:cNvSpPr>
      </xdr:nvSpPr>
      <xdr:spPr bwMode="auto">
        <a:xfrm>
          <a:off x="31059120" y="12115800"/>
          <a:ext cx="9448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86" name="Text Box 58" hidden="1">
          <a:extLst>
            <a:ext uri="{FF2B5EF4-FFF2-40B4-BE49-F238E27FC236}">
              <a16:creationId xmlns:a16="http://schemas.microsoft.com/office/drawing/2014/main" id="{D812E8B6-460E-4906-8541-2A65DA047244}"/>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85" name="Text Box 57" hidden="1">
          <a:extLst>
            <a:ext uri="{FF2B5EF4-FFF2-40B4-BE49-F238E27FC236}">
              <a16:creationId xmlns:a16="http://schemas.microsoft.com/office/drawing/2014/main" id="{32F5C8BC-F625-4177-BC8B-54BCDC4C37BE}"/>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84" name="Text Box 56" hidden="1">
          <a:extLst>
            <a:ext uri="{FF2B5EF4-FFF2-40B4-BE49-F238E27FC236}">
              <a16:creationId xmlns:a16="http://schemas.microsoft.com/office/drawing/2014/main" id="{22F21265-52F7-41D2-83AC-14DA53F3062E}"/>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149519</xdr:colOff>
      <xdr:row>32</xdr:row>
      <xdr:rowOff>172351</xdr:rowOff>
    </xdr:to>
    <xdr:sp macro="" textlink="">
      <xdr:nvSpPr>
        <xdr:cNvPr id="252983" name="Text Box 55" hidden="1">
          <a:extLst>
            <a:ext uri="{FF2B5EF4-FFF2-40B4-BE49-F238E27FC236}">
              <a16:creationId xmlns:a16="http://schemas.microsoft.com/office/drawing/2014/main" id="{B5023283-094F-46B0-887B-211C4B384127}"/>
            </a:ext>
          </a:extLst>
        </xdr:cNvPr>
        <xdr:cNvSpPr txBox="1">
          <a:spLocks noChangeArrowheads="1"/>
        </xdr:cNvSpPr>
      </xdr:nvSpPr>
      <xdr:spPr bwMode="auto">
        <a:xfrm>
          <a:off x="17259300" y="6659880"/>
          <a:ext cx="126492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83188</xdr:rowOff>
    </xdr:from>
    <xdr:to>
      <xdr:col>38</xdr:col>
      <xdr:colOff>392723</xdr:colOff>
      <xdr:row>56</xdr:row>
      <xdr:rowOff>47456</xdr:rowOff>
    </xdr:to>
    <xdr:sp macro="" textlink="">
      <xdr:nvSpPr>
        <xdr:cNvPr id="253000" name="Text Box 72" hidden="1">
          <a:extLst>
            <a:ext uri="{FF2B5EF4-FFF2-40B4-BE49-F238E27FC236}">
              <a16:creationId xmlns:a16="http://schemas.microsoft.com/office/drawing/2014/main" id="{615D2614-9C2E-4B62-BC72-BA76591164EB}"/>
            </a:ext>
          </a:extLst>
        </xdr:cNvPr>
        <xdr:cNvSpPr txBox="1">
          <a:spLocks noChangeArrowheads="1"/>
        </xdr:cNvSpPr>
      </xdr:nvSpPr>
      <xdr:spPr bwMode="auto">
        <a:xfrm>
          <a:off x="31059120" y="12108180"/>
          <a:ext cx="10210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54</xdr:row>
      <xdr:rowOff>83188</xdr:rowOff>
    </xdr:from>
    <xdr:to>
      <xdr:col>38</xdr:col>
      <xdr:colOff>240323</xdr:colOff>
      <xdr:row>65</xdr:row>
      <xdr:rowOff>163166</xdr:rowOff>
    </xdr:to>
    <xdr:sp macro="" textlink="">
      <xdr:nvSpPr>
        <xdr:cNvPr id="252999" name="Text Box 71" hidden="1">
          <a:extLst>
            <a:ext uri="{FF2B5EF4-FFF2-40B4-BE49-F238E27FC236}">
              <a16:creationId xmlns:a16="http://schemas.microsoft.com/office/drawing/2014/main" id="{5841208A-67FE-4529-94B9-6FA88213C02E}"/>
            </a:ext>
          </a:extLst>
        </xdr:cNvPr>
        <xdr:cNvSpPr txBox="1">
          <a:spLocks noChangeArrowheads="1"/>
        </xdr:cNvSpPr>
      </xdr:nvSpPr>
      <xdr:spPr bwMode="auto">
        <a:xfrm>
          <a:off x="30982920" y="12108180"/>
          <a:ext cx="944880" cy="2872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59</xdr:row>
      <xdr:rowOff>284951</xdr:rowOff>
    </xdr:from>
    <xdr:to>
      <xdr:col>38</xdr:col>
      <xdr:colOff>240323</xdr:colOff>
      <xdr:row>59</xdr:row>
      <xdr:rowOff>284951</xdr:rowOff>
    </xdr:to>
    <xdr:sp macro="" textlink="">
      <xdr:nvSpPr>
        <xdr:cNvPr id="252998" name="Text Box 70" hidden="1">
          <a:extLst>
            <a:ext uri="{FF2B5EF4-FFF2-40B4-BE49-F238E27FC236}">
              <a16:creationId xmlns:a16="http://schemas.microsoft.com/office/drawing/2014/main" id="{4D430E1E-015F-4992-9C5E-A1A9954290F2}"/>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59</xdr:row>
      <xdr:rowOff>284951</xdr:rowOff>
    </xdr:from>
    <xdr:to>
      <xdr:col>38</xdr:col>
      <xdr:colOff>316523</xdr:colOff>
      <xdr:row>59</xdr:row>
      <xdr:rowOff>284951</xdr:rowOff>
    </xdr:to>
    <xdr:sp macro="" textlink="">
      <xdr:nvSpPr>
        <xdr:cNvPr id="252997" name="Text Box 69" hidden="1">
          <a:extLst>
            <a:ext uri="{FF2B5EF4-FFF2-40B4-BE49-F238E27FC236}">
              <a16:creationId xmlns:a16="http://schemas.microsoft.com/office/drawing/2014/main" id="{759440E9-1D10-4A34-AF08-6AD577350704}"/>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83188</xdr:rowOff>
    </xdr:from>
    <xdr:to>
      <xdr:col>38</xdr:col>
      <xdr:colOff>316523</xdr:colOff>
      <xdr:row>56</xdr:row>
      <xdr:rowOff>47456</xdr:rowOff>
    </xdr:to>
    <xdr:sp macro="" textlink="">
      <xdr:nvSpPr>
        <xdr:cNvPr id="252996" name="Text Box 68" hidden="1">
          <a:extLst>
            <a:ext uri="{FF2B5EF4-FFF2-40B4-BE49-F238E27FC236}">
              <a16:creationId xmlns:a16="http://schemas.microsoft.com/office/drawing/2014/main" id="{0742B5BF-EA5B-4F61-9A5F-5FD1B6924CDD}"/>
            </a:ext>
          </a:extLst>
        </xdr:cNvPr>
        <xdr:cNvSpPr txBox="1">
          <a:spLocks noChangeArrowheads="1"/>
        </xdr:cNvSpPr>
      </xdr:nvSpPr>
      <xdr:spPr bwMode="auto">
        <a:xfrm>
          <a:off x="31059120" y="12108180"/>
          <a:ext cx="9448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95" name="Text Box 67" hidden="1">
          <a:extLst>
            <a:ext uri="{FF2B5EF4-FFF2-40B4-BE49-F238E27FC236}">
              <a16:creationId xmlns:a16="http://schemas.microsoft.com/office/drawing/2014/main" id="{7415E1EA-4FA0-4E5C-BC64-4AEE8F28EDA2}"/>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94" name="Text Box 66" hidden="1">
          <a:extLst>
            <a:ext uri="{FF2B5EF4-FFF2-40B4-BE49-F238E27FC236}">
              <a16:creationId xmlns:a16="http://schemas.microsoft.com/office/drawing/2014/main" id="{9E723FCD-5180-49D8-AADB-88FE0A5BFFDC}"/>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93" name="Text Box 65" hidden="1">
          <a:extLst>
            <a:ext uri="{FF2B5EF4-FFF2-40B4-BE49-F238E27FC236}">
              <a16:creationId xmlns:a16="http://schemas.microsoft.com/office/drawing/2014/main" id="{17D4BCAA-74C9-4AC2-9612-328AD689E63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117134</xdr:colOff>
      <xdr:row>32</xdr:row>
      <xdr:rowOff>172351</xdr:rowOff>
    </xdr:to>
    <xdr:sp macro="" textlink="">
      <xdr:nvSpPr>
        <xdr:cNvPr id="252992" name="Text Box 64" hidden="1">
          <a:extLst>
            <a:ext uri="{FF2B5EF4-FFF2-40B4-BE49-F238E27FC236}">
              <a16:creationId xmlns:a16="http://schemas.microsoft.com/office/drawing/2014/main" id="{D85560FE-51C6-499C-AE7B-16D190CB9E4C}"/>
            </a:ext>
          </a:extLst>
        </xdr:cNvPr>
        <xdr:cNvSpPr txBox="1">
          <a:spLocks noChangeArrowheads="1"/>
        </xdr:cNvSpPr>
      </xdr:nvSpPr>
      <xdr:spPr bwMode="auto">
        <a:xfrm>
          <a:off x="17259300" y="6652260"/>
          <a:ext cx="12573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84019</xdr:rowOff>
    </xdr:from>
    <xdr:to>
      <xdr:col>38</xdr:col>
      <xdr:colOff>392723</xdr:colOff>
      <xdr:row>56</xdr:row>
      <xdr:rowOff>47456</xdr:rowOff>
    </xdr:to>
    <xdr:sp macro="" textlink="">
      <xdr:nvSpPr>
        <xdr:cNvPr id="253009" name="Text Box 81" hidden="1">
          <a:extLst>
            <a:ext uri="{FF2B5EF4-FFF2-40B4-BE49-F238E27FC236}">
              <a16:creationId xmlns:a16="http://schemas.microsoft.com/office/drawing/2014/main" id="{76C508AD-DE07-4D26-A590-486FABBB5406}"/>
            </a:ext>
          </a:extLst>
        </xdr:cNvPr>
        <xdr:cNvSpPr txBox="1">
          <a:spLocks noChangeArrowheads="1"/>
        </xdr:cNvSpPr>
      </xdr:nvSpPr>
      <xdr:spPr bwMode="auto">
        <a:xfrm>
          <a:off x="31059120" y="12100560"/>
          <a:ext cx="10210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54</xdr:row>
      <xdr:rowOff>84019</xdr:rowOff>
    </xdr:from>
    <xdr:to>
      <xdr:col>38</xdr:col>
      <xdr:colOff>240323</xdr:colOff>
      <xdr:row>65</xdr:row>
      <xdr:rowOff>163166</xdr:rowOff>
    </xdr:to>
    <xdr:sp macro="" textlink="">
      <xdr:nvSpPr>
        <xdr:cNvPr id="253008" name="Text Box 80" hidden="1">
          <a:extLst>
            <a:ext uri="{FF2B5EF4-FFF2-40B4-BE49-F238E27FC236}">
              <a16:creationId xmlns:a16="http://schemas.microsoft.com/office/drawing/2014/main" id="{11EF4E8B-0BD4-477B-9B89-3E486C7C951A}"/>
            </a:ext>
          </a:extLst>
        </xdr:cNvPr>
        <xdr:cNvSpPr txBox="1">
          <a:spLocks noChangeArrowheads="1"/>
        </xdr:cNvSpPr>
      </xdr:nvSpPr>
      <xdr:spPr bwMode="auto">
        <a:xfrm>
          <a:off x="30982920" y="12100560"/>
          <a:ext cx="944880" cy="28803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59</xdr:row>
      <xdr:rowOff>284951</xdr:rowOff>
    </xdr:from>
    <xdr:to>
      <xdr:col>38</xdr:col>
      <xdr:colOff>240323</xdr:colOff>
      <xdr:row>59</xdr:row>
      <xdr:rowOff>284951</xdr:rowOff>
    </xdr:to>
    <xdr:sp macro="" textlink="">
      <xdr:nvSpPr>
        <xdr:cNvPr id="253007" name="Text Box 79" hidden="1">
          <a:extLst>
            <a:ext uri="{FF2B5EF4-FFF2-40B4-BE49-F238E27FC236}">
              <a16:creationId xmlns:a16="http://schemas.microsoft.com/office/drawing/2014/main" id="{6785D461-9033-4466-B879-37EE17B50771}"/>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59</xdr:row>
      <xdr:rowOff>284951</xdr:rowOff>
    </xdr:from>
    <xdr:to>
      <xdr:col>38</xdr:col>
      <xdr:colOff>316523</xdr:colOff>
      <xdr:row>59</xdr:row>
      <xdr:rowOff>284951</xdr:rowOff>
    </xdr:to>
    <xdr:sp macro="" textlink="">
      <xdr:nvSpPr>
        <xdr:cNvPr id="253006" name="Text Box 78" hidden="1">
          <a:extLst>
            <a:ext uri="{FF2B5EF4-FFF2-40B4-BE49-F238E27FC236}">
              <a16:creationId xmlns:a16="http://schemas.microsoft.com/office/drawing/2014/main" id="{9343F6C0-EA27-400E-9829-EB702DC31CC7}"/>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84019</xdr:rowOff>
    </xdr:from>
    <xdr:to>
      <xdr:col>38</xdr:col>
      <xdr:colOff>316523</xdr:colOff>
      <xdr:row>56</xdr:row>
      <xdr:rowOff>47456</xdr:rowOff>
    </xdr:to>
    <xdr:sp macro="" textlink="">
      <xdr:nvSpPr>
        <xdr:cNvPr id="253005" name="Text Box 77" hidden="1">
          <a:extLst>
            <a:ext uri="{FF2B5EF4-FFF2-40B4-BE49-F238E27FC236}">
              <a16:creationId xmlns:a16="http://schemas.microsoft.com/office/drawing/2014/main" id="{9466D8F7-16AC-4136-907B-33BA8CF32F64}"/>
            </a:ext>
          </a:extLst>
        </xdr:cNvPr>
        <xdr:cNvSpPr txBox="1">
          <a:spLocks noChangeArrowheads="1"/>
        </xdr:cNvSpPr>
      </xdr:nvSpPr>
      <xdr:spPr bwMode="auto">
        <a:xfrm>
          <a:off x="31059120" y="12100560"/>
          <a:ext cx="9448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04" name="Text Box 76" hidden="1">
          <a:extLst>
            <a:ext uri="{FF2B5EF4-FFF2-40B4-BE49-F238E27FC236}">
              <a16:creationId xmlns:a16="http://schemas.microsoft.com/office/drawing/2014/main" id="{4E000CC3-A160-458A-BF6B-209F52D18EC1}"/>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03" name="Text Box 75" hidden="1">
          <a:extLst>
            <a:ext uri="{FF2B5EF4-FFF2-40B4-BE49-F238E27FC236}">
              <a16:creationId xmlns:a16="http://schemas.microsoft.com/office/drawing/2014/main" id="{8C914144-302C-4F67-9750-941DBA099779}"/>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3002" name="Text Box 74" hidden="1">
          <a:extLst>
            <a:ext uri="{FF2B5EF4-FFF2-40B4-BE49-F238E27FC236}">
              <a16:creationId xmlns:a16="http://schemas.microsoft.com/office/drawing/2014/main" id="{6A7A5661-ED8E-4515-99A2-D7D1D8C0BEB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01" name="Text Box 73" hidden="1">
          <a:extLst>
            <a:ext uri="{FF2B5EF4-FFF2-40B4-BE49-F238E27FC236}">
              <a16:creationId xmlns:a16="http://schemas.microsoft.com/office/drawing/2014/main" id="{15C5E927-E241-4AFE-9DFD-3D09F455DDBD}"/>
            </a:ext>
          </a:extLst>
        </xdr:cNvPr>
        <xdr:cNvSpPr txBox="1">
          <a:spLocks noChangeArrowheads="1"/>
        </xdr:cNvSpPr>
      </xdr:nvSpPr>
      <xdr:spPr bwMode="auto">
        <a:xfrm>
          <a:off x="17259300" y="6652260"/>
          <a:ext cx="124968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84019</xdr:rowOff>
    </xdr:from>
    <xdr:to>
      <xdr:col>38</xdr:col>
      <xdr:colOff>392723</xdr:colOff>
      <xdr:row>56</xdr:row>
      <xdr:rowOff>47456</xdr:rowOff>
    </xdr:to>
    <xdr:sp macro="" textlink="">
      <xdr:nvSpPr>
        <xdr:cNvPr id="253018" name="Text Box 90" hidden="1">
          <a:extLst>
            <a:ext uri="{FF2B5EF4-FFF2-40B4-BE49-F238E27FC236}">
              <a16:creationId xmlns:a16="http://schemas.microsoft.com/office/drawing/2014/main" id="{3DE3A68D-AB71-41BB-98F7-1FCBFD261692}"/>
            </a:ext>
          </a:extLst>
        </xdr:cNvPr>
        <xdr:cNvSpPr txBox="1">
          <a:spLocks noChangeArrowheads="1"/>
        </xdr:cNvSpPr>
      </xdr:nvSpPr>
      <xdr:spPr bwMode="auto">
        <a:xfrm>
          <a:off x="30127575" y="12382500"/>
          <a:ext cx="990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54</xdr:row>
      <xdr:rowOff>84019</xdr:rowOff>
    </xdr:from>
    <xdr:to>
      <xdr:col>38</xdr:col>
      <xdr:colOff>240323</xdr:colOff>
      <xdr:row>65</xdr:row>
      <xdr:rowOff>163166</xdr:rowOff>
    </xdr:to>
    <xdr:sp macro="" textlink="">
      <xdr:nvSpPr>
        <xdr:cNvPr id="253017" name="Text Box 89" hidden="1">
          <a:extLst>
            <a:ext uri="{FF2B5EF4-FFF2-40B4-BE49-F238E27FC236}">
              <a16:creationId xmlns:a16="http://schemas.microsoft.com/office/drawing/2014/main" id="{60C77CC6-4A67-422D-8C25-323FCD111A05}"/>
            </a:ext>
          </a:extLst>
        </xdr:cNvPr>
        <xdr:cNvSpPr txBox="1">
          <a:spLocks noChangeArrowheads="1"/>
        </xdr:cNvSpPr>
      </xdr:nvSpPr>
      <xdr:spPr bwMode="auto">
        <a:xfrm>
          <a:off x="30051375" y="12382500"/>
          <a:ext cx="914400" cy="2943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59</xdr:row>
      <xdr:rowOff>284951</xdr:rowOff>
    </xdr:from>
    <xdr:to>
      <xdr:col>38</xdr:col>
      <xdr:colOff>240323</xdr:colOff>
      <xdr:row>59</xdr:row>
      <xdr:rowOff>284951</xdr:rowOff>
    </xdr:to>
    <xdr:sp macro="" textlink="">
      <xdr:nvSpPr>
        <xdr:cNvPr id="253016" name="Text Box 88" hidden="1">
          <a:extLst>
            <a:ext uri="{FF2B5EF4-FFF2-40B4-BE49-F238E27FC236}">
              <a16:creationId xmlns:a16="http://schemas.microsoft.com/office/drawing/2014/main" id="{9A1388AE-782E-434A-BB81-1CB0091219BD}"/>
            </a:ext>
          </a:extLst>
        </xdr:cNvPr>
        <xdr:cNvSpPr txBox="1">
          <a:spLocks noChangeArrowheads="1"/>
        </xdr:cNvSpPr>
      </xdr:nvSpPr>
      <xdr:spPr bwMode="auto">
        <a:xfrm>
          <a:off x="300513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59</xdr:row>
      <xdr:rowOff>284951</xdr:rowOff>
    </xdr:from>
    <xdr:to>
      <xdr:col>38</xdr:col>
      <xdr:colOff>316523</xdr:colOff>
      <xdr:row>59</xdr:row>
      <xdr:rowOff>284951</xdr:rowOff>
    </xdr:to>
    <xdr:sp macro="" textlink="">
      <xdr:nvSpPr>
        <xdr:cNvPr id="253015" name="Text Box 87" hidden="1">
          <a:extLst>
            <a:ext uri="{FF2B5EF4-FFF2-40B4-BE49-F238E27FC236}">
              <a16:creationId xmlns:a16="http://schemas.microsoft.com/office/drawing/2014/main" id="{1D7DA0E4-12DF-4936-9948-E8B5292753D1}"/>
            </a:ext>
          </a:extLst>
        </xdr:cNvPr>
        <xdr:cNvSpPr txBox="1">
          <a:spLocks noChangeArrowheads="1"/>
        </xdr:cNvSpPr>
      </xdr:nvSpPr>
      <xdr:spPr bwMode="auto">
        <a:xfrm>
          <a:off x="301275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84019</xdr:rowOff>
    </xdr:from>
    <xdr:to>
      <xdr:col>38</xdr:col>
      <xdr:colOff>316523</xdr:colOff>
      <xdr:row>56</xdr:row>
      <xdr:rowOff>47456</xdr:rowOff>
    </xdr:to>
    <xdr:sp macro="" textlink="">
      <xdr:nvSpPr>
        <xdr:cNvPr id="253014" name="Text Box 86" hidden="1">
          <a:extLst>
            <a:ext uri="{FF2B5EF4-FFF2-40B4-BE49-F238E27FC236}">
              <a16:creationId xmlns:a16="http://schemas.microsoft.com/office/drawing/2014/main" id="{CA2C983A-A9D0-4FCB-B2EF-E060407BD887}"/>
            </a:ext>
          </a:extLst>
        </xdr:cNvPr>
        <xdr:cNvSpPr txBox="1">
          <a:spLocks noChangeArrowheads="1"/>
        </xdr:cNvSpPr>
      </xdr:nvSpPr>
      <xdr:spPr bwMode="auto">
        <a:xfrm>
          <a:off x="30127575" y="12382500"/>
          <a:ext cx="914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13" name="Text Box 85" hidden="1">
          <a:extLst>
            <a:ext uri="{FF2B5EF4-FFF2-40B4-BE49-F238E27FC236}">
              <a16:creationId xmlns:a16="http://schemas.microsoft.com/office/drawing/2014/main" id="{65D559D9-B23E-4524-BABE-B91D3190A12D}"/>
            </a:ext>
          </a:extLst>
        </xdr:cNvPr>
        <xdr:cNvSpPr txBox="1">
          <a:spLocks noChangeArrowheads="1"/>
        </xdr:cNvSpPr>
      </xdr:nvSpPr>
      <xdr:spPr bwMode="auto">
        <a:xfrm>
          <a:off x="4695825" y="5915025"/>
          <a:ext cx="1352550" cy="676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12" name="Text Box 84" hidden="1">
          <a:extLst>
            <a:ext uri="{FF2B5EF4-FFF2-40B4-BE49-F238E27FC236}">
              <a16:creationId xmlns:a16="http://schemas.microsoft.com/office/drawing/2014/main" id="{9D335723-4313-49E4-9AAC-3F89A36E91C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3011" name="Text Box 83" hidden="1">
          <a:extLst>
            <a:ext uri="{FF2B5EF4-FFF2-40B4-BE49-F238E27FC236}">
              <a16:creationId xmlns:a16="http://schemas.microsoft.com/office/drawing/2014/main" id="{76ED6C32-FC57-4026-8C8F-3479A8DA05B4}"/>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10" name="Text Box 82" hidden="1">
          <a:extLst>
            <a:ext uri="{FF2B5EF4-FFF2-40B4-BE49-F238E27FC236}">
              <a16:creationId xmlns:a16="http://schemas.microsoft.com/office/drawing/2014/main" id="{0FFA67D8-7D42-4861-A630-75F3571ECD8D}"/>
            </a:ext>
          </a:extLst>
        </xdr:cNvPr>
        <xdr:cNvSpPr txBox="1">
          <a:spLocks noChangeArrowheads="1"/>
        </xdr:cNvSpPr>
      </xdr:nvSpPr>
      <xdr:spPr bwMode="auto">
        <a:xfrm>
          <a:off x="16773525" y="6819900"/>
          <a:ext cx="1219200" cy="1095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59</xdr:row>
      <xdr:rowOff>12634</xdr:rowOff>
    </xdr:from>
    <xdr:to>
      <xdr:col>42</xdr:col>
      <xdr:colOff>74454</xdr:colOff>
      <xdr:row>62</xdr:row>
      <xdr:rowOff>125131</xdr:rowOff>
    </xdr:to>
    <xdr:sp macro="" textlink="">
      <xdr:nvSpPr>
        <xdr:cNvPr id="253027" name="Text Box 99" hidden="1">
          <a:extLst>
            <a:ext uri="{FF2B5EF4-FFF2-40B4-BE49-F238E27FC236}">
              <a16:creationId xmlns:a16="http://schemas.microsoft.com/office/drawing/2014/main" id="{684D9297-C988-4802-960E-4EE6E5F14760}"/>
            </a:ext>
          </a:extLst>
        </xdr:cNvPr>
        <xdr:cNvSpPr txBox="1">
          <a:spLocks noChangeArrowheads="1"/>
        </xdr:cNvSpPr>
      </xdr:nvSpPr>
      <xdr:spPr bwMode="auto">
        <a:xfrm>
          <a:off x="32737425" y="13992225"/>
          <a:ext cx="1000125"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64</xdr:row>
      <xdr:rowOff>64429</xdr:rowOff>
    </xdr:from>
    <xdr:to>
      <xdr:col>41</xdr:col>
      <xdr:colOff>677069</xdr:colOff>
      <xdr:row>85</xdr:row>
      <xdr:rowOff>85768</xdr:rowOff>
    </xdr:to>
    <xdr:sp macro="" textlink="">
      <xdr:nvSpPr>
        <xdr:cNvPr id="253026" name="Text Box 98" hidden="1">
          <a:extLst>
            <a:ext uri="{FF2B5EF4-FFF2-40B4-BE49-F238E27FC236}">
              <a16:creationId xmlns:a16="http://schemas.microsoft.com/office/drawing/2014/main" id="{67254A89-9007-4A23-8756-244627ED41AF}"/>
            </a:ext>
          </a:extLst>
        </xdr:cNvPr>
        <xdr:cNvSpPr txBox="1">
          <a:spLocks noChangeArrowheads="1"/>
        </xdr:cNvSpPr>
      </xdr:nvSpPr>
      <xdr:spPr bwMode="auto">
        <a:xfrm>
          <a:off x="32699325" y="15059025"/>
          <a:ext cx="914400" cy="4143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236918</xdr:rowOff>
    </xdr:from>
    <xdr:to>
      <xdr:col>38</xdr:col>
      <xdr:colOff>234950</xdr:colOff>
      <xdr:row>58</xdr:row>
      <xdr:rowOff>196957</xdr:rowOff>
    </xdr:to>
    <xdr:sp macro="" textlink="">
      <xdr:nvSpPr>
        <xdr:cNvPr id="253025" name="Text Box 97" hidden="1">
          <a:extLst>
            <a:ext uri="{FF2B5EF4-FFF2-40B4-BE49-F238E27FC236}">
              <a16:creationId xmlns:a16="http://schemas.microsoft.com/office/drawing/2014/main" id="{62EDDBDF-613B-4DFE-BF09-26E6450A44A0}"/>
            </a:ext>
          </a:extLst>
        </xdr:cNvPr>
        <xdr:cNvSpPr txBox="1">
          <a:spLocks noChangeArrowheads="1"/>
        </xdr:cNvSpPr>
      </xdr:nvSpPr>
      <xdr:spPr bwMode="auto">
        <a:xfrm>
          <a:off x="300513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236918</xdr:rowOff>
    </xdr:from>
    <xdr:to>
      <xdr:col>38</xdr:col>
      <xdr:colOff>311150</xdr:colOff>
      <xdr:row>58</xdr:row>
      <xdr:rowOff>196957</xdr:rowOff>
    </xdr:to>
    <xdr:sp macro="" textlink="">
      <xdr:nvSpPr>
        <xdr:cNvPr id="253024" name="Text Box 96" hidden="1">
          <a:extLst>
            <a:ext uri="{FF2B5EF4-FFF2-40B4-BE49-F238E27FC236}">
              <a16:creationId xmlns:a16="http://schemas.microsoft.com/office/drawing/2014/main" id="{96B79593-8B62-40FF-9B0D-47A952EC0371}"/>
            </a:ext>
          </a:extLst>
        </xdr:cNvPr>
        <xdr:cNvSpPr txBox="1">
          <a:spLocks noChangeArrowheads="1"/>
        </xdr:cNvSpPr>
      </xdr:nvSpPr>
      <xdr:spPr bwMode="auto">
        <a:xfrm>
          <a:off x="301275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63</xdr:row>
      <xdr:rowOff>140150</xdr:rowOff>
    </xdr:from>
    <xdr:to>
      <xdr:col>41</xdr:col>
      <xdr:colOff>677069</xdr:colOff>
      <xdr:row>70</xdr:row>
      <xdr:rowOff>136451</xdr:rowOff>
    </xdr:to>
    <xdr:sp macro="" textlink="">
      <xdr:nvSpPr>
        <xdr:cNvPr id="253023" name="Text Box 95" hidden="1">
          <a:extLst>
            <a:ext uri="{FF2B5EF4-FFF2-40B4-BE49-F238E27FC236}">
              <a16:creationId xmlns:a16="http://schemas.microsoft.com/office/drawing/2014/main" id="{68276846-E7FF-4ACA-A711-E4D6E60485CC}"/>
            </a:ext>
          </a:extLst>
        </xdr:cNvPr>
        <xdr:cNvSpPr txBox="1">
          <a:spLocks noChangeArrowheads="1"/>
        </xdr:cNvSpPr>
      </xdr:nvSpPr>
      <xdr:spPr bwMode="auto">
        <a:xfrm>
          <a:off x="32699325" y="14944725"/>
          <a:ext cx="914400"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29</xdr:row>
      <xdr:rowOff>9909</xdr:rowOff>
    </xdr:from>
    <xdr:to>
      <xdr:col>3</xdr:col>
      <xdr:colOff>304800</xdr:colOff>
      <xdr:row>31</xdr:row>
      <xdr:rowOff>374360</xdr:rowOff>
    </xdr:to>
    <xdr:sp macro="" textlink="">
      <xdr:nvSpPr>
        <xdr:cNvPr id="253022" name="Text Box 94" hidden="1">
          <a:extLst>
            <a:ext uri="{FF2B5EF4-FFF2-40B4-BE49-F238E27FC236}">
              <a16:creationId xmlns:a16="http://schemas.microsoft.com/office/drawing/2014/main" id="{6F756F7F-0994-4F45-BC6A-AB120BED0FF4}"/>
            </a:ext>
          </a:extLst>
        </xdr:cNvPr>
        <xdr:cNvSpPr txBox="1">
          <a:spLocks noChangeArrowheads="1"/>
        </xdr:cNvSpPr>
      </xdr:nvSpPr>
      <xdr:spPr bwMode="auto">
        <a:xfrm>
          <a:off x="4695825" y="6286500"/>
          <a:ext cx="13525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21" name="Text Box 93" hidden="1">
          <a:extLst>
            <a:ext uri="{FF2B5EF4-FFF2-40B4-BE49-F238E27FC236}">
              <a16:creationId xmlns:a16="http://schemas.microsoft.com/office/drawing/2014/main" id="{C111C27B-B4B1-46BC-AD36-C4CA53260D0B}"/>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123152</xdr:rowOff>
    </xdr:to>
    <xdr:sp macro="" textlink="">
      <xdr:nvSpPr>
        <xdr:cNvPr id="253020" name="Text Box 92" hidden="1">
          <a:extLst>
            <a:ext uri="{FF2B5EF4-FFF2-40B4-BE49-F238E27FC236}">
              <a16:creationId xmlns:a16="http://schemas.microsoft.com/office/drawing/2014/main" id="{2B1190F4-A751-4D27-96AC-9FFF9AFEB933}"/>
            </a:ext>
          </a:extLst>
        </xdr:cNvPr>
        <xdr:cNvSpPr txBox="1">
          <a:spLocks noChangeArrowheads="1"/>
        </xdr:cNvSpPr>
      </xdr:nvSpPr>
      <xdr:spPr bwMode="auto">
        <a:xfrm>
          <a:off x="4657725" y="2019300"/>
          <a:ext cx="1238250" cy="6000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392132</xdr:rowOff>
    </xdr:from>
    <xdr:to>
      <xdr:col>20</xdr:col>
      <xdr:colOff>152400</xdr:colOff>
      <xdr:row>44</xdr:row>
      <xdr:rowOff>226610</xdr:rowOff>
    </xdr:to>
    <xdr:sp macro="" textlink="">
      <xdr:nvSpPr>
        <xdr:cNvPr id="253019" name="Text Box 91" hidden="1">
          <a:extLst>
            <a:ext uri="{FF2B5EF4-FFF2-40B4-BE49-F238E27FC236}">
              <a16:creationId xmlns:a16="http://schemas.microsoft.com/office/drawing/2014/main" id="{938824BA-15F8-409E-8877-A3C363CE1EBA}"/>
            </a:ext>
          </a:extLst>
        </xdr:cNvPr>
        <xdr:cNvSpPr txBox="1">
          <a:spLocks noChangeArrowheads="1"/>
        </xdr:cNvSpPr>
      </xdr:nvSpPr>
      <xdr:spPr bwMode="auto">
        <a:xfrm>
          <a:off x="16811625" y="7000875"/>
          <a:ext cx="1219200" cy="323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200884</xdr:rowOff>
    </xdr:from>
    <xdr:to>
      <xdr:col>20</xdr:col>
      <xdr:colOff>311785</xdr:colOff>
      <xdr:row>37</xdr:row>
      <xdr:rowOff>48040</xdr:rowOff>
    </xdr:to>
    <xdr:sp macro="" textlink="">
      <xdr:nvSpPr>
        <xdr:cNvPr id="253031" name="Text Box 103" hidden="1">
          <a:extLst>
            <a:ext uri="{FF2B5EF4-FFF2-40B4-BE49-F238E27FC236}">
              <a16:creationId xmlns:a16="http://schemas.microsoft.com/office/drawing/2014/main" id="{0D765A6D-C44C-44E3-8BDA-1EA6FDC391B5}"/>
            </a:ext>
          </a:extLst>
        </xdr:cNvPr>
        <xdr:cNvSpPr txBox="1">
          <a:spLocks noChangeArrowheads="1"/>
        </xdr:cNvSpPr>
      </xdr:nvSpPr>
      <xdr:spPr bwMode="auto">
        <a:xfrm>
          <a:off x="16811625" y="8220075"/>
          <a:ext cx="1381125" cy="6762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78</xdr:row>
      <xdr:rowOff>145691</xdr:rowOff>
    </xdr:from>
    <xdr:to>
      <xdr:col>42</xdr:col>
      <xdr:colOff>67469</xdr:colOff>
      <xdr:row>82</xdr:row>
      <xdr:rowOff>103341</xdr:rowOff>
    </xdr:to>
    <xdr:sp macro="" textlink="">
      <xdr:nvSpPr>
        <xdr:cNvPr id="253041" name="Text Box 113" hidden="1">
          <a:extLst>
            <a:ext uri="{FF2B5EF4-FFF2-40B4-BE49-F238E27FC236}">
              <a16:creationId xmlns:a16="http://schemas.microsoft.com/office/drawing/2014/main" id="{D755F013-DC04-4CC6-9562-4C7E20C6AEBE}"/>
            </a:ext>
          </a:extLst>
        </xdr:cNvPr>
        <xdr:cNvSpPr txBox="1">
          <a:spLocks noChangeArrowheads="1"/>
        </xdr:cNvSpPr>
      </xdr:nvSpPr>
      <xdr:spPr bwMode="auto">
        <a:xfrm>
          <a:off x="32737425" y="17897475"/>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8605</xdr:rowOff>
    </xdr:from>
    <xdr:to>
      <xdr:col>41</xdr:col>
      <xdr:colOff>677069</xdr:colOff>
      <xdr:row>114</xdr:row>
      <xdr:rowOff>28217</xdr:rowOff>
    </xdr:to>
    <xdr:sp macro="" textlink="">
      <xdr:nvSpPr>
        <xdr:cNvPr id="253040" name="Text Box 112" hidden="1">
          <a:extLst>
            <a:ext uri="{FF2B5EF4-FFF2-40B4-BE49-F238E27FC236}">
              <a16:creationId xmlns:a16="http://schemas.microsoft.com/office/drawing/2014/main" id="{C12F6EFB-AF6A-43DF-BDCD-EA013E42D8C7}"/>
            </a:ext>
          </a:extLst>
        </xdr:cNvPr>
        <xdr:cNvSpPr txBox="1">
          <a:spLocks noChangeArrowheads="1"/>
        </xdr:cNvSpPr>
      </xdr:nvSpPr>
      <xdr:spPr bwMode="auto">
        <a:xfrm>
          <a:off x="32699325" y="18964275"/>
          <a:ext cx="914400" cy="571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76</xdr:row>
      <xdr:rowOff>141459</xdr:rowOff>
    </xdr:from>
    <xdr:to>
      <xdr:col>38</xdr:col>
      <xdr:colOff>227965</xdr:colOff>
      <xdr:row>78</xdr:row>
      <xdr:rowOff>64074</xdr:rowOff>
    </xdr:to>
    <xdr:sp macro="" textlink="">
      <xdr:nvSpPr>
        <xdr:cNvPr id="253039" name="Text Box 111" hidden="1">
          <a:extLst>
            <a:ext uri="{FF2B5EF4-FFF2-40B4-BE49-F238E27FC236}">
              <a16:creationId xmlns:a16="http://schemas.microsoft.com/office/drawing/2014/main" id="{B6093B46-EC3E-4636-88B9-292CCF4D48B3}"/>
            </a:ext>
          </a:extLst>
        </xdr:cNvPr>
        <xdr:cNvSpPr txBox="1">
          <a:spLocks noChangeArrowheads="1"/>
        </xdr:cNvSpPr>
      </xdr:nvSpPr>
      <xdr:spPr bwMode="auto">
        <a:xfrm>
          <a:off x="30051375" y="17421225"/>
          <a:ext cx="89535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76</xdr:row>
      <xdr:rowOff>141459</xdr:rowOff>
    </xdr:from>
    <xdr:to>
      <xdr:col>38</xdr:col>
      <xdr:colOff>311150</xdr:colOff>
      <xdr:row>78</xdr:row>
      <xdr:rowOff>64074</xdr:rowOff>
    </xdr:to>
    <xdr:sp macro="" textlink="">
      <xdr:nvSpPr>
        <xdr:cNvPr id="253038" name="Text Box 110" hidden="1">
          <a:extLst>
            <a:ext uri="{FF2B5EF4-FFF2-40B4-BE49-F238E27FC236}">
              <a16:creationId xmlns:a16="http://schemas.microsoft.com/office/drawing/2014/main" id="{5819CFA2-9810-4602-BAB2-E21D49AB4527}"/>
            </a:ext>
          </a:extLst>
        </xdr:cNvPr>
        <xdr:cNvSpPr txBox="1">
          <a:spLocks noChangeArrowheads="1"/>
        </xdr:cNvSpPr>
      </xdr:nvSpPr>
      <xdr:spPr bwMode="auto">
        <a:xfrm>
          <a:off x="30127575" y="17421225"/>
          <a:ext cx="9144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8605</xdr:rowOff>
    </xdr:from>
    <xdr:to>
      <xdr:col>41</xdr:col>
      <xdr:colOff>677069</xdr:colOff>
      <xdr:row>91</xdr:row>
      <xdr:rowOff>49367</xdr:rowOff>
    </xdr:to>
    <xdr:sp macro="" textlink="">
      <xdr:nvSpPr>
        <xdr:cNvPr id="253037" name="Text Box 109" hidden="1">
          <a:extLst>
            <a:ext uri="{FF2B5EF4-FFF2-40B4-BE49-F238E27FC236}">
              <a16:creationId xmlns:a16="http://schemas.microsoft.com/office/drawing/2014/main" id="{A7812915-ED5C-436D-B017-7A2693B02224}"/>
            </a:ext>
          </a:extLst>
        </xdr:cNvPr>
        <xdr:cNvSpPr txBox="1">
          <a:spLocks noChangeArrowheads="1"/>
        </xdr:cNvSpPr>
      </xdr:nvSpPr>
      <xdr:spPr bwMode="auto">
        <a:xfrm>
          <a:off x="32699325" y="18964275"/>
          <a:ext cx="91440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201910</xdr:rowOff>
    </xdr:from>
    <xdr:to>
      <xdr:col>3</xdr:col>
      <xdr:colOff>304800</xdr:colOff>
      <xdr:row>37</xdr:row>
      <xdr:rowOff>793</xdr:rowOff>
    </xdr:to>
    <xdr:sp macro="" textlink="">
      <xdr:nvSpPr>
        <xdr:cNvPr id="253036" name="Text Box 108" hidden="1">
          <a:extLst>
            <a:ext uri="{FF2B5EF4-FFF2-40B4-BE49-F238E27FC236}">
              <a16:creationId xmlns:a16="http://schemas.microsoft.com/office/drawing/2014/main" id="{386362BA-7EEB-4890-9216-B79A7F1E0429}"/>
            </a:ext>
          </a:extLst>
        </xdr:cNvPr>
        <xdr:cNvSpPr txBox="1">
          <a:spLocks noChangeArrowheads="1"/>
        </xdr:cNvSpPr>
      </xdr:nvSpPr>
      <xdr:spPr bwMode="auto">
        <a:xfrm>
          <a:off x="4695825" y="8191500"/>
          <a:ext cx="13525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35" name="Text Box 107" hidden="1">
          <a:extLst>
            <a:ext uri="{FF2B5EF4-FFF2-40B4-BE49-F238E27FC236}">
              <a16:creationId xmlns:a16="http://schemas.microsoft.com/office/drawing/2014/main" id="{1CCF8BAF-0423-4FE7-9C2C-538F8E39870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103467</xdr:rowOff>
    </xdr:to>
    <xdr:sp macro="" textlink="">
      <xdr:nvSpPr>
        <xdr:cNvPr id="253034" name="Text Box 106" hidden="1">
          <a:extLst>
            <a:ext uri="{FF2B5EF4-FFF2-40B4-BE49-F238E27FC236}">
              <a16:creationId xmlns:a16="http://schemas.microsoft.com/office/drawing/2014/main" id="{B65C63BA-34AE-41A2-A6CE-11EAA29E2B94}"/>
            </a:ext>
          </a:extLst>
        </xdr:cNvPr>
        <xdr:cNvSpPr txBox="1">
          <a:spLocks noChangeArrowheads="1"/>
        </xdr:cNvSpPr>
      </xdr:nvSpPr>
      <xdr:spPr bwMode="auto">
        <a:xfrm>
          <a:off x="4657725" y="2019300"/>
          <a:ext cx="12382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123793</xdr:rowOff>
    </xdr:from>
    <xdr:to>
      <xdr:col>20</xdr:col>
      <xdr:colOff>145415</xdr:colOff>
      <xdr:row>59</xdr:row>
      <xdr:rowOff>63905</xdr:rowOff>
    </xdr:to>
    <xdr:sp macro="" textlink="">
      <xdr:nvSpPr>
        <xdr:cNvPr id="253033" name="Text Box 105" hidden="1">
          <a:extLst>
            <a:ext uri="{FF2B5EF4-FFF2-40B4-BE49-F238E27FC236}">
              <a16:creationId xmlns:a16="http://schemas.microsoft.com/office/drawing/2014/main" id="{668688E3-C50E-4AFE-B5CB-BEF3609F5FEA}"/>
            </a:ext>
          </a:extLst>
        </xdr:cNvPr>
        <xdr:cNvSpPr txBox="1">
          <a:spLocks noChangeArrowheads="1"/>
        </xdr:cNvSpPr>
      </xdr:nvSpPr>
      <xdr:spPr bwMode="auto">
        <a:xfrm>
          <a:off x="16811625" y="9324975"/>
          <a:ext cx="1200150" cy="476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15</xdr:row>
      <xdr:rowOff>9591</xdr:rowOff>
    </xdr:from>
    <xdr:to>
      <xdr:col>3</xdr:col>
      <xdr:colOff>304800</xdr:colOff>
      <xdr:row>19</xdr:row>
      <xdr:rowOff>48109</xdr:rowOff>
    </xdr:to>
    <xdr:sp macro="" textlink="">
      <xdr:nvSpPr>
        <xdr:cNvPr id="253042" name="Text Box 114" hidden="1">
          <a:extLst>
            <a:ext uri="{FF2B5EF4-FFF2-40B4-BE49-F238E27FC236}">
              <a16:creationId xmlns:a16="http://schemas.microsoft.com/office/drawing/2014/main" id="{38027734-7AE7-4AB8-B66B-169D51DDA6CC}"/>
            </a:ext>
          </a:extLst>
        </xdr:cNvPr>
        <xdr:cNvSpPr txBox="1">
          <a:spLocks noChangeArrowheads="1"/>
        </xdr:cNvSpPr>
      </xdr:nvSpPr>
      <xdr:spPr bwMode="auto">
        <a:xfrm>
          <a:off x="4676775" y="3181350"/>
          <a:ext cx="1371600"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17</xdr:row>
      <xdr:rowOff>31564</xdr:rowOff>
    </xdr:from>
    <xdr:to>
      <xdr:col>3</xdr:col>
      <xdr:colOff>304800</xdr:colOff>
      <xdr:row>21</xdr:row>
      <xdr:rowOff>49221</xdr:rowOff>
    </xdr:to>
    <xdr:sp macro="" textlink="">
      <xdr:nvSpPr>
        <xdr:cNvPr id="253043" name="Text Box 115" hidden="1">
          <a:extLst>
            <a:ext uri="{FF2B5EF4-FFF2-40B4-BE49-F238E27FC236}">
              <a16:creationId xmlns:a16="http://schemas.microsoft.com/office/drawing/2014/main" id="{9EE911F0-63B6-45AA-8BF7-6265D3A055FB}"/>
            </a:ext>
          </a:extLst>
        </xdr:cNvPr>
        <xdr:cNvSpPr txBox="1">
          <a:spLocks noChangeArrowheads="1"/>
        </xdr:cNvSpPr>
      </xdr:nvSpPr>
      <xdr:spPr bwMode="auto">
        <a:xfrm>
          <a:off x="4676775" y="3552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42</xdr:row>
      <xdr:rowOff>54876</xdr:rowOff>
    </xdr:from>
    <xdr:to>
      <xdr:col>3</xdr:col>
      <xdr:colOff>304800</xdr:colOff>
      <xdr:row>46</xdr:row>
      <xdr:rowOff>30363</xdr:rowOff>
    </xdr:to>
    <xdr:sp macro="" textlink="">
      <xdr:nvSpPr>
        <xdr:cNvPr id="253044" name="Text Box 116" hidden="1">
          <a:extLst>
            <a:ext uri="{FF2B5EF4-FFF2-40B4-BE49-F238E27FC236}">
              <a16:creationId xmlns:a16="http://schemas.microsoft.com/office/drawing/2014/main" id="{F07A0B5C-FAC1-4467-AA9F-CA5EB8725A02}"/>
            </a:ext>
          </a:extLst>
        </xdr:cNvPr>
        <xdr:cNvSpPr txBox="1">
          <a:spLocks noChangeArrowheads="1"/>
        </xdr:cNvSpPr>
      </xdr:nvSpPr>
      <xdr:spPr bwMode="auto">
        <a:xfrm>
          <a:off x="4676775" y="98393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44</xdr:row>
      <xdr:rowOff>182452</xdr:rowOff>
    </xdr:from>
    <xdr:to>
      <xdr:col>20</xdr:col>
      <xdr:colOff>335915</xdr:colOff>
      <xdr:row>48</xdr:row>
      <xdr:rowOff>28979</xdr:rowOff>
    </xdr:to>
    <xdr:sp macro="" textlink="">
      <xdr:nvSpPr>
        <xdr:cNvPr id="253045" name="Text Box 117" hidden="1">
          <a:extLst>
            <a:ext uri="{FF2B5EF4-FFF2-40B4-BE49-F238E27FC236}">
              <a16:creationId xmlns:a16="http://schemas.microsoft.com/office/drawing/2014/main" id="{EE495679-A250-491A-BE2B-83CFB95DC9E3}"/>
            </a:ext>
          </a:extLst>
        </xdr:cNvPr>
        <xdr:cNvSpPr txBox="1">
          <a:spLocks noChangeArrowheads="1"/>
        </xdr:cNvSpPr>
      </xdr:nvSpPr>
      <xdr:spPr bwMode="auto">
        <a:xfrm>
          <a:off x="16830675" y="102012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79</xdr:row>
      <xdr:rowOff>155310</xdr:rowOff>
    </xdr:from>
    <xdr:to>
      <xdr:col>42</xdr:col>
      <xdr:colOff>67469</xdr:colOff>
      <xdr:row>83</xdr:row>
      <xdr:rowOff>87420</xdr:rowOff>
    </xdr:to>
    <xdr:sp macro="" textlink="">
      <xdr:nvSpPr>
        <xdr:cNvPr id="253058" name="Text Box 130" hidden="1">
          <a:extLst>
            <a:ext uri="{FF2B5EF4-FFF2-40B4-BE49-F238E27FC236}">
              <a16:creationId xmlns:a16="http://schemas.microsoft.com/office/drawing/2014/main" id="{A748B414-DCA0-4859-A27B-8C20946B3F4C}"/>
            </a:ext>
          </a:extLst>
        </xdr:cNvPr>
        <xdr:cNvSpPr txBox="1">
          <a:spLocks noChangeArrowheads="1"/>
        </xdr:cNvSpPr>
      </xdr:nvSpPr>
      <xdr:spPr bwMode="auto">
        <a:xfrm>
          <a:off x="33845500" y="17729200"/>
          <a:ext cx="9906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141815</xdr:rowOff>
    </xdr:from>
    <xdr:to>
      <xdr:col>41</xdr:col>
      <xdr:colOff>686594</xdr:colOff>
      <xdr:row>116</xdr:row>
      <xdr:rowOff>16309</xdr:rowOff>
    </xdr:to>
    <xdr:sp macro="" textlink="">
      <xdr:nvSpPr>
        <xdr:cNvPr id="253057" name="Text Box 129" hidden="1">
          <a:extLst>
            <a:ext uri="{FF2B5EF4-FFF2-40B4-BE49-F238E27FC236}">
              <a16:creationId xmlns:a16="http://schemas.microsoft.com/office/drawing/2014/main" id="{3691F5D7-10C3-4C44-98BD-342791DFD042}"/>
            </a:ext>
          </a:extLst>
        </xdr:cNvPr>
        <xdr:cNvSpPr txBox="1">
          <a:spLocks noChangeArrowheads="1"/>
        </xdr:cNvSpPr>
      </xdr:nvSpPr>
      <xdr:spPr bwMode="auto">
        <a:xfrm>
          <a:off x="33807400" y="18796000"/>
          <a:ext cx="920750" cy="578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77</xdr:row>
      <xdr:rowOff>123604</xdr:rowOff>
    </xdr:from>
    <xdr:to>
      <xdr:col>38</xdr:col>
      <xdr:colOff>215900</xdr:colOff>
      <xdr:row>79</xdr:row>
      <xdr:rowOff>9166</xdr:rowOff>
    </xdr:to>
    <xdr:sp macro="" textlink="">
      <xdr:nvSpPr>
        <xdr:cNvPr id="253056" name="Text Box 128" hidden="1">
          <a:extLst>
            <a:ext uri="{FF2B5EF4-FFF2-40B4-BE49-F238E27FC236}">
              <a16:creationId xmlns:a16="http://schemas.microsoft.com/office/drawing/2014/main" id="{2A06C365-24B0-4127-99D7-3519B09FE6FF}"/>
            </a:ext>
          </a:extLst>
        </xdr:cNvPr>
        <xdr:cNvSpPr txBox="1">
          <a:spLocks noChangeArrowheads="1"/>
        </xdr:cNvSpPr>
      </xdr:nvSpPr>
      <xdr:spPr bwMode="auto">
        <a:xfrm>
          <a:off x="31057850" y="17272000"/>
          <a:ext cx="8953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77</xdr:row>
      <xdr:rowOff>123604</xdr:rowOff>
    </xdr:from>
    <xdr:to>
      <xdr:col>38</xdr:col>
      <xdr:colOff>320675</xdr:colOff>
      <xdr:row>79</xdr:row>
      <xdr:rowOff>9166</xdr:rowOff>
    </xdr:to>
    <xdr:sp macro="" textlink="">
      <xdr:nvSpPr>
        <xdr:cNvPr id="253055" name="Text Box 127" hidden="1">
          <a:extLst>
            <a:ext uri="{FF2B5EF4-FFF2-40B4-BE49-F238E27FC236}">
              <a16:creationId xmlns:a16="http://schemas.microsoft.com/office/drawing/2014/main" id="{D0F3324B-65DF-48D8-858A-FBF44D12E93F}"/>
            </a:ext>
          </a:extLst>
        </xdr:cNvPr>
        <xdr:cNvSpPr txBox="1">
          <a:spLocks noChangeArrowheads="1"/>
        </xdr:cNvSpPr>
      </xdr:nvSpPr>
      <xdr:spPr bwMode="auto">
        <a:xfrm>
          <a:off x="31134050" y="17272000"/>
          <a:ext cx="9207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141815</xdr:rowOff>
    </xdr:from>
    <xdr:to>
      <xdr:col>41</xdr:col>
      <xdr:colOff>686594</xdr:colOff>
      <xdr:row>92</xdr:row>
      <xdr:rowOff>66082</xdr:rowOff>
    </xdr:to>
    <xdr:sp macro="" textlink="">
      <xdr:nvSpPr>
        <xdr:cNvPr id="253054" name="Text Box 126" hidden="1">
          <a:extLst>
            <a:ext uri="{FF2B5EF4-FFF2-40B4-BE49-F238E27FC236}">
              <a16:creationId xmlns:a16="http://schemas.microsoft.com/office/drawing/2014/main" id="{282CBEDD-F2A3-469F-BC43-A8B0EDC5724D}"/>
            </a:ext>
          </a:extLst>
        </xdr:cNvPr>
        <xdr:cNvSpPr txBox="1">
          <a:spLocks noChangeArrowheads="1"/>
        </xdr:cNvSpPr>
      </xdr:nvSpPr>
      <xdr:spPr bwMode="auto">
        <a:xfrm>
          <a:off x="33807400" y="18796000"/>
          <a:ext cx="92075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202545</xdr:rowOff>
    </xdr:from>
    <xdr:to>
      <xdr:col>3</xdr:col>
      <xdr:colOff>304800</xdr:colOff>
      <xdr:row>37</xdr:row>
      <xdr:rowOff>793</xdr:rowOff>
    </xdr:to>
    <xdr:sp macro="" textlink="">
      <xdr:nvSpPr>
        <xdr:cNvPr id="253053" name="Text Box 125" hidden="1">
          <a:extLst>
            <a:ext uri="{FF2B5EF4-FFF2-40B4-BE49-F238E27FC236}">
              <a16:creationId xmlns:a16="http://schemas.microsoft.com/office/drawing/2014/main" id="{11547FD5-4C1B-4F2F-8106-E42FDE425DA7}"/>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52" name="Text Box 124" hidden="1">
          <a:extLst>
            <a:ext uri="{FF2B5EF4-FFF2-40B4-BE49-F238E27FC236}">
              <a16:creationId xmlns:a16="http://schemas.microsoft.com/office/drawing/2014/main" id="{F82E105B-6115-41C2-8096-BAA0DC50454A}"/>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103467</xdr:rowOff>
    </xdr:to>
    <xdr:sp macro="" textlink="">
      <xdr:nvSpPr>
        <xdr:cNvPr id="253051" name="Text Box 123" hidden="1">
          <a:extLst>
            <a:ext uri="{FF2B5EF4-FFF2-40B4-BE49-F238E27FC236}">
              <a16:creationId xmlns:a16="http://schemas.microsoft.com/office/drawing/2014/main" id="{FBAFDEAF-09E0-4BFE-AF4C-FFEE0536BE21}"/>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101880</xdr:rowOff>
    </xdr:from>
    <xdr:to>
      <xdr:col>20</xdr:col>
      <xdr:colOff>133350</xdr:colOff>
      <xdr:row>59</xdr:row>
      <xdr:rowOff>48105</xdr:rowOff>
    </xdr:to>
    <xdr:sp macro="" textlink="">
      <xdr:nvSpPr>
        <xdr:cNvPr id="253050" name="Text Box 122" hidden="1">
          <a:extLst>
            <a:ext uri="{FF2B5EF4-FFF2-40B4-BE49-F238E27FC236}">
              <a16:creationId xmlns:a16="http://schemas.microsoft.com/office/drawing/2014/main" id="{392B1328-4CF3-44DC-9809-EC9B0B7563D2}"/>
            </a:ext>
          </a:extLst>
        </xdr:cNvPr>
        <xdr:cNvSpPr txBox="1">
          <a:spLocks noChangeArrowheads="1"/>
        </xdr:cNvSpPr>
      </xdr:nvSpPr>
      <xdr:spPr bwMode="auto">
        <a:xfrm>
          <a:off x="17589500" y="9131300"/>
          <a:ext cx="1257300" cy="464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10226</xdr:rowOff>
    </xdr:from>
    <xdr:to>
      <xdr:col>3</xdr:col>
      <xdr:colOff>304800</xdr:colOff>
      <xdr:row>19</xdr:row>
      <xdr:rowOff>2707</xdr:rowOff>
    </xdr:to>
    <xdr:sp macro="" textlink="">
      <xdr:nvSpPr>
        <xdr:cNvPr id="253049" name="Text Box 121" hidden="1">
          <a:extLst>
            <a:ext uri="{FF2B5EF4-FFF2-40B4-BE49-F238E27FC236}">
              <a16:creationId xmlns:a16="http://schemas.microsoft.com/office/drawing/2014/main" id="{274AE0F9-E5E5-4673-8C73-CC8097C80D0B}"/>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31564</xdr:rowOff>
    </xdr:from>
    <xdr:to>
      <xdr:col>3</xdr:col>
      <xdr:colOff>304800</xdr:colOff>
      <xdr:row>21</xdr:row>
      <xdr:rowOff>21664</xdr:rowOff>
    </xdr:to>
    <xdr:sp macro="" textlink="">
      <xdr:nvSpPr>
        <xdr:cNvPr id="253048" name="Text Box 120" hidden="1">
          <a:extLst>
            <a:ext uri="{FF2B5EF4-FFF2-40B4-BE49-F238E27FC236}">
              <a16:creationId xmlns:a16="http://schemas.microsoft.com/office/drawing/2014/main" id="{F7719A29-F845-4949-8319-0AC8B2C679F5}"/>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40</xdr:row>
      <xdr:rowOff>26067</xdr:rowOff>
    </xdr:from>
    <xdr:to>
      <xdr:col>3</xdr:col>
      <xdr:colOff>314325</xdr:colOff>
      <xdr:row>45</xdr:row>
      <xdr:rowOff>29940</xdr:rowOff>
    </xdr:to>
    <xdr:sp macro="" textlink="">
      <xdr:nvSpPr>
        <xdr:cNvPr id="253047" name="Text Box 119" hidden="1">
          <a:extLst>
            <a:ext uri="{FF2B5EF4-FFF2-40B4-BE49-F238E27FC236}">
              <a16:creationId xmlns:a16="http://schemas.microsoft.com/office/drawing/2014/main" id="{D69275A5-81BF-4F14-A166-44F9BE377285}"/>
            </a:ext>
          </a:extLst>
        </xdr:cNvPr>
        <xdr:cNvSpPr txBox="1">
          <a:spLocks noChangeArrowheads="1"/>
        </xdr:cNvSpPr>
      </xdr:nvSpPr>
      <xdr:spPr bwMode="auto">
        <a:xfrm>
          <a:off x="4864100" y="9277350"/>
          <a:ext cx="14287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133350</xdr:colOff>
      <xdr:row>45</xdr:row>
      <xdr:rowOff>105303</xdr:rowOff>
    </xdr:from>
    <xdr:to>
      <xdr:col>20</xdr:col>
      <xdr:colOff>333375</xdr:colOff>
      <xdr:row>49</xdr:row>
      <xdr:rowOff>83637</xdr:rowOff>
    </xdr:to>
    <xdr:sp macro="" textlink="">
      <xdr:nvSpPr>
        <xdr:cNvPr id="253046" name="Text Box 118" hidden="1">
          <a:extLst>
            <a:ext uri="{FF2B5EF4-FFF2-40B4-BE49-F238E27FC236}">
              <a16:creationId xmlns:a16="http://schemas.microsoft.com/office/drawing/2014/main" id="{58CFB2C4-55EC-40BB-942B-F165E1FB1660}"/>
            </a:ext>
          </a:extLst>
        </xdr:cNvPr>
        <xdr:cNvSpPr txBox="1">
          <a:spLocks noChangeArrowheads="1"/>
        </xdr:cNvSpPr>
      </xdr:nvSpPr>
      <xdr:spPr bwMode="auto">
        <a:xfrm>
          <a:off x="17608550" y="10299700"/>
          <a:ext cx="14351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67</xdr:row>
      <xdr:rowOff>143776</xdr:rowOff>
    </xdr:from>
    <xdr:to>
      <xdr:col>42</xdr:col>
      <xdr:colOff>67469</xdr:colOff>
      <xdr:row>72</xdr:row>
      <xdr:rowOff>64214</xdr:rowOff>
    </xdr:to>
    <xdr:sp macro="" textlink="">
      <xdr:nvSpPr>
        <xdr:cNvPr id="253071" name="Text Box 143" hidden="1">
          <a:extLst>
            <a:ext uri="{FF2B5EF4-FFF2-40B4-BE49-F238E27FC236}">
              <a16:creationId xmlns:a16="http://schemas.microsoft.com/office/drawing/2014/main" id="{11B2A42F-F9AB-4D32-B39C-71A6080AE1D5}"/>
            </a:ext>
          </a:extLst>
        </xdr:cNvPr>
        <xdr:cNvSpPr txBox="1">
          <a:spLocks noChangeArrowheads="1"/>
        </xdr:cNvSpPr>
      </xdr:nvSpPr>
      <xdr:spPr bwMode="auto">
        <a:xfrm>
          <a:off x="33845500" y="15417800"/>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163386</xdr:rowOff>
    </xdr:from>
    <xdr:to>
      <xdr:col>41</xdr:col>
      <xdr:colOff>677069</xdr:colOff>
      <xdr:row>100</xdr:row>
      <xdr:rowOff>161238</xdr:rowOff>
    </xdr:to>
    <xdr:sp macro="" textlink="">
      <xdr:nvSpPr>
        <xdr:cNvPr id="253070" name="Text Box 142" hidden="1">
          <a:extLst>
            <a:ext uri="{FF2B5EF4-FFF2-40B4-BE49-F238E27FC236}">
              <a16:creationId xmlns:a16="http://schemas.microsoft.com/office/drawing/2014/main" id="{FD459720-10DB-4A19-919C-9AFA447EDC20}"/>
            </a:ext>
          </a:extLst>
        </xdr:cNvPr>
        <xdr:cNvSpPr txBox="1">
          <a:spLocks noChangeArrowheads="1"/>
        </xdr:cNvSpPr>
      </xdr:nvSpPr>
      <xdr:spPr bwMode="auto">
        <a:xfrm>
          <a:off x="33807400" y="15957550"/>
          <a:ext cx="914400" cy="581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66</xdr:row>
      <xdr:rowOff>30505</xdr:rowOff>
    </xdr:from>
    <xdr:to>
      <xdr:col>38</xdr:col>
      <xdr:colOff>215900</xdr:colOff>
      <xdr:row>68</xdr:row>
      <xdr:rowOff>2276</xdr:rowOff>
    </xdr:to>
    <xdr:sp macro="" textlink="">
      <xdr:nvSpPr>
        <xdr:cNvPr id="253069" name="Text Box 141" hidden="1">
          <a:extLst>
            <a:ext uri="{FF2B5EF4-FFF2-40B4-BE49-F238E27FC236}">
              <a16:creationId xmlns:a16="http://schemas.microsoft.com/office/drawing/2014/main" id="{6AA9A03B-955D-4CA1-B080-56A38C0F2A8A}"/>
            </a:ext>
          </a:extLst>
        </xdr:cNvPr>
        <xdr:cNvSpPr txBox="1">
          <a:spLocks noChangeArrowheads="1"/>
        </xdr:cNvSpPr>
      </xdr:nvSpPr>
      <xdr:spPr bwMode="auto">
        <a:xfrm>
          <a:off x="31057850" y="15087600"/>
          <a:ext cx="89535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66</xdr:row>
      <xdr:rowOff>30505</xdr:rowOff>
    </xdr:from>
    <xdr:to>
      <xdr:col>38</xdr:col>
      <xdr:colOff>311150</xdr:colOff>
      <xdr:row>68</xdr:row>
      <xdr:rowOff>2276</xdr:rowOff>
    </xdr:to>
    <xdr:sp macro="" textlink="">
      <xdr:nvSpPr>
        <xdr:cNvPr id="253068" name="Text Box 140" hidden="1">
          <a:extLst>
            <a:ext uri="{FF2B5EF4-FFF2-40B4-BE49-F238E27FC236}">
              <a16:creationId xmlns:a16="http://schemas.microsoft.com/office/drawing/2014/main" id="{B55155B4-61FD-4BC7-9073-000C8F522C71}"/>
            </a:ext>
          </a:extLst>
        </xdr:cNvPr>
        <xdr:cNvSpPr txBox="1">
          <a:spLocks noChangeArrowheads="1"/>
        </xdr:cNvSpPr>
      </xdr:nvSpPr>
      <xdr:spPr bwMode="auto">
        <a:xfrm>
          <a:off x="31134050" y="15087600"/>
          <a:ext cx="91440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163386</xdr:rowOff>
    </xdr:from>
    <xdr:to>
      <xdr:col>41</xdr:col>
      <xdr:colOff>677069</xdr:colOff>
      <xdr:row>78</xdr:row>
      <xdr:rowOff>45958</xdr:rowOff>
    </xdr:to>
    <xdr:sp macro="" textlink="">
      <xdr:nvSpPr>
        <xdr:cNvPr id="253067" name="Text Box 139" hidden="1">
          <a:extLst>
            <a:ext uri="{FF2B5EF4-FFF2-40B4-BE49-F238E27FC236}">
              <a16:creationId xmlns:a16="http://schemas.microsoft.com/office/drawing/2014/main" id="{5E323352-189A-4886-A3CF-9C762B1A1430}"/>
            </a:ext>
          </a:extLst>
        </xdr:cNvPr>
        <xdr:cNvSpPr txBox="1">
          <a:spLocks noChangeArrowheads="1"/>
        </xdr:cNvSpPr>
      </xdr:nvSpPr>
      <xdr:spPr bwMode="auto">
        <a:xfrm>
          <a:off x="33807400" y="15957550"/>
          <a:ext cx="9144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202545</xdr:rowOff>
    </xdr:from>
    <xdr:to>
      <xdr:col>3</xdr:col>
      <xdr:colOff>304800</xdr:colOff>
      <xdr:row>37</xdr:row>
      <xdr:rowOff>793</xdr:rowOff>
    </xdr:to>
    <xdr:sp macro="" textlink="">
      <xdr:nvSpPr>
        <xdr:cNvPr id="253066" name="Text Box 138" hidden="1">
          <a:extLst>
            <a:ext uri="{FF2B5EF4-FFF2-40B4-BE49-F238E27FC236}">
              <a16:creationId xmlns:a16="http://schemas.microsoft.com/office/drawing/2014/main" id="{98755DA0-57E3-4EDF-AD72-1E1F62D6D4BF}"/>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65" name="Text Box 137" hidden="1">
          <a:extLst>
            <a:ext uri="{FF2B5EF4-FFF2-40B4-BE49-F238E27FC236}">
              <a16:creationId xmlns:a16="http://schemas.microsoft.com/office/drawing/2014/main" id="{292F3461-6F88-464E-8394-53B8297D6729}"/>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103467</xdr:rowOff>
    </xdr:to>
    <xdr:sp macro="" textlink="">
      <xdr:nvSpPr>
        <xdr:cNvPr id="253064" name="Text Box 136" hidden="1">
          <a:extLst>
            <a:ext uri="{FF2B5EF4-FFF2-40B4-BE49-F238E27FC236}">
              <a16:creationId xmlns:a16="http://schemas.microsoft.com/office/drawing/2014/main" id="{5E9E05DA-6F52-4484-92ED-CE558F643CE6}"/>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101880</xdr:rowOff>
    </xdr:from>
    <xdr:to>
      <xdr:col>20</xdr:col>
      <xdr:colOff>133350</xdr:colOff>
      <xdr:row>59</xdr:row>
      <xdr:rowOff>50159</xdr:rowOff>
    </xdr:to>
    <xdr:sp macro="" textlink="">
      <xdr:nvSpPr>
        <xdr:cNvPr id="253063" name="Text Box 135" hidden="1">
          <a:extLst>
            <a:ext uri="{FF2B5EF4-FFF2-40B4-BE49-F238E27FC236}">
              <a16:creationId xmlns:a16="http://schemas.microsoft.com/office/drawing/2014/main" id="{390637DD-B8CC-423A-8E04-0FB27D7F99B5}"/>
            </a:ext>
          </a:extLst>
        </xdr:cNvPr>
        <xdr:cNvSpPr txBox="1">
          <a:spLocks noChangeArrowheads="1"/>
        </xdr:cNvSpPr>
      </xdr:nvSpPr>
      <xdr:spPr bwMode="auto">
        <a:xfrm>
          <a:off x="17589500" y="9131300"/>
          <a:ext cx="1257300" cy="464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10226</xdr:rowOff>
    </xdr:from>
    <xdr:to>
      <xdr:col>3</xdr:col>
      <xdr:colOff>304800</xdr:colOff>
      <xdr:row>19</xdr:row>
      <xdr:rowOff>2707</xdr:rowOff>
    </xdr:to>
    <xdr:sp macro="" textlink="">
      <xdr:nvSpPr>
        <xdr:cNvPr id="253062" name="Text Box 134" hidden="1">
          <a:extLst>
            <a:ext uri="{FF2B5EF4-FFF2-40B4-BE49-F238E27FC236}">
              <a16:creationId xmlns:a16="http://schemas.microsoft.com/office/drawing/2014/main" id="{E9CCED1F-A550-48B6-B194-F52EBD2AC0AC}"/>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31564</xdr:rowOff>
    </xdr:from>
    <xdr:to>
      <xdr:col>3</xdr:col>
      <xdr:colOff>304800</xdr:colOff>
      <xdr:row>21</xdr:row>
      <xdr:rowOff>21664</xdr:rowOff>
    </xdr:to>
    <xdr:sp macro="" textlink="">
      <xdr:nvSpPr>
        <xdr:cNvPr id="253061" name="Text Box 133" hidden="1">
          <a:extLst>
            <a:ext uri="{FF2B5EF4-FFF2-40B4-BE49-F238E27FC236}">
              <a16:creationId xmlns:a16="http://schemas.microsoft.com/office/drawing/2014/main" id="{73153123-E303-4E51-8A97-26A4879C72C2}"/>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7619</xdr:rowOff>
    </xdr:from>
    <xdr:to>
      <xdr:col>42</xdr:col>
      <xdr:colOff>67469</xdr:colOff>
      <xdr:row>58</xdr:row>
      <xdr:rowOff>141909</xdr:rowOff>
    </xdr:to>
    <xdr:sp macro="" textlink="">
      <xdr:nvSpPr>
        <xdr:cNvPr id="253082" name="Text Box 154" hidden="1">
          <a:extLst>
            <a:ext uri="{FF2B5EF4-FFF2-40B4-BE49-F238E27FC236}">
              <a16:creationId xmlns:a16="http://schemas.microsoft.com/office/drawing/2014/main" id="{F0809122-ECDC-49B6-955C-C33B71E18B32}"/>
            </a:ext>
          </a:extLst>
        </xdr:cNvPr>
        <xdr:cNvSpPr txBox="1">
          <a:spLocks noChangeArrowheads="1"/>
        </xdr:cNvSpPr>
      </xdr:nvSpPr>
      <xdr:spPr bwMode="auto">
        <a:xfrm>
          <a:off x="33855660" y="12024360"/>
          <a:ext cx="1021080" cy="1432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84394</xdr:rowOff>
    </xdr:from>
    <xdr:to>
      <xdr:col>41</xdr:col>
      <xdr:colOff>677069</xdr:colOff>
      <xdr:row>79</xdr:row>
      <xdr:rowOff>84115</xdr:rowOff>
    </xdr:to>
    <xdr:sp macro="" textlink="">
      <xdr:nvSpPr>
        <xdr:cNvPr id="253081" name="Text Box 153" hidden="1">
          <a:extLst>
            <a:ext uri="{FF2B5EF4-FFF2-40B4-BE49-F238E27FC236}">
              <a16:creationId xmlns:a16="http://schemas.microsoft.com/office/drawing/2014/main" id="{FAAA09FF-3BB3-4890-9467-373B2ED31FCF}"/>
            </a:ext>
          </a:extLst>
        </xdr:cNvPr>
        <xdr:cNvSpPr txBox="1">
          <a:spLocks noChangeArrowheads="1"/>
        </xdr:cNvSpPr>
      </xdr:nvSpPr>
      <xdr:spPr bwMode="auto">
        <a:xfrm>
          <a:off x="33817560" y="1212342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107728</xdr:rowOff>
    </xdr:from>
    <xdr:to>
      <xdr:col>38</xdr:col>
      <xdr:colOff>196850</xdr:colOff>
      <xdr:row>54</xdr:row>
      <xdr:rowOff>197095</xdr:rowOff>
    </xdr:to>
    <xdr:sp macro="" textlink="">
      <xdr:nvSpPr>
        <xdr:cNvPr id="253080" name="Text Box 152" hidden="1">
          <a:extLst>
            <a:ext uri="{FF2B5EF4-FFF2-40B4-BE49-F238E27FC236}">
              <a16:creationId xmlns:a16="http://schemas.microsoft.com/office/drawing/2014/main" id="{3BFF550E-E7AD-4813-95C5-C8351F467628}"/>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107728</xdr:rowOff>
    </xdr:from>
    <xdr:to>
      <xdr:col>38</xdr:col>
      <xdr:colOff>311150</xdr:colOff>
      <xdr:row>54</xdr:row>
      <xdr:rowOff>197095</xdr:rowOff>
    </xdr:to>
    <xdr:sp macro="" textlink="">
      <xdr:nvSpPr>
        <xdr:cNvPr id="253079" name="Text Box 151" hidden="1">
          <a:extLst>
            <a:ext uri="{FF2B5EF4-FFF2-40B4-BE49-F238E27FC236}">
              <a16:creationId xmlns:a16="http://schemas.microsoft.com/office/drawing/2014/main" id="{28BB212E-EA18-4A12-B0C7-62857A890B39}"/>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84394</xdr:rowOff>
    </xdr:from>
    <xdr:to>
      <xdr:col>41</xdr:col>
      <xdr:colOff>677069</xdr:colOff>
      <xdr:row>58</xdr:row>
      <xdr:rowOff>49293</xdr:rowOff>
    </xdr:to>
    <xdr:sp macro="" textlink="">
      <xdr:nvSpPr>
        <xdr:cNvPr id="253078" name="Text Box 150" hidden="1">
          <a:extLst>
            <a:ext uri="{FF2B5EF4-FFF2-40B4-BE49-F238E27FC236}">
              <a16:creationId xmlns:a16="http://schemas.microsoft.com/office/drawing/2014/main" id="{08CAB2D8-39C4-4542-94AC-3140AC5B2033}"/>
            </a:ext>
          </a:extLst>
        </xdr:cNvPr>
        <xdr:cNvSpPr txBox="1">
          <a:spLocks noChangeArrowheads="1"/>
        </xdr:cNvSpPr>
      </xdr:nvSpPr>
      <xdr:spPr bwMode="auto">
        <a:xfrm>
          <a:off x="33817560" y="12123420"/>
          <a:ext cx="944880" cy="12344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077" name="Text Box 149" hidden="1">
          <a:extLst>
            <a:ext uri="{FF2B5EF4-FFF2-40B4-BE49-F238E27FC236}">
              <a16:creationId xmlns:a16="http://schemas.microsoft.com/office/drawing/2014/main" id="{F14E10EF-EDAB-44D2-A95F-FBF2C143A849}"/>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76" name="Text Box 148" hidden="1">
          <a:extLst>
            <a:ext uri="{FF2B5EF4-FFF2-40B4-BE49-F238E27FC236}">
              <a16:creationId xmlns:a16="http://schemas.microsoft.com/office/drawing/2014/main" id="{B04770AB-3CE4-4406-941E-3528E90A7E34}"/>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075" name="Text Box 147" hidden="1">
          <a:extLst>
            <a:ext uri="{FF2B5EF4-FFF2-40B4-BE49-F238E27FC236}">
              <a16:creationId xmlns:a16="http://schemas.microsoft.com/office/drawing/2014/main" id="{6FA99E2C-3494-40CA-8158-D600A98A1804}"/>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66227</xdr:rowOff>
    </xdr:to>
    <xdr:sp macro="" textlink="">
      <xdr:nvSpPr>
        <xdr:cNvPr id="253074" name="Text Box 146" hidden="1">
          <a:extLst>
            <a:ext uri="{FF2B5EF4-FFF2-40B4-BE49-F238E27FC236}">
              <a16:creationId xmlns:a16="http://schemas.microsoft.com/office/drawing/2014/main" id="{5999866C-2D22-4DA2-A7DD-76CE65643890}"/>
            </a:ext>
          </a:extLst>
        </xdr:cNvPr>
        <xdr:cNvSpPr txBox="1">
          <a:spLocks noChangeArrowheads="1"/>
        </xdr:cNvSpPr>
      </xdr:nvSpPr>
      <xdr:spPr bwMode="auto">
        <a:xfrm>
          <a:off x="17335500" y="7223760"/>
          <a:ext cx="1219200" cy="5303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324012</xdr:rowOff>
    </xdr:from>
    <xdr:to>
      <xdr:col>42</xdr:col>
      <xdr:colOff>67469</xdr:colOff>
      <xdr:row>58</xdr:row>
      <xdr:rowOff>141909</xdr:rowOff>
    </xdr:to>
    <xdr:sp macro="" textlink="">
      <xdr:nvSpPr>
        <xdr:cNvPr id="253091" name="Text Box 163" hidden="1">
          <a:extLst>
            <a:ext uri="{FF2B5EF4-FFF2-40B4-BE49-F238E27FC236}">
              <a16:creationId xmlns:a16="http://schemas.microsoft.com/office/drawing/2014/main" id="{9E6EE3C3-4141-4815-9750-F795C9380695}"/>
            </a:ext>
          </a:extLst>
        </xdr:cNvPr>
        <xdr:cNvSpPr txBox="1">
          <a:spLocks noChangeArrowheads="1"/>
        </xdr:cNvSpPr>
      </xdr:nvSpPr>
      <xdr:spPr bwMode="auto">
        <a:xfrm>
          <a:off x="33909000" y="1206500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79</xdr:row>
      <xdr:rowOff>86020</xdr:rowOff>
    </xdr:to>
    <xdr:sp macro="" textlink="">
      <xdr:nvSpPr>
        <xdr:cNvPr id="253090" name="Text Box 162" hidden="1">
          <a:extLst>
            <a:ext uri="{FF2B5EF4-FFF2-40B4-BE49-F238E27FC236}">
              <a16:creationId xmlns:a16="http://schemas.microsoft.com/office/drawing/2014/main" id="{9FCFB1BB-75BB-4066-987A-22F918CFDCCF}"/>
            </a:ext>
          </a:extLst>
        </xdr:cNvPr>
        <xdr:cNvSpPr txBox="1">
          <a:spLocks noChangeArrowheads="1"/>
        </xdr:cNvSpPr>
      </xdr:nvSpPr>
      <xdr:spPr bwMode="auto">
        <a:xfrm>
          <a:off x="33870900" y="121729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107728</xdr:rowOff>
    </xdr:from>
    <xdr:to>
      <xdr:col>38</xdr:col>
      <xdr:colOff>196850</xdr:colOff>
      <xdr:row>54</xdr:row>
      <xdr:rowOff>197095</xdr:rowOff>
    </xdr:to>
    <xdr:sp macro="" textlink="">
      <xdr:nvSpPr>
        <xdr:cNvPr id="253089" name="Text Box 161" hidden="1">
          <a:extLst>
            <a:ext uri="{FF2B5EF4-FFF2-40B4-BE49-F238E27FC236}">
              <a16:creationId xmlns:a16="http://schemas.microsoft.com/office/drawing/2014/main" id="{0BFC1522-4F93-4A18-8FC7-DBC159564227}"/>
            </a:ext>
          </a:extLst>
        </xdr:cNvPr>
        <xdr:cNvSpPr txBox="1">
          <a:spLocks noChangeArrowheads="1"/>
        </xdr:cNvSpPr>
      </xdr:nvSpPr>
      <xdr:spPr bwMode="auto">
        <a:xfrm>
          <a:off x="31115000" y="1180465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107728</xdr:rowOff>
    </xdr:from>
    <xdr:to>
      <xdr:col>38</xdr:col>
      <xdr:colOff>311150</xdr:colOff>
      <xdr:row>54</xdr:row>
      <xdr:rowOff>197095</xdr:rowOff>
    </xdr:to>
    <xdr:sp macro="" textlink="">
      <xdr:nvSpPr>
        <xdr:cNvPr id="253088" name="Text Box 160" hidden="1">
          <a:extLst>
            <a:ext uri="{FF2B5EF4-FFF2-40B4-BE49-F238E27FC236}">
              <a16:creationId xmlns:a16="http://schemas.microsoft.com/office/drawing/2014/main" id="{9A219B01-FC6D-46EA-9AEE-761D36EEF452}"/>
            </a:ext>
          </a:extLst>
        </xdr:cNvPr>
        <xdr:cNvSpPr txBox="1">
          <a:spLocks noChangeArrowheads="1"/>
        </xdr:cNvSpPr>
      </xdr:nvSpPr>
      <xdr:spPr bwMode="auto">
        <a:xfrm>
          <a:off x="31191200" y="1180465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58</xdr:row>
      <xdr:rowOff>40403</xdr:rowOff>
    </xdr:to>
    <xdr:sp macro="" textlink="">
      <xdr:nvSpPr>
        <xdr:cNvPr id="253087" name="Text Box 159" hidden="1">
          <a:extLst>
            <a:ext uri="{FF2B5EF4-FFF2-40B4-BE49-F238E27FC236}">
              <a16:creationId xmlns:a16="http://schemas.microsoft.com/office/drawing/2014/main" id="{9BF1DBC0-15D0-441E-9EB3-0C4856EDDD11}"/>
            </a:ext>
          </a:extLst>
        </xdr:cNvPr>
        <xdr:cNvSpPr txBox="1">
          <a:spLocks noChangeArrowheads="1"/>
        </xdr:cNvSpPr>
      </xdr:nvSpPr>
      <xdr:spPr bwMode="auto">
        <a:xfrm>
          <a:off x="33870900" y="12172950"/>
          <a:ext cx="91440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086" name="Text Box 158" hidden="1">
          <a:extLst>
            <a:ext uri="{FF2B5EF4-FFF2-40B4-BE49-F238E27FC236}">
              <a16:creationId xmlns:a16="http://schemas.microsoft.com/office/drawing/2014/main" id="{9C4E3BA8-FE9D-46C1-AFC5-B405635D5BC9}"/>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85" name="Text Box 157" hidden="1">
          <a:extLst>
            <a:ext uri="{FF2B5EF4-FFF2-40B4-BE49-F238E27FC236}">
              <a16:creationId xmlns:a16="http://schemas.microsoft.com/office/drawing/2014/main" id="{2976410A-1F75-4A94-8078-1B41E6A84087}"/>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084" name="Text Box 156" hidden="1">
          <a:extLst>
            <a:ext uri="{FF2B5EF4-FFF2-40B4-BE49-F238E27FC236}">
              <a16:creationId xmlns:a16="http://schemas.microsoft.com/office/drawing/2014/main" id="{08238A3A-DED3-4218-B4C3-11052905909D}"/>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68132</xdr:rowOff>
    </xdr:to>
    <xdr:sp macro="" textlink="">
      <xdr:nvSpPr>
        <xdr:cNvPr id="253083" name="Text Box 155" hidden="1">
          <a:extLst>
            <a:ext uri="{FF2B5EF4-FFF2-40B4-BE49-F238E27FC236}">
              <a16:creationId xmlns:a16="http://schemas.microsoft.com/office/drawing/2014/main" id="{8F3165BF-5269-44BA-8730-CB86B8683097}"/>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324012</xdr:rowOff>
    </xdr:from>
    <xdr:to>
      <xdr:col>42</xdr:col>
      <xdr:colOff>67469</xdr:colOff>
      <xdr:row>58</xdr:row>
      <xdr:rowOff>141909</xdr:rowOff>
    </xdr:to>
    <xdr:sp macro="" textlink="">
      <xdr:nvSpPr>
        <xdr:cNvPr id="253100" name="Text Box 172" hidden="1">
          <a:extLst>
            <a:ext uri="{FF2B5EF4-FFF2-40B4-BE49-F238E27FC236}">
              <a16:creationId xmlns:a16="http://schemas.microsoft.com/office/drawing/2014/main" id="{659D2051-9A85-447A-80F9-40C817C99465}"/>
            </a:ext>
          </a:extLst>
        </xdr:cNvPr>
        <xdr:cNvSpPr txBox="1">
          <a:spLocks noChangeArrowheads="1"/>
        </xdr:cNvSpPr>
      </xdr:nvSpPr>
      <xdr:spPr bwMode="auto">
        <a:xfrm>
          <a:off x="33855660" y="1200912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79</xdr:row>
      <xdr:rowOff>86020</xdr:rowOff>
    </xdr:to>
    <xdr:sp macro="" textlink="">
      <xdr:nvSpPr>
        <xdr:cNvPr id="253099" name="Text Box 171" hidden="1">
          <a:extLst>
            <a:ext uri="{FF2B5EF4-FFF2-40B4-BE49-F238E27FC236}">
              <a16:creationId xmlns:a16="http://schemas.microsoft.com/office/drawing/2014/main" id="{CF7D7F79-267B-47F9-BBD9-6E84A1110783}"/>
            </a:ext>
          </a:extLst>
        </xdr:cNvPr>
        <xdr:cNvSpPr txBox="1">
          <a:spLocks noChangeArrowheads="1"/>
        </xdr:cNvSpPr>
      </xdr:nvSpPr>
      <xdr:spPr bwMode="auto">
        <a:xfrm>
          <a:off x="33817560" y="121158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107728</xdr:rowOff>
    </xdr:from>
    <xdr:to>
      <xdr:col>38</xdr:col>
      <xdr:colOff>196850</xdr:colOff>
      <xdr:row>54</xdr:row>
      <xdr:rowOff>197095</xdr:rowOff>
    </xdr:to>
    <xdr:sp macro="" textlink="">
      <xdr:nvSpPr>
        <xdr:cNvPr id="253098" name="Text Box 170" hidden="1">
          <a:extLst>
            <a:ext uri="{FF2B5EF4-FFF2-40B4-BE49-F238E27FC236}">
              <a16:creationId xmlns:a16="http://schemas.microsoft.com/office/drawing/2014/main" id="{18556C5C-5B8F-41F9-A842-456E7EB15FFE}"/>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107728</xdr:rowOff>
    </xdr:from>
    <xdr:to>
      <xdr:col>38</xdr:col>
      <xdr:colOff>311150</xdr:colOff>
      <xdr:row>54</xdr:row>
      <xdr:rowOff>197095</xdr:rowOff>
    </xdr:to>
    <xdr:sp macro="" textlink="">
      <xdr:nvSpPr>
        <xdr:cNvPr id="253097" name="Text Box 169" hidden="1">
          <a:extLst>
            <a:ext uri="{FF2B5EF4-FFF2-40B4-BE49-F238E27FC236}">
              <a16:creationId xmlns:a16="http://schemas.microsoft.com/office/drawing/2014/main" id="{BEAB1565-5551-47A4-A297-A02ACD543B51}"/>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58</xdr:row>
      <xdr:rowOff>40403</xdr:rowOff>
    </xdr:to>
    <xdr:sp macro="" textlink="">
      <xdr:nvSpPr>
        <xdr:cNvPr id="253096" name="Text Box 168" hidden="1">
          <a:extLst>
            <a:ext uri="{FF2B5EF4-FFF2-40B4-BE49-F238E27FC236}">
              <a16:creationId xmlns:a16="http://schemas.microsoft.com/office/drawing/2014/main" id="{B1C372B5-0CD4-475C-81C7-C172F148F2A9}"/>
            </a:ext>
          </a:extLst>
        </xdr:cNvPr>
        <xdr:cNvSpPr txBox="1">
          <a:spLocks noChangeArrowheads="1"/>
        </xdr:cNvSpPr>
      </xdr:nvSpPr>
      <xdr:spPr bwMode="auto">
        <a:xfrm>
          <a:off x="33817560" y="12115800"/>
          <a:ext cx="944880" cy="12268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095" name="Text Box 167" hidden="1">
          <a:extLst>
            <a:ext uri="{FF2B5EF4-FFF2-40B4-BE49-F238E27FC236}">
              <a16:creationId xmlns:a16="http://schemas.microsoft.com/office/drawing/2014/main" id="{69C0E314-B3F6-4AFD-81E5-4D861DCB5403}"/>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94" name="Text Box 166" hidden="1">
          <a:extLst>
            <a:ext uri="{FF2B5EF4-FFF2-40B4-BE49-F238E27FC236}">
              <a16:creationId xmlns:a16="http://schemas.microsoft.com/office/drawing/2014/main" id="{3A208F38-D05A-4464-8979-C301EDE6C28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093" name="Text Box 165" hidden="1">
          <a:extLst>
            <a:ext uri="{FF2B5EF4-FFF2-40B4-BE49-F238E27FC236}">
              <a16:creationId xmlns:a16="http://schemas.microsoft.com/office/drawing/2014/main" id="{BFDDAB80-C2D4-43BC-9A08-FB089943A0D0}"/>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68132</xdr:rowOff>
    </xdr:to>
    <xdr:sp macro="" textlink="">
      <xdr:nvSpPr>
        <xdr:cNvPr id="253092" name="Text Box 164" hidden="1">
          <a:extLst>
            <a:ext uri="{FF2B5EF4-FFF2-40B4-BE49-F238E27FC236}">
              <a16:creationId xmlns:a16="http://schemas.microsoft.com/office/drawing/2014/main" id="{2DE82EA5-B6B3-41D0-84A2-550EB9078CE0}"/>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30" name="Text Box 202" hidden="1">
          <a:extLst>
            <a:ext uri="{FF2B5EF4-FFF2-40B4-BE49-F238E27FC236}">
              <a16:creationId xmlns:a16="http://schemas.microsoft.com/office/drawing/2014/main" id="{1FEC7AC2-AA7F-4E58-87EF-5F173535AAA0}"/>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29" name="Text Box 201" hidden="1">
          <a:extLst>
            <a:ext uri="{FF2B5EF4-FFF2-40B4-BE49-F238E27FC236}">
              <a16:creationId xmlns:a16="http://schemas.microsoft.com/office/drawing/2014/main" id="{31AAD6E5-A8CC-4E70-A35E-0574F6C39FD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28" name="Text Box 200" hidden="1">
          <a:extLst>
            <a:ext uri="{FF2B5EF4-FFF2-40B4-BE49-F238E27FC236}">
              <a16:creationId xmlns:a16="http://schemas.microsoft.com/office/drawing/2014/main" id="{A4472E78-F41E-4056-B743-7B4180C1320B}"/>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27" name="Text Box 199" hidden="1">
          <a:extLst>
            <a:ext uri="{FF2B5EF4-FFF2-40B4-BE49-F238E27FC236}">
              <a16:creationId xmlns:a16="http://schemas.microsoft.com/office/drawing/2014/main" id="{5C0739CE-6A2A-41B3-A2EE-55D5253446E5}"/>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66513</xdr:rowOff>
    </xdr:to>
    <xdr:sp macro="" textlink="">
      <xdr:nvSpPr>
        <xdr:cNvPr id="253126" name="Text Box 198" hidden="1">
          <a:extLst>
            <a:ext uri="{FF2B5EF4-FFF2-40B4-BE49-F238E27FC236}">
              <a16:creationId xmlns:a16="http://schemas.microsoft.com/office/drawing/2014/main" id="{8AFB553C-E46D-4A9D-B808-BAF6E230C73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25" name="Text Box 197" hidden="1">
          <a:extLst>
            <a:ext uri="{FF2B5EF4-FFF2-40B4-BE49-F238E27FC236}">
              <a16:creationId xmlns:a16="http://schemas.microsoft.com/office/drawing/2014/main" id="{707E112C-ED2E-46F2-8130-4CA248F4B4DC}"/>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24" name="Text Box 196" hidden="1">
          <a:extLst>
            <a:ext uri="{FF2B5EF4-FFF2-40B4-BE49-F238E27FC236}">
              <a16:creationId xmlns:a16="http://schemas.microsoft.com/office/drawing/2014/main" id="{027D20A0-3010-4244-9491-0D00FD3D088E}"/>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23" name="Text Box 195" hidden="1">
          <a:extLst>
            <a:ext uri="{FF2B5EF4-FFF2-40B4-BE49-F238E27FC236}">
              <a16:creationId xmlns:a16="http://schemas.microsoft.com/office/drawing/2014/main" id="{3E6A3329-BE30-45E9-9724-530A7B60C2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22" name="Text Box 194" hidden="1">
          <a:extLst>
            <a:ext uri="{FF2B5EF4-FFF2-40B4-BE49-F238E27FC236}">
              <a16:creationId xmlns:a16="http://schemas.microsoft.com/office/drawing/2014/main" id="{D3C9047B-4C5C-4273-92A0-4058937CCA34}"/>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126308</xdr:rowOff>
    </xdr:from>
    <xdr:to>
      <xdr:col>20</xdr:col>
      <xdr:colOff>160020</xdr:colOff>
      <xdr:row>37</xdr:row>
      <xdr:rowOff>59250</xdr:rowOff>
    </xdr:to>
    <xdr:sp macro="" textlink="">
      <xdr:nvSpPr>
        <xdr:cNvPr id="253121" name="Text Box 193" hidden="1">
          <a:extLst>
            <a:ext uri="{FF2B5EF4-FFF2-40B4-BE49-F238E27FC236}">
              <a16:creationId xmlns:a16="http://schemas.microsoft.com/office/drawing/2014/main" id="{EF5BEDAB-EB3E-43E9-9868-F5CD05EF9AB1}"/>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20" name="Text Box 192" hidden="1">
          <a:extLst>
            <a:ext uri="{FF2B5EF4-FFF2-40B4-BE49-F238E27FC236}">
              <a16:creationId xmlns:a16="http://schemas.microsoft.com/office/drawing/2014/main" id="{0B33580F-F5C9-44C3-9546-C48931E0DE2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19" name="Text Box 191" hidden="1">
          <a:extLst>
            <a:ext uri="{FF2B5EF4-FFF2-40B4-BE49-F238E27FC236}">
              <a16:creationId xmlns:a16="http://schemas.microsoft.com/office/drawing/2014/main" id="{B3B07E77-0F23-486F-9517-5848F70B6C12}"/>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18" name="Text Box 190" hidden="1">
          <a:extLst>
            <a:ext uri="{FF2B5EF4-FFF2-40B4-BE49-F238E27FC236}">
              <a16:creationId xmlns:a16="http://schemas.microsoft.com/office/drawing/2014/main" id="{C97ED2FB-805D-4B5C-868E-E5E2483DDC41}"/>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17" name="Text Box 189" hidden="1">
          <a:extLst>
            <a:ext uri="{FF2B5EF4-FFF2-40B4-BE49-F238E27FC236}">
              <a16:creationId xmlns:a16="http://schemas.microsoft.com/office/drawing/2014/main" id="{1D7561C3-BEF1-4CD5-8E72-74545A645BF0}"/>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66513</xdr:rowOff>
    </xdr:to>
    <xdr:sp macro="" textlink="">
      <xdr:nvSpPr>
        <xdr:cNvPr id="253116" name="Text Box 188" hidden="1">
          <a:extLst>
            <a:ext uri="{FF2B5EF4-FFF2-40B4-BE49-F238E27FC236}">
              <a16:creationId xmlns:a16="http://schemas.microsoft.com/office/drawing/2014/main" id="{2667CD60-16A0-4AB9-8A49-3ECA63DE12EE}"/>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15" name="Text Box 187" hidden="1">
          <a:extLst>
            <a:ext uri="{FF2B5EF4-FFF2-40B4-BE49-F238E27FC236}">
              <a16:creationId xmlns:a16="http://schemas.microsoft.com/office/drawing/2014/main" id="{A559114E-C7C4-45F6-85A3-D2A4A0DE879D}"/>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14" name="Text Box 186" hidden="1">
          <a:extLst>
            <a:ext uri="{FF2B5EF4-FFF2-40B4-BE49-F238E27FC236}">
              <a16:creationId xmlns:a16="http://schemas.microsoft.com/office/drawing/2014/main" id="{7E2E7B8F-E98D-47F8-A4DF-169F2961E642}"/>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13" name="Text Box 185" hidden="1">
          <a:extLst>
            <a:ext uri="{FF2B5EF4-FFF2-40B4-BE49-F238E27FC236}">
              <a16:creationId xmlns:a16="http://schemas.microsoft.com/office/drawing/2014/main" id="{BD57456C-68C1-4BE2-AE77-97CC71158B71}"/>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12" name="Text Box 184" hidden="1">
          <a:extLst>
            <a:ext uri="{FF2B5EF4-FFF2-40B4-BE49-F238E27FC236}">
              <a16:creationId xmlns:a16="http://schemas.microsoft.com/office/drawing/2014/main" id="{8F1DD425-B185-4A8E-9F62-9F857D81BD01}"/>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126308</xdr:rowOff>
    </xdr:from>
    <xdr:to>
      <xdr:col>20</xdr:col>
      <xdr:colOff>160020</xdr:colOff>
      <xdr:row>37</xdr:row>
      <xdr:rowOff>59250</xdr:rowOff>
    </xdr:to>
    <xdr:sp macro="" textlink="">
      <xdr:nvSpPr>
        <xdr:cNvPr id="253111" name="Text Box 183" hidden="1">
          <a:extLst>
            <a:ext uri="{FF2B5EF4-FFF2-40B4-BE49-F238E27FC236}">
              <a16:creationId xmlns:a16="http://schemas.microsoft.com/office/drawing/2014/main" id="{FA808DA1-A24F-4AE5-9403-001DE8D60218}"/>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09" name="Text Box 181" hidden="1">
          <a:extLst>
            <a:ext uri="{FF2B5EF4-FFF2-40B4-BE49-F238E27FC236}">
              <a16:creationId xmlns:a16="http://schemas.microsoft.com/office/drawing/2014/main" id="{468C5C95-2660-4A59-9B0B-B97C1BFDAA0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08" name="Text Box 180" hidden="1">
          <a:extLst>
            <a:ext uri="{FF2B5EF4-FFF2-40B4-BE49-F238E27FC236}">
              <a16:creationId xmlns:a16="http://schemas.microsoft.com/office/drawing/2014/main" id="{ADFE3912-60B9-4219-AB60-F406E19BBB64}"/>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07" name="Text Box 179" hidden="1">
          <a:extLst>
            <a:ext uri="{FF2B5EF4-FFF2-40B4-BE49-F238E27FC236}">
              <a16:creationId xmlns:a16="http://schemas.microsoft.com/office/drawing/2014/main" id="{5EDC3ACD-B499-41F3-A3F9-78687BE82C9C}"/>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06" name="Text Box 178" hidden="1">
          <a:extLst>
            <a:ext uri="{FF2B5EF4-FFF2-40B4-BE49-F238E27FC236}">
              <a16:creationId xmlns:a16="http://schemas.microsoft.com/office/drawing/2014/main" id="{06EA7145-9A86-4630-A8F9-3303C1C572C9}"/>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66513</xdr:rowOff>
    </xdr:to>
    <xdr:sp macro="" textlink="">
      <xdr:nvSpPr>
        <xdr:cNvPr id="253105" name="Text Box 177" hidden="1">
          <a:extLst>
            <a:ext uri="{FF2B5EF4-FFF2-40B4-BE49-F238E27FC236}">
              <a16:creationId xmlns:a16="http://schemas.microsoft.com/office/drawing/2014/main" id="{1ED555BA-167A-4AD7-A2AC-60C3C21A591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04" name="Text Box 176" hidden="1">
          <a:extLst>
            <a:ext uri="{FF2B5EF4-FFF2-40B4-BE49-F238E27FC236}">
              <a16:creationId xmlns:a16="http://schemas.microsoft.com/office/drawing/2014/main" id="{CE988748-F005-47B7-A24C-81264C07BA72}"/>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03" name="Text Box 175" hidden="1">
          <a:extLst>
            <a:ext uri="{FF2B5EF4-FFF2-40B4-BE49-F238E27FC236}">
              <a16:creationId xmlns:a16="http://schemas.microsoft.com/office/drawing/2014/main" id="{A1125812-655F-4536-BAA7-A75A28858B9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02" name="Text Box 174" hidden="1">
          <a:extLst>
            <a:ext uri="{FF2B5EF4-FFF2-40B4-BE49-F238E27FC236}">
              <a16:creationId xmlns:a16="http://schemas.microsoft.com/office/drawing/2014/main" id="{BB090F40-4FDA-4D3D-8545-C743909523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01" name="Text Box 173" hidden="1">
          <a:extLst>
            <a:ext uri="{FF2B5EF4-FFF2-40B4-BE49-F238E27FC236}">
              <a16:creationId xmlns:a16="http://schemas.microsoft.com/office/drawing/2014/main" id="{3A307065-8054-415B-95CC-223BA5EF925C}"/>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126308</xdr:rowOff>
    </xdr:from>
    <xdr:to>
      <xdr:col>20</xdr:col>
      <xdr:colOff>160020</xdr:colOff>
      <xdr:row>37</xdr:row>
      <xdr:rowOff>59250</xdr:rowOff>
    </xdr:to>
    <xdr:sp macro="" textlink="">
      <xdr:nvSpPr>
        <xdr:cNvPr id="253110" name="Text Box 182" hidden="1">
          <a:extLst>
            <a:ext uri="{FF2B5EF4-FFF2-40B4-BE49-F238E27FC236}">
              <a16:creationId xmlns:a16="http://schemas.microsoft.com/office/drawing/2014/main" id="{C1F5530E-42DC-4515-B688-916EFF1C45E6}"/>
            </a:ext>
          </a:extLst>
        </xdr:cNvPr>
        <xdr:cNvSpPr txBox="1">
          <a:spLocks noChangeArrowheads="1"/>
        </xdr:cNvSpPr>
      </xdr:nvSpPr>
      <xdr:spPr bwMode="auto">
        <a:xfrm>
          <a:off x="17335500" y="7924800"/>
          <a:ext cx="126492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60" name="Text Box 232" hidden="1">
          <a:extLst>
            <a:ext uri="{FF2B5EF4-FFF2-40B4-BE49-F238E27FC236}">
              <a16:creationId xmlns:a16="http://schemas.microsoft.com/office/drawing/2014/main" id="{82295DDD-46A3-4C35-BDA9-B28032D28EE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59" name="Text Box 231" hidden="1">
          <a:extLst>
            <a:ext uri="{FF2B5EF4-FFF2-40B4-BE49-F238E27FC236}">
              <a16:creationId xmlns:a16="http://schemas.microsoft.com/office/drawing/2014/main" id="{2BC42326-28C1-46D1-A92D-44231208F06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58" name="Text Box 230" hidden="1">
          <a:extLst>
            <a:ext uri="{FF2B5EF4-FFF2-40B4-BE49-F238E27FC236}">
              <a16:creationId xmlns:a16="http://schemas.microsoft.com/office/drawing/2014/main" id="{AF88F8EF-4C29-4CB6-B168-FA52430597F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57" name="Text Box 229" hidden="1">
          <a:extLst>
            <a:ext uri="{FF2B5EF4-FFF2-40B4-BE49-F238E27FC236}">
              <a16:creationId xmlns:a16="http://schemas.microsoft.com/office/drawing/2014/main" id="{0075B0B2-249C-4A27-8AB8-359B42700628}"/>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56" name="Text Box 228" hidden="1">
          <a:extLst>
            <a:ext uri="{FF2B5EF4-FFF2-40B4-BE49-F238E27FC236}">
              <a16:creationId xmlns:a16="http://schemas.microsoft.com/office/drawing/2014/main" id="{8D08E321-21CD-47C9-AEBE-2E87FE57E022}"/>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55" name="Text Box 227" hidden="1">
          <a:extLst>
            <a:ext uri="{FF2B5EF4-FFF2-40B4-BE49-F238E27FC236}">
              <a16:creationId xmlns:a16="http://schemas.microsoft.com/office/drawing/2014/main" id="{F03B5C2D-7CED-4455-A33B-585EE2671D37}"/>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54" name="Text Box 226" hidden="1">
          <a:extLst>
            <a:ext uri="{FF2B5EF4-FFF2-40B4-BE49-F238E27FC236}">
              <a16:creationId xmlns:a16="http://schemas.microsoft.com/office/drawing/2014/main" id="{77797685-BC37-45D0-B945-DA84F3725811}"/>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53" name="Text Box 225" hidden="1">
          <a:extLst>
            <a:ext uri="{FF2B5EF4-FFF2-40B4-BE49-F238E27FC236}">
              <a16:creationId xmlns:a16="http://schemas.microsoft.com/office/drawing/2014/main" id="{7BCEF910-E5A6-44AE-91CC-45AA86E1F4DA}"/>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52" name="Text Box 224" hidden="1">
          <a:extLst>
            <a:ext uri="{FF2B5EF4-FFF2-40B4-BE49-F238E27FC236}">
              <a16:creationId xmlns:a16="http://schemas.microsoft.com/office/drawing/2014/main" id="{C6BB1D42-AF69-4DD1-BE5E-572AADCB581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51" name="Text Box 223" hidden="1">
          <a:extLst>
            <a:ext uri="{FF2B5EF4-FFF2-40B4-BE49-F238E27FC236}">
              <a16:creationId xmlns:a16="http://schemas.microsoft.com/office/drawing/2014/main" id="{AC59E01E-43E7-4A80-87D5-81AD8FF2EE62}"/>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50" name="Text Box 222" hidden="1">
          <a:extLst>
            <a:ext uri="{FF2B5EF4-FFF2-40B4-BE49-F238E27FC236}">
              <a16:creationId xmlns:a16="http://schemas.microsoft.com/office/drawing/2014/main" id="{25ED747B-3DF0-4A8E-90C9-E71ABAD0D48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49" name="Text Box 221" hidden="1">
          <a:extLst>
            <a:ext uri="{FF2B5EF4-FFF2-40B4-BE49-F238E27FC236}">
              <a16:creationId xmlns:a16="http://schemas.microsoft.com/office/drawing/2014/main" id="{BEE37C05-4E3E-491A-BEE1-79A9E4E076A9}"/>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48" name="Text Box 220" hidden="1">
          <a:extLst>
            <a:ext uri="{FF2B5EF4-FFF2-40B4-BE49-F238E27FC236}">
              <a16:creationId xmlns:a16="http://schemas.microsoft.com/office/drawing/2014/main" id="{E933B412-F4D1-4F34-B105-C00DF441446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47" name="Text Box 219" hidden="1">
          <a:extLst>
            <a:ext uri="{FF2B5EF4-FFF2-40B4-BE49-F238E27FC236}">
              <a16:creationId xmlns:a16="http://schemas.microsoft.com/office/drawing/2014/main" id="{968C9F7D-CA77-495D-A697-ADA9CD120E62}"/>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46" name="Text Box 218" hidden="1">
          <a:extLst>
            <a:ext uri="{FF2B5EF4-FFF2-40B4-BE49-F238E27FC236}">
              <a16:creationId xmlns:a16="http://schemas.microsoft.com/office/drawing/2014/main" id="{FA27E1B1-2BAE-4CA0-ACAF-7E433C88DE14}"/>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45" name="Text Box 217" hidden="1">
          <a:extLst>
            <a:ext uri="{FF2B5EF4-FFF2-40B4-BE49-F238E27FC236}">
              <a16:creationId xmlns:a16="http://schemas.microsoft.com/office/drawing/2014/main" id="{FD36B24C-8BDF-4538-BDB6-1C69DAD5DEF1}"/>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44" name="Text Box 216" hidden="1">
          <a:extLst>
            <a:ext uri="{FF2B5EF4-FFF2-40B4-BE49-F238E27FC236}">
              <a16:creationId xmlns:a16="http://schemas.microsoft.com/office/drawing/2014/main" id="{A786583A-F9CF-43BC-8A57-C11F451C6EF0}"/>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43" name="Text Box 215" hidden="1">
          <a:extLst>
            <a:ext uri="{FF2B5EF4-FFF2-40B4-BE49-F238E27FC236}">
              <a16:creationId xmlns:a16="http://schemas.microsoft.com/office/drawing/2014/main" id="{EC0A7227-A9EB-4077-8196-D2EFEB136382}"/>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42" name="Text Box 214" hidden="1">
          <a:extLst>
            <a:ext uri="{FF2B5EF4-FFF2-40B4-BE49-F238E27FC236}">
              <a16:creationId xmlns:a16="http://schemas.microsoft.com/office/drawing/2014/main" id="{537CBDE0-33D1-4EDE-AC0E-9747AF97DEB9}"/>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41" name="Text Box 213" hidden="1">
          <a:extLst>
            <a:ext uri="{FF2B5EF4-FFF2-40B4-BE49-F238E27FC236}">
              <a16:creationId xmlns:a16="http://schemas.microsoft.com/office/drawing/2014/main" id="{2E4E53AE-8E96-41A8-AEBC-D2A9E74D182A}"/>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40" name="Text Box 212" hidden="1">
          <a:extLst>
            <a:ext uri="{FF2B5EF4-FFF2-40B4-BE49-F238E27FC236}">
              <a16:creationId xmlns:a16="http://schemas.microsoft.com/office/drawing/2014/main" id="{F07BB82F-870D-43C8-B945-DDF46D3B1A95}"/>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39" name="Text Box 211" hidden="1">
          <a:extLst>
            <a:ext uri="{FF2B5EF4-FFF2-40B4-BE49-F238E27FC236}">
              <a16:creationId xmlns:a16="http://schemas.microsoft.com/office/drawing/2014/main" id="{12652035-B09F-4E07-98B7-33DB0F1BA477}"/>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38" name="Text Box 210" hidden="1">
          <a:extLst>
            <a:ext uri="{FF2B5EF4-FFF2-40B4-BE49-F238E27FC236}">
              <a16:creationId xmlns:a16="http://schemas.microsoft.com/office/drawing/2014/main" id="{E4EE5BC4-4A5E-48BE-90C8-07B1FDCB7F35}"/>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37" name="Text Box 209" hidden="1">
          <a:extLst>
            <a:ext uri="{FF2B5EF4-FFF2-40B4-BE49-F238E27FC236}">
              <a16:creationId xmlns:a16="http://schemas.microsoft.com/office/drawing/2014/main" id="{61982B12-8289-497D-B60E-70910EB6499E}"/>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36" name="Text Box 208" hidden="1">
          <a:extLst>
            <a:ext uri="{FF2B5EF4-FFF2-40B4-BE49-F238E27FC236}">
              <a16:creationId xmlns:a16="http://schemas.microsoft.com/office/drawing/2014/main" id="{6FC3FB93-7211-4E62-A5C4-F1BB97363B2E}"/>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35" name="Text Box 207" hidden="1">
          <a:extLst>
            <a:ext uri="{FF2B5EF4-FFF2-40B4-BE49-F238E27FC236}">
              <a16:creationId xmlns:a16="http://schemas.microsoft.com/office/drawing/2014/main" id="{3FD39C4E-55B3-47A3-A11A-EE6085117100}"/>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34" name="Text Box 206" hidden="1">
          <a:extLst>
            <a:ext uri="{FF2B5EF4-FFF2-40B4-BE49-F238E27FC236}">
              <a16:creationId xmlns:a16="http://schemas.microsoft.com/office/drawing/2014/main" id="{A11F7B18-9D08-43F2-B6EC-0631E220B04B}"/>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33" name="Text Box 205" hidden="1">
          <a:extLst>
            <a:ext uri="{FF2B5EF4-FFF2-40B4-BE49-F238E27FC236}">
              <a16:creationId xmlns:a16="http://schemas.microsoft.com/office/drawing/2014/main" id="{F791543A-8F01-435A-8C47-2A3C97F5B5E5}"/>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32" name="Text Box 204" hidden="1">
          <a:extLst>
            <a:ext uri="{FF2B5EF4-FFF2-40B4-BE49-F238E27FC236}">
              <a16:creationId xmlns:a16="http://schemas.microsoft.com/office/drawing/2014/main" id="{1B7F1782-0FC3-4143-B182-274706343E7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31" name="Text Box 203" hidden="1">
          <a:extLst>
            <a:ext uri="{FF2B5EF4-FFF2-40B4-BE49-F238E27FC236}">
              <a16:creationId xmlns:a16="http://schemas.microsoft.com/office/drawing/2014/main" id="{5F1C737C-46A5-4B09-AAE7-D94222E8F1E1}"/>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70" name="Text Box 242" hidden="1">
          <a:extLst>
            <a:ext uri="{FF2B5EF4-FFF2-40B4-BE49-F238E27FC236}">
              <a16:creationId xmlns:a16="http://schemas.microsoft.com/office/drawing/2014/main" id="{457245CD-6E82-4132-BD0D-1EBEC61F88E3}"/>
            </a:ext>
          </a:extLst>
        </xdr:cNvPr>
        <xdr:cNvSpPr txBox="1">
          <a:spLocks noChangeArrowheads="1"/>
        </xdr:cNvSpPr>
      </xdr:nvSpPr>
      <xdr:spPr bwMode="auto">
        <a:xfrm>
          <a:off x="32785050" y="137636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69" name="Text Box 241" hidden="1">
          <a:extLst>
            <a:ext uri="{FF2B5EF4-FFF2-40B4-BE49-F238E27FC236}">
              <a16:creationId xmlns:a16="http://schemas.microsoft.com/office/drawing/2014/main" id="{497B83E8-2A1E-478D-8616-86C0BB5AC46B}"/>
            </a:ext>
          </a:extLst>
        </xdr:cNvPr>
        <xdr:cNvSpPr txBox="1">
          <a:spLocks noChangeArrowheads="1"/>
        </xdr:cNvSpPr>
      </xdr:nvSpPr>
      <xdr:spPr bwMode="auto">
        <a:xfrm>
          <a:off x="32746950" y="138779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68" name="Text Box 240" hidden="1">
          <a:extLst>
            <a:ext uri="{FF2B5EF4-FFF2-40B4-BE49-F238E27FC236}">
              <a16:creationId xmlns:a16="http://schemas.microsoft.com/office/drawing/2014/main" id="{B2C22265-F1A7-4025-BA46-1C7EA72737DF}"/>
            </a:ext>
          </a:extLst>
        </xdr:cNvPr>
        <xdr:cNvSpPr txBox="1">
          <a:spLocks noChangeArrowheads="1"/>
        </xdr:cNvSpPr>
      </xdr:nvSpPr>
      <xdr:spPr bwMode="auto">
        <a:xfrm>
          <a:off x="30099000" y="134969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67" name="Text Box 239" hidden="1">
          <a:extLst>
            <a:ext uri="{FF2B5EF4-FFF2-40B4-BE49-F238E27FC236}">
              <a16:creationId xmlns:a16="http://schemas.microsoft.com/office/drawing/2014/main" id="{561B88B7-D978-4C89-A37E-CE2D200B2FA8}"/>
            </a:ext>
          </a:extLst>
        </xdr:cNvPr>
        <xdr:cNvSpPr txBox="1">
          <a:spLocks noChangeArrowheads="1"/>
        </xdr:cNvSpPr>
      </xdr:nvSpPr>
      <xdr:spPr bwMode="auto">
        <a:xfrm>
          <a:off x="30175200" y="134969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66" name="Text Box 238" hidden="1">
          <a:extLst>
            <a:ext uri="{FF2B5EF4-FFF2-40B4-BE49-F238E27FC236}">
              <a16:creationId xmlns:a16="http://schemas.microsoft.com/office/drawing/2014/main" id="{D2BF2C0C-6636-4FBC-AD12-495680F7B1DF}"/>
            </a:ext>
          </a:extLst>
        </xdr:cNvPr>
        <xdr:cNvSpPr txBox="1">
          <a:spLocks noChangeArrowheads="1"/>
        </xdr:cNvSpPr>
      </xdr:nvSpPr>
      <xdr:spPr bwMode="auto">
        <a:xfrm>
          <a:off x="32746950" y="138779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65" name="Text Box 237" hidden="1">
          <a:extLst>
            <a:ext uri="{FF2B5EF4-FFF2-40B4-BE49-F238E27FC236}">
              <a16:creationId xmlns:a16="http://schemas.microsoft.com/office/drawing/2014/main" id="{4781A7F9-103D-4990-8227-00CD0FCBE537}"/>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64" name="Text Box 236" hidden="1">
          <a:extLst>
            <a:ext uri="{FF2B5EF4-FFF2-40B4-BE49-F238E27FC236}">
              <a16:creationId xmlns:a16="http://schemas.microsoft.com/office/drawing/2014/main" id="{2C72DB8E-5F91-441B-94AE-24BDDE61753E}"/>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63" name="Text Box 235" hidden="1">
          <a:extLst>
            <a:ext uri="{FF2B5EF4-FFF2-40B4-BE49-F238E27FC236}">
              <a16:creationId xmlns:a16="http://schemas.microsoft.com/office/drawing/2014/main" id="{995CB0AB-4F3D-4F0D-874A-A3CF9A0D8CD4}"/>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62" name="Text Box 234" hidden="1">
          <a:extLst>
            <a:ext uri="{FF2B5EF4-FFF2-40B4-BE49-F238E27FC236}">
              <a16:creationId xmlns:a16="http://schemas.microsoft.com/office/drawing/2014/main" id="{B6A0B7B5-B476-4DF0-BADC-05141172FE69}"/>
            </a:ext>
          </a:extLst>
        </xdr:cNvPr>
        <xdr:cNvSpPr txBox="1">
          <a:spLocks noChangeArrowheads="1"/>
        </xdr:cNvSpPr>
      </xdr:nvSpPr>
      <xdr:spPr bwMode="auto">
        <a:xfrm>
          <a:off x="16859250" y="7391400"/>
          <a:ext cx="1181100" cy="5400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61" name="Text Box 233" hidden="1">
          <a:extLst>
            <a:ext uri="{FF2B5EF4-FFF2-40B4-BE49-F238E27FC236}">
              <a16:creationId xmlns:a16="http://schemas.microsoft.com/office/drawing/2014/main" id="{FCD2E3FC-5684-4C0E-970B-39E9BCEA4AAF}"/>
            </a:ext>
          </a:extLst>
        </xdr:cNvPr>
        <xdr:cNvSpPr txBox="1">
          <a:spLocks noChangeArrowheads="1"/>
        </xdr:cNvSpPr>
      </xdr:nvSpPr>
      <xdr:spPr bwMode="auto">
        <a:xfrm>
          <a:off x="16859250" y="8105775"/>
          <a:ext cx="12192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179645</xdr:rowOff>
    </xdr:to>
    <xdr:sp macro="" textlink="">
      <xdr:nvSpPr>
        <xdr:cNvPr id="253180" name="Text Box 252" hidden="1">
          <a:extLst>
            <a:ext uri="{FF2B5EF4-FFF2-40B4-BE49-F238E27FC236}">
              <a16:creationId xmlns:a16="http://schemas.microsoft.com/office/drawing/2014/main" id="{BD9EE5FB-5F4E-426D-9994-D42FF71FC6F2}"/>
            </a:ext>
          </a:extLst>
        </xdr:cNvPr>
        <xdr:cNvSpPr txBox="1">
          <a:spLocks noChangeArrowheads="1"/>
        </xdr:cNvSpPr>
      </xdr:nvSpPr>
      <xdr:spPr bwMode="auto">
        <a:xfrm>
          <a:off x="33817560" y="12039600"/>
          <a:ext cx="1021080" cy="1455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179" name="Text Box 251" hidden="1">
          <a:extLst>
            <a:ext uri="{FF2B5EF4-FFF2-40B4-BE49-F238E27FC236}">
              <a16:creationId xmlns:a16="http://schemas.microsoft.com/office/drawing/2014/main" id="{E1418A71-DF5F-4180-9904-34E60B4B2625}"/>
            </a:ext>
          </a:extLst>
        </xdr:cNvPr>
        <xdr:cNvSpPr txBox="1">
          <a:spLocks noChangeArrowheads="1"/>
        </xdr:cNvSpPr>
      </xdr:nvSpPr>
      <xdr:spPr bwMode="auto">
        <a:xfrm>
          <a:off x="33779460" y="121539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208030</xdr:rowOff>
    </xdr:from>
    <xdr:to>
      <xdr:col>38</xdr:col>
      <xdr:colOff>196850</xdr:colOff>
      <xdr:row>54</xdr:row>
      <xdr:rowOff>322571</xdr:rowOff>
    </xdr:to>
    <xdr:sp macro="" textlink="">
      <xdr:nvSpPr>
        <xdr:cNvPr id="253178" name="Text Box 250" hidden="1">
          <a:extLst>
            <a:ext uri="{FF2B5EF4-FFF2-40B4-BE49-F238E27FC236}">
              <a16:creationId xmlns:a16="http://schemas.microsoft.com/office/drawing/2014/main" id="{298586F4-9668-441D-8E66-91A5B45C01C4}"/>
            </a:ext>
          </a:extLst>
        </xdr:cNvPr>
        <xdr:cNvSpPr txBox="1">
          <a:spLocks noChangeArrowheads="1"/>
        </xdr:cNvSpPr>
      </xdr:nvSpPr>
      <xdr:spPr bwMode="auto">
        <a:xfrm>
          <a:off x="31043880" y="11932920"/>
          <a:ext cx="9067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208030</xdr:rowOff>
    </xdr:from>
    <xdr:to>
      <xdr:col>38</xdr:col>
      <xdr:colOff>311150</xdr:colOff>
      <xdr:row>54</xdr:row>
      <xdr:rowOff>322571</xdr:rowOff>
    </xdr:to>
    <xdr:sp macro="" textlink="">
      <xdr:nvSpPr>
        <xdr:cNvPr id="253177" name="Text Box 249" hidden="1">
          <a:extLst>
            <a:ext uri="{FF2B5EF4-FFF2-40B4-BE49-F238E27FC236}">
              <a16:creationId xmlns:a16="http://schemas.microsoft.com/office/drawing/2014/main" id="{AC6A6AE7-7DAC-433E-B14D-C123E88BCFCC}"/>
            </a:ext>
          </a:extLst>
        </xdr:cNvPr>
        <xdr:cNvSpPr txBox="1">
          <a:spLocks noChangeArrowheads="1"/>
        </xdr:cNvSpPr>
      </xdr:nvSpPr>
      <xdr:spPr bwMode="auto">
        <a:xfrm>
          <a:off x="31120080" y="11932920"/>
          <a:ext cx="9448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57</xdr:row>
      <xdr:rowOff>331821</xdr:rowOff>
    </xdr:to>
    <xdr:sp macro="" textlink="">
      <xdr:nvSpPr>
        <xdr:cNvPr id="253176" name="Text Box 248" hidden="1">
          <a:extLst>
            <a:ext uri="{FF2B5EF4-FFF2-40B4-BE49-F238E27FC236}">
              <a16:creationId xmlns:a16="http://schemas.microsoft.com/office/drawing/2014/main" id="{490268C5-2700-4D09-8BE5-612C5E2584A6}"/>
            </a:ext>
          </a:extLst>
        </xdr:cNvPr>
        <xdr:cNvSpPr txBox="1">
          <a:spLocks noChangeArrowheads="1"/>
        </xdr:cNvSpPr>
      </xdr:nvSpPr>
      <xdr:spPr bwMode="auto">
        <a:xfrm>
          <a:off x="33779460" y="12153900"/>
          <a:ext cx="9448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75" name="Text Box 247" hidden="1">
          <a:extLst>
            <a:ext uri="{FF2B5EF4-FFF2-40B4-BE49-F238E27FC236}">
              <a16:creationId xmlns:a16="http://schemas.microsoft.com/office/drawing/2014/main" id="{DA197B18-C69F-4056-B159-E53A96E96288}"/>
            </a:ext>
          </a:extLst>
        </xdr:cNvPr>
        <xdr:cNvSpPr txBox="1">
          <a:spLocks noChangeArrowheads="1"/>
        </xdr:cNvSpPr>
      </xdr:nvSpPr>
      <xdr:spPr bwMode="auto">
        <a:xfrm>
          <a:off x="483108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74" name="Text Box 246" hidden="1">
          <a:extLst>
            <a:ext uri="{FF2B5EF4-FFF2-40B4-BE49-F238E27FC236}">
              <a16:creationId xmlns:a16="http://schemas.microsoft.com/office/drawing/2014/main" id="{502B1F80-38F8-42AD-B376-03C58EC42078}"/>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73" name="Text Box 245" hidden="1">
          <a:extLst>
            <a:ext uri="{FF2B5EF4-FFF2-40B4-BE49-F238E27FC236}">
              <a16:creationId xmlns:a16="http://schemas.microsoft.com/office/drawing/2014/main" id="{76CC597E-032D-42D6-8922-C3A4B2EC951C}"/>
            </a:ext>
          </a:extLst>
        </xdr:cNvPr>
        <xdr:cNvSpPr txBox="1">
          <a:spLocks noChangeArrowheads="1"/>
        </xdr:cNvSpPr>
      </xdr:nvSpPr>
      <xdr:spPr bwMode="auto">
        <a:xfrm>
          <a:off x="479298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48821</xdr:rowOff>
    </xdr:to>
    <xdr:sp macro="" textlink="">
      <xdr:nvSpPr>
        <xdr:cNvPr id="253172" name="Text Box 244" hidden="1">
          <a:extLst>
            <a:ext uri="{FF2B5EF4-FFF2-40B4-BE49-F238E27FC236}">
              <a16:creationId xmlns:a16="http://schemas.microsoft.com/office/drawing/2014/main" id="{30488D17-4EE6-41A0-8179-B3FD57B48342}"/>
            </a:ext>
          </a:extLst>
        </xdr:cNvPr>
        <xdr:cNvSpPr txBox="1">
          <a:spLocks noChangeArrowheads="1"/>
        </xdr:cNvSpPr>
      </xdr:nvSpPr>
      <xdr:spPr bwMode="auto">
        <a:xfrm>
          <a:off x="17358360" y="7223760"/>
          <a:ext cx="1211580" cy="531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142656</xdr:rowOff>
    </xdr:to>
    <xdr:sp macro="" textlink="">
      <xdr:nvSpPr>
        <xdr:cNvPr id="253189" name="Text Box 261" hidden="1">
          <a:extLst>
            <a:ext uri="{FF2B5EF4-FFF2-40B4-BE49-F238E27FC236}">
              <a16:creationId xmlns:a16="http://schemas.microsoft.com/office/drawing/2014/main" id="{A5C0B1D5-C297-47FE-87DB-C9948C892B99}"/>
            </a:ext>
          </a:extLst>
        </xdr:cNvPr>
        <xdr:cNvSpPr txBox="1">
          <a:spLocks noChangeArrowheads="1"/>
        </xdr:cNvSpPr>
      </xdr:nvSpPr>
      <xdr:spPr bwMode="auto">
        <a:xfrm>
          <a:off x="32785050"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188" name="Text Box 260" hidden="1">
          <a:extLst>
            <a:ext uri="{FF2B5EF4-FFF2-40B4-BE49-F238E27FC236}">
              <a16:creationId xmlns:a16="http://schemas.microsoft.com/office/drawing/2014/main" id="{8FE3A703-C8CC-4475-8F24-D0061ED52E2B}"/>
            </a:ext>
          </a:extLst>
        </xdr:cNvPr>
        <xdr:cNvSpPr txBox="1">
          <a:spLocks noChangeArrowheads="1"/>
        </xdr:cNvSpPr>
      </xdr:nvSpPr>
      <xdr:spPr bwMode="auto">
        <a:xfrm>
          <a:off x="32746950"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208030</xdr:rowOff>
    </xdr:from>
    <xdr:to>
      <xdr:col>38</xdr:col>
      <xdr:colOff>196850</xdr:colOff>
      <xdr:row>54</xdr:row>
      <xdr:rowOff>321301</xdr:rowOff>
    </xdr:to>
    <xdr:sp macro="" textlink="">
      <xdr:nvSpPr>
        <xdr:cNvPr id="253187" name="Text Box 259" hidden="1">
          <a:extLst>
            <a:ext uri="{FF2B5EF4-FFF2-40B4-BE49-F238E27FC236}">
              <a16:creationId xmlns:a16="http://schemas.microsoft.com/office/drawing/2014/main" id="{EB823068-0649-406B-972D-43ACE9F5F17E}"/>
            </a:ext>
          </a:extLst>
        </xdr:cNvPr>
        <xdr:cNvSpPr txBox="1">
          <a:spLocks noChangeArrowheads="1"/>
        </xdr:cNvSpPr>
      </xdr:nvSpPr>
      <xdr:spPr bwMode="auto">
        <a:xfrm>
          <a:off x="300990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208030</xdr:rowOff>
    </xdr:from>
    <xdr:to>
      <xdr:col>38</xdr:col>
      <xdr:colOff>311150</xdr:colOff>
      <xdr:row>54</xdr:row>
      <xdr:rowOff>321301</xdr:rowOff>
    </xdr:to>
    <xdr:sp macro="" textlink="">
      <xdr:nvSpPr>
        <xdr:cNvPr id="253186" name="Text Box 258" hidden="1">
          <a:extLst>
            <a:ext uri="{FF2B5EF4-FFF2-40B4-BE49-F238E27FC236}">
              <a16:creationId xmlns:a16="http://schemas.microsoft.com/office/drawing/2014/main" id="{36EE7CB8-5442-4802-8607-41EB1E6BD7C9}"/>
            </a:ext>
          </a:extLst>
        </xdr:cNvPr>
        <xdr:cNvSpPr txBox="1">
          <a:spLocks noChangeArrowheads="1"/>
        </xdr:cNvSpPr>
      </xdr:nvSpPr>
      <xdr:spPr bwMode="auto">
        <a:xfrm>
          <a:off x="301752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58</xdr:row>
      <xdr:rowOff>8442</xdr:rowOff>
    </xdr:to>
    <xdr:sp macro="" textlink="">
      <xdr:nvSpPr>
        <xdr:cNvPr id="253185" name="Text Box 257" hidden="1">
          <a:extLst>
            <a:ext uri="{FF2B5EF4-FFF2-40B4-BE49-F238E27FC236}">
              <a16:creationId xmlns:a16="http://schemas.microsoft.com/office/drawing/2014/main" id="{72FC47EE-5D2E-4532-A25A-18D949C4502B}"/>
            </a:ext>
          </a:extLst>
        </xdr:cNvPr>
        <xdr:cNvSpPr txBox="1">
          <a:spLocks noChangeArrowheads="1"/>
        </xdr:cNvSpPr>
      </xdr:nvSpPr>
      <xdr:spPr bwMode="auto">
        <a:xfrm>
          <a:off x="32746950"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84" name="Text Box 256" hidden="1">
          <a:extLst>
            <a:ext uri="{FF2B5EF4-FFF2-40B4-BE49-F238E27FC236}">
              <a16:creationId xmlns:a16="http://schemas.microsoft.com/office/drawing/2014/main" id="{F77F1D95-F328-4230-9B4C-0BF4DCEEECDF}"/>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83" name="Text Box 255" hidden="1">
          <a:extLst>
            <a:ext uri="{FF2B5EF4-FFF2-40B4-BE49-F238E27FC236}">
              <a16:creationId xmlns:a16="http://schemas.microsoft.com/office/drawing/2014/main" id="{A7CBDF0F-1F45-4F10-B6D0-A68BF440A04D}"/>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82" name="Text Box 254" hidden="1">
          <a:extLst>
            <a:ext uri="{FF2B5EF4-FFF2-40B4-BE49-F238E27FC236}">
              <a16:creationId xmlns:a16="http://schemas.microsoft.com/office/drawing/2014/main" id="{787521F7-02A6-4D1C-B23F-EFEC7525132F}"/>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44693</xdr:rowOff>
    </xdr:to>
    <xdr:sp macro="" textlink="">
      <xdr:nvSpPr>
        <xdr:cNvPr id="253181" name="Text Box 253" hidden="1">
          <a:extLst>
            <a:ext uri="{FF2B5EF4-FFF2-40B4-BE49-F238E27FC236}">
              <a16:creationId xmlns:a16="http://schemas.microsoft.com/office/drawing/2014/main" id="{79368CBC-A27B-4000-B6B6-2B9A953104D4}"/>
            </a:ext>
          </a:extLst>
        </xdr:cNvPr>
        <xdr:cNvSpPr txBox="1">
          <a:spLocks noChangeArrowheads="1"/>
        </xdr:cNvSpPr>
      </xdr:nvSpPr>
      <xdr:spPr bwMode="auto">
        <a:xfrm>
          <a:off x="16859250" y="7391400"/>
          <a:ext cx="1181100" cy="539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142656</xdr:rowOff>
    </xdr:to>
    <xdr:sp macro="" textlink="">
      <xdr:nvSpPr>
        <xdr:cNvPr id="253198" name="Text Box 270" hidden="1">
          <a:extLst>
            <a:ext uri="{FF2B5EF4-FFF2-40B4-BE49-F238E27FC236}">
              <a16:creationId xmlns:a16="http://schemas.microsoft.com/office/drawing/2014/main" id="{0ECFAEBE-FC68-4F2D-B16F-7998D3F78F3F}"/>
            </a:ext>
          </a:extLst>
        </xdr:cNvPr>
        <xdr:cNvSpPr txBox="1">
          <a:spLocks noChangeArrowheads="1"/>
        </xdr:cNvSpPr>
      </xdr:nvSpPr>
      <xdr:spPr bwMode="auto">
        <a:xfrm>
          <a:off x="33909000" y="1209675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197" name="Text Box 269" hidden="1">
          <a:extLst>
            <a:ext uri="{FF2B5EF4-FFF2-40B4-BE49-F238E27FC236}">
              <a16:creationId xmlns:a16="http://schemas.microsoft.com/office/drawing/2014/main" id="{06773AEF-6A3E-4E93-8627-35C94CA8D58F}"/>
            </a:ext>
          </a:extLst>
        </xdr:cNvPr>
        <xdr:cNvSpPr txBox="1">
          <a:spLocks noChangeArrowheads="1"/>
        </xdr:cNvSpPr>
      </xdr:nvSpPr>
      <xdr:spPr bwMode="auto">
        <a:xfrm>
          <a:off x="33870900" y="122110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208030</xdr:rowOff>
    </xdr:from>
    <xdr:to>
      <xdr:col>38</xdr:col>
      <xdr:colOff>196850</xdr:colOff>
      <xdr:row>54</xdr:row>
      <xdr:rowOff>321301</xdr:rowOff>
    </xdr:to>
    <xdr:sp macro="" textlink="">
      <xdr:nvSpPr>
        <xdr:cNvPr id="253196" name="Text Box 268" hidden="1">
          <a:extLst>
            <a:ext uri="{FF2B5EF4-FFF2-40B4-BE49-F238E27FC236}">
              <a16:creationId xmlns:a16="http://schemas.microsoft.com/office/drawing/2014/main" id="{62F2B20D-4B1A-4188-9657-92CE1D0899EE}"/>
            </a:ext>
          </a:extLst>
        </xdr:cNvPr>
        <xdr:cNvSpPr txBox="1">
          <a:spLocks noChangeArrowheads="1"/>
        </xdr:cNvSpPr>
      </xdr:nvSpPr>
      <xdr:spPr bwMode="auto">
        <a:xfrm>
          <a:off x="31115000" y="1198880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208030</xdr:rowOff>
    </xdr:from>
    <xdr:to>
      <xdr:col>38</xdr:col>
      <xdr:colOff>311150</xdr:colOff>
      <xdr:row>54</xdr:row>
      <xdr:rowOff>321301</xdr:rowOff>
    </xdr:to>
    <xdr:sp macro="" textlink="">
      <xdr:nvSpPr>
        <xdr:cNvPr id="253195" name="Text Box 267" hidden="1">
          <a:extLst>
            <a:ext uri="{FF2B5EF4-FFF2-40B4-BE49-F238E27FC236}">
              <a16:creationId xmlns:a16="http://schemas.microsoft.com/office/drawing/2014/main" id="{BEED1DBC-F7FA-4AA7-A5BB-025C51D5F19C}"/>
            </a:ext>
          </a:extLst>
        </xdr:cNvPr>
        <xdr:cNvSpPr txBox="1">
          <a:spLocks noChangeArrowheads="1"/>
        </xdr:cNvSpPr>
      </xdr:nvSpPr>
      <xdr:spPr bwMode="auto">
        <a:xfrm>
          <a:off x="31191200" y="1198880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58</xdr:row>
      <xdr:rowOff>8442</xdr:rowOff>
    </xdr:to>
    <xdr:sp macro="" textlink="">
      <xdr:nvSpPr>
        <xdr:cNvPr id="253194" name="Text Box 266" hidden="1">
          <a:extLst>
            <a:ext uri="{FF2B5EF4-FFF2-40B4-BE49-F238E27FC236}">
              <a16:creationId xmlns:a16="http://schemas.microsoft.com/office/drawing/2014/main" id="{0858A9BD-1D2D-44B6-8C08-6E2426FBBB30}"/>
            </a:ext>
          </a:extLst>
        </xdr:cNvPr>
        <xdr:cNvSpPr txBox="1">
          <a:spLocks noChangeArrowheads="1"/>
        </xdr:cNvSpPr>
      </xdr:nvSpPr>
      <xdr:spPr bwMode="auto">
        <a:xfrm>
          <a:off x="33870900" y="12211050"/>
          <a:ext cx="914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93" name="Text Box 265" hidden="1">
          <a:extLst>
            <a:ext uri="{FF2B5EF4-FFF2-40B4-BE49-F238E27FC236}">
              <a16:creationId xmlns:a16="http://schemas.microsoft.com/office/drawing/2014/main" id="{5C89436A-B89B-4FAF-B7FA-1F5396F18C1B}"/>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92" name="Text Box 264" hidden="1">
          <a:extLst>
            <a:ext uri="{FF2B5EF4-FFF2-40B4-BE49-F238E27FC236}">
              <a16:creationId xmlns:a16="http://schemas.microsoft.com/office/drawing/2014/main" id="{8604793B-E7B5-419C-B497-1920A24BD19D}"/>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91" name="Text Box 263" hidden="1">
          <a:extLst>
            <a:ext uri="{FF2B5EF4-FFF2-40B4-BE49-F238E27FC236}">
              <a16:creationId xmlns:a16="http://schemas.microsoft.com/office/drawing/2014/main" id="{39D515FB-47B9-472C-8E80-EFAB6FE4CF0E}"/>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44693</xdr:rowOff>
    </xdr:to>
    <xdr:sp macro="" textlink="">
      <xdr:nvSpPr>
        <xdr:cNvPr id="253190" name="Text Box 262" hidden="1">
          <a:extLst>
            <a:ext uri="{FF2B5EF4-FFF2-40B4-BE49-F238E27FC236}">
              <a16:creationId xmlns:a16="http://schemas.microsoft.com/office/drawing/2014/main" id="{80BFCBB9-DF0B-4B0B-8EA3-1298137EFE08}"/>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142656</xdr:rowOff>
    </xdr:to>
    <xdr:sp macro="" textlink="">
      <xdr:nvSpPr>
        <xdr:cNvPr id="253207" name="Text Box 279" hidden="1">
          <a:extLst>
            <a:ext uri="{FF2B5EF4-FFF2-40B4-BE49-F238E27FC236}">
              <a16:creationId xmlns:a16="http://schemas.microsoft.com/office/drawing/2014/main" id="{204EECD9-FCC8-451F-966F-08BEF902D822}"/>
            </a:ext>
          </a:extLst>
        </xdr:cNvPr>
        <xdr:cNvSpPr txBox="1">
          <a:spLocks noChangeArrowheads="1"/>
        </xdr:cNvSpPr>
      </xdr:nvSpPr>
      <xdr:spPr bwMode="auto">
        <a:xfrm>
          <a:off x="32832675"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206" name="Text Box 278" hidden="1">
          <a:extLst>
            <a:ext uri="{FF2B5EF4-FFF2-40B4-BE49-F238E27FC236}">
              <a16:creationId xmlns:a16="http://schemas.microsoft.com/office/drawing/2014/main" id="{846057D0-3165-4A7E-9225-226F0A3E903F}"/>
            </a:ext>
          </a:extLst>
        </xdr:cNvPr>
        <xdr:cNvSpPr txBox="1">
          <a:spLocks noChangeArrowheads="1"/>
        </xdr:cNvSpPr>
      </xdr:nvSpPr>
      <xdr:spPr bwMode="auto">
        <a:xfrm>
          <a:off x="32794575"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208030</xdr:rowOff>
    </xdr:from>
    <xdr:to>
      <xdr:col>38</xdr:col>
      <xdr:colOff>196850</xdr:colOff>
      <xdr:row>54</xdr:row>
      <xdr:rowOff>321301</xdr:rowOff>
    </xdr:to>
    <xdr:sp macro="" textlink="">
      <xdr:nvSpPr>
        <xdr:cNvPr id="253205" name="Text Box 277" hidden="1">
          <a:extLst>
            <a:ext uri="{FF2B5EF4-FFF2-40B4-BE49-F238E27FC236}">
              <a16:creationId xmlns:a16="http://schemas.microsoft.com/office/drawing/2014/main" id="{8E767E15-98AE-4157-A677-3E62D56B4A0C}"/>
            </a:ext>
          </a:extLst>
        </xdr:cNvPr>
        <xdr:cNvSpPr txBox="1">
          <a:spLocks noChangeArrowheads="1"/>
        </xdr:cNvSpPr>
      </xdr:nvSpPr>
      <xdr:spPr bwMode="auto">
        <a:xfrm>
          <a:off x="301371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208030</xdr:rowOff>
    </xdr:from>
    <xdr:to>
      <xdr:col>38</xdr:col>
      <xdr:colOff>311150</xdr:colOff>
      <xdr:row>54</xdr:row>
      <xdr:rowOff>321301</xdr:rowOff>
    </xdr:to>
    <xdr:sp macro="" textlink="">
      <xdr:nvSpPr>
        <xdr:cNvPr id="253204" name="Text Box 276" hidden="1">
          <a:extLst>
            <a:ext uri="{FF2B5EF4-FFF2-40B4-BE49-F238E27FC236}">
              <a16:creationId xmlns:a16="http://schemas.microsoft.com/office/drawing/2014/main" id="{5261697D-415E-45FF-8E59-658CC27E30F8}"/>
            </a:ext>
          </a:extLst>
        </xdr:cNvPr>
        <xdr:cNvSpPr txBox="1">
          <a:spLocks noChangeArrowheads="1"/>
        </xdr:cNvSpPr>
      </xdr:nvSpPr>
      <xdr:spPr bwMode="auto">
        <a:xfrm>
          <a:off x="302133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58</xdr:row>
      <xdr:rowOff>8442</xdr:rowOff>
    </xdr:to>
    <xdr:sp macro="" textlink="">
      <xdr:nvSpPr>
        <xdr:cNvPr id="253203" name="Text Box 275" hidden="1">
          <a:extLst>
            <a:ext uri="{FF2B5EF4-FFF2-40B4-BE49-F238E27FC236}">
              <a16:creationId xmlns:a16="http://schemas.microsoft.com/office/drawing/2014/main" id="{8063E1FE-0ACA-4552-8E4E-BAC166E9290A}"/>
            </a:ext>
          </a:extLst>
        </xdr:cNvPr>
        <xdr:cNvSpPr txBox="1">
          <a:spLocks noChangeArrowheads="1"/>
        </xdr:cNvSpPr>
      </xdr:nvSpPr>
      <xdr:spPr bwMode="auto">
        <a:xfrm>
          <a:off x="32794575"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202" name="Text Box 274" hidden="1">
          <a:extLst>
            <a:ext uri="{FF2B5EF4-FFF2-40B4-BE49-F238E27FC236}">
              <a16:creationId xmlns:a16="http://schemas.microsoft.com/office/drawing/2014/main" id="{DC73A306-9439-4F31-AA0D-3D667928139C}"/>
            </a:ext>
          </a:extLst>
        </xdr:cNvPr>
        <xdr:cNvSpPr txBox="1">
          <a:spLocks noChangeArrowheads="1"/>
        </xdr:cNvSpPr>
      </xdr:nvSpPr>
      <xdr:spPr bwMode="auto">
        <a:xfrm>
          <a:off x="4705350"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01" name="Text Box 273" hidden="1">
          <a:extLst>
            <a:ext uri="{FF2B5EF4-FFF2-40B4-BE49-F238E27FC236}">
              <a16:creationId xmlns:a16="http://schemas.microsoft.com/office/drawing/2014/main" id="{F073B93A-15D0-4314-A1C2-F0D1BEC0AE0B}"/>
            </a:ext>
          </a:extLst>
        </xdr:cNvPr>
        <xdr:cNvSpPr txBox="1">
          <a:spLocks noChangeArrowheads="1"/>
        </xdr:cNvSpPr>
      </xdr:nvSpPr>
      <xdr:spPr bwMode="auto">
        <a:xfrm>
          <a:off x="4667250"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200" name="Text Box 272" hidden="1">
          <a:extLst>
            <a:ext uri="{FF2B5EF4-FFF2-40B4-BE49-F238E27FC236}">
              <a16:creationId xmlns:a16="http://schemas.microsoft.com/office/drawing/2014/main" id="{91EC9F70-7A16-4A54-9F18-4000D3EBFA32}"/>
            </a:ext>
          </a:extLst>
        </xdr:cNvPr>
        <xdr:cNvSpPr txBox="1">
          <a:spLocks noChangeArrowheads="1"/>
        </xdr:cNvSpPr>
      </xdr:nvSpPr>
      <xdr:spPr bwMode="auto">
        <a:xfrm>
          <a:off x="4667250"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44693</xdr:rowOff>
    </xdr:to>
    <xdr:sp macro="" textlink="">
      <xdr:nvSpPr>
        <xdr:cNvPr id="253199" name="Text Box 271" hidden="1">
          <a:extLst>
            <a:ext uri="{FF2B5EF4-FFF2-40B4-BE49-F238E27FC236}">
              <a16:creationId xmlns:a16="http://schemas.microsoft.com/office/drawing/2014/main" id="{E801D4CE-4922-4FB9-BB6F-2D1AA001AA74}"/>
            </a:ext>
          </a:extLst>
        </xdr:cNvPr>
        <xdr:cNvSpPr txBox="1">
          <a:spLocks noChangeArrowheads="1"/>
        </xdr:cNvSpPr>
      </xdr:nvSpPr>
      <xdr:spPr bwMode="auto">
        <a:xfrm>
          <a:off x="16830675" y="7391400"/>
          <a:ext cx="1190625" cy="538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83110</xdr:rowOff>
    </xdr:from>
    <xdr:to>
      <xdr:col>3</xdr:col>
      <xdr:colOff>304800</xdr:colOff>
      <xdr:row>24</xdr:row>
      <xdr:rowOff>160944</xdr:rowOff>
    </xdr:to>
    <xdr:sp macro="" textlink="">
      <xdr:nvSpPr>
        <xdr:cNvPr id="253211" name="Text Box 283" hidden="1">
          <a:extLst>
            <a:ext uri="{FF2B5EF4-FFF2-40B4-BE49-F238E27FC236}">
              <a16:creationId xmlns:a16="http://schemas.microsoft.com/office/drawing/2014/main" id="{C2858B69-B81D-44E5-B2A4-66CC9A194BAE}"/>
            </a:ext>
          </a:extLst>
        </xdr:cNvPr>
        <xdr:cNvSpPr txBox="1">
          <a:spLocks noChangeArrowheads="1"/>
        </xdr:cNvSpPr>
      </xdr:nvSpPr>
      <xdr:spPr bwMode="auto">
        <a:xfrm>
          <a:off x="4705350" y="4171950"/>
          <a:ext cx="13525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10" name="Text Box 282" hidden="1">
          <a:extLst>
            <a:ext uri="{FF2B5EF4-FFF2-40B4-BE49-F238E27FC236}">
              <a16:creationId xmlns:a16="http://schemas.microsoft.com/office/drawing/2014/main" id="{ADB0D776-E19D-4A32-B34D-1EF15B347DFC}"/>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20029</xdr:rowOff>
    </xdr:to>
    <xdr:sp macro="" textlink="">
      <xdr:nvSpPr>
        <xdr:cNvPr id="253209" name="Text Box 281" hidden="1">
          <a:extLst>
            <a:ext uri="{FF2B5EF4-FFF2-40B4-BE49-F238E27FC236}">
              <a16:creationId xmlns:a16="http://schemas.microsoft.com/office/drawing/2014/main" id="{7485237A-3C38-4295-80CF-67E3E6FFE268}"/>
            </a:ext>
          </a:extLst>
        </xdr:cNvPr>
        <xdr:cNvSpPr txBox="1">
          <a:spLocks noChangeArrowheads="1"/>
        </xdr:cNvSpPr>
      </xdr:nvSpPr>
      <xdr:spPr bwMode="auto">
        <a:xfrm>
          <a:off x="4667250" y="201930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23</xdr:row>
      <xdr:rowOff>285563</xdr:rowOff>
    </xdr:from>
    <xdr:to>
      <xdr:col>20</xdr:col>
      <xdr:colOff>114300</xdr:colOff>
      <xdr:row>47</xdr:row>
      <xdr:rowOff>181501</xdr:rowOff>
    </xdr:to>
    <xdr:sp macro="" textlink="">
      <xdr:nvSpPr>
        <xdr:cNvPr id="253208" name="Text Box 280" hidden="1">
          <a:extLst>
            <a:ext uri="{FF2B5EF4-FFF2-40B4-BE49-F238E27FC236}">
              <a16:creationId xmlns:a16="http://schemas.microsoft.com/office/drawing/2014/main" id="{D50D1EFF-D955-4137-9C29-C4763C1F1FF4}"/>
            </a:ext>
          </a:extLst>
        </xdr:cNvPr>
        <xdr:cNvSpPr txBox="1">
          <a:spLocks noChangeArrowheads="1"/>
        </xdr:cNvSpPr>
      </xdr:nvSpPr>
      <xdr:spPr bwMode="auto">
        <a:xfrm>
          <a:off x="16830675" y="4972050"/>
          <a:ext cx="1190625" cy="6124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125085</xdr:rowOff>
    </xdr:from>
    <xdr:to>
      <xdr:col>3</xdr:col>
      <xdr:colOff>171450</xdr:colOff>
      <xdr:row>24</xdr:row>
      <xdr:rowOff>122844</xdr:rowOff>
    </xdr:to>
    <xdr:sp macro="" textlink="">
      <xdr:nvSpPr>
        <xdr:cNvPr id="253217" name="Text Box 289" hidden="1">
          <a:extLst>
            <a:ext uri="{FF2B5EF4-FFF2-40B4-BE49-F238E27FC236}">
              <a16:creationId xmlns:a16="http://schemas.microsoft.com/office/drawing/2014/main" id="{5BB536FA-B380-4A1C-A823-6B36ABAA95AC}"/>
            </a:ext>
          </a:extLst>
        </xdr:cNvPr>
        <xdr:cNvSpPr txBox="1">
          <a:spLocks noChangeArrowheads="1"/>
        </xdr:cNvSpPr>
      </xdr:nvSpPr>
      <xdr:spPr bwMode="auto">
        <a:xfrm>
          <a:off x="4648200" y="44005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17" name="Text Box 5" hidden="1">
          <a:extLst>
            <a:ext uri="{FF2B5EF4-FFF2-40B4-BE49-F238E27FC236}">
              <a16:creationId xmlns:a16="http://schemas.microsoft.com/office/drawing/2014/main" id="{F6214994-29C3-43E6-AECD-4CB9824ACA7B}"/>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6" name="Text Box 4" hidden="1">
          <a:extLst>
            <a:ext uri="{FF2B5EF4-FFF2-40B4-BE49-F238E27FC236}">
              <a16:creationId xmlns:a16="http://schemas.microsoft.com/office/drawing/2014/main" id="{D6C14F77-D215-434B-8351-EA159A9F7E1F}"/>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5" name="Text Box 3" hidden="1">
          <a:extLst>
            <a:ext uri="{FF2B5EF4-FFF2-40B4-BE49-F238E27FC236}">
              <a16:creationId xmlns:a16="http://schemas.microsoft.com/office/drawing/2014/main" id="{945E6265-FFEA-4654-8F07-2316CDB4CB3E}"/>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20" name="Text Box 8" hidden="1">
          <a:extLst>
            <a:ext uri="{FF2B5EF4-FFF2-40B4-BE49-F238E27FC236}">
              <a16:creationId xmlns:a16="http://schemas.microsoft.com/office/drawing/2014/main" id="{2EA07351-4EC7-45C7-8D74-E6E27A42AD12}"/>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9" name="Text Box 7" hidden="1">
          <a:extLst>
            <a:ext uri="{FF2B5EF4-FFF2-40B4-BE49-F238E27FC236}">
              <a16:creationId xmlns:a16="http://schemas.microsoft.com/office/drawing/2014/main" id="{6460D63A-9B5C-412A-AD24-918D0A351E36}"/>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8" name="Text Box 6" hidden="1">
          <a:extLst>
            <a:ext uri="{FF2B5EF4-FFF2-40B4-BE49-F238E27FC236}">
              <a16:creationId xmlns:a16="http://schemas.microsoft.com/office/drawing/2014/main" id="{EEE5F740-5718-4725-87BB-2B42945F22F9}"/>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84324</xdr:rowOff>
    </xdr:from>
    <xdr:to>
      <xdr:col>3</xdr:col>
      <xdr:colOff>304800</xdr:colOff>
      <xdr:row>23</xdr:row>
      <xdr:rowOff>150765</xdr:rowOff>
    </xdr:to>
    <xdr:sp macro="" textlink="">
      <xdr:nvSpPr>
        <xdr:cNvPr id="294923" name="Text Box 11" hidden="1">
          <a:extLst>
            <a:ext uri="{FF2B5EF4-FFF2-40B4-BE49-F238E27FC236}">
              <a16:creationId xmlns:a16="http://schemas.microsoft.com/office/drawing/2014/main" id="{BEB61B7E-2017-497F-81A9-3D3D3A1603DE}"/>
            </a:ext>
          </a:extLst>
        </xdr:cNvPr>
        <xdr:cNvSpPr txBox="1">
          <a:spLocks noChangeArrowheads="1"/>
        </xdr:cNvSpPr>
      </xdr:nvSpPr>
      <xdr:spPr bwMode="auto">
        <a:xfrm>
          <a:off x="4883150" y="3733800"/>
          <a:ext cx="1409700"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2" name="Text Box 10" hidden="1">
          <a:extLst>
            <a:ext uri="{FF2B5EF4-FFF2-40B4-BE49-F238E27FC236}">
              <a16:creationId xmlns:a16="http://schemas.microsoft.com/office/drawing/2014/main" id="{0B85C91A-4ABB-4EDF-9609-85F1FE8A171B}"/>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21" name="Text Box 9" hidden="1">
          <a:extLst>
            <a:ext uri="{FF2B5EF4-FFF2-40B4-BE49-F238E27FC236}">
              <a16:creationId xmlns:a16="http://schemas.microsoft.com/office/drawing/2014/main" id="{6F865B28-D451-49FE-9B01-840A72BE11D2}"/>
            </a:ext>
          </a:extLst>
        </xdr:cNvPr>
        <xdr:cNvSpPr txBox="1">
          <a:spLocks noChangeArrowheads="1"/>
        </xdr:cNvSpPr>
      </xdr:nvSpPr>
      <xdr:spPr bwMode="auto">
        <a:xfrm>
          <a:off x="4845050" y="1778000"/>
          <a:ext cx="12954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26" name="Text Box 14" hidden="1">
          <a:extLst>
            <a:ext uri="{FF2B5EF4-FFF2-40B4-BE49-F238E27FC236}">
              <a16:creationId xmlns:a16="http://schemas.microsoft.com/office/drawing/2014/main" id="{C73BB9B6-4A60-4EA6-8F01-4058F3ED5275}"/>
            </a:ext>
          </a:extLst>
        </xdr:cNvPr>
        <xdr:cNvSpPr txBox="1">
          <a:spLocks noChangeArrowheads="1"/>
        </xdr:cNvSpPr>
      </xdr:nvSpPr>
      <xdr:spPr bwMode="auto">
        <a:xfrm>
          <a:off x="4883150" y="3708400"/>
          <a:ext cx="1409700" cy="1035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5" name="Text Box 13" hidden="1">
          <a:extLst>
            <a:ext uri="{FF2B5EF4-FFF2-40B4-BE49-F238E27FC236}">
              <a16:creationId xmlns:a16="http://schemas.microsoft.com/office/drawing/2014/main" id="{79301E6B-CD70-4EC5-A7E6-FD11A47BBCB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4" name="Text Box 12" hidden="1">
          <a:extLst>
            <a:ext uri="{FF2B5EF4-FFF2-40B4-BE49-F238E27FC236}">
              <a16:creationId xmlns:a16="http://schemas.microsoft.com/office/drawing/2014/main" id="{9908C924-ED19-43BC-94A1-368015AC7D13}"/>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29" name="Text Box 17" hidden="1">
          <a:extLst>
            <a:ext uri="{FF2B5EF4-FFF2-40B4-BE49-F238E27FC236}">
              <a16:creationId xmlns:a16="http://schemas.microsoft.com/office/drawing/2014/main" id="{690273E6-B75A-4995-9080-F24C2AC96EA3}"/>
            </a:ext>
          </a:extLst>
        </xdr:cNvPr>
        <xdr:cNvSpPr txBox="1">
          <a:spLocks noChangeArrowheads="1"/>
        </xdr:cNvSpPr>
      </xdr:nvSpPr>
      <xdr:spPr bwMode="auto">
        <a:xfrm>
          <a:off x="4705350" y="3762375"/>
          <a:ext cx="13525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8" name="Text Box 16" hidden="1">
          <a:extLst>
            <a:ext uri="{FF2B5EF4-FFF2-40B4-BE49-F238E27FC236}">
              <a16:creationId xmlns:a16="http://schemas.microsoft.com/office/drawing/2014/main" id="{1C872A5B-1C3F-4DE2-9848-EED7B1F2A855}"/>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7" name="Text Box 15" hidden="1">
          <a:extLst>
            <a:ext uri="{FF2B5EF4-FFF2-40B4-BE49-F238E27FC236}">
              <a16:creationId xmlns:a16="http://schemas.microsoft.com/office/drawing/2014/main" id="{BDA0B2AE-4C1A-4584-AEB3-2D65D287A02C}"/>
            </a:ext>
          </a:extLst>
        </xdr:cNvPr>
        <xdr:cNvSpPr txBox="1">
          <a:spLocks noChangeArrowheads="1"/>
        </xdr:cNvSpPr>
      </xdr:nvSpPr>
      <xdr:spPr bwMode="auto">
        <a:xfrm>
          <a:off x="4667250" y="1790700"/>
          <a:ext cx="123825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294528</xdr:rowOff>
    </xdr:from>
    <xdr:to>
      <xdr:col>23</xdr:col>
      <xdr:colOff>190500</xdr:colOff>
      <xdr:row>26</xdr:row>
      <xdr:rowOff>56450</xdr:rowOff>
    </xdr:to>
    <xdr:sp macro="" textlink="">
      <xdr:nvSpPr>
        <xdr:cNvPr id="294930" name="Text Box 18" hidden="1">
          <a:extLst>
            <a:ext uri="{FF2B5EF4-FFF2-40B4-BE49-F238E27FC236}">
              <a16:creationId xmlns:a16="http://schemas.microsoft.com/office/drawing/2014/main" id="{303752F7-E448-43D4-8E64-04B8F8350845}"/>
            </a:ext>
          </a:extLst>
        </xdr:cNvPr>
        <xdr:cNvSpPr txBox="1">
          <a:spLocks noChangeArrowheads="1"/>
        </xdr:cNvSpPr>
      </xdr:nvSpPr>
      <xdr:spPr bwMode="auto">
        <a:xfrm>
          <a:off x="18592800" y="49625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126207</xdr:rowOff>
    </xdr:from>
    <xdr:to>
      <xdr:col>3</xdr:col>
      <xdr:colOff>304800</xdr:colOff>
      <xdr:row>31</xdr:row>
      <xdr:rowOff>988219</xdr:rowOff>
    </xdr:to>
    <xdr:sp macro="" textlink="">
      <xdr:nvSpPr>
        <xdr:cNvPr id="307204" name="Text Box 4" hidden="1">
          <a:extLst>
            <a:ext uri="{FF2B5EF4-FFF2-40B4-BE49-F238E27FC236}">
              <a16:creationId xmlns:a16="http://schemas.microsoft.com/office/drawing/2014/main" id="{14ABE6F4-8B15-4120-A66E-9978A9EE884D}"/>
            </a:ext>
          </a:extLst>
        </xdr:cNvPr>
        <xdr:cNvSpPr txBox="1">
          <a:spLocks noChangeArrowheads="1"/>
        </xdr:cNvSpPr>
      </xdr:nvSpPr>
      <xdr:spPr bwMode="auto">
        <a:xfrm>
          <a:off x="4883150" y="6102350"/>
          <a:ext cx="1409700" cy="139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3" name="Text Box 3" hidden="1">
          <a:extLst>
            <a:ext uri="{FF2B5EF4-FFF2-40B4-BE49-F238E27FC236}">
              <a16:creationId xmlns:a16="http://schemas.microsoft.com/office/drawing/2014/main" id="{9A777E9A-15B7-42DB-B9B4-BCC37131456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2" name="Text Box 2" hidden="1">
          <a:extLst>
            <a:ext uri="{FF2B5EF4-FFF2-40B4-BE49-F238E27FC236}">
              <a16:creationId xmlns:a16="http://schemas.microsoft.com/office/drawing/2014/main" id="{31CC5B5C-8024-4455-AE6A-1941E0AD85CC}"/>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47263</xdr:rowOff>
    </xdr:to>
    <xdr:sp macro="" textlink="">
      <xdr:nvSpPr>
        <xdr:cNvPr id="307201" name="Text Box 1" hidden="1">
          <a:extLst>
            <a:ext uri="{FF2B5EF4-FFF2-40B4-BE49-F238E27FC236}">
              <a16:creationId xmlns:a16="http://schemas.microsoft.com/office/drawing/2014/main" id="{78DAB7F2-90A5-499B-A8AB-2F339EF00D68}"/>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126207</xdr:rowOff>
    </xdr:from>
    <xdr:to>
      <xdr:col>3</xdr:col>
      <xdr:colOff>304800</xdr:colOff>
      <xdr:row>31</xdr:row>
      <xdr:rowOff>969169</xdr:rowOff>
    </xdr:to>
    <xdr:sp macro="" textlink="">
      <xdr:nvSpPr>
        <xdr:cNvPr id="307208" name="Text Box 8" hidden="1">
          <a:extLst>
            <a:ext uri="{FF2B5EF4-FFF2-40B4-BE49-F238E27FC236}">
              <a16:creationId xmlns:a16="http://schemas.microsoft.com/office/drawing/2014/main" id="{5A063AC6-E433-4E9F-9853-454DFC85857A}"/>
            </a:ext>
          </a:extLst>
        </xdr:cNvPr>
        <xdr:cNvSpPr txBox="1">
          <a:spLocks noChangeArrowheads="1"/>
        </xdr:cNvSpPr>
      </xdr:nvSpPr>
      <xdr:spPr bwMode="auto">
        <a:xfrm>
          <a:off x="4883150" y="6102350"/>
          <a:ext cx="1409700" cy="1371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7" name="Text Box 7" hidden="1">
          <a:extLst>
            <a:ext uri="{FF2B5EF4-FFF2-40B4-BE49-F238E27FC236}">
              <a16:creationId xmlns:a16="http://schemas.microsoft.com/office/drawing/2014/main" id="{C6F3BBA6-2670-47FA-BCE7-9527E47A010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6" name="Text Box 6" hidden="1">
          <a:extLst>
            <a:ext uri="{FF2B5EF4-FFF2-40B4-BE49-F238E27FC236}">
              <a16:creationId xmlns:a16="http://schemas.microsoft.com/office/drawing/2014/main" id="{C42F15F9-5BC7-48B4-BB14-23B01189ECD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47263</xdr:rowOff>
    </xdr:to>
    <xdr:sp macro="" textlink="">
      <xdr:nvSpPr>
        <xdr:cNvPr id="307205" name="Text Box 5" hidden="1">
          <a:extLst>
            <a:ext uri="{FF2B5EF4-FFF2-40B4-BE49-F238E27FC236}">
              <a16:creationId xmlns:a16="http://schemas.microsoft.com/office/drawing/2014/main" id="{95A65CE9-F040-4925-988B-0ACE451110DB}"/>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314325</xdr:colOff>
      <xdr:row>24</xdr:row>
      <xdr:rowOff>47625</xdr:rowOff>
    </xdr:to>
    <xdr:sp macro="" textlink="">
      <xdr:nvSpPr>
        <xdr:cNvPr id="307212" name="Text Box 12" hidden="1">
          <a:extLst>
            <a:ext uri="{FF2B5EF4-FFF2-40B4-BE49-F238E27FC236}">
              <a16:creationId xmlns:a16="http://schemas.microsoft.com/office/drawing/2014/main" id="{48DCDDE3-4A1A-76B2-9F65-6A634D5C9486}"/>
            </a:ext>
          </a:extLst>
        </xdr:cNvPr>
        <xdr:cNvSpPr txBox="1">
          <a:spLocks noChangeArrowheads="1"/>
        </xdr:cNvSpPr>
      </xdr:nvSpPr>
      <xdr:spPr bwMode="auto">
        <a:xfrm>
          <a:off x="4883150" y="3575050"/>
          <a:ext cx="141605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1" name="Text Box 11" hidden="1">
          <a:extLst>
            <a:ext uri="{FF2B5EF4-FFF2-40B4-BE49-F238E27FC236}">
              <a16:creationId xmlns:a16="http://schemas.microsoft.com/office/drawing/2014/main" id="{F33C7AF0-BA80-9F09-D6CA-D38DF6EEA60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0" name="Text Box 10" hidden="1">
          <a:extLst>
            <a:ext uri="{FF2B5EF4-FFF2-40B4-BE49-F238E27FC236}">
              <a16:creationId xmlns:a16="http://schemas.microsoft.com/office/drawing/2014/main" id="{16F07FCE-B210-1268-409D-DB732BC8338F}"/>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114300</xdr:rowOff>
    </xdr:from>
    <xdr:to>
      <xdr:col>23</xdr:col>
      <xdr:colOff>190500</xdr:colOff>
      <xdr:row>39</xdr:row>
      <xdr:rowOff>0</xdr:rowOff>
    </xdr:to>
    <xdr:sp macro="" textlink="">
      <xdr:nvSpPr>
        <xdr:cNvPr id="307209" name="Text Box 9" hidden="1">
          <a:extLst>
            <a:ext uri="{FF2B5EF4-FFF2-40B4-BE49-F238E27FC236}">
              <a16:creationId xmlns:a16="http://schemas.microsoft.com/office/drawing/2014/main" id="{6D2CDE95-DA3A-4066-97DF-358D7C2EBC59}"/>
            </a:ext>
          </a:extLst>
        </xdr:cNvPr>
        <xdr:cNvSpPr txBox="1">
          <a:spLocks noChangeArrowheads="1"/>
        </xdr:cNvSpPr>
      </xdr:nvSpPr>
      <xdr:spPr bwMode="auto">
        <a:xfrm>
          <a:off x="19424650" y="570865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142875</xdr:rowOff>
    </xdr:from>
    <xdr:to>
      <xdr:col>26</xdr:col>
      <xdr:colOff>180975</xdr:colOff>
      <xdr:row>13</xdr:row>
      <xdr:rowOff>123825</xdr:rowOff>
    </xdr:to>
    <xdr:sp macro="" textlink="">
      <xdr:nvSpPr>
        <xdr:cNvPr id="307213" name="Text Box 13" hidden="1">
          <a:extLst>
            <a:ext uri="{FF2B5EF4-FFF2-40B4-BE49-F238E27FC236}">
              <a16:creationId xmlns:a16="http://schemas.microsoft.com/office/drawing/2014/main" id="{D274BCFA-647C-F29B-FB51-58AF5243FE5C}"/>
            </a:ext>
          </a:extLst>
        </xdr:cNvPr>
        <xdr:cNvSpPr txBox="1">
          <a:spLocks noChangeArrowheads="1"/>
        </xdr:cNvSpPr>
      </xdr:nvSpPr>
      <xdr:spPr bwMode="auto">
        <a:xfrm>
          <a:off x="21291550" y="199390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07218" name="Text Box 18" hidden="1">
          <a:extLst>
            <a:ext uri="{FF2B5EF4-FFF2-40B4-BE49-F238E27FC236}">
              <a16:creationId xmlns:a16="http://schemas.microsoft.com/office/drawing/2014/main" id="{3E641CB9-64EA-9CA7-7E07-0902E79F5775}"/>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7" name="Text Box 17" hidden="1">
          <a:extLst>
            <a:ext uri="{FF2B5EF4-FFF2-40B4-BE49-F238E27FC236}">
              <a16:creationId xmlns:a16="http://schemas.microsoft.com/office/drawing/2014/main" id="{ABA309A4-CC4B-D99D-BB10-3A344208C12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6" name="Text Box 16" hidden="1">
          <a:extLst>
            <a:ext uri="{FF2B5EF4-FFF2-40B4-BE49-F238E27FC236}">
              <a16:creationId xmlns:a16="http://schemas.microsoft.com/office/drawing/2014/main" id="{A5527995-E442-2751-F537-770912B3E856}"/>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07215" name="Text Box 15" hidden="1">
          <a:extLst>
            <a:ext uri="{FF2B5EF4-FFF2-40B4-BE49-F238E27FC236}">
              <a16:creationId xmlns:a16="http://schemas.microsoft.com/office/drawing/2014/main" id="{BE01E4E0-F5E8-3EA0-1587-59889AA4454C}"/>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07214" name="Text Box 14" hidden="1">
          <a:extLst>
            <a:ext uri="{FF2B5EF4-FFF2-40B4-BE49-F238E27FC236}">
              <a16:creationId xmlns:a16="http://schemas.microsoft.com/office/drawing/2014/main" id="{CC450876-16C3-D9F2-B713-2B3E321E03E4}"/>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07219" name="Text Box 19" hidden="1">
          <a:extLst>
            <a:ext uri="{FF2B5EF4-FFF2-40B4-BE49-F238E27FC236}">
              <a16:creationId xmlns:a16="http://schemas.microsoft.com/office/drawing/2014/main" id="{936232DD-E64E-924F-7948-CABBB4F68237}"/>
            </a:ext>
          </a:extLst>
        </xdr:cNvPr>
        <xdr:cNvSpPr txBox="1">
          <a:spLocks noChangeArrowheads="1"/>
        </xdr:cNvSpPr>
      </xdr:nvSpPr>
      <xdr:spPr bwMode="auto">
        <a:xfrm>
          <a:off x="25571450" y="2006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07220" name="Text Box 20" hidden="1">
          <a:extLst>
            <a:ext uri="{FF2B5EF4-FFF2-40B4-BE49-F238E27FC236}">
              <a16:creationId xmlns:a16="http://schemas.microsoft.com/office/drawing/2014/main" id="{4A8CFFC5-B740-ECBE-7111-806B15784E9E}"/>
            </a:ext>
          </a:extLst>
        </xdr:cNvPr>
        <xdr:cNvSpPr txBox="1">
          <a:spLocks noChangeArrowheads="1"/>
        </xdr:cNvSpPr>
      </xdr:nvSpPr>
      <xdr:spPr bwMode="auto">
        <a:xfrm>
          <a:off x="27857450" y="22225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54" name="Text Box 14" hidden="1">
          <a:extLst>
            <a:ext uri="{FF2B5EF4-FFF2-40B4-BE49-F238E27FC236}">
              <a16:creationId xmlns:a16="http://schemas.microsoft.com/office/drawing/2014/main" id="{7875A50C-6CAE-BFB0-7E26-6E22611F2A19}"/>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53" name="Text Box 13" hidden="1">
          <a:extLst>
            <a:ext uri="{FF2B5EF4-FFF2-40B4-BE49-F238E27FC236}">
              <a16:creationId xmlns:a16="http://schemas.microsoft.com/office/drawing/2014/main" id="{8A221C06-530C-32D8-452B-805E2A3AD30F}"/>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2" name="Text Box 12" hidden="1">
          <a:extLst>
            <a:ext uri="{FF2B5EF4-FFF2-40B4-BE49-F238E27FC236}">
              <a16:creationId xmlns:a16="http://schemas.microsoft.com/office/drawing/2014/main" id="{01B88762-A60C-2545-BACD-4BF1BB79EC9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68651" name="Text Box 11" hidden="1">
          <a:extLst>
            <a:ext uri="{FF2B5EF4-FFF2-40B4-BE49-F238E27FC236}">
              <a16:creationId xmlns:a16="http://schemas.microsoft.com/office/drawing/2014/main" id="{97BFA0F7-6481-6D41-997C-22670806EACB}"/>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0" name="Text Box 10" hidden="1">
          <a:extLst>
            <a:ext uri="{FF2B5EF4-FFF2-40B4-BE49-F238E27FC236}">
              <a16:creationId xmlns:a16="http://schemas.microsoft.com/office/drawing/2014/main" id="{8C20C64A-294E-EE7C-0185-66BF368B3223}"/>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9" name="Text Box 9" hidden="1">
          <a:extLst>
            <a:ext uri="{FF2B5EF4-FFF2-40B4-BE49-F238E27FC236}">
              <a16:creationId xmlns:a16="http://schemas.microsoft.com/office/drawing/2014/main" id="{BE2C5B1C-EFB6-BFBC-4BBD-CC53F05FA9DD}"/>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8" name="Text Box 8" hidden="1">
          <a:extLst>
            <a:ext uri="{FF2B5EF4-FFF2-40B4-BE49-F238E27FC236}">
              <a16:creationId xmlns:a16="http://schemas.microsoft.com/office/drawing/2014/main" id="{81EBE5DA-8529-04B1-93C4-6EF0E5058585}"/>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47" name="Text Box 7" hidden="1">
          <a:extLst>
            <a:ext uri="{FF2B5EF4-FFF2-40B4-BE49-F238E27FC236}">
              <a16:creationId xmlns:a16="http://schemas.microsoft.com/office/drawing/2014/main" id="{8BAC7855-5F86-ED60-8164-001D9E926567}"/>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46" name="Text Box 6" hidden="1">
          <a:extLst>
            <a:ext uri="{FF2B5EF4-FFF2-40B4-BE49-F238E27FC236}">
              <a16:creationId xmlns:a16="http://schemas.microsoft.com/office/drawing/2014/main" id="{6DE152B4-B558-D056-C3C1-98D4A31A7BEC}"/>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45" name="Text Box 5" hidden="1">
          <a:extLst>
            <a:ext uri="{FF2B5EF4-FFF2-40B4-BE49-F238E27FC236}">
              <a16:creationId xmlns:a16="http://schemas.microsoft.com/office/drawing/2014/main" id="{FE8883AD-5210-76ED-6A44-20D2ECF7421A}"/>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68644" name="Text Box 4" hidden="1">
          <a:extLst>
            <a:ext uri="{FF2B5EF4-FFF2-40B4-BE49-F238E27FC236}">
              <a16:creationId xmlns:a16="http://schemas.microsoft.com/office/drawing/2014/main" id="{58F58B2F-2B8C-139B-B776-BB449DB0AF47}"/>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43" name="Text Box 3" hidden="1">
          <a:extLst>
            <a:ext uri="{FF2B5EF4-FFF2-40B4-BE49-F238E27FC236}">
              <a16:creationId xmlns:a16="http://schemas.microsoft.com/office/drawing/2014/main" id="{CE391098-514C-D959-3EA3-7773A1655AAE}"/>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2" name="Text Box 2" hidden="1">
          <a:extLst>
            <a:ext uri="{FF2B5EF4-FFF2-40B4-BE49-F238E27FC236}">
              <a16:creationId xmlns:a16="http://schemas.microsoft.com/office/drawing/2014/main" id="{D4CA38DD-C872-56F2-B11A-6BE9FE5F8829}"/>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1" name="Text Box 1" hidden="1">
          <a:extLst>
            <a:ext uri="{FF2B5EF4-FFF2-40B4-BE49-F238E27FC236}">
              <a16:creationId xmlns:a16="http://schemas.microsoft.com/office/drawing/2014/main" id="{B33555A6-FA36-1375-1FFB-5C2A37496D21}"/>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61" name="Text Box 21" hidden="1">
          <a:extLst>
            <a:ext uri="{FF2B5EF4-FFF2-40B4-BE49-F238E27FC236}">
              <a16:creationId xmlns:a16="http://schemas.microsoft.com/office/drawing/2014/main" id="{DBB04708-774A-B935-4DAE-EBE9C347268E}"/>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60" name="Text Box 20" hidden="1">
          <a:extLst>
            <a:ext uri="{FF2B5EF4-FFF2-40B4-BE49-F238E27FC236}">
              <a16:creationId xmlns:a16="http://schemas.microsoft.com/office/drawing/2014/main" id="{D8208FF2-B58B-359A-26B7-ED5D293524D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9" name="Text Box 19" hidden="1">
          <a:extLst>
            <a:ext uri="{FF2B5EF4-FFF2-40B4-BE49-F238E27FC236}">
              <a16:creationId xmlns:a16="http://schemas.microsoft.com/office/drawing/2014/main" id="{1FD36594-376B-F1E5-FC1C-657BA03E6512}"/>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68658" name="Text Box 18" hidden="1">
          <a:extLst>
            <a:ext uri="{FF2B5EF4-FFF2-40B4-BE49-F238E27FC236}">
              <a16:creationId xmlns:a16="http://schemas.microsoft.com/office/drawing/2014/main" id="{84DEE8A0-2CF9-922A-36D1-4C658F7C66AE}"/>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7" name="Text Box 17" hidden="1">
          <a:extLst>
            <a:ext uri="{FF2B5EF4-FFF2-40B4-BE49-F238E27FC236}">
              <a16:creationId xmlns:a16="http://schemas.microsoft.com/office/drawing/2014/main" id="{7A8F84A1-80A7-5F24-425F-24214315FC71}"/>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56" name="Text Box 16" hidden="1">
          <a:extLst>
            <a:ext uri="{FF2B5EF4-FFF2-40B4-BE49-F238E27FC236}">
              <a16:creationId xmlns:a16="http://schemas.microsoft.com/office/drawing/2014/main" id="{ECB6F364-6E98-DA93-F23A-49EFDE78E3F2}"/>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55" name="Text Box 15" hidden="1">
          <a:extLst>
            <a:ext uri="{FF2B5EF4-FFF2-40B4-BE49-F238E27FC236}">
              <a16:creationId xmlns:a16="http://schemas.microsoft.com/office/drawing/2014/main" id="{50764A32-3D24-15D5-8903-8AB01105D049}"/>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68" name="Text Box 28" hidden="1">
          <a:extLst>
            <a:ext uri="{FF2B5EF4-FFF2-40B4-BE49-F238E27FC236}">
              <a16:creationId xmlns:a16="http://schemas.microsoft.com/office/drawing/2014/main" id="{53594DD5-EC1B-5F66-F4F8-D6A8B4FA8C6E}"/>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67" name="Text Box 27" hidden="1">
          <a:extLst>
            <a:ext uri="{FF2B5EF4-FFF2-40B4-BE49-F238E27FC236}">
              <a16:creationId xmlns:a16="http://schemas.microsoft.com/office/drawing/2014/main" id="{3CCBA0CB-3931-3B10-0269-D94322CA8376}"/>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66" name="Text Box 26" hidden="1">
          <a:extLst>
            <a:ext uri="{FF2B5EF4-FFF2-40B4-BE49-F238E27FC236}">
              <a16:creationId xmlns:a16="http://schemas.microsoft.com/office/drawing/2014/main" id="{DAF46A2F-AF3B-7CBC-6D4F-D8BDDB93189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62" name="Text Box 22" hidden="1">
          <a:extLst>
            <a:ext uri="{FF2B5EF4-FFF2-40B4-BE49-F238E27FC236}">
              <a16:creationId xmlns:a16="http://schemas.microsoft.com/office/drawing/2014/main" id="{C949C47B-BA9C-237F-4B0F-4157AA0EA8EF}"/>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304800</xdr:rowOff>
    </xdr:from>
    <xdr:to>
      <xdr:col>26</xdr:col>
      <xdr:colOff>171450</xdr:colOff>
      <xdr:row>28</xdr:row>
      <xdr:rowOff>38100</xdr:rowOff>
    </xdr:to>
    <xdr:sp macro="" textlink="">
      <xdr:nvSpPr>
        <xdr:cNvPr id="368669" name="Text Box 29" hidden="1">
          <a:extLst>
            <a:ext uri="{FF2B5EF4-FFF2-40B4-BE49-F238E27FC236}">
              <a16:creationId xmlns:a16="http://schemas.microsoft.com/office/drawing/2014/main" id="{E4C56473-1993-0092-9660-492BB6C9180A}"/>
            </a:ext>
          </a:extLst>
        </xdr:cNvPr>
        <xdr:cNvSpPr txBox="1">
          <a:spLocks noChangeArrowheads="1"/>
        </xdr:cNvSpPr>
      </xdr:nvSpPr>
      <xdr:spPr bwMode="auto">
        <a:xfrm>
          <a:off x="21291550" y="52641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74" name="Text Box 34" hidden="1">
          <a:extLst>
            <a:ext uri="{FF2B5EF4-FFF2-40B4-BE49-F238E27FC236}">
              <a16:creationId xmlns:a16="http://schemas.microsoft.com/office/drawing/2014/main" id="{244BCEB2-14C2-B97F-DA54-3A12F4674A0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3" name="Text Box 33" hidden="1">
          <a:extLst>
            <a:ext uri="{FF2B5EF4-FFF2-40B4-BE49-F238E27FC236}">
              <a16:creationId xmlns:a16="http://schemas.microsoft.com/office/drawing/2014/main" id="{59566220-809B-CEF1-F23B-C017CD228F6F}"/>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2" name="Text Box 32" hidden="1">
          <a:extLst>
            <a:ext uri="{FF2B5EF4-FFF2-40B4-BE49-F238E27FC236}">
              <a16:creationId xmlns:a16="http://schemas.microsoft.com/office/drawing/2014/main" id="{5F3C0D9D-2B8F-5BBE-1EF9-0D13624522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1" name="Text Box 31" hidden="1">
          <a:extLst>
            <a:ext uri="{FF2B5EF4-FFF2-40B4-BE49-F238E27FC236}">
              <a16:creationId xmlns:a16="http://schemas.microsoft.com/office/drawing/2014/main" id="{03887A45-6D61-8C22-1589-4500077D04D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5" name="Text Box 35" hidden="1">
          <a:extLst>
            <a:ext uri="{FF2B5EF4-FFF2-40B4-BE49-F238E27FC236}">
              <a16:creationId xmlns:a16="http://schemas.microsoft.com/office/drawing/2014/main" id="{2CD2F85C-4397-13F1-305F-FA2C8EC59E2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0" name="Text Box 40" hidden="1">
          <a:extLst>
            <a:ext uri="{FF2B5EF4-FFF2-40B4-BE49-F238E27FC236}">
              <a16:creationId xmlns:a16="http://schemas.microsoft.com/office/drawing/2014/main" id="{97629537-163A-CA15-A4CC-14F086AD154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9" name="Text Box 39" hidden="1">
          <a:extLst>
            <a:ext uri="{FF2B5EF4-FFF2-40B4-BE49-F238E27FC236}">
              <a16:creationId xmlns:a16="http://schemas.microsoft.com/office/drawing/2014/main" id="{51FABE43-F573-ED45-AE3D-0E2176C5318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8" name="Text Box 38" hidden="1">
          <a:extLst>
            <a:ext uri="{FF2B5EF4-FFF2-40B4-BE49-F238E27FC236}">
              <a16:creationId xmlns:a16="http://schemas.microsoft.com/office/drawing/2014/main" id="{93FB1882-EB73-5BF7-9CF0-E8BC63DAED32}"/>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7" name="Text Box 37" hidden="1">
          <a:extLst>
            <a:ext uri="{FF2B5EF4-FFF2-40B4-BE49-F238E27FC236}">
              <a16:creationId xmlns:a16="http://schemas.microsoft.com/office/drawing/2014/main" id="{15ADD22C-F758-3EF3-9BD5-AB76EA84431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6" name="Text Box 36" hidden="1">
          <a:extLst>
            <a:ext uri="{FF2B5EF4-FFF2-40B4-BE49-F238E27FC236}">
              <a16:creationId xmlns:a16="http://schemas.microsoft.com/office/drawing/2014/main" id="{47BB5AC4-5074-BA5B-7C54-ED037804B719}"/>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0" name="Text Box 50" hidden="1">
          <a:extLst>
            <a:ext uri="{FF2B5EF4-FFF2-40B4-BE49-F238E27FC236}">
              <a16:creationId xmlns:a16="http://schemas.microsoft.com/office/drawing/2014/main" id="{7711F25E-6FE6-8319-E37B-DFEA65965AF8}"/>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9" name="Text Box 49" hidden="1">
          <a:extLst>
            <a:ext uri="{FF2B5EF4-FFF2-40B4-BE49-F238E27FC236}">
              <a16:creationId xmlns:a16="http://schemas.microsoft.com/office/drawing/2014/main" id="{A01E0359-663E-45B1-F8C4-6BF3778BE4C7}"/>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8" name="Text Box 48" hidden="1">
          <a:extLst>
            <a:ext uri="{FF2B5EF4-FFF2-40B4-BE49-F238E27FC236}">
              <a16:creationId xmlns:a16="http://schemas.microsoft.com/office/drawing/2014/main" id="{03ABED0D-8C5F-AA46-49F4-8686EC3573AD}"/>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7" name="Text Box 47" hidden="1">
          <a:extLst>
            <a:ext uri="{FF2B5EF4-FFF2-40B4-BE49-F238E27FC236}">
              <a16:creationId xmlns:a16="http://schemas.microsoft.com/office/drawing/2014/main" id="{A7AE8D2E-AD2B-DE3E-C254-6858EFE1A4D5}"/>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6" name="Text Box 46" hidden="1">
          <a:extLst>
            <a:ext uri="{FF2B5EF4-FFF2-40B4-BE49-F238E27FC236}">
              <a16:creationId xmlns:a16="http://schemas.microsoft.com/office/drawing/2014/main" id="{2D7BC3FA-B920-C678-1BF9-8135EA98F3CB}"/>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5" name="Text Box 45" hidden="1">
          <a:extLst>
            <a:ext uri="{FF2B5EF4-FFF2-40B4-BE49-F238E27FC236}">
              <a16:creationId xmlns:a16="http://schemas.microsoft.com/office/drawing/2014/main" id="{05E181ED-7B24-4C51-B65D-A59449995E6F}"/>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4" name="Text Box 44" hidden="1">
          <a:extLst>
            <a:ext uri="{FF2B5EF4-FFF2-40B4-BE49-F238E27FC236}">
              <a16:creationId xmlns:a16="http://schemas.microsoft.com/office/drawing/2014/main" id="{8BA96226-1E32-B521-849D-8EFE22528694}"/>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3" name="Text Box 43" hidden="1">
          <a:extLst>
            <a:ext uri="{FF2B5EF4-FFF2-40B4-BE49-F238E27FC236}">
              <a16:creationId xmlns:a16="http://schemas.microsoft.com/office/drawing/2014/main" id="{74EC23D4-16E1-C16F-8B6D-B25A38F1F1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2" name="Text Box 42" hidden="1">
          <a:extLst>
            <a:ext uri="{FF2B5EF4-FFF2-40B4-BE49-F238E27FC236}">
              <a16:creationId xmlns:a16="http://schemas.microsoft.com/office/drawing/2014/main" id="{B117B868-9615-C78D-F2EB-E018B1CC24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1" name="Text Box 41" hidden="1">
          <a:extLst>
            <a:ext uri="{FF2B5EF4-FFF2-40B4-BE49-F238E27FC236}">
              <a16:creationId xmlns:a16="http://schemas.microsoft.com/office/drawing/2014/main" id="{F88203FD-3B4F-FF36-E197-ABF3C13FA71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5" name="Text Box 55" hidden="1">
          <a:extLst>
            <a:ext uri="{FF2B5EF4-FFF2-40B4-BE49-F238E27FC236}">
              <a16:creationId xmlns:a16="http://schemas.microsoft.com/office/drawing/2014/main" id="{FDC1E52A-D64C-87B0-EB0F-0D6253E1FC01}"/>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4" name="Text Box 54" hidden="1">
          <a:extLst>
            <a:ext uri="{FF2B5EF4-FFF2-40B4-BE49-F238E27FC236}">
              <a16:creationId xmlns:a16="http://schemas.microsoft.com/office/drawing/2014/main" id="{814A2A16-56CE-C33D-8F50-7FD28A076214}"/>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3" name="Text Box 53" hidden="1">
          <a:extLst>
            <a:ext uri="{FF2B5EF4-FFF2-40B4-BE49-F238E27FC236}">
              <a16:creationId xmlns:a16="http://schemas.microsoft.com/office/drawing/2014/main" id="{C0F847CA-881A-93F2-0F76-0580723B2A04}"/>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2" name="Text Box 52" hidden="1">
          <a:extLst>
            <a:ext uri="{FF2B5EF4-FFF2-40B4-BE49-F238E27FC236}">
              <a16:creationId xmlns:a16="http://schemas.microsoft.com/office/drawing/2014/main" id="{13277772-6854-AC24-6284-BB93AE7F09D1}"/>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1" name="Text Box 51" hidden="1">
          <a:extLst>
            <a:ext uri="{FF2B5EF4-FFF2-40B4-BE49-F238E27FC236}">
              <a16:creationId xmlns:a16="http://schemas.microsoft.com/office/drawing/2014/main" id="{C6B3F612-F072-F017-2A4C-044DA74B7C03}"/>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0" name="Text Box 60" hidden="1">
          <a:extLst>
            <a:ext uri="{FF2B5EF4-FFF2-40B4-BE49-F238E27FC236}">
              <a16:creationId xmlns:a16="http://schemas.microsoft.com/office/drawing/2014/main" id="{A9A57CF0-E9A9-9B55-FF16-23F194A8A81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9" name="Text Box 59" hidden="1">
          <a:extLst>
            <a:ext uri="{FF2B5EF4-FFF2-40B4-BE49-F238E27FC236}">
              <a16:creationId xmlns:a16="http://schemas.microsoft.com/office/drawing/2014/main" id="{24004578-4846-EB7F-0B1B-77916418452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8" name="Text Box 58" hidden="1">
          <a:extLst>
            <a:ext uri="{FF2B5EF4-FFF2-40B4-BE49-F238E27FC236}">
              <a16:creationId xmlns:a16="http://schemas.microsoft.com/office/drawing/2014/main" id="{00DF482C-BFEE-8AC2-D0E9-00581F96774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7" name="Text Box 57" hidden="1">
          <a:extLst>
            <a:ext uri="{FF2B5EF4-FFF2-40B4-BE49-F238E27FC236}">
              <a16:creationId xmlns:a16="http://schemas.microsoft.com/office/drawing/2014/main" id="{9BEC5A8A-18D8-2B7A-B07A-D444F76FA7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6" name="Text Box 56" hidden="1">
          <a:extLst>
            <a:ext uri="{FF2B5EF4-FFF2-40B4-BE49-F238E27FC236}">
              <a16:creationId xmlns:a16="http://schemas.microsoft.com/office/drawing/2014/main" id="{353E3DC0-EDFD-0EB5-5995-A0F00192898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5" name="Text Box 65" hidden="1">
          <a:extLst>
            <a:ext uri="{FF2B5EF4-FFF2-40B4-BE49-F238E27FC236}">
              <a16:creationId xmlns:a16="http://schemas.microsoft.com/office/drawing/2014/main" id="{BCFF4B25-E5B9-AA5D-5229-68C68656CE8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4" name="Text Box 64" hidden="1">
          <a:extLst>
            <a:ext uri="{FF2B5EF4-FFF2-40B4-BE49-F238E27FC236}">
              <a16:creationId xmlns:a16="http://schemas.microsoft.com/office/drawing/2014/main" id="{F6DF3629-36EC-B614-EFDF-5ADCBC180F59}"/>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3" name="Text Box 63" hidden="1">
          <a:extLst>
            <a:ext uri="{FF2B5EF4-FFF2-40B4-BE49-F238E27FC236}">
              <a16:creationId xmlns:a16="http://schemas.microsoft.com/office/drawing/2014/main" id="{0CD58E68-BB3F-D49F-2387-D288C2A83DBB}"/>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2" name="Text Box 62" hidden="1">
          <a:extLst>
            <a:ext uri="{FF2B5EF4-FFF2-40B4-BE49-F238E27FC236}">
              <a16:creationId xmlns:a16="http://schemas.microsoft.com/office/drawing/2014/main" id="{FA89114C-2202-074B-7EE1-F85ED577DAC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1" name="Text Box 61" hidden="1">
          <a:extLst>
            <a:ext uri="{FF2B5EF4-FFF2-40B4-BE49-F238E27FC236}">
              <a16:creationId xmlns:a16="http://schemas.microsoft.com/office/drawing/2014/main" id="{54E42347-F8C2-6406-C389-6C02F904E4FD}"/>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10" name="Text Box 70" hidden="1">
          <a:extLst>
            <a:ext uri="{FF2B5EF4-FFF2-40B4-BE49-F238E27FC236}">
              <a16:creationId xmlns:a16="http://schemas.microsoft.com/office/drawing/2014/main" id="{620D19D9-8941-59E1-21EB-D469DA596E55}"/>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9" name="Text Box 69" hidden="1">
          <a:extLst>
            <a:ext uri="{FF2B5EF4-FFF2-40B4-BE49-F238E27FC236}">
              <a16:creationId xmlns:a16="http://schemas.microsoft.com/office/drawing/2014/main" id="{E4F97E73-D075-DC68-01AC-D8C07C6B105E}"/>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8" name="Text Box 68" hidden="1">
          <a:extLst>
            <a:ext uri="{FF2B5EF4-FFF2-40B4-BE49-F238E27FC236}">
              <a16:creationId xmlns:a16="http://schemas.microsoft.com/office/drawing/2014/main" id="{6DD5055D-B86F-5DA6-59A7-11BE0FB6E3C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7" name="Text Box 67" hidden="1">
          <a:extLst>
            <a:ext uri="{FF2B5EF4-FFF2-40B4-BE49-F238E27FC236}">
              <a16:creationId xmlns:a16="http://schemas.microsoft.com/office/drawing/2014/main" id="{7B55DFC5-B27A-07CB-E0C3-31745AF1A2D6}"/>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6" name="Text Box 66" hidden="1">
          <a:extLst>
            <a:ext uri="{FF2B5EF4-FFF2-40B4-BE49-F238E27FC236}">
              <a16:creationId xmlns:a16="http://schemas.microsoft.com/office/drawing/2014/main" id="{EE1D9171-9370-117A-5484-661AD4B4CE1E}"/>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69" name="Text Box 5" hidden="1">
          <a:extLst>
            <a:ext uri="{FF2B5EF4-FFF2-40B4-BE49-F238E27FC236}">
              <a16:creationId xmlns:a16="http://schemas.microsoft.com/office/drawing/2014/main" id="{DF34A5F2-FB6C-C7FE-24EF-249D0420052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68" name="Text Box 4" hidden="1">
          <a:extLst>
            <a:ext uri="{FF2B5EF4-FFF2-40B4-BE49-F238E27FC236}">
              <a16:creationId xmlns:a16="http://schemas.microsoft.com/office/drawing/2014/main" id="{C4430639-9E3F-0874-38A2-AC70237CCAA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67" name="Text Box 3" hidden="1">
          <a:extLst>
            <a:ext uri="{FF2B5EF4-FFF2-40B4-BE49-F238E27FC236}">
              <a16:creationId xmlns:a16="http://schemas.microsoft.com/office/drawing/2014/main" id="{FCBAA3EA-1CBE-0631-2898-4BB3BCA8707C}"/>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66" name="Text Box 2" hidden="1">
          <a:extLst>
            <a:ext uri="{FF2B5EF4-FFF2-40B4-BE49-F238E27FC236}">
              <a16:creationId xmlns:a16="http://schemas.microsoft.com/office/drawing/2014/main" id="{9B0B4A0F-2135-AE80-5492-5FA4D2E0BAF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65" name="Text Box 1" hidden="1">
          <a:extLst>
            <a:ext uri="{FF2B5EF4-FFF2-40B4-BE49-F238E27FC236}">
              <a16:creationId xmlns:a16="http://schemas.microsoft.com/office/drawing/2014/main" id="{F57C7DB4-C658-7B53-C185-CAEC2C20ADC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16</xdr:col>
      <xdr:colOff>76200</xdr:colOff>
      <xdr:row>26</xdr:row>
      <xdr:rowOff>0</xdr:rowOff>
    </xdr:from>
    <xdr:to>
      <xdr:col>19</xdr:col>
      <xdr:colOff>38100</xdr:colOff>
      <xdr:row>30</xdr:row>
      <xdr:rowOff>38100</xdr:rowOff>
    </xdr:to>
    <xdr:sp macro="" textlink="">
      <xdr:nvSpPr>
        <xdr:cNvPr id="243716" name="Text Box 4" hidden="1">
          <a:extLst>
            <a:ext uri="{FF2B5EF4-FFF2-40B4-BE49-F238E27FC236}">
              <a16:creationId xmlns:a16="http://schemas.microsoft.com/office/drawing/2014/main" id="{B0A03D1E-5A83-47C9-BE37-1EF3A7E579CF}"/>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114300</xdr:colOff>
      <xdr:row>58</xdr:row>
      <xdr:rowOff>162288</xdr:rowOff>
    </xdr:from>
    <xdr:to>
      <xdr:col>19</xdr:col>
      <xdr:colOff>76200</xdr:colOff>
      <xdr:row>63</xdr:row>
      <xdr:rowOff>78105</xdr:rowOff>
    </xdr:to>
    <xdr:sp macro="" textlink="">
      <xdr:nvSpPr>
        <xdr:cNvPr id="243720" name="Text Box 8" hidden="1">
          <a:extLst>
            <a:ext uri="{FF2B5EF4-FFF2-40B4-BE49-F238E27FC236}">
              <a16:creationId xmlns:a16="http://schemas.microsoft.com/office/drawing/2014/main" id="{06457418-FED5-45AC-B6F5-0977895A8213}"/>
            </a:ext>
          </a:extLst>
        </xdr:cNvPr>
        <xdr:cNvSpPr txBox="1">
          <a:spLocks noChangeArrowheads="1"/>
        </xdr:cNvSpPr>
      </xdr:nvSpPr>
      <xdr:spPr bwMode="auto">
        <a:xfrm>
          <a:off x="11536680" y="11353800"/>
          <a:ext cx="1287780" cy="838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43721" name="Text Box 9" hidden="1">
          <a:extLst>
            <a:ext uri="{FF2B5EF4-FFF2-40B4-BE49-F238E27FC236}">
              <a16:creationId xmlns:a16="http://schemas.microsoft.com/office/drawing/2014/main" id="{4FF414AE-5FD4-4238-8D5E-4808F4D82B12}"/>
            </a:ext>
          </a:extLst>
        </xdr:cNvPr>
        <xdr:cNvSpPr txBox="1">
          <a:spLocks noChangeArrowheads="1"/>
        </xdr:cNvSpPr>
      </xdr:nvSpPr>
      <xdr:spPr bwMode="auto">
        <a:xfrm>
          <a:off x="12420600" y="3718560"/>
          <a:ext cx="1287780" cy="8077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5" name="Text Box 3" hidden="1">
          <a:extLst>
            <a:ext uri="{FF2B5EF4-FFF2-40B4-BE49-F238E27FC236}">
              <a16:creationId xmlns:a16="http://schemas.microsoft.com/office/drawing/2014/main" id="{493C9031-C239-415C-ADFE-A6A5BDEBA21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3" name="Text Box 1" hidden="1">
          <a:extLst>
            <a:ext uri="{FF2B5EF4-FFF2-40B4-BE49-F238E27FC236}">
              <a16:creationId xmlns:a16="http://schemas.microsoft.com/office/drawing/2014/main" id="{44E207FF-692A-4DF2-93BF-4A77FE6422B0}"/>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7" name="Text Box 5" hidden="1">
          <a:extLst>
            <a:ext uri="{FF2B5EF4-FFF2-40B4-BE49-F238E27FC236}">
              <a16:creationId xmlns:a16="http://schemas.microsoft.com/office/drawing/2014/main" id="{3CE6B365-E603-4548-B8FF-D6229A8A39D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6" name="Text Box 4" hidden="1">
          <a:extLst>
            <a:ext uri="{FF2B5EF4-FFF2-40B4-BE49-F238E27FC236}">
              <a16:creationId xmlns:a16="http://schemas.microsoft.com/office/drawing/2014/main" id="{1E6C49C6-DF32-47C0-B7C5-D8432F2C6B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9" name="Text Box 7" hidden="1">
          <a:extLst>
            <a:ext uri="{FF2B5EF4-FFF2-40B4-BE49-F238E27FC236}">
              <a16:creationId xmlns:a16="http://schemas.microsoft.com/office/drawing/2014/main" id="{F9F3A517-BE3A-4123-B950-7DC9B7217A7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8" name="Text Box 6" hidden="1">
          <a:extLst>
            <a:ext uri="{FF2B5EF4-FFF2-40B4-BE49-F238E27FC236}">
              <a16:creationId xmlns:a16="http://schemas.microsoft.com/office/drawing/2014/main" id="{285D3CE1-5B29-4A98-8B69-B40B69CE42F6}"/>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1" name="Text Box 9" hidden="1">
          <a:extLst>
            <a:ext uri="{FF2B5EF4-FFF2-40B4-BE49-F238E27FC236}">
              <a16:creationId xmlns:a16="http://schemas.microsoft.com/office/drawing/2014/main" id="{FFBECB77-E4B9-47E2-A66A-A5656CA4547C}"/>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0" name="Text Box 8" hidden="1">
          <a:extLst>
            <a:ext uri="{FF2B5EF4-FFF2-40B4-BE49-F238E27FC236}">
              <a16:creationId xmlns:a16="http://schemas.microsoft.com/office/drawing/2014/main" id="{76FE704D-8170-4017-91BA-392389226F5F}"/>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3" name="Text Box 11" hidden="1">
          <a:extLst>
            <a:ext uri="{FF2B5EF4-FFF2-40B4-BE49-F238E27FC236}">
              <a16:creationId xmlns:a16="http://schemas.microsoft.com/office/drawing/2014/main" id="{209B6F44-5B03-46D3-B112-34F1E51467F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2" name="Text Box 10" hidden="1">
          <a:extLst>
            <a:ext uri="{FF2B5EF4-FFF2-40B4-BE49-F238E27FC236}">
              <a16:creationId xmlns:a16="http://schemas.microsoft.com/office/drawing/2014/main" id="{EDE62F83-B2E4-4D97-B0C5-84102EC94DE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5" name="Text Box 13" hidden="1">
          <a:extLst>
            <a:ext uri="{FF2B5EF4-FFF2-40B4-BE49-F238E27FC236}">
              <a16:creationId xmlns:a16="http://schemas.microsoft.com/office/drawing/2014/main" id="{D77294AE-D268-4E3E-B492-C25164B9D3C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4" name="Text Box 12" hidden="1">
          <a:extLst>
            <a:ext uri="{FF2B5EF4-FFF2-40B4-BE49-F238E27FC236}">
              <a16:creationId xmlns:a16="http://schemas.microsoft.com/office/drawing/2014/main" id="{627C05B6-677D-4D42-AB0E-FDF8C19E4FB7}"/>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7" name="Text Box 15" hidden="1">
          <a:extLst>
            <a:ext uri="{FF2B5EF4-FFF2-40B4-BE49-F238E27FC236}">
              <a16:creationId xmlns:a16="http://schemas.microsoft.com/office/drawing/2014/main" id="{77D3382F-C3EC-4F60-A791-6EEC6982962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6" name="Text Box 14" hidden="1">
          <a:extLst>
            <a:ext uri="{FF2B5EF4-FFF2-40B4-BE49-F238E27FC236}">
              <a16:creationId xmlns:a16="http://schemas.microsoft.com/office/drawing/2014/main" id="{60B2A262-9480-4888-B1F0-25B62F60A7D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9" name="Text Box 17" hidden="1">
          <a:extLst>
            <a:ext uri="{FF2B5EF4-FFF2-40B4-BE49-F238E27FC236}">
              <a16:creationId xmlns:a16="http://schemas.microsoft.com/office/drawing/2014/main" id="{0A29A45A-32DC-4CD1-AEB5-36A383730E37}"/>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8" name="Text Box 16" hidden="1">
          <a:extLst>
            <a:ext uri="{FF2B5EF4-FFF2-40B4-BE49-F238E27FC236}">
              <a16:creationId xmlns:a16="http://schemas.microsoft.com/office/drawing/2014/main" id="{8A8A26C2-E5CB-49BA-A9BB-D5CB2E66870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1633</xdr:rowOff>
    </xdr:from>
    <xdr:to>
      <xdr:col>21</xdr:col>
      <xdr:colOff>218440</xdr:colOff>
      <xdr:row>59</xdr:row>
      <xdr:rowOff>164193</xdr:rowOff>
    </xdr:to>
    <xdr:sp macro="" textlink="">
      <xdr:nvSpPr>
        <xdr:cNvPr id="253970" name="Text Box 18" hidden="1">
          <a:extLst>
            <a:ext uri="{FF2B5EF4-FFF2-40B4-BE49-F238E27FC236}">
              <a16:creationId xmlns:a16="http://schemas.microsoft.com/office/drawing/2014/main" id="{C32DD6EC-EB13-4513-8AEF-C7BAE7F8FBF3}"/>
            </a:ext>
          </a:extLst>
        </xdr:cNvPr>
        <xdr:cNvSpPr txBox="1">
          <a:spLocks noChangeArrowheads="1"/>
        </xdr:cNvSpPr>
      </xdr:nvSpPr>
      <xdr:spPr bwMode="auto">
        <a:xfrm>
          <a:off x="12068175" y="111347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104140</xdr:rowOff>
    </xdr:from>
    <xdr:to>
      <xdr:col>21</xdr:col>
      <xdr:colOff>218440</xdr:colOff>
      <xdr:row>21</xdr:row>
      <xdr:rowOff>86360</xdr:rowOff>
    </xdr:to>
    <xdr:sp macro="" textlink="">
      <xdr:nvSpPr>
        <xdr:cNvPr id="253971" name="Text Box 19" hidden="1">
          <a:extLst>
            <a:ext uri="{FF2B5EF4-FFF2-40B4-BE49-F238E27FC236}">
              <a16:creationId xmlns:a16="http://schemas.microsoft.com/office/drawing/2014/main" id="{303747F6-E715-4B9F-A70E-87F489267339}"/>
            </a:ext>
          </a:extLst>
        </xdr:cNvPr>
        <xdr:cNvSpPr txBox="1">
          <a:spLocks noChangeArrowheads="1"/>
        </xdr:cNvSpPr>
      </xdr:nvSpPr>
      <xdr:spPr bwMode="auto">
        <a:xfrm>
          <a:off x="12068175" y="3257550"/>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2" name="Text Box 20" hidden="1">
          <a:extLst>
            <a:ext uri="{FF2B5EF4-FFF2-40B4-BE49-F238E27FC236}">
              <a16:creationId xmlns:a16="http://schemas.microsoft.com/office/drawing/2014/main" id="{99B604FB-76E1-433D-88F5-C14B7E2CE257}"/>
            </a:ext>
          </a:extLst>
        </xdr:cNvPr>
        <xdr:cNvSpPr txBox="1">
          <a:spLocks noChangeArrowheads="1"/>
        </xdr:cNvSpPr>
      </xdr:nvSpPr>
      <xdr:spPr bwMode="auto">
        <a:xfrm>
          <a:off x="12496800" y="8429625"/>
          <a:ext cx="13525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77" name="Text Box 25" hidden="1">
          <a:extLst>
            <a:ext uri="{FF2B5EF4-FFF2-40B4-BE49-F238E27FC236}">
              <a16:creationId xmlns:a16="http://schemas.microsoft.com/office/drawing/2014/main" id="{F9AA5F58-81EB-456D-B35D-BB8AA67544B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76" name="Text Box 24" hidden="1">
          <a:extLst>
            <a:ext uri="{FF2B5EF4-FFF2-40B4-BE49-F238E27FC236}">
              <a16:creationId xmlns:a16="http://schemas.microsoft.com/office/drawing/2014/main" id="{6CAD96CB-0A1E-4B22-8282-71E3654DADF9}"/>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164193</xdr:rowOff>
    </xdr:from>
    <xdr:to>
      <xdr:col>21</xdr:col>
      <xdr:colOff>218440</xdr:colOff>
      <xdr:row>59</xdr:row>
      <xdr:rowOff>162288</xdr:rowOff>
    </xdr:to>
    <xdr:sp macro="" textlink="">
      <xdr:nvSpPr>
        <xdr:cNvPr id="253975" name="Text Box 23" hidden="1">
          <a:extLst>
            <a:ext uri="{FF2B5EF4-FFF2-40B4-BE49-F238E27FC236}">
              <a16:creationId xmlns:a16="http://schemas.microsoft.com/office/drawing/2014/main" id="{62608814-2CF8-418D-93B3-936A7996FFA8}"/>
            </a:ext>
          </a:extLst>
        </xdr:cNvPr>
        <xdr:cNvSpPr txBox="1">
          <a:spLocks noChangeArrowheads="1"/>
        </xdr:cNvSpPr>
      </xdr:nvSpPr>
      <xdr:spPr bwMode="auto">
        <a:xfrm>
          <a:off x="12458700" y="1081278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86360</xdr:rowOff>
    </xdr:from>
    <xdr:to>
      <xdr:col>21</xdr:col>
      <xdr:colOff>218440</xdr:colOff>
      <xdr:row>21</xdr:row>
      <xdr:rowOff>76200</xdr:rowOff>
    </xdr:to>
    <xdr:sp macro="" textlink="">
      <xdr:nvSpPr>
        <xdr:cNvPr id="253974" name="Text Box 22" hidden="1">
          <a:extLst>
            <a:ext uri="{FF2B5EF4-FFF2-40B4-BE49-F238E27FC236}">
              <a16:creationId xmlns:a16="http://schemas.microsoft.com/office/drawing/2014/main" id="{6510BA9A-77DC-4BC7-8EC0-051E4316A391}"/>
            </a:ext>
          </a:extLst>
        </xdr:cNvPr>
        <xdr:cNvSpPr txBox="1">
          <a:spLocks noChangeArrowheads="1"/>
        </xdr:cNvSpPr>
      </xdr:nvSpPr>
      <xdr:spPr bwMode="auto">
        <a:xfrm>
          <a:off x="12458700" y="317754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3" name="Text Box 21" hidden="1">
          <a:extLst>
            <a:ext uri="{FF2B5EF4-FFF2-40B4-BE49-F238E27FC236}">
              <a16:creationId xmlns:a16="http://schemas.microsoft.com/office/drawing/2014/main" id="{A0CE7516-0832-4BA8-9306-997228502C8B}"/>
            </a:ext>
          </a:extLst>
        </xdr:cNvPr>
        <xdr:cNvSpPr txBox="1">
          <a:spLocks noChangeArrowheads="1"/>
        </xdr:cNvSpPr>
      </xdr:nvSpPr>
      <xdr:spPr bwMode="auto">
        <a:xfrm>
          <a:off x="12900660" y="819150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2" name="Text Box 30" hidden="1">
          <a:extLst>
            <a:ext uri="{FF2B5EF4-FFF2-40B4-BE49-F238E27FC236}">
              <a16:creationId xmlns:a16="http://schemas.microsoft.com/office/drawing/2014/main" id="{9D00F1F5-4CB3-48E2-8FE5-19E17AF09301}"/>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1" name="Text Box 29" hidden="1">
          <a:extLst>
            <a:ext uri="{FF2B5EF4-FFF2-40B4-BE49-F238E27FC236}">
              <a16:creationId xmlns:a16="http://schemas.microsoft.com/office/drawing/2014/main" id="{0833158D-6CF1-4EBE-8732-9E4FAD957EC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200660</xdr:colOff>
      <xdr:row>59</xdr:row>
      <xdr:rowOff>162288</xdr:rowOff>
    </xdr:to>
    <xdr:sp macro="" textlink="">
      <xdr:nvSpPr>
        <xdr:cNvPr id="253980" name="Text Box 28" hidden="1">
          <a:extLst>
            <a:ext uri="{FF2B5EF4-FFF2-40B4-BE49-F238E27FC236}">
              <a16:creationId xmlns:a16="http://schemas.microsoft.com/office/drawing/2014/main" id="{A05F084C-120A-4551-8119-E7AD3EAAFD47}"/>
            </a:ext>
          </a:extLst>
        </xdr:cNvPr>
        <xdr:cNvSpPr txBox="1">
          <a:spLocks noChangeArrowheads="1"/>
        </xdr:cNvSpPr>
      </xdr:nvSpPr>
      <xdr:spPr bwMode="auto">
        <a:xfrm>
          <a:off x="12458700" y="1080516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200660</xdr:colOff>
      <xdr:row>21</xdr:row>
      <xdr:rowOff>76200</xdr:rowOff>
    </xdr:to>
    <xdr:sp macro="" textlink="">
      <xdr:nvSpPr>
        <xdr:cNvPr id="253979" name="Text Box 27" hidden="1">
          <a:extLst>
            <a:ext uri="{FF2B5EF4-FFF2-40B4-BE49-F238E27FC236}">
              <a16:creationId xmlns:a16="http://schemas.microsoft.com/office/drawing/2014/main" id="{26687D79-111B-442F-BBAC-2F8313214DBC}"/>
            </a:ext>
          </a:extLst>
        </xdr:cNvPr>
        <xdr:cNvSpPr txBox="1">
          <a:spLocks noChangeArrowheads="1"/>
        </xdr:cNvSpPr>
      </xdr:nvSpPr>
      <xdr:spPr bwMode="auto">
        <a:xfrm>
          <a:off x="12458700" y="316992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162560</xdr:rowOff>
    </xdr:from>
    <xdr:to>
      <xdr:col>22</xdr:col>
      <xdr:colOff>200660</xdr:colOff>
      <xdr:row>46</xdr:row>
      <xdr:rowOff>10160</xdr:rowOff>
    </xdr:to>
    <xdr:sp macro="" textlink="">
      <xdr:nvSpPr>
        <xdr:cNvPr id="253978" name="Text Box 26" hidden="1">
          <a:extLst>
            <a:ext uri="{FF2B5EF4-FFF2-40B4-BE49-F238E27FC236}">
              <a16:creationId xmlns:a16="http://schemas.microsoft.com/office/drawing/2014/main" id="{E7728438-FA12-434E-B439-6BCBAFF0CEFE}"/>
            </a:ext>
          </a:extLst>
        </xdr:cNvPr>
        <xdr:cNvSpPr txBox="1">
          <a:spLocks noChangeArrowheads="1"/>
        </xdr:cNvSpPr>
      </xdr:nvSpPr>
      <xdr:spPr bwMode="auto">
        <a:xfrm>
          <a:off x="12900660" y="8183880"/>
          <a:ext cx="137160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7" name="Text Box 35" hidden="1">
          <a:extLst>
            <a:ext uri="{FF2B5EF4-FFF2-40B4-BE49-F238E27FC236}">
              <a16:creationId xmlns:a16="http://schemas.microsoft.com/office/drawing/2014/main" id="{7641B9E9-6875-418C-999E-CD83065F4A08}"/>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6" name="Text Box 34" hidden="1">
          <a:extLst>
            <a:ext uri="{FF2B5EF4-FFF2-40B4-BE49-F238E27FC236}">
              <a16:creationId xmlns:a16="http://schemas.microsoft.com/office/drawing/2014/main" id="{E3A74598-19C4-4863-89B8-FBAA928455C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85" name="Text Box 33" hidden="1">
          <a:extLst>
            <a:ext uri="{FF2B5EF4-FFF2-40B4-BE49-F238E27FC236}">
              <a16:creationId xmlns:a16="http://schemas.microsoft.com/office/drawing/2014/main" id="{228D6AD2-976D-4E5D-98B7-C507CBC20FF4}"/>
            </a:ext>
          </a:extLst>
        </xdr:cNvPr>
        <xdr:cNvSpPr txBox="1">
          <a:spLocks noChangeArrowheads="1"/>
        </xdr:cNvSpPr>
      </xdr:nvSpPr>
      <xdr:spPr bwMode="auto">
        <a:xfrm>
          <a:off x="12458700" y="1080516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4" name="Text Box 32" hidden="1">
          <a:extLst>
            <a:ext uri="{FF2B5EF4-FFF2-40B4-BE49-F238E27FC236}">
              <a16:creationId xmlns:a16="http://schemas.microsoft.com/office/drawing/2014/main" id="{D672E75D-E8F6-4499-ABB3-4BAEBB91499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3" name="Text Box 31" hidden="1">
          <a:extLst>
            <a:ext uri="{FF2B5EF4-FFF2-40B4-BE49-F238E27FC236}">
              <a16:creationId xmlns:a16="http://schemas.microsoft.com/office/drawing/2014/main" id="{671497DD-8F33-423A-AF99-420206A8BEDB}"/>
            </a:ext>
          </a:extLst>
        </xdr:cNvPr>
        <xdr:cNvSpPr txBox="1">
          <a:spLocks noChangeArrowheads="1"/>
        </xdr:cNvSpPr>
      </xdr:nvSpPr>
      <xdr:spPr bwMode="auto">
        <a:xfrm>
          <a:off x="12900660" y="8176260"/>
          <a:ext cx="136398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2" name="Text Box 40" hidden="1">
          <a:extLst>
            <a:ext uri="{FF2B5EF4-FFF2-40B4-BE49-F238E27FC236}">
              <a16:creationId xmlns:a16="http://schemas.microsoft.com/office/drawing/2014/main" id="{867BBF87-74E2-4AEB-A36A-908238A3392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1" name="Text Box 39" hidden="1">
          <a:extLst>
            <a:ext uri="{FF2B5EF4-FFF2-40B4-BE49-F238E27FC236}">
              <a16:creationId xmlns:a16="http://schemas.microsoft.com/office/drawing/2014/main" id="{A2D35E53-171B-44FF-A9F7-3C5BBBC86C7D}"/>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90" name="Text Box 38" hidden="1">
          <a:extLst>
            <a:ext uri="{FF2B5EF4-FFF2-40B4-BE49-F238E27FC236}">
              <a16:creationId xmlns:a16="http://schemas.microsoft.com/office/drawing/2014/main" id="{CFC6C123-8A0E-4674-AB5D-222709AA8EC7}"/>
            </a:ext>
          </a:extLst>
        </xdr:cNvPr>
        <xdr:cNvSpPr txBox="1">
          <a:spLocks noChangeArrowheads="1"/>
        </xdr:cNvSpPr>
      </xdr:nvSpPr>
      <xdr:spPr bwMode="auto">
        <a:xfrm>
          <a:off x="12068175" y="1111567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9" name="Text Box 37" hidden="1">
          <a:extLst>
            <a:ext uri="{FF2B5EF4-FFF2-40B4-BE49-F238E27FC236}">
              <a16:creationId xmlns:a16="http://schemas.microsoft.com/office/drawing/2014/main" id="{A0CACA46-9C46-4CB1-AD37-E18FC68151B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8" name="Text Box 36" hidden="1">
          <a:extLst>
            <a:ext uri="{FF2B5EF4-FFF2-40B4-BE49-F238E27FC236}">
              <a16:creationId xmlns:a16="http://schemas.microsoft.com/office/drawing/2014/main" id="{DB00F3C8-92E9-42AF-A760-70EDDC859708}"/>
            </a:ext>
          </a:extLst>
        </xdr:cNvPr>
        <xdr:cNvSpPr txBox="1">
          <a:spLocks noChangeArrowheads="1"/>
        </xdr:cNvSpPr>
      </xdr:nvSpPr>
      <xdr:spPr bwMode="auto">
        <a:xfrm>
          <a:off x="12496800" y="8401050"/>
          <a:ext cx="132397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7" name="Text Box 45" hidden="1">
          <a:extLst>
            <a:ext uri="{FF2B5EF4-FFF2-40B4-BE49-F238E27FC236}">
              <a16:creationId xmlns:a16="http://schemas.microsoft.com/office/drawing/2014/main" id="{366DB5D9-9330-486C-93C3-CA3D03A68A6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6" name="Text Box 44" hidden="1">
          <a:extLst>
            <a:ext uri="{FF2B5EF4-FFF2-40B4-BE49-F238E27FC236}">
              <a16:creationId xmlns:a16="http://schemas.microsoft.com/office/drawing/2014/main" id="{930C3209-A868-4F3E-873E-9E3A7DB51DF8}"/>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4" name="Text Box 42" hidden="1">
          <a:extLst>
            <a:ext uri="{FF2B5EF4-FFF2-40B4-BE49-F238E27FC236}">
              <a16:creationId xmlns:a16="http://schemas.microsoft.com/office/drawing/2014/main" id="{A77792B2-5B5F-4FF0-92DE-94610CA5FF42}"/>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141787</xdr:rowOff>
    </xdr:to>
    <xdr:sp macro="" textlink="">
      <xdr:nvSpPr>
        <xdr:cNvPr id="253993" name="Text Box 41" hidden="1">
          <a:extLst>
            <a:ext uri="{FF2B5EF4-FFF2-40B4-BE49-F238E27FC236}">
              <a16:creationId xmlns:a16="http://schemas.microsoft.com/office/drawing/2014/main" id="{C90F92DA-FB47-400F-ACA3-C21C64E46FF8}"/>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01" name="Text Box 49" hidden="1">
          <a:extLst>
            <a:ext uri="{FF2B5EF4-FFF2-40B4-BE49-F238E27FC236}">
              <a16:creationId xmlns:a16="http://schemas.microsoft.com/office/drawing/2014/main" id="{8194668E-6D99-4BB3-9928-820C1E3D503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00" name="Text Box 48" hidden="1">
          <a:extLst>
            <a:ext uri="{FF2B5EF4-FFF2-40B4-BE49-F238E27FC236}">
              <a16:creationId xmlns:a16="http://schemas.microsoft.com/office/drawing/2014/main" id="{0AE6DD68-2DAE-4B97-A9B9-C0E8518A8391}"/>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9" name="Text Box 47" hidden="1">
          <a:extLst>
            <a:ext uri="{FF2B5EF4-FFF2-40B4-BE49-F238E27FC236}">
              <a16:creationId xmlns:a16="http://schemas.microsoft.com/office/drawing/2014/main" id="{D4104F4F-8477-4233-8840-1EC57D41CE1F}"/>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140970</xdr:rowOff>
    </xdr:to>
    <xdr:sp macro="" textlink="">
      <xdr:nvSpPr>
        <xdr:cNvPr id="253998" name="Text Box 46" hidden="1">
          <a:extLst>
            <a:ext uri="{FF2B5EF4-FFF2-40B4-BE49-F238E27FC236}">
              <a16:creationId xmlns:a16="http://schemas.microsoft.com/office/drawing/2014/main" id="{19BDC162-CB53-4794-BEB6-06CDE7B7E556}"/>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57</xdr:row>
      <xdr:rowOff>1270</xdr:rowOff>
    </xdr:from>
    <xdr:to>
      <xdr:col>21</xdr:col>
      <xdr:colOff>217170</xdr:colOff>
      <xdr:row>60</xdr:row>
      <xdr:rowOff>152400</xdr:rowOff>
    </xdr:to>
    <xdr:sp macro="" textlink="">
      <xdr:nvSpPr>
        <xdr:cNvPr id="254006" name="Text Box 54" hidden="1">
          <a:extLst>
            <a:ext uri="{FF2B5EF4-FFF2-40B4-BE49-F238E27FC236}">
              <a16:creationId xmlns:a16="http://schemas.microsoft.com/office/drawing/2014/main" id="{7121F289-73C5-49F2-A3B1-C4F00F5595AA}"/>
            </a:ext>
          </a:extLst>
        </xdr:cNvPr>
        <xdr:cNvSpPr txBox="1">
          <a:spLocks noChangeArrowheads="1"/>
        </xdr:cNvSpPr>
      </xdr:nvSpPr>
      <xdr:spPr bwMode="auto">
        <a:xfrm>
          <a:off x="12068175" y="113252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60</xdr:row>
      <xdr:rowOff>1270</xdr:rowOff>
    </xdr:from>
    <xdr:to>
      <xdr:col>21</xdr:col>
      <xdr:colOff>217170</xdr:colOff>
      <xdr:row>63</xdr:row>
      <xdr:rowOff>152400</xdr:rowOff>
    </xdr:to>
    <xdr:sp macro="" textlink="">
      <xdr:nvSpPr>
        <xdr:cNvPr id="254007" name="Text Box 55" hidden="1">
          <a:extLst>
            <a:ext uri="{FF2B5EF4-FFF2-40B4-BE49-F238E27FC236}">
              <a16:creationId xmlns:a16="http://schemas.microsoft.com/office/drawing/2014/main" id="{A2408D7B-6AD9-44F6-9453-EF041EAD9C8E}"/>
            </a:ext>
          </a:extLst>
        </xdr:cNvPr>
        <xdr:cNvSpPr txBox="1">
          <a:spLocks noChangeArrowheads="1"/>
        </xdr:cNvSpPr>
      </xdr:nvSpPr>
      <xdr:spPr bwMode="auto">
        <a:xfrm>
          <a:off x="12068175" y="118967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63</xdr:row>
      <xdr:rowOff>1270</xdr:rowOff>
    </xdr:from>
    <xdr:to>
      <xdr:col>19</xdr:col>
      <xdr:colOff>217170</xdr:colOff>
      <xdr:row>66</xdr:row>
      <xdr:rowOff>140970</xdr:rowOff>
    </xdr:to>
    <xdr:sp macro="" textlink="">
      <xdr:nvSpPr>
        <xdr:cNvPr id="254008" name="Text Box 56" hidden="1">
          <a:extLst>
            <a:ext uri="{FF2B5EF4-FFF2-40B4-BE49-F238E27FC236}">
              <a16:creationId xmlns:a16="http://schemas.microsoft.com/office/drawing/2014/main" id="{873A723F-A2C8-47DD-B982-7F0875EAC57C}"/>
            </a:ext>
          </a:extLst>
        </xdr:cNvPr>
        <xdr:cNvSpPr txBox="1">
          <a:spLocks noChangeArrowheads="1"/>
        </xdr:cNvSpPr>
      </xdr:nvSpPr>
      <xdr:spPr bwMode="auto">
        <a:xfrm>
          <a:off x="11210925" y="12468225"/>
          <a:ext cx="1343025"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217170</xdr:colOff>
      <xdr:row>91</xdr:row>
      <xdr:rowOff>122827</xdr:rowOff>
    </xdr:to>
    <xdr:sp macro="" textlink="">
      <xdr:nvSpPr>
        <xdr:cNvPr id="254009" name="Text Box 57" hidden="1">
          <a:extLst>
            <a:ext uri="{FF2B5EF4-FFF2-40B4-BE49-F238E27FC236}">
              <a16:creationId xmlns:a16="http://schemas.microsoft.com/office/drawing/2014/main" id="{2452DF54-F88A-41B3-B844-B7412693576C}"/>
            </a:ext>
          </a:extLst>
        </xdr:cNvPr>
        <xdr:cNvSpPr txBox="1">
          <a:spLocks noChangeArrowheads="1"/>
        </xdr:cNvSpPr>
      </xdr:nvSpPr>
      <xdr:spPr bwMode="auto">
        <a:xfrm>
          <a:off x="12496800" y="17078325"/>
          <a:ext cx="1343025"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17" name="Text Box 65" hidden="1">
          <a:extLst>
            <a:ext uri="{FF2B5EF4-FFF2-40B4-BE49-F238E27FC236}">
              <a16:creationId xmlns:a16="http://schemas.microsoft.com/office/drawing/2014/main" id="{FC92EFD8-A0CE-4128-AA15-7EE30C5E4EC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16" name="Text Box 64" hidden="1">
          <a:extLst>
            <a:ext uri="{FF2B5EF4-FFF2-40B4-BE49-F238E27FC236}">
              <a16:creationId xmlns:a16="http://schemas.microsoft.com/office/drawing/2014/main" id="{2721EA77-BF9B-4855-AA0B-0A30794B7C34}"/>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15" name="Text Box 63" hidden="1">
          <a:extLst>
            <a:ext uri="{FF2B5EF4-FFF2-40B4-BE49-F238E27FC236}">
              <a16:creationId xmlns:a16="http://schemas.microsoft.com/office/drawing/2014/main" id="{268C6FCD-46EA-41E5-B435-D65A2C7AEBCC}"/>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14" name="Text Box 62" hidden="1">
          <a:extLst>
            <a:ext uri="{FF2B5EF4-FFF2-40B4-BE49-F238E27FC236}">
              <a16:creationId xmlns:a16="http://schemas.microsoft.com/office/drawing/2014/main" id="{98F0E968-0941-4B3A-A148-1099C49D04D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171450</xdr:rowOff>
    </xdr:from>
    <xdr:to>
      <xdr:col>21</xdr:col>
      <xdr:colOff>209550</xdr:colOff>
      <xdr:row>60</xdr:row>
      <xdr:rowOff>152400</xdr:rowOff>
    </xdr:to>
    <xdr:sp macro="" textlink="">
      <xdr:nvSpPr>
        <xdr:cNvPr id="254013" name="Text Box 61" hidden="1">
          <a:extLst>
            <a:ext uri="{FF2B5EF4-FFF2-40B4-BE49-F238E27FC236}">
              <a16:creationId xmlns:a16="http://schemas.microsoft.com/office/drawing/2014/main" id="{7703C89E-4F0D-4A9B-BFA0-B7FFA5B4AEE8}"/>
            </a:ext>
          </a:extLst>
        </xdr:cNvPr>
        <xdr:cNvSpPr txBox="1">
          <a:spLocks noChangeArrowheads="1"/>
        </xdr:cNvSpPr>
      </xdr:nvSpPr>
      <xdr:spPr bwMode="auto">
        <a:xfrm>
          <a:off x="12515850" y="111125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59</xdr:row>
      <xdr:rowOff>171450</xdr:rowOff>
    </xdr:from>
    <xdr:to>
      <xdr:col>21</xdr:col>
      <xdr:colOff>209550</xdr:colOff>
      <xdr:row>63</xdr:row>
      <xdr:rowOff>152400</xdr:rowOff>
    </xdr:to>
    <xdr:sp macro="" textlink="">
      <xdr:nvSpPr>
        <xdr:cNvPr id="254012" name="Text Box 60" hidden="1">
          <a:extLst>
            <a:ext uri="{FF2B5EF4-FFF2-40B4-BE49-F238E27FC236}">
              <a16:creationId xmlns:a16="http://schemas.microsoft.com/office/drawing/2014/main" id="{B870ECDD-93A3-4936-96F3-6A04F6E487CC}"/>
            </a:ext>
          </a:extLst>
        </xdr:cNvPr>
        <xdr:cNvSpPr txBox="1">
          <a:spLocks noChangeArrowheads="1"/>
        </xdr:cNvSpPr>
      </xdr:nvSpPr>
      <xdr:spPr bwMode="auto">
        <a:xfrm>
          <a:off x="12515850" y="1166495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62</xdr:row>
      <xdr:rowOff>171450</xdr:rowOff>
    </xdr:from>
    <xdr:to>
      <xdr:col>19</xdr:col>
      <xdr:colOff>209550</xdr:colOff>
      <xdr:row>66</xdr:row>
      <xdr:rowOff>133350</xdr:rowOff>
    </xdr:to>
    <xdr:sp macro="" textlink="">
      <xdr:nvSpPr>
        <xdr:cNvPr id="254011" name="Text Box 59" hidden="1">
          <a:extLst>
            <a:ext uri="{FF2B5EF4-FFF2-40B4-BE49-F238E27FC236}">
              <a16:creationId xmlns:a16="http://schemas.microsoft.com/office/drawing/2014/main" id="{585E90A2-2219-4733-83F7-E5F886707A9A}"/>
            </a:ext>
          </a:extLst>
        </xdr:cNvPr>
        <xdr:cNvSpPr txBox="1">
          <a:spLocks noChangeArrowheads="1"/>
        </xdr:cNvSpPr>
      </xdr:nvSpPr>
      <xdr:spPr bwMode="auto">
        <a:xfrm>
          <a:off x="11614150" y="12217400"/>
          <a:ext cx="14097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209550</xdr:colOff>
      <xdr:row>91</xdr:row>
      <xdr:rowOff>115207</xdr:rowOff>
    </xdr:to>
    <xdr:sp macro="" textlink="">
      <xdr:nvSpPr>
        <xdr:cNvPr id="254010" name="Text Box 58" hidden="1">
          <a:extLst>
            <a:ext uri="{FF2B5EF4-FFF2-40B4-BE49-F238E27FC236}">
              <a16:creationId xmlns:a16="http://schemas.microsoft.com/office/drawing/2014/main" id="{FFA21A02-D913-4F13-8D2C-1C7609A7766A}"/>
            </a:ext>
          </a:extLst>
        </xdr:cNvPr>
        <xdr:cNvSpPr txBox="1">
          <a:spLocks noChangeArrowheads="1"/>
        </xdr:cNvSpPr>
      </xdr:nvSpPr>
      <xdr:spPr bwMode="auto">
        <a:xfrm>
          <a:off x="12966700" y="167513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5" name="Text Box 73" hidden="1">
          <a:extLst>
            <a:ext uri="{FF2B5EF4-FFF2-40B4-BE49-F238E27FC236}">
              <a16:creationId xmlns:a16="http://schemas.microsoft.com/office/drawing/2014/main" id="{C8A7D88D-FE03-46BC-A8E2-FCDC5E2128C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4" name="Text Box 72" hidden="1">
          <a:extLst>
            <a:ext uri="{FF2B5EF4-FFF2-40B4-BE49-F238E27FC236}">
              <a16:creationId xmlns:a16="http://schemas.microsoft.com/office/drawing/2014/main" id="{9EF12882-9B93-4402-8A86-00888991D0C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3" name="Text Box 71" hidden="1">
          <a:extLst>
            <a:ext uri="{FF2B5EF4-FFF2-40B4-BE49-F238E27FC236}">
              <a16:creationId xmlns:a16="http://schemas.microsoft.com/office/drawing/2014/main" id="{9753F596-6DB3-432D-B2B8-2FA9812807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22" name="Text Box 70" hidden="1">
          <a:extLst>
            <a:ext uri="{FF2B5EF4-FFF2-40B4-BE49-F238E27FC236}">
              <a16:creationId xmlns:a16="http://schemas.microsoft.com/office/drawing/2014/main" id="{22E90EE4-4A60-4062-8A0C-5469C1C37A2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9" name="Text Box 77" hidden="1">
          <a:extLst>
            <a:ext uri="{FF2B5EF4-FFF2-40B4-BE49-F238E27FC236}">
              <a16:creationId xmlns:a16="http://schemas.microsoft.com/office/drawing/2014/main" id="{D85FDE1E-1C25-4A0A-81A1-EC1BC2E93F43}"/>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8" name="Text Box 76" hidden="1">
          <a:extLst>
            <a:ext uri="{FF2B5EF4-FFF2-40B4-BE49-F238E27FC236}">
              <a16:creationId xmlns:a16="http://schemas.microsoft.com/office/drawing/2014/main" id="{906BAB07-7F9F-43A5-8A92-7CA30912FDA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7" name="Text Box 75" hidden="1">
          <a:extLst>
            <a:ext uri="{FF2B5EF4-FFF2-40B4-BE49-F238E27FC236}">
              <a16:creationId xmlns:a16="http://schemas.microsoft.com/office/drawing/2014/main" id="{2CA08551-0682-463E-8424-06CE5D577AA1}"/>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26" name="Text Box 74" hidden="1">
          <a:extLst>
            <a:ext uri="{FF2B5EF4-FFF2-40B4-BE49-F238E27FC236}">
              <a16:creationId xmlns:a16="http://schemas.microsoft.com/office/drawing/2014/main" id="{E370550D-7F66-494F-A9E7-2C700AC8E510}"/>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0" name="Text Box 78" hidden="1">
          <a:extLst>
            <a:ext uri="{FF2B5EF4-FFF2-40B4-BE49-F238E27FC236}">
              <a16:creationId xmlns:a16="http://schemas.microsoft.com/office/drawing/2014/main" id="{F1517D70-8BF9-4912-B802-91018CEB4F27}"/>
            </a:ext>
          </a:extLst>
        </xdr:cNvPr>
        <xdr:cNvSpPr txBox="1">
          <a:spLocks noChangeArrowheads="1"/>
        </xdr:cNvSpPr>
      </xdr:nvSpPr>
      <xdr:spPr bwMode="auto">
        <a:xfrm>
          <a:off x="12382500" y="8328660"/>
          <a:ext cx="1287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35" name="Text Box 83" hidden="1">
          <a:extLst>
            <a:ext uri="{FF2B5EF4-FFF2-40B4-BE49-F238E27FC236}">
              <a16:creationId xmlns:a16="http://schemas.microsoft.com/office/drawing/2014/main" id="{C4136574-684F-42B7-99D4-06E55152E6C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4" name="Text Box 82" hidden="1">
          <a:extLst>
            <a:ext uri="{FF2B5EF4-FFF2-40B4-BE49-F238E27FC236}">
              <a16:creationId xmlns:a16="http://schemas.microsoft.com/office/drawing/2014/main" id="{8A991C61-32F0-4BFA-9681-C62041A591C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3" name="Text Box 81" hidden="1">
          <a:extLst>
            <a:ext uri="{FF2B5EF4-FFF2-40B4-BE49-F238E27FC236}">
              <a16:creationId xmlns:a16="http://schemas.microsoft.com/office/drawing/2014/main" id="{54014848-C903-458D-ABA4-AF4C0E6FA26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2" name="Text Box 80" hidden="1">
          <a:extLst>
            <a:ext uri="{FF2B5EF4-FFF2-40B4-BE49-F238E27FC236}">
              <a16:creationId xmlns:a16="http://schemas.microsoft.com/office/drawing/2014/main" id="{1CB89CF4-F425-4DDF-9538-5EB501814F4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1" name="Text Box 79" hidden="1">
          <a:extLst>
            <a:ext uri="{FF2B5EF4-FFF2-40B4-BE49-F238E27FC236}">
              <a16:creationId xmlns:a16="http://schemas.microsoft.com/office/drawing/2014/main" id="{93ED7369-3C48-45C5-A991-E75B107C91BE}"/>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0" name="Text Box 88" hidden="1">
          <a:extLst>
            <a:ext uri="{FF2B5EF4-FFF2-40B4-BE49-F238E27FC236}">
              <a16:creationId xmlns:a16="http://schemas.microsoft.com/office/drawing/2014/main" id="{025BD699-889F-4416-927A-503D26BBB3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9" name="Text Box 87" hidden="1">
          <a:extLst>
            <a:ext uri="{FF2B5EF4-FFF2-40B4-BE49-F238E27FC236}">
              <a16:creationId xmlns:a16="http://schemas.microsoft.com/office/drawing/2014/main" id="{32B0AB3B-BC50-4FDB-B35E-4D88DAE2BA9D}"/>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8" name="Text Box 86" hidden="1">
          <a:extLst>
            <a:ext uri="{FF2B5EF4-FFF2-40B4-BE49-F238E27FC236}">
              <a16:creationId xmlns:a16="http://schemas.microsoft.com/office/drawing/2014/main" id="{0CE837B7-155D-4B46-9D87-BE2CD1EE0C49}"/>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7" name="Text Box 85" hidden="1">
          <a:extLst>
            <a:ext uri="{FF2B5EF4-FFF2-40B4-BE49-F238E27FC236}">
              <a16:creationId xmlns:a16="http://schemas.microsoft.com/office/drawing/2014/main" id="{79822F0F-96E0-4130-94EA-15C8A1C301F2}"/>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6" name="Text Box 84" hidden="1">
          <a:extLst>
            <a:ext uri="{FF2B5EF4-FFF2-40B4-BE49-F238E27FC236}">
              <a16:creationId xmlns:a16="http://schemas.microsoft.com/office/drawing/2014/main" id="{CA4EB366-50D3-41DD-A03D-5A960A59A39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5" name="Text Box 103" hidden="1">
          <a:extLst>
            <a:ext uri="{FF2B5EF4-FFF2-40B4-BE49-F238E27FC236}">
              <a16:creationId xmlns:a16="http://schemas.microsoft.com/office/drawing/2014/main" id="{681DF065-9C50-4A99-88E4-D5F62F5AD15E}"/>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4" name="Text Box 102" hidden="1">
          <a:extLst>
            <a:ext uri="{FF2B5EF4-FFF2-40B4-BE49-F238E27FC236}">
              <a16:creationId xmlns:a16="http://schemas.microsoft.com/office/drawing/2014/main" id="{5573B8E2-85A4-4F11-89AC-9F5EE61D346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3" name="Text Box 101" hidden="1">
          <a:extLst>
            <a:ext uri="{FF2B5EF4-FFF2-40B4-BE49-F238E27FC236}">
              <a16:creationId xmlns:a16="http://schemas.microsoft.com/office/drawing/2014/main" id="{BA11F50A-837D-4F2B-B94A-BCFC546F16E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2" name="Text Box 100" hidden="1">
          <a:extLst>
            <a:ext uri="{FF2B5EF4-FFF2-40B4-BE49-F238E27FC236}">
              <a16:creationId xmlns:a16="http://schemas.microsoft.com/office/drawing/2014/main" id="{FF2FA778-E997-4BAA-AF50-2B55FD8AC10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1" name="Text Box 99" hidden="1">
          <a:extLst>
            <a:ext uri="{FF2B5EF4-FFF2-40B4-BE49-F238E27FC236}">
              <a16:creationId xmlns:a16="http://schemas.microsoft.com/office/drawing/2014/main" id="{BA44C3CE-ACC1-4203-B460-515393C4F8EA}"/>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0" name="Text Box 98" hidden="1">
          <a:extLst>
            <a:ext uri="{FF2B5EF4-FFF2-40B4-BE49-F238E27FC236}">
              <a16:creationId xmlns:a16="http://schemas.microsoft.com/office/drawing/2014/main" id="{944DE99E-6A00-4213-9C3C-4373D5F06B10}"/>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9" name="Text Box 97" hidden="1">
          <a:extLst>
            <a:ext uri="{FF2B5EF4-FFF2-40B4-BE49-F238E27FC236}">
              <a16:creationId xmlns:a16="http://schemas.microsoft.com/office/drawing/2014/main" id="{EA4CFC32-6389-4E95-949D-00F3B19975F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8" name="Text Box 96" hidden="1">
          <a:extLst>
            <a:ext uri="{FF2B5EF4-FFF2-40B4-BE49-F238E27FC236}">
              <a16:creationId xmlns:a16="http://schemas.microsoft.com/office/drawing/2014/main" id="{DE669E0A-6EBB-4470-8528-B85DC0DA374F}"/>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7" name="Text Box 95" hidden="1">
          <a:extLst>
            <a:ext uri="{FF2B5EF4-FFF2-40B4-BE49-F238E27FC236}">
              <a16:creationId xmlns:a16="http://schemas.microsoft.com/office/drawing/2014/main" id="{DCDBAE3F-DD40-447A-9566-3256D2DA1D1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6" name="Text Box 94" hidden="1">
          <a:extLst>
            <a:ext uri="{FF2B5EF4-FFF2-40B4-BE49-F238E27FC236}">
              <a16:creationId xmlns:a16="http://schemas.microsoft.com/office/drawing/2014/main" id="{DDC26B90-D232-487D-896C-97A070D23049}"/>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5" name="Text Box 93" hidden="1">
          <a:extLst>
            <a:ext uri="{FF2B5EF4-FFF2-40B4-BE49-F238E27FC236}">
              <a16:creationId xmlns:a16="http://schemas.microsoft.com/office/drawing/2014/main" id="{B993323B-5B29-4F5A-8F7D-13FF50ACE4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4" name="Text Box 92" hidden="1">
          <a:extLst>
            <a:ext uri="{FF2B5EF4-FFF2-40B4-BE49-F238E27FC236}">
              <a16:creationId xmlns:a16="http://schemas.microsoft.com/office/drawing/2014/main" id="{DECB84D9-3F57-47A0-A7C3-433B56D7D03A}"/>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3" name="Text Box 91" hidden="1">
          <a:extLst>
            <a:ext uri="{FF2B5EF4-FFF2-40B4-BE49-F238E27FC236}">
              <a16:creationId xmlns:a16="http://schemas.microsoft.com/office/drawing/2014/main" id="{942DCB35-01AF-4D28-B60A-9DD62A0EEB4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2" name="Text Box 90" hidden="1">
          <a:extLst>
            <a:ext uri="{FF2B5EF4-FFF2-40B4-BE49-F238E27FC236}">
              <a16:creationId xmlns:a16="http://schemas.microsoft.com/office/drawing/2014/main" id="{233B47BA-D925-42B5-874F-C90DBAE0874D}"/>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1" name="Text Box 89" hidden="1">
          <a:extLst>
            <a:ext uri="{FF2B5EF4-FFF2-40B4-BE49-F238E27FC236}">
              <a16:creationId xmlns:a16="http://schemas.microsoft.com/office/drawing/2014/main" id="{77CDF082-8482-458E-B3B1-DF7A791CDDC2}"/>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0" name="Text Box 118" hidden="1">
          <a:extLst>
            <a:ext uri="{FF2B5EF4-FFF2-40B4-BE49-F238E27FC236}">
              <a16:creationId xmlns:a16="http://schemas.microsoft.com/office/drawing/2014/main" id="{E81640F2-D90D-4280-A6EB-D58B4DC5FE01}"/>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9" name="Text Box 117" hidden="1">
          <a:extLst>
            <a:ext uri="{FF2B5EF4-FFF2-40B4-BE49-F238E27FC236}">
              <a16:creationId xmlns:a16="http://schemas.microsoft.com/office/drawing/2014/main" id="{22C1B8B3-655B-4ADB-85E8-AF5B065E3B1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8" name="Text Box 116" hidden="1">
          <a:extLst>
            <a:ext uri="{FF2B5EF4-FFF2-40B4-BE49-F238E27FC236}">
              <a16:creationId xmlns:a16="http://schemas.microsoft.com/office/drawing/2014/main" id="{174BCA59-3586-4154-8F8B-A53D4FE692A0}"/>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7" name="Text Box 115" hidden="1">
          <a:extLst>
            <a:ext uri="{FF2B5EF4-FFF2-40B4-BE49-F238E27FC236}">
              <a16:creationId xmlns:a16="http://schemas.microsoft.com/office/drawing/2014/main" id="{2EFC9331-D048-4EAE-8AA6-2B681469C536}"/>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6" name="Text Box 114" hidden="1">
          <a:extLst>
            <a:ext uri="{FF2B5EF4-FFF2-40B4-BE49-F238E27FC236}">
              <a16:creationId xmlns:a16="http://schemas.microsoft.com/office/drawing/2014/main" id="{E036E5E5-7EB6-4B33-94B0-F81482811408}"/>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5" name="Text Box 113" hidden="1">
          <a:extLst>
            <a:ext uri="{FF2B5EF4-FFF2-40B4-BE49-F238E27FC236}">
              <a16:creationId xmlns:a16="http://schemas.microsoft.com/office/drawing/2014/main" id="{3EA51F31-0799-4E3A-907A-6C5F41B964C2}"/>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4" name="Text Box 112" hidden="1">
          <a:extLst>
            <a:ext uri="{FF2B5EF4-FFF2-40B4-BE49-F238E27FC236}">
              <a16:creationId xmlns:a16="http://schemas.microsoft.com/office/drawing/2014/main" id="{4CE81FF0-445C-4DCB-AB55-0C22A4225E7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3" name="Text Box 111" hidden="1">
          <a:extLst>
            <a:ext uri="{FF2B5EF4-FFF2-40B4-BE49-F238E27FC236}">
              <a16:creationId xmlns:a16="http://schemas.microsoft.com/office/drawing/2014/main" id="{7AFE4C70-DDF9-4C94-A776-72FC7AE471EC}"/>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2" name="Text Box 110" hidden="1">
          <a:extLst>
            <a:ext uri="{FF2B5EF4-FFF2-40B4-BE49-F238E27FC236}">
              <a16:creationId xmlns:a16="http://schemas.microsoft.com/office/drawing/2014/main" id="{B5E70241-3D54-4DDC-B44D-04377AEE206A}"/>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1" name="Text Box 109" hidden="1">
          <a:extLst>
            <a:ext uri="{FF2B5EF4-FFF2-40B4-BE49-F238E27FC236}">
              <a16:creationId xmlns:a16="http://schemas.microsoft.com/office/drawing/2014/main" id="{11CBA8FD-75CE-47A8-BF7D-2A168FB06945}"/>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0" name="Text Box 108" hidden="1">
          <a:extLst>
            <a:ext uri="{FF2B5EF4-FFF2-40B4-BE49-F238E27FC236}">
              <a16:creationId xmlns:a16="http://schemas.microsoft.com/office/drawing/2014/main" id="{B1302F8D-1671-443F-AD32-09EB5DDCE7A7}"/>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9" name="Text Box 107" hidden="1">
          <a:extLst>
            <a:ext uri="{FF2B5EF4-FFF2-40B4-BE49-F238E27FC236}">
              <a16:creationId xmlns:a16="http://schemas.microsoft.com/office/drawing/2014/main" id="{0FE96101-D7B4-4D5B-AD6D-9570F9C22486}"/>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8" name="Text Box 106" hidden="1">
          <a:extLst>
            <a:ext uri="{FF2B5EF4-FFF2-40B4-BE49-F238E27FC236}">
              <a16:creationId xmlns:a16="http://schemas.microsoft.com/office/drawing/2014/main" id="{E51CF832-5DDF-418E-915E-D37DB4138404}"/>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7" name="Text Box 105" hidden="1">
          <a:extLst>
            <a:ext uri="{FF2B5EF4-FFF2-40B4-BE49-F238E27FC236}">
              <a16:creationId xmlns:a16="http://schemas.microsoft.com/office/drawing/2014/main" id="{6450B6AF-1E8F-4140-A9D4-29774359D227}"/>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6" name="Text Box 104" hidden="1">
          <a:extLst>
            <a:ext uri="{FF2B5EF4-FFF2-40B4-BE49-F238E27FC236}">
              <a16:creationId xmlns:a16="http://schemas.microsoft.com/office/drawing/2014/main" id="{3576DC55-FF71-49D9-96FE-27D6465B257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5" name="Text Box 123" hidden="1">
          <a:extLst>
            <a:ext uri="{FF2B5EF4-FFF2-40B4-BE49-F238E27FC236}">
              <a16:creationId xmlns:a16="http://schemas.microsoft.com/office/drawing/2014/main" id="{978210E6-6415-472A-AFA5-7D158710C3C1}"/>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4" name="Text Box 122" hidden="1">
          <a:extLst>
            <a:ext uri="{FF2B5EF4-FFF2-40B4-BE49-F238E27FC236}">
              <a16:creationId xmlns:a16="http://schemas.microsoft.com/office/drawing/2014/main" id="{F316D644-B619-4083-8F85-FFF1D3BD602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3" name="Text Box 121" hidden="1">
          <a:extLst>
            <a:ext uri="{FF2B5EF4-FFF2-40B4-BE49-F238E27FC236}">
              <a16:creationId xmlns:a16="http://schemas.microsoft.com/office/drawing/2014/main" id="{BAC13CE5-9F00-4996-BE29-2C1635F35F3D}"/>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2" name="Text Box 120" hidden="1">
          <a:extLst>
            <a:ext uri="{FF2B5EF4-FFF2-40B4-BE49-F238E27FC236}">
              <a16:creationId xmlns:a16="http://schemas.microsoft.com/office/drawing/2014/main" id="{96CE7FFB-E904-413F-8AF3-6E1203AEA54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1" name="Text Box 119" hidden="1">
          <a:extLst>
            <a:ext uri="{FF2B5EF4-FFF2-40B4-BE49-F238E27FC236}">
              <a16:creationId xmlns:a16="http://schemas.microsoft.com/office/drawing/2014/main" id="{D1E738CA-FA06-446A-9236-978C454DF3C7}"/>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0" name="Text Box 128" hidden="1">
          <a:extLst>
            <a:ext uri="{FF2B5EF4-FFF2-40B4-BE49-F238E27FC236}">
              <a16:creationId xmlns:a16="http://schemas.microsoft.com/office/drawing/2014/main" id="{CB8707CC-F302-4ADC-BFC9-E2CBEAFEBCE8}"/>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9" name="Text Box 127" hidden="1">
          <a:extLst>
            <a:ext uri="{FF2B5EF4-FFF2-40B4-BE49-F238E27FC236}">
              <a16:creationId xmlns:a16="http://schemas.microsoft.com/office/drawing/2014/main" id="{43CE300B-E277-4734-AC5E-9445C550063C}"/>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8" name="Text Box 126" hidden="1">
          <a:extLst>
            <a:ext uri="{FF2B5EF4-FFF2-40B4-BE49-F238E27FC236}">
              <a16:creationId xmlns:a16="http://schemas.microsoft.com/office/drawing/2014/main" id="{CCC5E8DD-2118-479E-9924-E599A87A20D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7" name="Text Box 125" hidden="1">
          <a:extLst>
            <a:ext uri="{FF2B5EF4-FFF2-40B4-BE49-F238E27FC236}">
              <a16:creationId xmlns:a16="http://schemas.microsoft.com/office/drawing/2014/main" id="{995F86FB-2141-4C15-828A-985BBA482739}"/>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6" name="Text Box 124" hidden="1">
          <a:extLst>
            <a:ext uri="{FF2B5EF4-FFF2-40B4-BE49-F238E27FC236}">
              <a16:creationId xmlns:a16="http://schemas.microsoft.com/office/drawing/2014/main" id="{CE765FF3-ACA8-453F-B3C7-0515E22D7476}"/>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5" name="Text Box 133" hidden="1">
          <a:extLst>
            <a:ext uri="{FF2B5EF4-FFF2-40B4-BE49-F238E27FC236}">
              <a16:creationId xmlns:a16="http://schemas.microsoft.com/office/drawing/2014/main" id="{ED488D3E-5087-4452-BDAD-0C0238DD571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4" name="Text Box 132" hidden="1">
          <a:extLst>
            <a:ext uri="{FF2B5EF4-FFF2-40B4-BE49-F238E27FC236}">
              <a16:creationId xmlns:a16="http://schemas.microsoft.com/office/drawing/2014/main" id="{6B527C80-FFF1-402D-B2AA-37349EF447B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3" name="Text Box 131" hidden="1">
          <a:extLst>
            <a:ext uri="{FF2B5EF4-FFF2-40B4-BE49-F238E27FC236}">
              <a16:creationId xmlns:a16="http://schemas.microsoft.com/office/drawing/2014/main" id="{38901A94-9B10-4E21-A6F3-96D8B5C6CC31}"/>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2" name="Text Box 130" hidden="1">
          <a:extLst>
            <a:ext uri="{FF2B5EF4-FFF2-40B4-BE49-F238E27FC236}">
              <a16:creationId xmlns:a16="http://schemas.microsoft.com/office/drawing/2014/main" id="{C40618D6-F382-414E-AF20-B2D1AF40519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1" name="Text Box 129" hidden="1">
          <a:extLst>
            <a:ext uri="{FF2B5EF4-FFF2-40B4-BE49-F238E27FC236}">
              <a16:creationId xmlns:a16="http://schemas.microsoft.com/office/drawing/2014/main" id="{6DB0AD2F-4888-4601-82C2-C6D81201052A}"/>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0" name="Text Box 138" hidden="1">
          <a:extLst>
            <a:ext uri="{FF2B5EF4-FFF2-40B4-BE49-F238E27FC236}">
              <a16:creationId xmlns:a16="http://schemas.microsoft.com/office/drawing/2014/main" id="{75F318AB-7D7B-46AE-BDB8-5F09848A012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9" name="Text Box 137" hidden="1">
          <a:extLst>
            <a:ext uri="{FF2B5EF4-FFF2-40B4-BE49-F238E27FC236}">
              <a16:creationId xmlns:a16="http://schemas.microsoft.com/office/drawing/2014/main" id="{EEE6D05D-4C5B-4D29-9A64-96C4AC88B0E3}"/>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8" name="Text Box 136" hidden="1">
          <a:extLst>
            <a:ext uri="{FF2B5EF4-FFF2-40B4-BE49-F238E27FC236}">
              <a16:creationId xmlns:a16="http://schemas.microsoft.com/office/drawing/2014/main" id="{989A3EF5-F702-421D-BBC9-EBB52CFEC60E}"/>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7" name="Text Box 135" hidden="1">
          <a:extLst>
            <a:ext uri="{FF2B5EF4-FFF2-40B4-BE49-F238E27FC236}">
              <a16:creationId xmlns:a16="http://schemas.microsoft.com/office/drawing/2014/main" id="{5AA09665-97C3-4C1E-9111-26395BDA398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6" name="Text Box 134" hidden="1">
          <a:extLst>
            <a:ext uri="{FF2B5EF4-FFF2-40B4-BE49-F238E27FC236}">
              <a16:creationId xmlns:a16="http://schemas.microsoft.com/office/drawing/2014/main" id="{EB9B4EE2-0B4D-40BE-9C93-0B859CB8C8B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5" name="Text Box 143" hidden="1">
          <a:extLst>
            <a:ext uri="{FF2B5EF4-FFF2-40B4-BE49-F238E27FC236}">
              <a16:creationId xmlns:a16="http://schemas.microsoft.com/office/drawing/2014/main" id="{BAA496B7-8D8A-414D-925F-287E25684C10}"/>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4" name="Text Box 142" hidden="1">
          <a:extLst>
            <a:ext uri="{FF2B5EF4-FFF2-40B4-BE49-F238E27FC236}">
              <a16:creationId xmlns:a16="http://schemas.microsoft.com/office/drawing/2014/main" id="{9F93893B-AB59-420D-A009-53CC9A1DCA39}"/>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3" name="Text Box 141" hidden="1">
          <a:extLst>
            <a:ext uri="{FF2B5EF4-FFF2-40B4-BE49-F238E27FC236}">
              <a16:creationId xmlns:a16="http://schemas.microsoft.com/office/drawing/2014/main" id="{8911D1FD-756F-4E5C-A5D1-7DA20482264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2" name="Text Box 140" hidden="1">
          <a:extLst>
            <a:ext uri="{FF2B5EF4-FFF2-40B4-BE49-F238E27FC236}">
              <a16:creationId xmlns:a16="http://schemas.microsoft.com/office/drawing/2014/main" id="{8E77DAE0-3895-4ADD-94A8-F888E310A287}"/>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1" name="Text Box 139" hidden="1">
          <a:extLst>
            <a:ext uri="{FF2B5EF4-FFF2-40B4-BE49-F238E27FC236}">
              <a16:creationId xmlns:a16="http://schemas.microsoft.com/office/drawing/2014/main" id="{988195A7-15CD-42C5-8CDD-2243F73BFBA8}"/>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100" name="Text Box 148" hidden="1">
          <a:extLst>
            <a:ext uri="{FF2B5EF4-FFF2-40B4-BE49-F238E27FC236}">
              <a16:creationId xmlns:a16="http://schemas.microsoft.com/office/drawing/2014/main" id="{267AD045-E19C-460B-8DB7-EDA208E9E283}"/>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9" name="Text Box 147" hidden="1">
          <a:extLst>
            <a:ext uri="{FF2B5EF4-FFF2-40B4-BE49-F238E27FC236}">
              <a16:creationId xmlns:a16="http://schemas.microsoft.com/office/drawing/2014/main" id="{A5F51187-2A6D-4057-B784-93C3724BBFEE}"/>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8" name="Text Box 146" hidden="1">
          <a:extLst>
            <a:ext uri="{FF2B5EF4-FFF2-40B4-BE49-F238E27FC236}">
              <a16:creationId xmlns:a16="http://schemas.microsoft.com/office/drawing/2014/main" id="{45574422-0D0A-4DDF-A841-D652B1B1F0E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7" name="Text Box 145" hidden="1">
          <a:extLst>
            <a:ext uri="{FF2B5EF4-FFF2-40B4-BE49-F238E27FC236}">
              <a16:creationId xmlns:a16="http://schemas.microsoft.com/office/drawing/2014/main" id="{580F0238-350A-48EB-8396-7F2C8F9A944D}"/>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6" name="Text Box 144" hidden="1">
          <a:extLst>
            <a:ext uri="{FF2B5EF4-FFF2-40B4-BE49-F238E27FC236}">
              <a16:creationId xmlns:a16="http://schemas.microsoft.com/office/drawing/2014/main" id="{2FE11712-1A25-43D8-B7D7-666E1AD542C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54101" name="Text Box 149" hidden="1">
          <a:extLst>
            <a:ext uri="{FF2B5EF4-FFF2-40B4-BE49-F238E27FC236}">
              <a16:creationId xmlns:a16="http://schemas.microsoft.com/office/drawing/2014/main" id="{B845E3A9-5C60-4BEC-93B5-67F90BD197ED}"/>
            </a:ext>
          </a:extLst>
        </xdr:cNvPr>
        <xdr:cNvSpPr txBox="1">
          <a:spLocks noChangeArrowheads="1"/>
        </xdr:cNvSpPr>
      </xdr:nvSpPr>
      <xdr:spPr bwMode="auto">
        <a:xfrm>
          <a:off x="13277850" y="3467100"/>
          <a:ext cx="1285875"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54102" name="Text Box 150" hidden="1">
          <a:extLst>
            <a:ext uri="{FF2B5EF4-FFF2-40B4-BE49-F238E27FC236}">
              <a16:creationId xmlns:a16="http://schemas.microsoft.com/office/drawing/2014/main" id="{9C36E2F1-F551-41AB-9986-3FCDBFAA6FC0}"/>
            </a:ext>
          </a:extLst>
        </xdr:cNvPr>
        <xdr:cNvSpPr txBox="1">
          <a:spLocks noChangeArrowheads="1"/>
        </xdr:cNvSpPr>
      </xdr:nvSpPr>
      <xdr:spPr bwMode="auto">
        <a:xfrm>
          <a:off x="4152900" y="461010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43" name="Text Box 7" hidden="1">
          <a:extLst>
            <a:ext uri="{FF2B5EF4-FFF2-40B4-BE49-F238E27FC236}">
              <a16:creationId xmlns:a16="http://schemas.microsoft.com/office/drawing/2014/main" id="{EBBB303D-AC5F-485A-A6E2-82711D12A59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2" name="Text Box 6" hidden="1">
          <a:extLst>
            <a:ext uri="{FF2B5EF4-FFF2-40B4-BE49-F238E27FC236}">
              <a16:creationId xmlns:a16="http://schemas.microsoft.com/office/drawing/2014/main" id="{5C0D1B10-EAFE-4D39-8E28-6DEB60D2A96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1" name="Text Box 5" hidden="1">
          <a:extLst>
            <a:ext uri="{FF2B5EF4-FFF2-40B4-BE49-F238E27FC236}">
              <a16:creationId xmlns:a16="http://schemas.microsoft.com/office/drawing/2014/main" id="{69F13E04-3342-40C1-9D7E-8E1079D86B78}"/>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0" name="Text Box 4" hidden="1">
          <a:extLst>
            <a:ext uri="{FF2B5EF4-FFF2-40B4-BE49-F238E27FC236}">
              <a16:creationId xmlns:a16="http://schemas.microsoft.com/office/drawing/2014/main" id="{07A935C9-BE0D-458D-A600-9B583407B85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39" name="Text Box 3" hidden="1">
          <a:extLst>
            <a:ext uri="{FF2B5EF4-FFF2-40B4-BE49-F238E27FC236}">
              <a16:creationId xmlns:a16="http://schemas.microsoft.com/office/drawing/2014/main" id="{3AAE20C7-A6B6-459B-BE53-9F93A3BA409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38" name="Text Box 2" hidden="1">
          <a:extLst>
            <a:ext uri="{FF2B5EF4-FFF2-40B4-BE49-F238E27FC236}">
              <a16:creationId xmlns:a16="http://schemas.microsoft.com/office/drawing/2014/main" id="{D8334C36-D5AA-4B76-97A1-99383F1B8DDC}"/>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37" name="Text Box 1" hidden="1">
          <a:extLst>
            <a:ext uri="{FF2B5EF4-FFF2-40B4-BE49-F238E27FC236}">
              <a16:creationId xmlns:a16="http://schemas.microsoft.com/office/drawing/2014/main" id="{AB841CCE-BBC4-4B41-ADB5-C95C4D907038}"/>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0" name="Text Box 14" hidden="1">
          <a:extLst>
            <a:ext uri="{FF2B5EF4-FFF2-40B4-BE49-F238E27FC236}">
              <a16:creationId xmlns:a16="http://schemas.microsoft.com/office/drawing/2014/main" id="{52A09CB4-EFFF-41F5-9139-056B5107BDD8}"/>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9" name="Text Box 13" hidden="1">
          <a:extLst>
            <a:ext uri="{FF2B5EF4-FFF2-40B4-BE49-F238E27FC236}">
              <a16:creationId xmlns:a16="http://schemas.microsoft.com/office/drawing/2014/main" id="{1EFE681B-9B3B-4A02-A50E-67746760D82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8" name="Text Box 12" hidden="1">
          <a:extLst>
            <a:ext uri="{FF2B5EF4-FFF2-40B4-BE49-F238E27FC236}">
              <a16:creationId xmlns:a16="http://schemas.microsoft.com/office/drawing/2014/main" id="{D6D698DA-53C1-4D9B-9392-A195199BD6B6}"/>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7" name="Text Box 11" hidden="1">
          <a:extLst>
            <a:ext uri="{FF2B5EF4-FFF2-40B4-BE49-F238E27FC236}">
              <a16:creationId xmlns:a16="http://schemas.microsoft.com/office/drawing/2014/main" id="{0D66910D-A92D-48C8-A871-89DED9F9A486}"/>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46" name="Text Box 10" hidden="1">
          <a:extLst>
            <a:ext uri="{FF2B5EF4-FFF2-40B4-BE49-F238E27FC236}">
              <a16:creationId xmlns:a16="http://schemas.microsoft.com/office/drawing/2014/main" id="{B8738D37-CD51-471D-9512-C93AA9104166}"/>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45" name="Text Box 9" hidden="1">
          <a:extLst>
            <a:ext uri="{FF2B5EF4-FFF2-40B4-BE49-F238E27FC236}">
              <a16:creationId xmlns:a16="http://schemas.microsoft.com/office/drawing/2014/main" id="{4E92A4C5-B999-45A5-877E-EE02EC339154}"/>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44" name="Text Box 8" hidden="1">
          <a:extLst>
            <a:ext uri="{FF2B5EF4-FFF2-40B4-BE49-F238E27FC236}">
              <a16:creationId xmlns:a16="http://schemas.microsoft.com/office/drawing/2014/main" id="{7AD08E4D-CC64-4872-AFB5-074BB8940FFB}"/>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7" name="Text Box 21" hidden="1">
          <a:extLst>
            <a:ext uri="{FF2B5EF4-FFF2-40B4-BE49-F238E27FC236}">
              <a16:creationId xmlns:a16="http://schemas.microsoft.com/office/drawing/2014/main" id="{BD52148A-2AEA-4F95-8C9D-AD4EE931EC6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56" name="Text Box 20" hidden="1">
          <a:extLst>
            <a:ext uri="{FF2B5EF4-FFF2-40B4-BE49-F238E27FC236}">
              <a16:creationId xmlns:a16="http://schemas.microsoft.com/office/drawing/2014/main" id="{CEDCEA6F-B433-455B-98AE-D7D0D2DD26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55" name="Text Box 19" hidden="1">
          <a:extLst>
            <a:ext uri="{FF2B5EF4-FFF2-40B4-BE49-F238E27FC236}">
              <a16:creationId xmlns:a16="http://schemas.microsoft.com/office/drawing/2014/main" id="{8E543D30-2C23-453B-B07F-6166C6505D3B}"/>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54" name="Text Box 18" hidden="1">
          <a:extLst>
            <a:ext uri="{FF2B5EF4-FFF2-40B4-BE49-F238E27FC236}">
              <a16:creationId xmlns:a16="http://schemas.microsoft.com/office/drawing/2014/main" id="{937A281D-879E-4DBE-98DC-FCC2A0308CC1}"/>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53" name="Text Box 17" hidden="1">
          <a:extLst>
            <a:ext uri="{FF2B5EF4-FFF2-40B4-BE49-F238E27FC236}">
              <a16:creationId xmlns:a16="http://schemas.microsoft.com/office/drawing/2014/main" id="{4AFAC872-FE66-45CC-AE1B-9FA29EA3FA76}"/>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2" name="Text Box 16" hidden="1">
          <a:extLst>
            <a:ext uri="{FF2B5EF4-FFF2-40B4-BE49-F238E27FC236}">
              <a16:creationId xmlns:a16="http://schemas.microsoft.com/office/drawing/2014/main" id="{FC2FF6BA-F342-423F-91DC-659BAD8F1716}"/>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51" name="Text Box 15" hidden="1">
          <a:extLst>
            <a:ext uri="{FF2B5EF4-FFF2-40B4-BE49-F238E27FC236}">
              <a16:creationId xmlns:a16="http://schemas.microsoft.com/office/drawing/2014/main" id="{DA422A58-A8CF-4D40-8123-40188321A1B8}"/>
            </a:ext>
          </a:extLst>
        </xdr:cNvPr>
        <xdr:cNvSpPr txBox="1">
          <a:spLocks noChangeArrowheads="1"/>
        </xdr:cNvSpPr>
      </xdr:nvSpPr>
      <xdr:spPr bwMode="auto">
        <a:xfrm>
          <a:off x="4311650" y="45212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64" name="Text Box 28" hidden="1">
          <a:extLst>
            <a:ext uri="{FF2B5EF4-FFF2-40B4-BE49-F238E27FC236}">
              <a16:creationId xmlns:a16="http://schemas.microsoft.com/office/drawing/2014/main" id="{07790349-9075-4DAF-A43F-89D366BE94A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63" name="Text Box 27" hidden="1">
          <a:extLst>
            <a:ext uri="{FF2B5EF4-FFF2-40B4-BE49-F238E27FC236}">
              <a16:creationId xmlns:a16="http://schemas.microsoft.com/office/drawing/2014/main" id="{E786916D-8441-47BC-9F3B-766F77CB6AF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2" name="Text Box 26" hidden="1">
          <a:extLst>
            <a:ext uri="{FF2B5EF4-FFF2-40B4-BE49-F238E27FC236}">
              <a16:creationId xmlns:a16="http://schemas.microsoft.com/office/drawing/2014/main" id="{C5B50B6D-F040-4F29-82E6-0A31907B694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1" name="Text Box 25" hidden="1">
          <a:extLst>
            <a:ext uri="{FF2B5EF4-FFF2-40B4-BE49-F238E27FC236}">
              <a16:creationId xmlns:a16="http://schemas.microsoft.com/office/drawing/2014/main" id="{F51E5377-DDDE-4F51-92E8-21C0DA8E3A8D}"/>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0" name="Text Box 24" hidden="1">
          <a:extLst>
            <a:ext uri="{FF2B5EF4-FFF2-40B4-BE49-F238E27FC236}">
              <a16:creationId xmlns:a16="http://schemas.microsoft.com/office/drawing/2014/main" id="{C703E4A6-9E25-4D04-972D-57FA69433225}"/>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9" name="Text Box 23" hidden="1">
          <a:extLst>
            <a:ext uri="{FF2B5EF4-FFF2-40B4-BE49-F238E27FC236}">
              <a16:creationId xmlns:a16="http://schemas.microsoft.com/office/drawing/2014/main" id="{12CD0997-6DD6-4FAB-ADDB-83A7678A0821}"/>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58" name="Text Box 22" hidden="1">
          <a:extLst>
            <a:ext uri="{FF2B5EF4-FFF2-40B4-BE49-F238E27FC236}">
              <a16:creationId xmlns:a16="http://schemas.microsoft.com/office/drawing/2014/main" id="{323A8572-BA11-41EB-AEA5-0ED70BF735C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71" name="Text Box 35" hidden="1">
          <a:extLst>
            <a:ext uri="{FF2B5EF4-FFF2-40B4-BE49-F238E27FC236}">
              <a16:creationId xmlns:a16="http://schemas.microsoft.com/office/drawing/2014/main" id="{EDC7B370-07FA-4217-8E9A-F68039133C32}"/>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70" name="Text Box 34" hidden="1">
          <a:extLst>
            <a:ext uri="{FF2B5EF4-FFF2-40B4-BE49-F238E27FC236}">
              <a16:creationId xmlns:a16="http://schemas.microsoft.com/office/drawing/2014/main" id="{C5E75BA1-63C9-496F-ABE3-6D8FF467D0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9" name="Text Box 33" hidden="1">
          <a:extLst>
            <a:ext uri="{FF2B5EF4-FFF2-40B4-BE49-F238E27FC236}">
              <a16:creationId xmlns:a16="http://schemas.microsoft.com/office/drawing/2014/main" id="{DC7CBC6F-598C-4FA0-B12B-F4BFF43F833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8" name="Text Box 32" hidden="1">
          <a:extLst>
            <a:ext uri="{FF2B5EF4-FFF2-40B4-BE49-F238E27FC236}">
              <a16:creationId xmlns:a16="http://schemas.microsoft.com/office/drawing/2014/main" id="{9FEC78B4-40E2-41B9-B74C-CA0E75B2BF6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7" name="Text Box 31" hidden="1">
          <a:extLst>
            <a:ext uri="{FF2B5EF4-FFF2-40B4-BE49-F238E27FC236}">
              <a16:creationId xmlns:a16="http://schemas.microsoft.com/office/drawing/2014/main" id="{7A2608E9-F2CE-4175-8C8D-FA164EFF04B3}"/>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66" name="Text Box 30" hidden="1">
          <a:extLst>
            <a:ext uri="{FF2B5EF4-FFF2-40B4-BE49-F238E27FC236}">
              <a16:creationId xmlns:a16="http://schemas.microsoft.com/office/drawing/2014/main" id="{D77672D6-8958-4953-A3C4-4F14FAF149BD}"/>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65" name="Text Box 29" hidden="1">
          <a:extLst>
            <a:ext uri="{FF2B5EF4-FFF2-40B4-BE49-F238E27FC236}">
              <a16:creationId xmlns:a16="http://schemas.microsoft.com/office/drawing/2014/main" id="{D2A5A4BA-7758-47CC-BE4D-2E642E6AC431}"/>
            </a:ext>
          </a:extLst>
        </xdr:cNvPr>
        <xdr:cNvSpPr txBox="1">
          <a:spLocks noChangeArrowheads="1"/>
        </xdr:cNvSpPr>
      </xdr:nvSpPr>
      <xdr:spPr bwMode="auto">
        <a:xfrm>
          <a:off x="4133850" y="46101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1" name="Text Box 7" hidden="1">
          <a:extLst>
            <a:ext uri="{FF2B5EF4-FFF2-40B4-BE49-F238E27FC236}">
              <a16:creationId xmlns:a16="http://schemas.microsoft.com/office/drawing/2014/main" id="{E9FE1F2A-479B-4627-8716-B98DE89BB14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0" name="Text Box 6" hidden="1">
          <a:extLst>
            <a:ext uri="{FF2B5EF4-FFF2-40B4-BE49-F238E27FC236}">
              <a16:creationId xmlns:a16="http://schemas.microsoft.com/office/drawing/2014/main" id="{D754893C-011F-4CE3-B78A-C820BDDB8CAC}"/>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29" name="Text Box 5" hidden="1">
          <a:extLst>
            <a:ext uri="{FF2B5EF4-FFF2-40B4-BE49-F238E27FC236}">
              <a16:creationId xmlns:a16="http://schemas.microsoft.com/office/drawing/2014/main" id="{82F818F6-1797-4049-8941-4BC304CB26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28" name="Text Box 4" hidden="1">
          <a:extLst>
            <a:ext uri="{FF2B5EF4-FFF2-40B4-BE49-F238E27FC236}">
              <a16:creationId xmlns:a16="http://schemas.microsoft.com/office/drawing/2014/main" id="{F493FA09-7EEF-4B91-8749-7B0CE2902AA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27" name="Text Box 3" hidden="1">
          <a:extLst>
            <a:ext uri="{FF2B5EF4-FFF2-40B4-BE49-F238E27FC236}">
              <a16:creationId xmlns:a16="http://schemas.microsoft.com/office/drawing/2014/main" id="{8BB226C7-E080-41A1-A0EB-38AB6B9024D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25" name="Text Box 1" hidden="1">
          <a:extLst>
            <a:ext uri="{FF2B5EF4-FFF2-40B4-BE49-F238E27FC236}">
              <a16:creationId xmlns:a16="http://schemas.microsoft.com/office/drawing/2014/main" id="{8140F6BE-550F-4415-8DCF-E202EE1C7A5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95250</xdr:rowOff>
    </xdr:from>
    <xdr:to>
      <xdr:col>24</xdr:col>
      <xdr:colOff>76200</xdr:colOff>
      <xdr:row>22</xdr:row>
      <xdr:rowOff>152400</xdr:rowOff>
    </xdr:to>
    <xdr:sp macro="" textlink="">
      <xdr:nvSpPr>
        <xdr:cNvPr id="308232" name="Text Box 8" hidden="1">
          <a:extLst>
            <a:ext uri="{FF2B5EF4-FFF2-40B4-BE49-F238E27FC236}">
              <a16:creationId xmlns:a16="http://schemas.microsoft.com/office/drawing/2014/main" id="{21E35360-8BF2-4B74-A7EE-4DE918FCFA31}"/>
            </a:ext>
          </a:extLst>
        </xdr:cNvPr>
        <xdr:cNvSpPr txBox="1">
          <a:spLocks noChangeArrowheads="1"/>
        </xdr:cNvSpPr>
      </xdr:nvSpPr>
      <xdr:spPr bwMode="auto">
        <a:xfrm>
          <a:off x="13830300" y="339725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9" name="Text Box 15" hidden="1">
          <a:extLst>
            <a:ext uri="{FF2B5EF4-FFF2-40B4-BE49-F238E27FC236}">
              <a16:creationId xmlns:a16="http://schemas.microsoft.com/office/drawing/2014/main" id="{5B50519B-5F37-47B5-BEF4-5A7A5DBF9D9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8" name="Text Box 14" hidden="1">
          <a:extLst>
            <a:ext uri="{FF2B5EF4-FFF2-40B4-BE49-F238E27FC236}">
              <a16:creationId xmlns:a16="http://schemas.microsoft.com/office/drawing/2014/main" id="{4CC1CFAC-8CB3-434D-8B0D-CF3BFB23DD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37" name="Text Box 13" hidden="1">
          <a:extLst>
            <a:ext uri="{FF2B5EF4-FFF2-40B4-BE49-F238E27FC236}">
              <a16:creationId xmlns:a16="http://schemas.microsoft.com/office/drawing/2014/main" id="{8A180721-078E-40A8-8E8A-213BF69B6DF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36" name="Text Box 12" hidden="1">
          <a:extLst>
            <a:ext uri="{FF2B5EF4-FFF2-40B4-BE49-F238E27FC236}">
              <a16:creationId xmlns:a16="http://schemas.microsoft.com/office/drawing/2014/main" id="{81485811-463F-4869-B39D-4B68E1DEEB15}"/>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35" name="Text Box 11" hidden="1">
          <a:extLst>
            <a:ext uri="{FF2B5EF4-FFF2-40B4-BE49-F238E27FC236}">
              <a16:creationId xmlns:a16="http://schemas.microsoft.com/office/drawing/2014/main" id="{A433A5E4-2937-46DD-AD06-F5CDB52DB2A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34" name="Text Box 10" hidden="1">
          <a:extLst>
            <a:ext uri="{FF2B5EF4-FFF2-40B4-BE49-F238E27FC236}">
              <a16:creationId xmlns:a16="http://schemas.microsoft.com/office/drawing/2014/main" id="{1C0FE9ED-D9A1-4B0D-ADE3-386F730B0E23}"/>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33" name="Text Box 9" hidden="1">
          <a:extLst>
            <a:ext uri="{FF2B5EF4-FFF2-40B4-BE49-F238E27FC236}">
              <a16:creationId xmlns:a16="http://schemas.microsoft.com/office/drawing/2014/main" id="{C224F7C9-8374-4B3C-8FE4-2552A3F81144}"/>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46" name="Text Box 22" hidden="1">
          <a:extLst>
            <a:ext uri="{FF2B5EF4-FFF2-40B4-BE49-F238E27FC236}">
              <a16:creationId xmlns:a16="http://schemas.microsoft.com/office/drawing/2014/main" id="{3D2F50B1-2095-F9F4-DB52-34550233A314}"/>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45" name="Text Box 21" hidden="1">
          <a:extLst>
            <a:ext uri="{FF2B5EF4-FFF2-40B4-BE49-F238E27FC236}">
              <a16:creationId xmlns:a16="http://schemas.microsoft.com/office/drawing/2014/main" id="{02849EEE-C552-9570-73D8-A6E5B9E608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44" name="Text Box 20" hidden="1">
          <a:extLst>
            <a:ext uri="{FF2B5EF4-FFF2-40B4-BE49-F238E27FC236}">
              <a16:creationId xmlns:a16="http://schemas.microsoft.com/office/drawing/2014/main" id="{CB071007-0C6E-AF32-17AD-9D8D93C209A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43" name="Text Box 19" hidden="1">
          <a:extLst>
            <a:ext uri="{FF2B5EF4-FFF2-40B4-BE49-F238E27FC236}">
              <a16:creationId xmlns:a16="http://schemas.microsoft.com/office/drawing/2014/main" id="{E873B2B1-A291-499A-9E76-70A57E16EB6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2" name="Text Box 18" hidden="1">
          <a:extLst>
            <a:ext uri="{FF2B5EF4-FFF2-40B4-BE49-F238E27FC236}">
              <a16:creationId xmlns:a16="http://schemas.microsoft.com/office/drawing/2014/main" id="{7C470496-C317-79F2-8536-17CEB793CEA1}"/>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1" name="Text Box 17" hidden="1">
          <a:extLst>
            <a:ext uri="{FF2B5EF4-FFF2-40B4-BE49-F238E27FC236}">
              <a16:creationId xmlns:a16="http://schemas.microsoft.com/office/drawing/2014/main" id="{3F1547B7-A6E2-B856-6B0B-12F4166418FA}"/>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0" name="Text Box 16" hidden="1">
          <a:extLst>
            <a:ext uri="{FF2B5EF4-FFF2-40B4-BE49-F238E27FC236}">
              <a16:creationId xmlns:a16="http://schemas.microsoft.com/office/drawing/2014/main" id="{E59E7736-E1D4-B843-9FD2-3658985925AC}"/>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53" name="Text Box 29" hidden="1">
          <a:extLst>
            <a:ext uri="{FF2B5EF4-FFF2-40B4-BE49-F238E27FC236}">
              <a16:creationId xmlns:a16="http://schemas.microsoft.com/office/drawing/2014/main" id="{896F0F55-B470-09F1-AB0A-78F6D2C640B9}"/>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52" name="Text Box 28" hidden="1">
          <a:extLst>
            <a:ext uri="{FF2B5EF4-FFF2-40B4-BE49-F238E27FC236}">
              <a16:creationId xmlns:a16="http://schemas.microsoft.com/office/drawing/2014/main" id="{DCDB863C-D897-4742-BF1C-8EF93A8CC55E}"/>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51" name="Text Box 27" hidden="1">
          <a:extLst>
            <a:ext uri="{FF2B5EF4-FFF2-40B4-BE49-F238E27FC236}">
              <a16:creationId xmlns:a16="http://schemas.microsoft.com/office/drawing/2014/main" id="{CF6EE5EB-EDD0-5307-EDA5-14ABA59ED62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50" name="Text Box 26" hidden="1">
          <a:extLst>
            <a:ext uri="{FF2B5EF4-FFF2-40B4-BE49-F238E27FC236}">
              <a16:creationId xmlns:a16="http://schemas.microsoft.com/office/drawing/2014/main" id="{660659E3-1935-A713-923E-4765B9CBB8B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9" name="Text Box 25" hidden="1">
          <a:extLst>
            <a:ext uri="{FF2B5EF4-FFF2-40B4-BE49-F238E27FC236}">
              <a16:creationId xmlns:a16="http://schemas.microsoft.com/office/drawing/2014/main" id="{0AAEA95A-AFBE-16FE-A35E-B4A6AFD60A9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8" name="Text Box 24" hidden="1">
          <a:extLst>
            <a:ext uri="{FF2B5EF4-FFF2-40B4-BE49-F238E27FC236}">
              <a16:creationId xmlns:a16="http://schemas.microsoft.com/office/drawing/2014/main" id="{BEA3989D-E1F5-089F-939B-3A0409161E90}"/>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7" name="Text Box 23" hidden="1">
          <a:extLst>
            <a:ext uri="{FF2B5EF4-FFF2-40B4-BE49-F238E27FC236}">
              <a16:creationId xmlns:a16="http://schemas.microsoft.com/office/drawing/2014/main" id="{5E09549C-F6E8-3605-45F7-AF2BC70CE20B}"/>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08254" name="Text Box 30" hidden="1">
          <a:extLst>
            <a:ext uri="{FF2B5EF4-FFF2-40B4-BE49-F238E27FC236}">
              <a16:creationId xmlns:a16="http://schemas.microsoft.com/office/drawing/2014/main" id="{3F31747B-99A9-C537-A370-312B0332603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0" name="Text Box 16" hidden="1">
          <a:extLst>
            <a:ext uri="{FF2B5EF4-FFF2-40B4-BE49-F238E27FC236}">
              <a16:creationId xmlns:a16="http://schemas.microsoft.com/office/drawing/2014/main" id="{7DA8ADB7-4F4C-368A-6932-869F51C869BE}"/>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9" name="Text Box 15" hidden="1">
          <a:extLst>
            <a:ext uri="{FF2B5EF4-FFF2-40B4-BE49-F238E27FC236}">
              <a16:creationId xmlns:a16="http://schemas.microsoft.com/office/drawing/2014/main" id="{6A68B894-395C-D200-E428-7B2172B62B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8" name="Text Box 14" hidden="1">
          <a:extLst>
            <a:ext uri="{FF2B5EF4-FFF2-40B4-BE49-F238E27FC236}">
              <a16:creationId xmlns:a16="http://schemas.microsoft.com/office/drawing/2014/main" id="{6C01FA05-2B67-C3B2-E148-89BA9A57BA8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77" name="Text Box 13" hidden="1">
          <a:extLst>
            <a:ext uri="{FF2B5EF4-FFF2-40B4-BE49-F238E27FC236}">
              <a16:creationId xmlns:a16="http://schemas.microsoft.com/office/drawing/2014/main" id="{06DE32DA-0F40-64C5-BEDF-A6C6CD79034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76" name="Text Box 12" hidden="1">
          <a:extLst>
            <a:ext uri="{FF2B5EF4-FFF2-40B4-BE49-F238E27FC236}">
              <a16:creationId xmlns:a16="http://schemas.microsoft.com/office/drawing/2014/main" id="{DF0712FE-7285-8D0C-7405-FEA31FC79C2D}"/>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75" name="Text Box 11" hidden="1">
          <a:extLst>
            <a:ext uri="{FF2B5EF4-FFF2-40B4-BE49-F238E27FC236}">
              <a16:creationId xmlns:a16="http://schemas.microsoft.com/office/drawing/2014/main" id="{B1CFC1AF-E9BB-6342-75BF-7838438F770E}"/>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74" name="Text Box 10" hidden="1">
          <a:extLst>
            <a:ext uri="{FF2B5EF4-FFF2-40B4-BE49-F238E27FC236}">
              <a16:creationId xmlns:a16="http://schemas.microsoft.com/office/drawing/2014/main" id="{1C1533E7-7F61-88F4-1733-C0EE13E0148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73" name="Text Box 9" hidden="1">
          <a:extLst>
            <a:ext uri="{FF2B5EF4-FFF2-40B4-BE49-F238E27FC236}">
              <a16:creationId xmlns:a16="http://schemas.microsoft.com/office/drawing/2014/main" id="{EA288ED7-990F-86D7-1F28-94B4CDBD7402}"/>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72" name="Text Box 8" hidden="1">
          <a:extLst>
            <a:ext uri="{FF2B5EF4-FFF2-40B4-BE49-F238E27FC236}">
              <a16:creationId xmlns:a16="http://schemas.microsoft.com/office/drawing/2014/main" id="{181A0BD8-8604-F4E1-F87B-AD5F6C5EEA8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1" name="Text Box 7" hidden="1">
          <a:extLst>
            <a:ext uri="{FF2B5EF4-FFF2-40B4-BE49-F238E27FC236}">
              <a16:creationId xmlns:a16="http://schemas.microsoft.com/office/drawing/2014/main" id="{1A355732-56C7-C3EC-ECC5-2AB5F51ADA5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0" name="Text Box 6" hidden="1">
          <a:extLst>
            <a:ext uri="{FF2B5EF4-FFF2-40B4-BE49-F238E27FC236}">
              <a16:creationId xmlns:a16="http://schemas.microsoft.com/office/drawing/2014/main" id="{7A6E45D6-FEB7-C8C5-EED2-6A5983714FB1}"/>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69" name="Text Box 5" hidden="1">
          <a:extLst>
            <a:ext uri="{FF2B5EF4-FFF2-40B4-BE49-F238E27FC236}">
              <a16:creationId xmlns:a16="http://schemas.microsoft.com/office/drawing/2014/main" id="{C7159CC2-34E7-BC2D-BC12-EA0E2270D8D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68" name="Text Box 4" hidden="1">
          <a:extLst>
            <a:ext uri="{FF2B5EF4-FFF2-40B4-BE49-F238E27FC236}">
              <a16:creationId xmlns:a16="http://schemas.microsoft.com/office/drawing/2014/main" id="{4D89DD34-9D08-D5A1-C1C1-5609F0047A9B}"/>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67" name="Text Box 3" hidden="1">
          <a:extLst>
            <a:ext uri="{FF2B5EF4-FFF2-40B4-BE49-F238E27FC236}">
              <a16:creationId xmlns:a16="http://schemas.microsoft.com/office/drawing/2014/main" id="{1030D8B4-5D72-69BD-3557-80F531D86BBC}"/>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66" name="Text Box 2" hidden="1">
          <a:extLst>
            <a:ext uri="{FF2B5EF4-FFF2-40B4-BE49-F238E27FC236}">
              <a16:creationId xmlns:a16="http://schemas.microsoft.com/office/drawing/2014/main" id="{2A212A8F-8C0A-DE63-E875-81242384684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65" name="Text Box 1" hidden="1">
          <a:extLst>
            <a:ext uri="{FF2B5EF4-FFF2-40B4-BE49-F238E27FC236}">
              <a16:creationId xmlns:a16="http://schemas.microsoft.com/office/drawing/2014/main" id="{162118B3-10C4-48ED-12B7-14BA8D322AC3}"/>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8" name="Text Box 24" hidden="1">
          <a:extLst>
            <a:ext uri="{FF2B5EF4-FFF2-40B4-BE49-F238E27FC236}">
              <a16:creationId xmlns:a16="http://schemas.microsoft.com/office/drawing/2014/main" id="{5467D302-CEB5-51C3-37CF-BF5D3F42A85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87" name="Text Box 23" hidden="1">
          <a:extLst>
            <a:ext uri="{FF2B5EF4-FFF2-40B4-BE49-F238E27FC236}">
              <a16:creationId xmlns:a16="http://schemas.microsoft.com/office/drawing/2014/main" id="{35776612-1208-ED38-3900-C98454FBBC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86" name="Text Box 22" hidden="1">
          <a:extLst>
            <a:ext uri="{FF2B5EF4-FFF2-40B4-BE49-F238E27FC236}">
              <a16:creationId xmlns:a16="http://schemas.microsoft.com/office/drawing/2014/main" id="{E208F5C5-5C22-9EDA-5E72-4ED69A9379B5}"/>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85" name="Text Box 21" hidden="1">
          <a:extLst>
            <a:ext uri="{FF2B5EF4-FFF2-40B4-BE49-F238E27FC236}">
              <a16:creationId xmlns:a16="http://schemas.microsoft.com/office/drawing/2014/main" id="{48C582CC-A3BC-BCD9-2CB9-E10519EFBA6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84" name="Text Box 20" hidden="1">
          <a:extLst>
            <a:ext uri="{FF2B5EF4-FFF2-40B4-BE49-F238E27FC236}">
              <a16:creationId xmlns:a16="http://schemas.microsoft.com/office/drawing/2014/main" id="{FBFAAC90-F022-13A1-210C-6331A4A13CF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83" name="Text Box 19" hidden="1">
          <a:extLst>
            <a:ext uri="{FF2B5EF4-FFF2-40B4-BE49-F238E27FC236}">
              <a16:creationId xmlns:a16="http://schemas.microsoft.com/office/drawing/2014/main" id="{8D641799-9B57-5FC0-3E1C-4B2D421E6BE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82" name="Text Box 18" hidden="1">
          <a:extLst>
            <a:ext uri="{FF2B5EF4-FFF2-40B4-BE49-F238E27FC236}">
              <a16:creationId xmlns:a16="http://schemas.microsoft.com/office/drawing/2014/main" id="{25A1D659-F7C2-66D2-9334-392A2AAD9FD7}"/>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1" name="Text Box 17" hidden="1">
          <a:extLst>
            <a:ext uri="{FF2B5EF4-FFF2-40B4-BE49-F238E27FC236}">
              <a16:creationId xmlns:a16="http://schemas.microsoft.com/office/drawing/2014/main" id="{6A04C9B4-FF9A-D088-29AA-F05AB0A6A05E}"/>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96" name="Text Box 32" hidden="1">
          <a:extLst>
            <a:ext uri="{FF2B5EF4-FFF2-40B4-BE49-F238E27FC236}">
              <a16:creationId xmlns:a16="http://schemas.microsoft.com/office/drawing/2014/main" id="{563E5E3F-EFFE-04A9-A059-1AD268A3C8A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95" name="Text Box 31" hidden="1">
          <a:extLst>
            <a:ext uri="{FF2B5EF4-FFF2-40B4-BE49-F238E27FC236}">
              <a16:creationId xmlns:a16="http://schemas.microsoft.com/office/drawing/2014/main" id="{B0F19E8D-B2F0-D1F2-8FF5-F197D9A2DD7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94" name="Text Box 30" hidden="1">
          <a:extLst>
            <a:ext uri="{FF2B5EF4-FFF2-40B4-BE49-F238E27FC236}">
              <a16:creationId xmlns:a16="http://schemas.microsoft.com/office/drawing/2014/main" id="{CA0F3F70-5895-F3C3-1744-B915768197BF}"/>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93" name="Text Box 29" hidden="1">
          <a:extLst>
            <a:ext uri="{FF2B5EF4-FFF2-40B4-BE49-F238E27FC236}">
              <a16:creationId xmlns:a16="http://schemas.microsoft.com/office/drawing/2014/main" id="{DF00D69E-41A3-7D59-840D-E555D89C1DF8}"/>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92" name="Text Box 28" hidden="1">
          <a:extLst>
            <a:ext uri="{FF2B5EF4-FFF2-40B4-BE49-F238E27FC236}">
              <a16:creationId xmlns:a16="http://schemas.microsoft.com/office/drawing/2014/main" id="{27F37516-E6AF-5C60-D80E-E04B9A4BAC9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1" name="Text Box 27" hidden="1">
          <a:extLst>
            <a:ext uri="{FF2B5EF4-FFF2-40B4-BE49-F238E27FC236}">
              <a16:creationId xmlns:a16="http://schemas.microsoft.com/office/drawing/2014/main" id="{AA9B7B25-A61A-9438-DC70-CA144D0B30D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0" name="Text Box 26" hidden="1">
          <a:extLst>
            <a:ext uri="{FF2B5EF4-FFF2-40B4-BE49-F238E27FC236}">
              <a16:creationId xmlns:a16="http://schemas.microsoft.com/office/drawing/2014/main" id="{1105159C-E173-600D-F8D9-76E40FE5E04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9" name="Text Box 25" hidden="1">
          <a:extLst>
            <a:ext uri="{FF2B5EF4-FFF2-40B4-BE49-F238E27FC236}">
              <a16:creationId xmlns:a16="http://schemas.microsoft.com/office/drawing/2014/main" id="{F330EC1B-E05C-DBC1-AEF4-07D389BCED76}"/>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04" name="Text Box 40" hidden="1">
          <a:extLst>
            <a:ext uri="{FF2B5EF4-FFF2-40B4-BE49-F238E27FC236}">
              <a16:creationId xmlns:a16="http://schemas.microsoft.com/office/drawing/2014/main" id="{F532B9BB-0809-9DB6-6BC8-AC1709CF9D79}"/>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03" name="Text Box 39" hidden="1">
          <a:extLst>
            <a:ext uri="{FF2B5EF4-FFF2-40B4-BE49-F238E27FC236}">
              <a16:creationId xmlns:a16="http://schemas.microsoft.com/office/drawing/2014/main" id="{CF221559-7CE0-A33F-ABBB-C38C3823BDD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02" name="Text Box 38" hidden="1">
          <a:extLst>
            <a:ext uri="{FF2B5EF4-FFF2-40B4-BE49-F238E27FC236}">
              <a16:creationId xmlns:a16="http://schemas.microsoft.com/office/drawing/2014/main" id="{36BC0BEF-6DF7-8328-38D2-A53116FDA7B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1" name="Text Box 37" hidden="1">
          <a:extLst>
            <a:ext uri="{FF2B5EF4-FFF2-40B4-BE49-F238E27FC236}">
              <a16:creationId xmlns:a16="http://schemas.microsoft.com/office/drawing/2014/main" id="{48417467-A3EE-E002-4724-738A14E61455}"/>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0" name="Text Box 36" hidden="1">
          <a:extLst>
            <a:ext uri="{FF2B5EF4-FFF2-40B4-BE49-F238E27FC236}">
              <a16:creationId xmlns:a16="http://schemas.microsoft.com/office/drawing/2014/main" id="{11429DDC-E889-E334-C374-582E6D88CCA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9" name="Text Box 35" hidden="1">
          <a:extLst>
            <a:ext uri="{FF2B5EF4-FFF2-40B4-BE49-F238E27FC236}">
              <a16:creationId xmlns:a16="http://schemas.microsoft.com/office/drawing/2014/main" id="{26B9D6C5-9BF4-237D-945F-013369841A35}"/>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8" name="Text Box 34" hidden="1">
          <a:extLst>
            <a:ext uri="{FF2B5EF4-FFF2-40B4-BE49-F238E27FC236}">
              <a16:creationId xmlns:a16="http://schemas.microsoft.com/office/drawing/2014/main" id="{CE7DEF2F-7C02-AAB3-BE14-9C38F4599BA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97" name="Text Box 33" hidden="1">
          <a:extLst>
            <a:ext uri="{FF2B5EF4-FFF2-40B4-BE49-F238E27FC236}">
              <a16:creationId xmlns:a16="http://schemas.microsoft.com/office/drawing/2014/main" id="{9317E56F-1649-F2D6-BD03-D32BE08C2E4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12" name="Text Box 48" hidden="1">
          <a:extLst>
            <a:ext uri="{FF2B5EF4-FFF2-40B4-BE49-F238E27FC236}">
              <a16:creationId xmlns:a16="http://schemas.microsoft.com/office/drawing/2014/main" id="{114226ED-809A-28DA-C3A3-BC05A0816B3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1" name="Text Box 47" hidden="1">
          <a:extLst>
            <a:ext uri="{FF2B5EF4-FFF2-40B4-BE49-F238E27FC236}">
              <a16:creationId xmlns:a16="http://schemas.microsoft.com/office/drawing/2014/main" id="{D37DCA9E-79F3-B763-5726-6F3A2FC1BA7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0" name="Text Box 46" hidden="1">
          <a:extLst>
            <a:ext uri="{FF2B5EF4-FFF2-40B4-BE49-F238E27FC236}">
              <a16:creationId xmlns:a16="http://schemas.microsoft.com/office/drawing/2014/main" id="{78997BE3-5575-16F9-F3DA-F32BA77D807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9" name="Text Box 45" hidden="1">
          <a:extLst>
            <a:ext uri="{FF2B5EF4-FFF2-40B4-BE49-F238E27FC236}">
              <a16:creationId xmlns:a16="http://schemas.microsoft.com/office/drawing/2014/main" id="{AFBAB7BD-4003-D293-99BE-ED91DDFA72A8}"/>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8" name="Text Box 44" hidden="1">
          <a:extLst>
            <a:ext uri="{FF2B5EF4-FFF2-40B4-BE49-F238E27FC236}">
              <a16:creationId xmlns:a16="http://schemas.microsoft.com/office/drawing/2014/main" id="{33960E2F-35D8-EFF6-355E-59F41833E23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07" name="Text Box 43" hidden="1">
          <a:extLst>
            <a:ext uri="{FF2B5EF4-FFF2-40B4-BE49-F238E27FC236}">
              <a16:creationId xmlns:a16="http://schemas.microsoft.com/office/drawing/2014/main" id="{EC09C188-EB14-1F21-E280-8009725C431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06" name="Text Box 42" hidden="1">
          <a:extLst>
            <a:ext uri="{FF2B5EF4-FFF2-40B4-BE49-F238E27FC236}">
              <a16:creationId xmlns:a16="http://schemas.microsoft.com/office/drawing/2014/main" id="{5E940F54-FE02-F410-4CB0-5921F7D19031}"/>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05" name="Text Box 41" hidden="1">
          <a:extLst>
            <a:ext uri="{FF2B5EF4-FFF2-40B4-BE49-F238E27FC236}">
              <a16:creationId xmlns:a16="http://schemas.microsoft.com/office/drawing/2014/main" id="{02160436-9086-E5C9-2CD6-B8582A64F166}"/>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8" name="Text Box 64" hidden="1">
          <a:extLst>
            <a:ext uri="{FF2B5EF4-FFF2-40B4-BE49-F238E27FC236}">
              <a16:creationId xmlns:a16="http://schemas.microsoft.com/office/drawing/2014/main" id="{0B8896BE-59C7-FC29-9232-A3AA2F292992}"/>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27" name="Text Box 63" hidden="1">
          <a:extLst>
            <a:ext uri="{FF2B5EF4-FFF2-40B4-BE49-F238E27FC236}">
              <a16:creationId xmlns:a16="http://schemas.microsoft.com/office/drawing/2014/main" id="{6C34B3FB-1CB7-8C48-312F-3D8FD32C7C3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26" name="Text Box 62" hidden="1">
          <a:extLst>
            <a:ext uri="{FF2B5EF4-FFF2-40B4-BE49-F238E27FC236}">
              <a16:creationId xmlns:a16="http://schemas.microsoft.com/office/drawing/2014/main" id="{B07AC5B5-880D-E7CD-34F5-FC85890AA89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25" name="Text Box 61" hidden="1">
          <a:extLst>
            <a:ext uri="{FF2B5EF4-FFF2-40B4-BE49-F238E27FC236}">
              <a16:creationId xmlns:a16="http://schemas.microsoft.com/office/drawing/2014/main" id="{70CA1E6F-B9FA-F3CB-09A2-A6A65290063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24" name="Text Box 60" hidden="1">
          <a:extLst>
            <a:ext uri="{FF2B5EF4-FFF2-40B4-BE49-F238E27FC236}">
              <a16:creationId xmlns:a16="http://schemas.microsoft.com/office/drawing/2014/main" id="{79D15B07-43F0-03A6-D974-055D19668640}"/>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23" name="Text Box 59" hidden="1">
          <a:extLst>
            <a:ext uri="{FF2B5EF4-FFF2-40B4-BE49-F238E27FC236}">
              <a16:creationId xmlns:a16="http://schemas.microsoft.com/office/drawing/2014/main" id="{FA3B1610-81EF-4C3F-E258-01D1B4AADAB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22" name="Text Box 58" hidden="1">
          <a:extLst>
            <a:ext uri="{FF2B5EF4-FFF2-40B4-BE49-F238E27FC236}">
              <a16:creationId xmlns:a16="http://schemas.microsoft.com/office/drawing/2014/main" id="{F4FECF0D-2675-0B0D-D4D7-00C2F538E71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1" name="Text Box 57" hidden="1">
          <a:extLst>
            <a:ext uri="{FF2B5EF4-FFF2-40B4-BE49-F238E27FC236}">
              <a16:creationId xmlns:a16="http://schemas.microsoft.com/office/drawing/2014/main" id="{C9A03641-9421-1DFF-84D1-733EFA95BEB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0" name="Text Box 56" hidden="1">
          <a:extLst>
            <a:ext uri="{FF2B5EF4-FFF2-40B4-BE49-F238E27FC236}">
              <a16:creationId xmlns:a16="http://schemas.microsoft.com/office/drawing/2014/main" id="{6F906DEF-6A55-CB0C-DFD2-059D2692899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9" name="Text Box 55" hidden="1">
          <a:extLst>
            <a:ext uri="{FF2B5EF4-FFF2-40B4-BE49-F238E27FC236}">
              <a16:creationId xmlns:a16="http://schemas.microsoft.com/office/drawing/2014/main" id="{96393C6A-8D88-7132-BE26-2D1B0AA22FD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8" name="Text Box 54" hidden="1">
          <a:extLst>
            <a:ext uri="{FF2B5EF4-FFF2-40B4-BE49-F238E27FC236}">
              <a16:creationId xmlns:a16="http://schemas.microsoft.com/office/drawing/2014/main" id="{76DD9F1C-A561-8251-B60E-5E190281FB3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17" name="Text Box 53" hidden="1">
          <a:extLst>
            <a:ext uri="{FF2B5EF4-FFF2-40B4-BE49-F238E27FC236}">
              <a16:creationId xmlns:a16="http://schemas.microsoft.com/office/drawing/2014/main" id="{A2B5D2C6-7E77-65BC-E0C0-26B00DEFA56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16" name="Text Box 52" hidden="1">
          <a:extLst>
            <a:ext uri="{FF2B5EF4-FFF2-40B4-BE49-F238E27FC236}">
              <a16:creationId xmlns:a16="http://schemas.microsoft.com/office/drawing/2014/main" id="{228CD3BB-9320-DEE1-7ED0-022F712308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15" name="Text Box 51" hidden="1">
          <a:extLst>
            <a:ext uri="{FF2B5EF4-FFF2-40B4-BE49-F238E27FC236}">
              <a16:creationId xmlns:a16="http://schemas.microsoft.com/office/drawing/2014/main" id="{761531BA-E208-9E31-2EF8-12F4F76C331D}"/>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14" name="Text Box 50" hidden="1">
          <a:extLst>
            <a:ext uri="{FF2B5EF4-FFF2-40B4-BE49-F238E27FC236}">
              <a16:creationId xmlns:a16="http://schemas.microsoft.com/office/drawing/2014/main" id="{3BA38A33-E63D-4B5C-E40F-EB1E6704138F}"/>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13" name="Text Box 49" hidden="1">
          <a:extLst>
            <a:ext uri="{FF2B5EF4-FFF2-40B4-BE49-F238E27FC236}">
              <a16:creationId xmlns:a16="http://schemas.microsoft.com/office/drawing/2014/main" id="{D35AD09C-0767-0041-1429-90D8B4DFF432}"/>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36" name="Text Box 72" hidden="1">
          <a:extLst>
            <a:ext uri="{FF2B5EF4-FFF2-40B4-BE49-F238E27FC236}">
              <a16:creationId xmlns:a16="http://schemas.microsoft.com/office/drawing/2014/main" id="{1D1D086F-A7DF-EE09-CD8F-90DCE04FB31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35" name="Text Box 71" hidden="1">
          <a:extLst>
            <a:ext uri="{FF2B5EF4-FFF2-40B4-BE49-F238E27FC236}">
              <a16:creationId xmlns:a16="http://schemas.microsoft.com/office/drawing/2014/main" id="{1C78291B-E549-8848-E2A0-D6B66EA78CF2}"/>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34" name="Text Box 70" hidden="1">
          <a:extLst>
            <a:ext uri="{FF2B5EF4-FFF2-40B4-BE49-F238E27FC236}">
              <a16:creationId xmlns:a16="http://schemas.microsoft.com/office/drawing/2014/main" id="{357F0416-7D62-0199-9176-E85395E167D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33" name="Text Box 69" hidden="1">
          <a:extLst>
            <a:ext uri="{FF2B5EF4-FFF2-40B4-BE49-F238E27FC236}">
              <a16:creationId xmlns:a16="http://schemas.microsoft.com/office/drawing/2014/main" id="{9DF07217-EF18-6FF2-D17C-8B3EE896FB0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32" name="Text Box 68" hidden="1">
          <a:extLst>
            <a:ext uri="{FF2B5EF4-FFF2-40B4-BE49-F238E27FC236}">
              <a16:creationId xmlns:a16="http://schemas.microsoft.com/office/drawing/2014/main" id="{304D9CC5-8893-5699-9EFB-39E5F98CFF94}"/>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1" name="Text Box 67" hidden="1">
          <a:extLst>
            <a:ext uri="{FF2B5EF4-FFF2-40B4-BE49-F238E27FC236}">
              <a16:creationId xmlns:a16="http://schemas.microsoft.com/office/drawing/2014/main" id="{F015486D-6015-EDFB-2F39-F682B1161A7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0" name="Text Box 66" hidden="1">
          <a:extLst>
            <a:ext uri="{FF2B5EF4-FFF2-40B4-BE49-F238E27FC236}">
              <a16:creationId xmlns:a16="http://schemas.microsoft.com/office/drawing/2014/main" id="{9FC7A553-EC47-E65C-98FB-578696DA9192}"/>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9" name="Text Box 65" hidden="1">
          <a:extLst>
            <a:ext uri="{FF2B5EF4-FFF2-40B4-BE49-F238E27FC236}">
              <a16:creationId xmlns:a16="http://schemas.microsoft.com/office/drawing/2014/main" id="{645B8CBF-230D-73ED-EA3E-DC6B193F2A0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44" name="Text Box 80" hidden="1">
          <a:extLst>
            <a:ext uri="{FF2B5EF4-FFF2-40B4-BE49-F238E27FC236}">
              <a16:creationId xmlns:a16="http://schemas.microsoft.com/office/drawing/2014/main" id="{61AAF747-9DED-6654-9E4B-11FAD88D730E}"/>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43" name="Text Box 79" hidden="1">
          <a:extLst>
            <a:ext uri="{FF2B5EF4-FFF2-40B4-BE49-F238E27FC236}">
              <a16:creationId xmlns:a16="http://schemas.microsoft.com/office/drawing/2014/main" id="{CAB4E33F-CBCB-6547-3CAA-28AFBA1AD5C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42" name="Text Box 78" hidden="1">
          <a:extLst>
            <a:ext uri="{FF2B5EF4-FFF2-40B4-BE49-F238E27FC236}">
              <a16:creationId xmlns:a16="http://schemas.microsoft.com/office/drawing/2014/main" id="{81821B20-B9B9-43E8-1549-E32A01601F84}"/>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1" name="Text Box 77" hidden="1">
          <a:extLst>
            <a:ext uri="{FF2B5EF4-FFF2-40B4-BE49-F238E27FC236}">
              <a16:creationId xmlns:a16="http://schemas.microsoft.com/office/drawing/2014/main" id="{EDEABE79-3184-B6AE-E160-47C00542EF2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0" name="Text Box 76" hidden="1">
          <a:extLst>
            <a:ext uri="{FF2B5EF4-FFF2-40B4-BE49-F238E27FC236}">
              <a16:creationId xmlns:a16="http://schemas.microsoft.com/office/drawing/2014/main" id="{8EF1EAB1-3199-E0F5-22EF-658235F3E20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9" name="Text Box 75" hidden="1">
          <a:extLst>
            <a:ext uri="{FF2B5EF4-FFF2-40B4-BE49-F238E27FC236}">
              <a16:creationId xmlns:a16="http://schemas.microsoft.com/office/drawing/2014/main" id="{089D2138-FE34-E7F3-02EC-B67251B2E068}"/>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8" name="Text Box 74" hidden="1">
          <a:extLst>
            <a:ext uri="{FF2B5EF4-FFF2-40B4-BE49-F238E27FC236}">
              <a16:creationId xmlns:a16="http://schemas.microsoft.com/office/drawing/2014/main" id="{F7FC16D8-B6E0-1F7F-1A58-F8847B5905A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37" name="Text Box 73" hidden="1">
          <a:extLst>
            <a:ext uri="{FF2B5EF4-FFF2-40B4-BE49-F238E27FC236}">
              <a16:creationId xmlns:a16="http://schemas.microsoft.com/office/drawing/2014/main" id="{6BD2AB15-448D-BBB9-3AEF-07B414D8D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52" name="Text Box 88" hidden="1">
          <a:extLst>
            <a:ext uri="{FF2B5EF4-FFF2-40B4-BE49-F238E27FC236}">
              <a16:creationId xmlns:a16="http://schemas.microsoft.com/office/drawing/2014/main" id="{B0A9B6C3-AE5B-88AF-B112-5928A353F62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1" name="Text Box 87" hidden="1">
          <a:extLst>
            <a:ext uri="{FF2B5EF4-FFF2-40B4-BE49-F238E27FC236}">
              <a16:creationId xmlns:a16="http://schemas.microsoft.com/office/drawing/2014/main" id="{B70FC761-7850-759C-BA8C-73D06BC02CCB}"/>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0" name="Text Box 86" hidden="1">
          <a:extLst>
            <a:ext uri="{FF2B5EF4-FFF2-40B4-BE49-F238E27FC236}">
              <a16:creationId xmlns:a16="http://schemas.microsoft.com/office/drawing/2014/main" id="{758C1C7E-E3BF-0EC8-CBE2-6652325D736E}"/>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9" name="Text Box 85" hidden="1">
          <a:extLst>
            <a:ext uri="{FF2B5EF4-FFF2-40B4-BE49-F238E27FC236}">
              <a16:creationId xmlns:a16="http://schemas.microsoft.com/office/drawing/2014/main" id="{F2A8D452-74BA-364C-64A3-87FDCBCB4789}"/>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8" name="Text Box 84" hidden="1">
          <a:extLst>
            <a:ext uri="{FF2B5EF4-FFF2-40B4-BE49-F238E27FC236}">
              <a16:creationId xmlns:a16="http://schemas.microsoft.com/office/drawing/2014/main" id="{6085404B-CD15-3BA4-CBDB-3343F4FEFDE2}"/>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47" name="Text Box 83" hidden="1">
          <a:extLst>
            <a:ext uri="{FF2B5EF4-FFF2-40B4-BE49-F238E27FC236}">
              <a16:creationId xmlns:a16="http://schemas.microsoft.com/office/drawing/2014/main" id="{95DE8D85-2C81-99CB-09AD-063464DC30C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46" name="Text Box 82" hidden="1">
          <a:extLst>
            <a:ext uri="{FF2B5EF4-FFF2-40B4-BE49-F238E27FC236}">
              <a16:creationId xmlns:a16="http://schemas.microsoft.com/office/drawing/2014/main" id="{6027B397-892C-1F5E-42D6-0241A9EAD06C}"/>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45" name="Text Box 81" hidden="1">
          <a:extLst>
            <a:ext uri="{FF2B5EF4-FFF2-40B4-BE49-F238E27FC236}">
              <a16:creationId xmlns:a16="http://schemas.microsoft.com/office/drawing/2014/main" id="{50A4379F-54DB-66BE-4247-E7916D8C8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60" name="Text Box 96" hidden="1">
          <a:extLst>
            <a:ext uri="{FF2B5EF4-FFF2-40B4-BE49-F238E27FC236}">
              <a16:creationId xmlns:a16="http://schemas.microsoft.com/office/drawing/2014/main" id="{F27B7836-5667-B159-826F-B665F8BEA9CD}"/>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9" name="Text Box 95" hidden="1">
          <a:extLst>
            <a:ext uri="{FF2B5EF4-FFF2-40B4-BE49-F238E27FC236}">
              <a16:creationId xmlns:a16="http://schemas.microsoft.com/office/drawing/2014/main" id="{8D8A77F2-18C2-69EC-4BAD-A680EC1843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8" name="Text Box 94" hidden="1">
          <a:extLst>
            <a:ext uri="{FF2B5EF4-FFF2-40B4-BE49-F238E27FC236}">
              <a16:creationId xmlns:a16="http://schemas.microsoft.com/office/drawing/2014/main" id="{E15E7883-B081-2CB4-B6A0-CDEAB683FF80}"/>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57" name="Text Box 93" hidden="1">
          <a:extLst>
            <a:ext uri="{FF2B5EF4-FFF2-40B4-BE49-F238E27FC236}">
              <a16:creationId xmlns:a16="http://schemas.microsoft.com/office/drawing/2014/main" id="{DC098EFD-A2EA-9BB1-BA85-529EF516EEE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56" name="Text Box 92" hidden="1">
          <a:extLst>
            <a:ext uri="{FF2B5EF4-FFF2-40B4-BE49-F238E27FC236}">
              <a16:creationId xmlns:a16="http://schemas.microsoft.com/office/drawing/2014/main" id="{1DED77ED-B752-8AB9-3B26-9DE35FC1AA6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55" name="Text Box 91" hidden="1">
          <a:extLst>
            <a:ext uri="{FF2B5EF4-FFF2-40B4-BE49-F238E27FC236}">
              <a16:creationId xmlns:a16="http://schemas.microsoft.com/office/drawing/2014/main" id="{D6384912-D69F-692C-AD11-176E5D6CCAE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54" name="Text Box 90" hidden="1">
          <a:extLst>
            <a:ext uri="{FF2B5EF4-FFF2-40B4-BE49-F238E27FC236}">
              <a16:creationId xmlns:a16="http://schemas.microsoft.com/office/drawing/2014/main" id="{BF67050F-90AF-6B13-7007-166A9B05DE6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53" name="Text Box 89" hidden="1">
          <a:extLst>
            <a:ext uri="{FF2B5EF4-FFF2-40B4-BE49-F238E27FC236}">
              <a16:creationId xmlns:a16="http://schemas.microsoft.com/office/drawing/2014/main" id="{6B97E2DE-FD5C-F68F-09AB-1244D4136D5F}"/>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697" name="Text Box 9" hidden="1">
          <a:extLst>
            <a:ext uri="{FF2B5EF4-FFF2-40B4-BE49-F238E27FC236}">
              <a16:creationId xmlns:a16="http://schemas.microsoft.com/office/drawing/2014/main" id="{48FD212B-7865-CFCA-89E7-1969A4FC2E6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696" name="Text Box 8" hidden="1">
          <a:extLst>
            <a:ext uri="{FF2B5EF4-FFF2-40B4-BE49-F238E27FC236}">
              <a16:creationId xmlns:a16="http://schemas.microsoft.com/office/drawing/2014/main" id="{D9FE2A2E-0396-0B31-B649-F1BB1C0FEF3C}"/>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695" name="Text Box 7" hidden="1">
          <a:extLst>
            <a:ext uri="{FF2B5EF4-FFF2-40B4-BE49-F238E27FC236}">
              <a16:creationId xmlns:a16="http://schemas.microsoft.com/office/drawing/2014/main" id="{CD59EE58-A16F-4FF1-6112-63636E1A7D0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694" name="Text Box 6" hidden="1">
          <a:extLst>
            <a:ext uri="{FF2B5EF4-FFF2-40B4-BE49-F238E27FC236}">
              <a16:creationId xmlns:a16="http://schemas.microsoft.com/office/drawing/2014/main" id="{B3F670BA-5154-2389-F20A-E2BB8391850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693" name="Text Box 5" hidden="1">
          <a:extLst>
            <a:ext uri="{FF2B5EF4-FFF2-40B4-BE49-F238E27FC236}">
              <a16:creationId xmlns:a16="http://schemas.microsoft.com/office/drawing/2014/main" id="{9789D907-4E8A-E577-4C25-1DF9A6D3DEF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692" name="Text Box 4" hidden="1">
          <a:extLst>
            <a:ext uri="{FF2B5EF4-FFF2-40B4-BE49-F238E27FC236}">
              <a16:creationId xmlns:a16="http://schemas.microsoft.com/office/drawing/2014/main" id="{9BA0AFF1-4F4D-1C72-6FF0-35899AF7382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691" name="Text Box 3" hidden="1">
          <a:extLst>
            <a:ext uri="{FF2B5EF4-FFF2-40B4-BE49-F238E27FC236}">
              <a16:creationId xmlns:a16="http://schemas.microsoft.com/office/drawing/2014/main" id="{6543FD30-8E83-73FA-B4B0-24ED81AD9D75}"/>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0" name="Text Box 2" hidden="1">
          <a:extLst>
            <a:ext uri="{FF2B5EF4-FFF2-40B4-BE49-F238E27FC236}">
              <a16:creationId xmlns:a16="http://schemas.microsoft.com/office/drawing/2014/main" id="{FBADFB1A-3E9F-9C6C-C1E8-F4C357DFB7C3}"/>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89" name="Text Box 1" hidden="1">
          <a:extLst>
            <a:ext uri="{FF2B5EF4-FFF2-40B4-BE49-F238E27FC236}">
              <a16:creationId xmlns:a16="http://schemas.microsoft.com/office/drawing/2014/main" id="{063B4B66-C8CC-06E3-F6DF-48C0B64F9C2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1746159</xdr:colOff>
      <xdr:row>12</xdr:row>
      <xdr:rowOff>263737</xdr:rowOff>
    </xdr:from>
    <xdr:to>
      <xdr:col>3</xdr:col>
      <xdr:colOff>488587</xdr:colOff>
      <xdr:row>15</xdr:row>
      <xdr:rowOff>187537</xdr:rowOff>
    </xdr:to>
    <xdr:sp macro="" textlink="">
      <xdr:nvSpPr>
        <xdr:cNvPr id="159745" name="Text Box 1" hidden="1">
          <a:extLst>
            <a:ext uri="{FF2B5EF4-FFF2-40B4-BE49-F238E27FC236}">
              <a16:creationId xmlns:a16="http://schemas.microsoft.com/office/drawing/2014/main" id="{BC54E1BE-977C-4357-BE8C-6D1DB59C9060}"/>
            </a:ext>
          </a:extLst>
        </xdr:cNvPr>
        <xdr:cNvSpPr txBox="1">
          <a:spLocks noChangeArrowheads="1"/>
        </xdr:cNvSpPr>
      </xdr:nvSpPr>
      <xdr:spPr bwMode="auto">
        <a:xfrm>
          <a:off x="2583180" y="4328160"/>
          <a:ext cx="1661160" cy="632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1746159</xdr:colOff>
      <xdr:row>12</xdr:row>
      <xdr:rowOff>263737</xdr:rowOff>
    </xdr:from>
    <xdr:to>
      <xdr:col>3</xdr:col>
      <xdr:colOff>488587</xdr:colOff>
      <xdr:row>15</xdr:row>
      <xdr:rowOff>187537</xdr:rowOff>
    </xdr:to>
    <xdr:sp macro="" textlink="">
      <xdr:nvSpPr>
        <xdr:cNvPr id="254977" name="Text Box 1" hidden="1">
          <a:extLst>
            <a:ext uri="{FF2B5EF4-FFF2-40B4-BE49-F238E27FC236}">
              <a16:creationId xmlns:a16="http://schemas.microsoft.com/office/drawing/2014/main" id="{6E659D6B-F68E-4A42-AB35-1798F1D83432}"/>
            </a:ext>
          </a:extLst>
        </xdr:cNvPr>
        <xdr:cNvSpPr txBox="1">
          <a:spLocks noChangeArrowheads="1"/>
        </xdr:cNvSpPr>
      </xdr:nvSpPr>
      <xdr:spPr bwMode="auto">
        <a:xfrm>
          <a:off x="2505075" y="4400550"/>
          <a:ext cx="1600200" cy="638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3" name="Text Box 7" hidden="1">
          <a:extLst>
            <a:ext uri="{FF2B5EF4-FFF2-40B4-BE49-F238E27FC236}">
              <a16:creationId xmlns:a16="http://schemas.microsoft.com/office/drawing/2014/main" id="{12B79786-25D3-41B0-B836-4BE41BE32A66}"/>
            </a:ext>
          </a:extLst>
        </xdr:cNvPr>
        <xdr:cNvSpPr txBox="1">
          <a:spLocks noChangeArrowheads="1"/>
        </xdr:cNvSpPr>
      </xdr:nvSpPr>
      <xdr:spPr bwMode="auto">
        <a:xfrm>
          <a:off x="3028950" y="4352925"/>
          <a:ext cx="1371600" cy="6572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4" name="Text Box 8" hidden="1">
          <a:extLst>
            <a:ext uri="{FF2B5EF4-FFF2-40B4-BE49-F238E27FC236}">
              <a16:creationId xmlns:a16="http://schemas.microsoft.com/office/drawing/2014/main" id="{2EFA3C81-D9E8-43CC-BC32-A8A5BD689757}"/>
            </a:ext>
          </a:extLst>
        </xdr:cNvPr>
        <xdr:cNvSpPr txBox="1">
          <a:spLocks noChangeArrowheads="1"/>
        </xdr:cNvSpPr>
      </xdr:nvSpPr>
      <xdr:spPr bwMode="auto">
        <a:xfrm>
          <a:off x="3028950" y="4352925"/>
          <a:ext cx="137160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5" name="Text Box 9" hidden="1">
          <a:extLst>
            <a:ext uri="{FF2B5EF4-FFF2-40B4-BE49-F238E27FC236}">
              <a16:creationId xmlns:a16="http://schemas.microsoft.com/office/drawing/2014/main" id="{4C0B898D-7FD7-4662-B8AB-AA379418E244}"/>
            </a:ext>
          </a:extLst>
        </xdr:cNvPr>
        <xdr:cNvSpPr txBox="1">
          <a:spLocks noChangeArrowheads="1"/>
        </xdr:cNvSpPr>
      </xdr:nvSpPr>
      <xdr:spPr bwMode="auto">
        <a:xfrm>
          <a:off x="3116580" y="429006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190924</xdr:rowOff>
    </xdr:from>
    <xdr:to>
      <xdr:col>4</xdr:col>
      <xdr:colOff>0</xdr:colOff>
      <xdr:row>15</xdr:row>
      <xdr:rowOff>142663</xdr:rowOff>
    </xdr:to>
    <xdr:sp macro="" textlink="">
      <xdr:nvSpPr>
        <xdr:cNvPr id="254986" name="Text Box 10" hidden="1">
          <a:extLst>
            <a:ext uri="{FF2B5EF4-FFF2-40B4-BE49-F238E27FC236}">
              <a16:creationId xmlns:a16="http://schemas.microsoft.com/office/drawing/2014/main" id="{9AE26B22-D588-4457-95D8-D09286F22483}"/>
            </a:ext>
          </a:extLst>
        </xdr:cNvPr>
        <xdr:cNvSpPr txBox="1">
          <a:spLocks noChangeArrowheads="1"/>
        </xdr:cNvSpPr>
      </xdr:nvSpPr>
      <xdr:spPr bwMode="auto">
        <a:xfrm>
          <a:off x="3116580" y="428244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183939</xdr:rowOff>
    </xdr:from>
    <xdr:to>
      <xdr:col>4</xdr:col>
      <xdr:colOff>0</xdr:colOff>
      <xdr:row>15</xdr:row>
      <xdr:rowOff>142663</xdr:rowOff>
    </xdr:to>
    <xdr:sp macro="" textlink="">
      <xdr:nvSpPr>
        <xdr:cNvPr id="254987" name="Text Box 11" hidden="1">
          <a:extLst>
            <a:ext uri="{FF2B5EF4-FFF2-40B4-BE49-F238E27FC236}">
              <a16:creationId xmlns:a16="http://schemas.microsoft.com/office/drawing/2014/main" id="{D06A8E9F-DD2B-4A89-8116-0F75F9FBCAB7}"/>
            </a:ext>
          </a:extLst>
        </xdr:cNvPr>
        <xdr:cNvSpPr txBox="1">
          <a:spLocks noChangeArrowheads="1"/>
        </xdr:cNvSpPr>
      </xdr:nvSpPr>
      <xdr:spPr bwMode="auto">
        <a:xfrm>
          <a:off x="3028950" y="4333875"/>
          <a:ext cx="137160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88" name="Text Box 12" hidden="1">
          <a:extLst>
            <a:ext uri="{FF2B5EF4-FFF2-40B4-BE49-F238E27FC236}">
              <a16:creationId xmlns:a16="http://schemas.microsoft.com/office/drawing/2014/main" id="{1D62F115-3133-44C6-AF58-5F0199EA47B2}"/>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89" name="Text Box 13" hidden="1">
          <a:extLst>
            <a:ext uri="{FF2B5EF4-FFF2-40B4-BE49-F238E27FC236}">
              <a16:creationId xmlns:a16="http://schemas.microsoft.com/office/drawing/2014/main" id="{64F53FB9-29E6-4F60-B163-17AA0D932941}"/>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0" name="Text Box 14" hidden="1">
          <a:extLst>
            <a:ext uri="{FF2B5EF4-FFF2-40B4-BE49-F238E27FC236}">
              <a16:creationId xmlns:a16="http://schemas.microsoft.com/office/drawing/2014/main" id="{77EF7484-A443-4978-B67F-7FD01FE1B7FE}"/>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1" name="Text Box 15" hidden="1">
          <a:extLst>
            <a:ext uri="{FF2B5EF4-FFF2-40B4-BE49-F238E27FC236}">
              <a16:creationId xmlns:a16="http://schemas.microsoft.com/office/drawing/2014/main" id="{37396FA4-03EC-48AB-9E6E-5CE4048A7BC0}"/>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2" name="Text Box 16" hidden="1">
          <a:extLst>
            <a:ext uri="{FF2B5EF4-FFF2-40B4-BE49-F238E27FC236}">
              <a16:creationId xmlns:a16="http://schemas.microsoft.com/office/drawing/2014/main" id="{0116FCBA-0697-45F4-9858-99156A110324}"/>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3" name="Text Box 17" hidden="1">
          <a:extLst>
            <a:ext uri="{FF2B5EF4-FFF2-40B4-BE49-F238E27FC236}">
              <a16:creationId xmlns:a16="http://schemas.microsoft.com/office/drawing/2014/main" id="{FB801DF9-907F-4280-ACC3-28BBE3B78A24}"/>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4" name="Text Box 18" hidden="1">
          <a:extLst>
            <a:ext uri="{FF2B5EF4-FFF2-40B4-BE49-F238E27FC236}">
              <a16:creationId xmlns:a16="http://schemas.microsoft.com/office/drawing/2014/main" id="{959FF662-5399-45FE-9CF6-C62B329FB196}"/>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28222</xdr:rowOff>
    </xdr:to>
    <xdr:sp macro="" textlink="">
      <xdr:nvSpPr>
        <xdr:cNvPr id="254995" name="Text Box 19" hidden="1">
          <a:extLst>
            <a:ext uri="{FF2B5EF4-FFF2-40B4-BE49-F238E27FC236}">
              <a16:creationId xmlns:a16="http://schemas.microsoft.com/office/drawing/2014/main" id="{3576AA5F-EA4E-4643-97E0-779CC4C397AD}"/>
            </a:ext>
          </a:extLst>
        </xdr:cNvPr>
        <xdr:cNvSpPr txBox="1">
          <a:spLocks noChangeArrowheads="1"/>
        </xdr:cNvSpPr>
      </xdr:nvSpPr>
      <xdr:spPr bwMode="auto">
        <a:xfrm>
          <a:off x="3028950" y="7077075"/>
          <a:ext cx="1371600" cy="1438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28222</xdr:rowOff>
    </xdr:to>
    <xdr:sp macro="" textlink="">
      <xdr:nvSpPr>
        <xdr:cNvPr id="254996" name="Text Box 20" hidden="1">
          <a:extLst>
            <a:ext uri="{FF2B5EF4-FFF2-40B4-BE49-F238E27FC236}">
              <a16:creationId xmlns:a16="http://schemas.microsoft.com/office/drawing/2014/main" id="{5E0C705F-1F71-409E-8333-D9539325E5E4}"/>
            </a:ext>
          </a:extLst>
        </xdr:cNvPr>
        <xdr:cNvSpPr txBox="1">
          <a:spLocks noChangeArrowheads="1"/>
        </xdr:cNvSpPr>
      </xdr:nvSpPr>
      <xdr:spPr bwMode="auto">
        <a:xfrm>
          <a:off x="3130550" y="7099300"/>
          <a:ext cx="13716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64559</xdr:rowOff>
    </xdr:to>
    <xdr:sp macro="" textlink="">
      <xdr:nvSpPr>
        <xdr:cNvPr id="254997" name="Text Box 21" hidden="1">
          <a:extLst>
            <a:ext uri="{FF2B5EF4-FFF2-40B4-BE49-F238E27FC236}">
              <a16:creationId xmlns:a16="http://schemas.microsoft.com/office/drawing/2014/main" id="{8EEA13B3-0E0F-4912-A2A1-A987DFDFD63D}"/>
            </a:ext>
          </a:extLst>
        </xdr:cNvPr>
        <xdr:cNvSpPr txBox="1">
          <a:spLocks noChangeArrowheads="1"/>
        </xdr:cNvSpPr>
      </xdr:nvSpPr>
      <xdr:spPr bwMode="auto">
        <a:xfrm>
          <a:off x="3130550" y="6229350"/>
          <a:ext cx="1371600" cy="143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4998" name="Text Box 22" hidden="1">
          <a:extLst>
            <a:ext uri="{FF2B5EF4-FFF2-40B4-BE49-F238E27FC236}">
              <a16:creationId xmlns:a16="http://schemas.microsoft.com/office/drawing/2014/main" id="{BD3B9FD5-B9A1-49B0-A619-308F092A3E5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4999" name="Text Box 23" hidden="1">
          <a:extLst>
            <a:ext uri="{FF2B5EF4-FFF2-40B4-BE49-F238E27FC236}">
              <a16:creationId xmlns:a16="http://schemas.microsoft.com/office/drawing/2014/main" id="{C638D3B4-3F3D-4C40-A1CB-9F43E24A0B6A}"/>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0" name="Text Box 24" hidden="1">
          <a:extLst>
            <a:ext uri="{FF2B5EF4-FFF2-40B4-BE49-F238E27FC236}">
              <a16:creationId xmlns:a16="http://schemas.microsoft.com/office/drawing/2014/main" id="{A7AA7EB7-DA35-475E-AC06-E9BBDE52E202}"/>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3" name="Text Box 27" hidden="1">
          <a:extLst>
            <a:ext uri="{FF2B5EF4-FFF2-40B4-BE49-F238E27FC236}">
              <a16:creationId xmlns:a16="http://schemas.microsoft.com/office/drawing/2014/main" id="{D6DE205F-8B29-41B0-B341-096D1181ED5D}"/>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2" name="Text Box 26" hidden="1">
          <a:extLst>
            <a:ext uri="{FF2B5EF4-FFF2-40B4-BE49-F238E27FC236}">
              <a16:creationId xmlns:a16="http://schemas.microsoft.com/office/drawing/2014/main" id="{CDE98A1E-ACF1-4638-A8B9-072AD64442F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1" name="Text Box 25" hidden="1">
          <a:extLst>
            <a:ext uri="{FF2B5EF4-FFF2-40B4-BE49-F238E27FC236}">
              <a16:creationId xmlns:a16="http://schemas.microsoft.com/office/drawing/2014/main" id="{836FFB0E-5233-4646-BBA0-4598AC4C6AD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6" name="Text Box 30" hidden="1">
          <a:extLst>
            <a:ext uri="{FF2B5EF4-FFF2-40B4-BE49-F238E27FC236}">
              <a16:creationId xmlns:a16="http://schemas.microsoft.com/office/drawing/2014/main" id="{F736C49D-52AE-4347-B120-79B2A5A17E5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5" name="Text Box 29" hidden="1">
          <a:extLst>
            <a:ext uri="{FF2B5EF4-FFF2-40B4-BE49-F238E27FC236}">
              <a16:creationId xmlns:a16="http://schemas.microsoft.com/office/drawing/2014/main" id="{7E25F268-8D34-4975-8DF5-C1714606D17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4" name="Text Box 28" hidden="1">
          <a:extLst>
            <a:ext uri="{FF2B5EF4-FFF2-40B4-BE49-F238E27FC236}">
              <a16:creationId xmlns:a16="http://schemas.microsoft.com/office/drawing/2014/main" id="{15FF75B6-1A5A-4ED4-9DF8-7C05A3CE9701}"/>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7" name="Text Box 31" hidden="1">
          <a:extLst>
            <a:ext uri="{FF2B5EF4-FFF2-40B4-BE49-F238E27FC236}">
              <a16:creationId xmlns:a16="http://schemas.microsoft.com/office/drawing/2014/main" id="{4BC83042-89D7-4585-A8F1-BF72E1DB0326}"/>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8" name="Text Box 32" hidden="1">
          <a:extLst>
            <a:ext uri="{FF2B5EF4-FFF2-40B4-BE49-F238E27FC236}">
              <a16:creationId xmlns:a16="http://schemas.microsoft.com/office/drawing/2014/main" id="{6157CAE3-C247-46D4-BC7A-FF01A72C9EAD}"/>
            </a:ext>
          </a:extLst>
        </xdr:cNvPr>
        <xdr:cNvSpPr txBox="1">
          <a:spLocks noChangeArrowheads="1"/>
        </xdr:cNvSpPr>
      </xdr:nvSpPr>
      <xdr:spPr bwMode="auto">
        <a:xfrm>
          <a:off x="311658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9" name="Text Box 33" hidden="1">
          <a:extLst>
            <a:ext uri="{FF2B5EF4-FFF2-40B4-BE49-F238E27FC236}">
              <a16:creationId xmlns:a16="http://schemas.microsoft.com/office/drawing/2014/main" id="{81D44EF4-4AE9-4976-891A-8530E38A9FAA}"/>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10" name="Text Box 34" hidden="1">
          <a:extLst>
            <a:ext uri="{FF2B5EF4-FFF2-40B4-BE49-F238E27FC236}">
              <a16:creationId xmlns:a16="http://schemas.microsoft.com/office/drawing/2014/main" id="{16912E82-7D9F-4F03-894F-2D060BEB030C}"/>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11" name="Text Box 35" hidden="1">
          <a:extLst>
            <a:ext uri="{FF2B5EF4-FFF2-40B4-BE49-F238E27FC236}">
              <a16:creationId xmlns:a16="http://schemas.microsoft.com/office/drawing/2014/main" id="{73B3882F-B4AC-4184-A1CA-789FE50C7A7B}"/>
            </a:ext>
          </a:extLst>
        </xdr:cNvPr>
        <xdr:cNvSpPr txBox="1">
          <a:spLocks noChangeArrowheads="1"/>
        </xdr:cNvSpPr>
      </xdr:nvSpPr>
      <xdr:spPr bwMode="auto">
        <a:xfrm>
          <a:off x="3038475"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135466</xdr:rowOff>
    </xdr:to>
    <xdr:sp macro="" textlink="">
      <xdr:nvSpPr>
        <xdr:cNvPr id="255012" name="Text Box 36" hidden="1">
          <a:extLst>
            <a:ext uri="{FF2B5EF4-FFF2-40B4-BE49-F238E27FC236}">
              <a16:creationId xmlns:a16="http://schemas.microsoft.com/office/drawing/2014/main" id="{EE97BB65-50BB-493B-AD63-DED731F83399}"/>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55013" name="Text Box 37" hidden="1">
          <a:extLst>
            <a:ext uri="{FF2B5EF4-FFF2-40B4-BE49-F238E27FC236}">
              <a16:creationId xmlns:a16="http://schemas.microsoft.com/office/drawing/2014/main" id="{CE833010-E69E-4B80-B461-4A01B33351E1}"/>
            </a:ext>
          </a:extLst>
        </xdr:cNvPr>
        <xdr:cNvSpPr txBox="1">
          <a:spLocks noChangeArrowheads="1"/>
        </xdr:cNvSpPr>
      </xdr:nvSpPr>
      <xdr:spPr bwMode="auto">
        <a:xfrm>
          <a:off x="15316200" y="372427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16</xdr:row>
      <xdr:rowOff>323850</xdr:rowOff>
    </xdr:from>
    <xdr:to>
      <xdr:col>3</xdr:col>
      <xdr:colOff>609600</xdr:colOff>
      <xdr:row>19</xdr:row>
      <xdr:rowOff>306916</xdr:rowOff>
    </xdr:to>
    <xdr:sp macro="" textlink="">
      <xdr:nvSpPr>
        <xdr:cNvPr id="255014" name="Text Box 38" hidden="1">
          <a:extLst>
            <a:ext uri="{FF2B5EF4-FFF2-40B4-BE49-F238E27FC236}">
              <a16:creationId xmlns:a16="http://schemas.microsoft.com/office/drawing/2014/main" id="{EF6913EB-1B76-4A39-B8B6-F3106D8CE9D4}"/>
            </a:ext>
          </a:extLst>
        </xdr:cNvPr>
        <xdr:cNvSpPr txBox="1">
          <a:spLocks noChangeArrowheads="1"/>
        </xdr:cNvSpPr>
      </xdr:nvSpPr>
      <xdr:spPr bwMode="auto">
        <a:xfrm>
          <a:off x="2981325" y="5505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3" name="Text Box 3" hidden="1">
          <a:extLst>
            <a:ext uri="{FF2B5EF4-FFF2-40B4-BE49-F238E27FC236}">
              <a16:creationId xmlns:a16="http://schemas.microsoft.com/office/drawing/2014/main" id="{40E621B9-3D9B-46C4-AE53-A62478D34A03}"/>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2" name="Text Box 2" hidden="1">
          <a:extLst>
            <a:ext uri="{FF2B5EF4-FFF2-40B4-BE49-F238E27FC236}">
              <a16:creationId xmlns:a16="http://schemas.microsoft.com/office/drawing/2014/main" id="{0B30606B-8BCD-42C9-8C02-6446EC1E8491}"/>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5" name="Text Box 5" hidden="1">
          <a:extLst>
            <a:ext uri="{FF2B5EF4-FFF2-40B4-BE49-F238E27FC236}">
              <a16:creationId xmlns:a16="http://schemas.microsoft.com/office/drawing/2014/main" id="{D47DCC58-9544-47E8-9F14-0D67DC12DD52}"/>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4" name="Text Box 4" hidden="1">
          <a:extLst>
            <a:ext uri="{FF2B5EF4-FFF2-40B4-BE49-F238E27FC236}">
              <a16:creationId xmlns:a16="http://schemas.microsoft.com/office/drawing/2014/main" id="{4780371A-8DDD-4ECB-AEC0-E8D553BCA747}"/>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7" name="Text Box 7" hidden="1">
          <a:extLst>
            <a:ext uri="{FF2B5EF4-FFF2-40B4-BE49-F238E27FC236}">
              <a16:creationId xmlns:a16="http://schemas.microsoft.com/office/drawing/2014/main" id="{8E133E73-CEEF-4223-994C-4DB9C8A32C5B}"/>
            </a:ext>
          </a:extLst>
        </xdr:cNvPr>
        <xdr:cNvSpPr txBox="1">
          <a:spLocks noChangeArrowheads="1"/>
        </xdr:cNvSpPr>
      </xdr:nvSpPr>
      <xdr:spPr bwMode="auto">
        <a:xfrm>
          <a:off x="3136900" y="4648200"/>
          <a:ext cx="137160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6" name="Text Box 6" hidden="1">
          <a:extLst>
            <a:ext uri="{FF2B5EF4-FFF2-40B4-BE49-F238E27FC236}">
              <a16:creationId xmlns:a16="http://schemas.microsoft.com/office/drawing/2014/main" id="{557E48D0-5EB0-4178-8F3E-781C9618386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705</xdr:rowOff>
    </xdr:from>
    <xdr:to>
      <xdr:col>4</xdr:col>
      <xdr:colOff>0</xdr:colOff>
      <xdr:row>19</xdr:row>
      <xdr:rowOff>114300</xdr:rowOff>
    </xdr:to>
    <xdr:sp macro="" textlink="">
      <xdr:nvSpPr>
        <xdr:cNvPr id="296969" name="Text Box 9" hidden="1">
          <a:extLst>
            <a:ext uri="{FF2B5EF4-FFF2-40B4-BE49-F238E27FC236}">
              <a16:creationId xmlns:a16="http://schemas.microsoft.com/office/drawing/2014/main" id="{9BD90012-4133-4DEE-B49C-97EF88B8380B}"/>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8" name="Text Box 8" hidden="1">
          <a:extLst>
            <a:ext uri="{FF2B5EF4-FFF2-40B4-BE49-F238E27FC236}">
              <a16:creationId xmlns:a16="http://schemas.microsoft.com/office/drawing/2014/main" id="{3DD94746-1C8F-40F9-B761-574509264355}"/>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3" name="Text Box 13" hidden="1">
          <a:extLst>
            <a:ext uri="{FF2B5EF4-FFF2-40B4-BE49-F238E27FC236}">
              <a16:creationId xmlns:a16="http://schemas.microsoft.com/office/drawing/2014/main" id="{74636BA2-EAE5-4B15-B56E-26D9869C62B9}"/>
            </a:ext>
          </a:extLst>
        </xdr:cNvPr>
        <xdr:cNvSpPr txBox="1">
          <a:spLocks noChangeArrowheads="1"/>
        </xdr:cNvSpPr>
      </xdr:nvSpPr>
      <xdr:spPr bwMode="auto">
        <a:xfrm>
          <a:off x="15894050" y="4032250"/>
          <a:ext cx="13589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2964</xdr:rowOff>
    </xdr:from>
    <xdr:to>
      <xdr:col>4</xdr:col>
      <xdr:colOff>0</xdr:colOff>
      <xdr:row>19</xdr:row>
      <xdr:rowOff>114300</xdr:rowOff>
    </xdr:to>
    <xdr:sp macro="" textlink="">
      <xdr:nvSpPr>
        <xdr:cNvPr id="296976" name="Text Box 16" hidden="1">
          <a:extLst>
            <a:ext uri="{FF2B5EF4-FFF2-40B4-BE49-F238E27FC236}">
              <a16:creationId xmlns:a16="http://schemas.microsoft.com/office/drawing/2014/main" id="{C9194B46-F472-48CF-ADC1-67AC5D58C44E}"/>
            </a:ext>
          </a:extLst>
        </xdr:cNvPr>
        <xdr:cNvSpPr txBox="1">
          <a:spLocks noChangeArrowheads="1"/>
        </xdr:cNvSpPr>
      </xdr:nvSpPr>
      <xdr:spPr bwMode="auto">
        <a:xfrm>
          <a:off x="3038475" y="4676775"/>
          <a:ext cx="1371600" cy="1400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75" name="Text Box 15" hidden="1">
          <a:extLst>
            <a:ext uri="{FF2B5EF4-FFF2-40B4-BE49-F238E27FC236}">
              <a16:creationId xmlns:a16="http://schemas.microsoft.com/office/drawing/2014/main" id="{5096604A-7A3E-4525-A326-C791B114BB74}"/>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4" name="Text Box 14" hidden="1">
          <a:extLst>
            <a:ext uri="{FF2B5EF4-FFF2-40B4-BE49-F238E27FC236}">
              <a16:creationId xmlns:a16="http://schemas.microsoft.com/office/drawing/2014/main" id="{E4879193-7B2D-4BAE-9077-6326B1BF4C98}"/>
            </a:ext>
          </a:extLst>
        </xdr:cNvPr>
        <xdr:cNvSpPr txBox="1">
          <a:spLocks noChangeArrowheads="1"/>
        </xdr:cNvSpPr>
      </xdr:nvSpPr>
      <xdr:spPr bwMode="auto">
        <a:xfrm>
          <a:off x="15316200" y="4067175"/>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11</xdr:row>
      <xdr:rowOff>285750</xdr:rowOff>
    </xdr:from>
    <xdr:to>
      <xdr:col>23</xdr:col>
      <xdr:colOff>133350</xdr:colOff>
      <xdr:row>15</xdr:row>
      <xdr:rowOff>0</xdr:rowOff>
    </xdr:to>
    <xdr:sp macro="" textlink="">
      <xdr:nvSpPr>
        <xdr:cNvPr id="296977" name="Text Box 17" hidden="1">
          <a:extLst>
            <a:ext uri="{FF2B5EF4-FFF2-40B4-BE49-F238E27FC236}">
              <a16:creationId xmlns:a16="http://schemas.microsoft.com/office/drawing/2014/main" id="{649AC6CE-314D-4A66-A00B-D02D1F4C115F}"/>
            </a:ext>
          </a:extLst>
        </xdr:cNvPr>
        <xdr:cNvSpPr txBox="1">
          <a:spLocks noChangeArrowheads="1"/>
        </xdr:cNvSpPr>
      </xdr:nvSpPr>
      <xdr:spPr bwMode="auto">
        <a:xfrm>
          <a:off x="14725650" y="4086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27</xdr:row>
      <xdr:rowOff>192617</xdr:rowOff>
    </xdr:from>
    <xdr:to>
      <xdr:col>23</xdr:col>
      <xdr:colOff>133350</xdr:colOff>
      <xdr:row>31</xdr:row>
      <xdr:rowOff>27517</xdr:rowOff>
    </xdr:to>
    <xdr:sp macro="" textlink="">
      <xdr:nvSpPr>
        <xdr:cNvPr id="296978" name="Text Box 18" hidden="1">
          <a:extLst>
            <a:ext uri="{FF2B5EF4-FFF2-40B4-BE49-F238E27FC236}">
              <a16:creationId xmlns:a16="http://schemas.microsoft.com/office/drawing/2014/main" id="{8C2F162C-ABEA-4BC6-871B-E6D1CCB5CBA4}"/>
            </a:ext>
          </a:extLst>
        </xdr:cNvPr>
        <xdr:cNvSpPr txBox="1">
          <a:spLocks noChangeArrowheads="1"/>
        </xdr:cNvSpPr>
      </xdr:nvSpPr>
      <xdr:spPr bwMode="auto">
        <a:xfrm>
          <a:off x="14725650" y="8229600"/>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3" name="Text Box 5" hidden="1">
          <a:extLst>
            <a:ext uri="{FF2B5EF4-FFF2-40B4-BE49-F238E27FC236}">
              <a16:creationId xmlns:a16="http://schemas.microsoft.com/office/drawing/2014/main" id="{755C2774-EDFE-4E9C-A245-7E5CEB3F4420}"/>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2" name="Text Box 4" hidden="1">
          <a:extLst>
            <a:ext uri="{FF2B5EF4-FFF2-40B4-BE49-F238E27FC236}">
              <a16:creationId xmlns:a16="http://schemas.microsoft.com/office/drawing/2014/main" id="{6E2D48C2-DFEE-45EF-B2F2-C5D7A064A8B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4" name="Text Box 6" hidden="1">
          <a:extLst>
            <a:ext uri="{FF2B5EF4-FFF2-40B4-BE49-F238E27FC236}">
              <a16:creationId xmlns:a16="http://schemas.microsoft.com/office/drawing/2014/main" id="{38121E5C-06E5-4395-8B8C-F347C681C7EB}"/>
            </a:ext>
          </a:extLst>
        </xdr:cNvPr>
        <xdr:cNvSpPr txBox="1">
          <a:spLocks noChangeArrowheads="1"/>
        </xdr:cNvSpPr>
      </xdr:nvSpPr>
      <xdr:spPr bwMode="auto">
        <a:xfrm>
          <a:off x="15932150" y="4724400"/>
          <a:ext cx="12827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7" name="Text Box 9" hidden="1">
          <a:extLst>
            <a:ext uri="{FF2B5EF4-FFF2-40B4-BE49-F238E27FC236}">
              <a16:creationId xmlns:a16="http://schemas.microsoft.com/office/drawing/2014/main" id="{7C723656-3460-40E2-AC18-38D17E488E37}"/>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6" name="Text Box 8" hidden="1">
          <a:extLst>
            <a:ext uri="{FF2B5EF4-FFF2-40B4-BE49-F238E27FC236}">
              <a16:creationId xmlns:a16="http://schemas.microsoft.com/office/drawing/2014/main" id="{8A7BD8CF-1A8C-46DA-BBCE-490CB8819861}"/>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5" name="Text Box 7" hidden="1">
          <a:extLst>
            <a:ext uri="{FF2B5EF4-FFF2-40B4-BE49-F238E27FC236}">
              <a16:creationId xmlns:a16="http://schemas.microsoft.com/office/drawing/2014/main" id="{BEB29F7A-D791-4677-99A8-C35D0A6F399A}"/>
            </a:ext>
          </a:extLst>
        </xdr:cNvPr>
        <xdr:cNvSpPr txBox="1">
          <a:spLocks noChangeArrowheads="1"/>
        </xdr:cNvSpPr>
      </xdr:nvSpPr>
      <xdr:spPr bwMode="auto">
        <a:xfrm>
          <a:off x="15932150" y="4724400"/>
          <a:ext cx="12827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104775</xdr:rowOff>
    </xdr:to>
    <xdr:sp macro="" textlink="">
      <xdr:nvSpPr>
        <xdr:cNvPr id="309260" name="Text Box 12" hidden="1">
          <a:extLst>
            <a:ext uri="{FF2B5EF4-FFF2-40B4-BE49-F238E27FC236}">
              <a16:creationId xmlns:a16="http://schemas.microsoft.com/office/drawing/2014/main" id="{06C08D3B-0558-067C-C1B5-A38F41256F1F}"/>
            </a:ext>
          </a:extLst>
        </xdr:cNvPr>
        <xdr:cNvSpPr txBox="1">
          <a:spLocks noChangeArrowheads="1"/>
        </xdr:cNvSpPr>
      </xdr:nvSpPr>
      <xdr:spPr bwMode="auto">
        <a:xfrm>
          <a:off x="3136900" y="464185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9" name="Text Box 11" hidden="1">
          <a:extLst>
            <a:ext uri="{FF2B5EF4-FFF2-40B4-BE49-F238E27FC236}">
              <a16:creationId xmlns:a16="http://schemas.microsoft.com/office/drawing/2014/main" id="{42F23561-1300-E588-3D41-1EDBBB31B6EF}"/>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295275</xdr:colOff>
      <xdr:row>27</xdr:row>
      <xdr:rowOff>192617</xdr:rowOff>
    </xdr:to>
    <xdr:sp macro="" textlink="">
      <xdr:nvSpPr>
        <xdr:cNvPr id="309261" name="Text Box 13" hidden="1">
          <a:extLst>
            <a:ext uri="{FF2B5EF4-FFF2-40B4-BE49-F238E27FC236}">
              <a16:creationId xmlns:a16="http://schemas.microsoft.com/office/drawing/2014/main" id="{2838243C-76D4-A31C-2E89-0D6EBFDF9396}"/>
            </a:ext>
          </a:extLst>
        </xdr:cNvPr>
        <xdr:cNvSpPr txBox="1">
          <a:spLocks noChangeArrowheads="1"/>
        </xdr:cNvSpPr>
      </xdr:nvSpPr>
      <xdr:spPr bwMode="auto">
        <a:xfrm>
          <a:off x="15970250" y="7397750"/>
          <a:ext cx="14224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09264" name="Text Box 16" hidden="1">
          <a:extLst>
            <a:ext uri="{FF2B5EF4-FFF2-40B4-BE49-F238E27FC236}">
              <a16:creationId xmlns:a16="http://schemas.microsoft.com/office/drawing/2014/main" id="{165B4ABB-D881-3113-D8E0-9FAB01A349EF}"/>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63" name="Text Box 15" hidden="1">
          <a:extLst>
            <a:ext uri="{FF2B5EF4-FFF2-40B4-BE49-F238E27FC236}">
              <a16:creationId xmlns:a16="http://schemas.microsoft.com/office/drawing/2014/main" id="{20792653-3AF8-D57B-C0DE-4A09F9C608B3}"/>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09262" name="Text Box 14" hidden="1">
          <a:extLst>
            <a:ext uri="{FF2B5EF4-FFF2-40B4-BE49-F238E27FC236}">
              <a16:creationId xmlns:a16="http://schemas.microsoft.com/office/drawing/2014/main" id="{35A8EB0E-97B3-1513-0605-A7875557E056}"/>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09265" name="Text Box 17" hidden="1">
          <a:extLst>
            <a:ext uri="{FF2B5EF4-FFF2-40B4-BE49-F238E27FC236}">
              <a16:creationId xmlns:a16="http://schemas.microsoft.com/office/drawing/2014/main" id="{A60E1D04-4118-B882-DA80-E407CFE50C67}"/>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09266" name="Text Box 18" hidden="1">
          <a:extLst>
            <a:ext uri="{FF2B5EF4-FFF2-40B4-BE49-F238E27FC236}">
              <a16:creationId xmlns:a16="http://schemas.microsoft.com/office/drawing/2014/main" id="{AAA4F079-EF91-B8B0-47BF-24BA3B92BC25}"/>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8" name="Text Box 10" hidden="1">
          <a:extLst>
            <a:ext uri="{FF2B5EF4-FFF2-40B4-BE49-F238E27FC236}">
              <a16:creationId xmlns:a16="http://schemas.microsoft.com/office/drawing/2014/main" id="{856FE23B-3ADE-127F-879F-0996097CABC2}"/>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7" name="Text Box 9" hidden="1">
          <a:extLst>
            <a:ext uri="{FF2B5EF4-FFF2-40B4-BE49-F238E27FC236}">
              <a16:creationId xmlns:a16="http://schemas.microsoft.com/office/drawing/2014/main" id="{9DBF09AD-853B-2C77-C580-AE77F301D23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696" name="Text Box 8" hidden="1">
          <a:extLst>
            <a:ext uri="{FF2B5EF4-FFF2-40B4-BE49-F238E27FC236}">
              <a16:creationId xmlns:a16="http://schemas.microsoft.com/office/drawing/2014/main" id="{98DB02AB-897F-D97B-AABE-4527A9F593AF}"/>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695" name="Text Box 7" hidden="1">
          <a:extLst>
            <a:ext uri="{FF2B5EF4-FFF2-40B4-BE49-F238E27FC236}">
              <a16:creationId xmlns:a16="http://schemas.microsoft.com/office/drawing/2014/main" id="{89E83E91-B4C1-7AD3-DEBB-E55749FE4932}"/>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4" name="Text Box 6" hidden="1">
          <a:extLst>
            <a:ext uri="{FF2B5EF4-FFF2-40B4-BE49-F238E27FC236}">
              <a16:creationId xmlns:a16="http://schemas.microsoft.com/office/drawing/2014/main" id="{71BD4394-83B8-C08B-294E-A618453E2530}"/>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3" name="Text Box 5" hidden="1">
          <a:extLst>
            <a:ext uri="{FF2B5EF4-FFF2-40B4-BE49-F238E27FC236}">
              <a16:creationId xmlns:a16="http://schemas.microsoft.com/office/drawing/2014/main" id="{AFFD47E8-5AF9-1E65-06D0-69D2872B26C6}"/>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2" name="Text Box 4" hidden="1">
          <a:extLst>
            <a:ext uri="{FF2B5EF4-FFF2-40B4-BE49-F238E27FC236}">
              <a16:creationId xmlns:a16="http://schemas.microsoft.com/office/drawing/2014/main" id="{321DCF27-7753-48FE-23D9-40266A97F68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691" name="Text Box 3" hidden="1">
          <a:extLst>
            <a:ext uri="{FF2B5EF4-FFF2-40B4-BE49-F238E27FC236}">
              <a16:creationId xmlns:a16="http://schemas.microsoft.com/office/drawing/2014/main" id="{5E05BA31-97F9-2953-88DC-9143F66AAE19}"/>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690" name="Text Box 2" hidden="1">
          <a:extLst>
            <a:ext uri="{FF2B5EF4-FFF2-40B4-BE49-F238E27FC236}">
              <a16:creationId xmlns:a16="http://schemas.microsoft.com/office/drawing/2014/main" id="{427B2709-9F8D-C108-6A54-8763BCEC7925}"/>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89" name="Text Box 1" hidden="1">
          <a:extLst>
            <a:ext uri="{FF2B5EF4-FFF2-40B4-BE49-F238E27FC236}">
              <a16:creationId xmlns:a16="http://schemas.microsoft.com/office/drawing/2014/main" id="{246D367E-A196-DF20-2BC3-B2FF7B17AD9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03" name="Text Box 15" hidden="1">
          <a:extLst>
            <a:ext uri="{FF2B5EF4-FFF2-40B4-BE49-F238E27FC236}">
              <a16:creationId xmlns:a16="http://schemas.microsoft.com/office/drawing/2014/main" id="{C6BF4DD2-8802-C765-AD33-731F9945CD4C}"/>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02" name="Text Box 14" hidden="1">
          <a:extLst>
            <a:ext uri="{FF2B5EF4-FFF2-40B4-BE49-F238E27FC236}">
              <a16:creationId xmlns:a16="http://schemas.microsoft.com/office/drawing/2014/main" id="{C1549618-867B-B6A6-07D0-D10FED1D092C}"/>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01" name="Text Box 13" hidden="1">
          <a:extLst>
            <a:ext uri="{FF2B5EF4-FFF2-40B4-BE49-F238E27FC236}">
              <a16:creationId xmlns:a16="http://schemas.microsoft.com/office/drawing/2014/main" id="{5857A37F-DB07-5B80-9B77-5DDE47ACBB0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00" name="Text Box 12" hidden="1">
          <a:extLst>
            <a:ext uri="{FF2B5EF4-FFF2-40B4-BE49-F238E27FC236}">
              <a16:creationId xmlns:a16="http://schemas.microsoft.com/office/drawing/2014/main" id="{F04EBEAA-BE3F-5AC4-1989-8DA0CD8E1511}"/>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9" name="Text Box 11" hidden="1">
          <a:extLst>
            <a:ext uri="{FF2B5EF4-FFF2-40B4-BE49-F238E27FC236}">
              <a16:creationId xmlns:a16="http://schemas.microsoft.com/office/drawing/2014/main" id="{5DFA3C2E-8A73-2E9A-4B4F-F3958C92B81D}"/>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06" name="Text Box 18" hidden="1">
          <a:extLst>
            <a:ext uri="{FF2B5EF4-FFF2-40B4-BE49-F238E27FC236}">
              <a16:creationId xmlns:a16="http://schemas.microsoft.com/office/drawing/2014/main" id="{611614E0-27A3-9ECD-3CD7-6DFA2BC57F5E}"/>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12" name="Text Box 24" hidden="1">
          <a:extLst>
            <a:ext uri="{FF2B5EF4-FFF2-40B4-BE49-F238E27FC236}">
              <a16:creationId xmlns:a16="http://schemas.microsoft.com/office/drawing/2014/main" id="{673D916D-1B05-1333-EED7-2855862902D7}"/>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1" name="Text Box 23" hidden="1">
          <a:extLst>
            <a:ext uri="{FF2B5EF4-FFF2-40B4-BE49-F238E27FC236}">
              <a16:creationId xmlns:a16="http://schemas.microsoft.com/office/drawing/2014/main" id="{D964AD14-9B48-E525-6718-07281FD62FF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10" name="Text Box 22" hidden="1">
          <a:extLst>
            <a:ext uri="{FF2B5EF4-FFF2-40B4-BE49-F238E27FC236}">
              <a16:creationId xmlns:a16="http://schemas.microsoft.com/office/drawing/2014/main" id="{87903352-C057-1001-BD9F-5E4A249080F5}"/>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09" name="Text Box 21" hidden="1">
          <a:extLst>
            <a:ext uri="{FF2B5EF4-FFF2-40B4-BE49-F238E27FC236}">
              <a16:creationId xmlns:a16="http://schemas.microsoft.com/office/drawing/2014/main" id="{09CD8AC2-4FCA-1859-904A-64198765CCE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08" name="Text Box 20" hidden="1">
          <a:extLst>
            <a:ext uri="{FF2B5EF4-FFF2-40B4-BE49-F238E27FC236}">
              <a16:creationId xmlns:a16="http://schemas.microsoft.com/office/drawing/2014/main" id="{CA3919A5-E23D-E846-9365-121C7CDDBCFF}"/>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07" name="Text Box 19" hidden="1">
          <a:extLst>
            <a:ext uri="{FF2B5EF4-FFF2-40B4-BE49-F238E27FC236}">
              <a16:creationId xmlns:a16="http://schemas.microsoft.com/office/drawing/2014/main" id="{BECD0D51-0D23-BD81-E5C9-0EC6DFED7107}"/>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13" name="Text Box 25" hidden="1">
          <a:extLst>
            <a:ext uri="{FF2B5EF4-FFF2-40B4-BE49-F238E27FC236}">
              <a16:creationId xmlns:a16="http://schemas.microsoft.com/office/drawing/2014/main" id="{7BB1D5D9-2831-D5EB-2BF7-4DBC78CB1EFD}"/>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0" name="Text Box 32" hidden="1">
          <a:extLst>
            <a:ext uri="{FF2B5EF4-FFF2-40B4-BE49-F238E27FC236}">
              <a16:creationId xmlns:a16="http://schemas.microsoft.com/office/drawing/2014/main" id="{6987DC2C-D4DD-6F18-0470-8FE969F590B1}"/>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9" name="Text Box 31" hidden="1">
          <a:extLst>
            <a:ext uri="{FF2B5EF4-FFF2-40B4-BE49-F238E27FC236}">
              <a16:creationId xmlns:a16="http://schemas.microsoft.com/office/drawing/2014/main" id="{B07CEC68-592F-D7AD-994A-B2BE41154B1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18" name="Text Box 30" hidden="1">
          <a:extLst>
            <a:ext uri="{FF2B5EF4-FFF2-40B4-BE49-F238E27FC236}">
              <a16:creationId xmlns:a16="http://schemas.microsoft.com/office/drawing/2014/main" id="{D23505D1-39AC-3FAC-32A3-DF8C6BDEBA1E}"/>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17" name="Text Box 29" hidden="1">
          <a:extLst>
            <a:ext uri="{FF2B5EF4-FFF2-40B4-BE49-F238E27FC236}">
              <a16:creationId xmlns:a16="http://schemas.microsoft.com/office/drawing/2014/main" id="{FC47A7C5-93D3-3FED-7064-2553B5A49C88}"/>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16" name="Text Box 28" hidden="1">
          <a:extLst>
            <a:ext uri="{FF2B5EF4-FFF2-40B4-BE49-F238E27FC236}">
              <a16:creationId xmlns:a16="http://schemas.microsoft.com/office/drawing/2014/main" id="{D3754FB0-7ADE-1ACA-D46B-48102D3E23A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15" name="Text Box 27" hidden="1">
          <a:extLst>
            <a:ext uri="{FF2B5EF4-FFF2-40B4-BE49-F238E27FC236}">
              <a16:creationId xmlns:a16="http://schemas.microsoft.com/office/drawing/2014/main" id="{873FCDBF-AA28-A300-12AD-31EB1F8CB945}"/>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14" name="Text Box 26" hidden="1">
          <a:extLst>
            <a:ext uri="{FF2B5EF4-FFF2-40B4-BE49-F238E27FC236}">
              <a16:creationId xmlns:a16="http://schemas.microsoft.com/office/drawing/2014/main" id="{1555602B-1F7B-939F-15B4-4FB753128A88}"/>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7" name="Text Box 39" hidden="1">
          <a:extLst>
            <a:ext uri="{FF2B5EF4-FFF2-40B4-BE49-F238E27FC236}">
              <a16:creationId xmlns:a16="http://schemas.microsoft.com/office/drawing/2014/main" id="{E3C40CBC-1BF0-E77E-B7D7-74C219868EF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26" name="Text Box 38" hidden="1">
          <a:extLst>
            <a:ext uri="{FF2B5EF4-FFF2-40B4-BE49-F238E27FC236}">
              <a16:creationId xmlns:a16="http://schemas.microsoft.com/office/drawing/2014/main" id="{AFA6A7E6-6E4C-43CB-6225-23287F85AB8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25" name="Text Box 37" hidden="1">
          <a:extLst>
            <a:ext uri="{FF2B5EF4-FFF2-40B4-BE49-F238E27FC236}">
              <a16:creationId xmlns:a16="http://schemas.microsoft.com/office/drawing/2014/main" id="{B687F4AF-37C4-201B-9CF9-7A5FE533A67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24" name="Text Box 36" hidden="1">
          <a:extLst>
            <a:ext uri="{FF2B5EF4-FFF2-40B4-BE49-F238E27FC236}">
              <a16:creationId xmlns:a16="http://schemas.microsoft.com/office/drawing/2014/main" id="{50240B5A-64F8-B03C-5050-20A0CF16BE9E}"/>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23" name="Text Box 35" hidden="1">
          <a:extLst>
            <a:ext uri="{FF2B5EF4-FFF2-40B4-BE49-F238E27FC236}">
              <a16:creationId xmlns:a16="http://schemas.microsoft.com/office/drawing/2014/main" id="{F64579FF-A2C1-E08E-C892-08D9FDB673F6}"/>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22" name="Text Box 34" hidden="1">
          <a:extLst>
            <a:ext uri="{FF2B5EF4-FFF2-40B4-BE49-F238E27FC236}">
              <a16:creationId xmlns:a16="http://schemas.microsoft.com/office/drawing/2014/main" id="{EAE5C52F-F8F8-A3E1-7A3E-BF26A156230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21" name="Text Box 33" hidden="1">
          <a:extLst>
            <a:ext uri="{FF2B5EF4-FFF2-40B4-BE49-F238E27FC236}">
              <a16:creationId xmlns:a16="http://schemas.microsoft.com/office/drawing/2014/main" id="{DE5BA30C-9C5B-1D91-5474-259C3BF75717}"/>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1" name="Text Box 53" hidden="1">
          <a:extLst>
            <a:ext uri="{FF2B5EF4-FFF2-40B4-BE49-F238E27FC236}">
              <a16:creationId xmlns:a16="http://schemas.microsoft.com/office/drawing/2014/main" id="{31A14855-EE10-9767-98C8-06E036BFE64B}"/>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0" name="Text Box 52" hidden="1">
          <a:extLst>
            <a:ext uri="{FF2B5EF4-FFF2-40B4-BE49-F238E27FC236}">
              <a16:creationId xmlns:a16="http://schemas.microsoft.com/office/drawing/2014/main" id="{F6442943-0990-2A30-6AD6-72CA4E1E5D12}"/>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39" name="Text Box 51" hidden="1">
          <a:extLst>
            <a:ext uri="{FF2B5EF4-FFF2-40B4-BE49-F238E27FC236}">
              <a16:creationId xmlns:a16="http://schemas.microsoft.com/office/drawing/2014/main" id="{72E6AFB1-BD3A-8212-B832-FEAEFD7BFF9E}"/>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38" name="Text Box 50" hidden="1">
          <a:extLst>
            <a:ext uri="{FF2B5EF4-FFF2-40B4-BE49-F238E27FC236}">
              <a16:creationId xmlns:a16="http://schemas.microsoft.com/office/drawing/2014/main" id="{FE263C3D-FDF0-FA77-5558-8453D6B27D3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7" name="Text Box 49" hidden="1">
          <a:extLst>
            <a:ext uri="{FF2B5EF4-FFF2-40B4-BE49-F238E27FC236}">
              <a16:creationId xmlns:a16="http://schemas.microsoft.com/office/drawing/2014/main" id="{39486346-5873-E8D2-7548-20602A30E2E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36" name="Text Box 48" hidden="1">
          <a:extLst>
            <a:ext uri="{FF2B5EF4-FFF2-40B4-BE49-F238E27FC236}">
              <a16:creationId xmlns:a16="http://schemas.microsoft.com/office/drawing/2014/main" id="{296531F7-F240-B3F7-6476-4BD7002F9C43}"/>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35" name="Text Box 47" hidden="1">
          <a:extLst>
            <a:ext uri="{FF2B5EF4-FFF2-40B4-BE49-F238E27FC236}">
              <a16:creationId xmlns:a16="http://schemas.microsoft.com/office/drawing/2014/main" id="{F4C5CAED-E92A-2727-B2D7-11614AD2A7DF}"/>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34" name="Text Box 46" hidden="1">
          <a:extLst>
            <a:ext uri="{FF2B5EF4-FFF2-40B4-BE49-F238E27FC236}">
              <a16:creationId xmlns:a16="http://schemas.microsoft.com/office/drawing/2014/main" id="{BDF1957C-2CD5-F5D1-842E-94D0884B97AC}"/>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33" name="Text Box 45" hidden="1">
          <a:extLst>
            <a:ext uri="{FF2B5EF4-FFF2-40B4-BE49-F238E27FC236}">
              <a16:creationId xmlns:a16="http://schemas.microsoft.com/office/drawing/2014/main" id="{EB252647-D92E-5097-9C12-90CD07DCCB43}"/>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32" name="Text Box 44" hidden="1">
          <a:extLst>
            <a:ext uri="{FF2B5EF4-FFF2-40B4-BE49-F238E27FC236}">
              <a16:creationId xmlns:a16="http://schemas.microsoft.com/office/drawing/2014/main" id="{6BFEFD41-FCCC-5591-BEFA-28A961DDDFA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31" name="Text Box 43" hidden="1">
          <a:extLst>
            <a:ext uri="{FF2B5EF4-FFF2-40B4-BE49-F238E27FC236}">
              <a16:creationId xmlns:a16="http://schemas.microsoft.com/office/drawing/2014/main" id="{8E9FC2B5-D778-4BB1-0E9A-C64556743232}"/>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0" name="Text Box 42" hidden="1">
          <a:extLst>
            <a:ext uri="{FF2B5EF4-FFF2-40B4-BE49-F238E27FC236}">
              <a16:creationId xmlns:a16="http://schemas.microsoft.com/office/drawing/2014/main" id="{F67B1DD9-D6F5-05AD-C8A5-028A3CDD4EC2}"/>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29" name="Text Box 41" hidden="1">
          <a:extLst>
            <a:ext uri="{FF2B5EF4-FFF2-40B4-BE49-F238E27FC236}">
              <a16:creationId xmlns:a16="http://schemas.microsoft.com/office/drawing/2014/main" id="{61E500D5-C90E-89BF-814D-BE0AEA16808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28" name="Text Box 40" hidden="1">
          <a:extLst>
            <a:ext uri="{FF2B5EF4-FFF2-40B4-BE49-F238E27FC236}">
              <a16:creationId xmlns:a16="http://schemas.microsoft.com/office/drawing/2014/main" id="{FBF2E8B0-33CE-E53D-FCC5-C7025A2A8A51}"/>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8" name="Text Box 60" hidden="1">
          <a:extLst>
            <a:ext uri="{FF2B5EF4-FFF2-40B4-BE49-F238E27FC236}">
              <a16:creationId xmlns:a16="http://schemas.microsoft.com/office/drawing/2014/main" id="{DD110B10-487D-20E7-7CF3-0009974BC985}"/>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7" name="Text Box 59" hidden="1">
          <a:extLst>
            <a:ext uri="{FF2B5EF4-FFF2-40B4-BE49-F238E27FC236}">
              <a16:creationId xmlns:a16="http://schemas.microsoft.com/office/drawing/2014/main" id="{4A7143C5-27E5-2671-13D6-718FB7D86F7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46" name="Text Box 58" hidden="1">
          <a:extLst>
            <a:ext uri="{FF2B5EF4-FFF2-40B4-BE49-F238E27FC236}">
              <a16:creationId xmlns:a16="http://schemas.microsoft.com/office/drawing/2014/main" id="{85C5E3D1-04E9-3E4F-19DE-17CE90061BF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45" name="Text Box 57" hidden="1">
          <a:extLst>
            <a:ext uri="{FF2B5EF4-FFF2-40B4-BE49-F238E27FC236}">
              <a16:creationId xmlns:a16="http://schemas.microsoft.com/office/drawing/2014/main" id="{1C4475FB-DACC-2C20-AFD6-46E9A7C7BEE7}"/>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44" name="Text Box 56" hidden="1">
          <a:extLst>
            <a:ext uri="{FF2B5EF4-FFF2-40B4-BE49-F238E27FC236}">
              <a16:creationId xmlns:a16="http://schemas.microsoft.com/office/drawing/2014/main" id="{75AA1296-2D62-2510-0F03-159B7808CFD1}"/>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43" name="Text Box 55" hidden="1">
          <a:extLst>
            <a:ext uri="{FF2B5EF4-FFF2-40B4-BE49-F238E27FC236}">
              <a16:creationId xmlns:a16="http://schemas.microsoft.com/office/drawing/2014/main" id="{08B552BF-323F-14E6-1137-C8D00CA19499}"/>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42" name="Text Box 54" hidden="1">
          <a:extLst>
            <a:ext uri="{FF2B5EF4-FFF2-40B4-BE49-F238E27FC236}">
              <a16:creationId xmlns:a16="http://schemas.microsoft.com/office/drawing/2014/main" id="{A344DD03-310D-2474-A639-ABB135A1A42C}"/>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55" name="Text Box 67" hidden="1">
          <a:extLst>
            <a:ext uri="{FF2B5EF4-FFF2-40B4-BE49-F238E27FC236}">
              <a16:creationId xmlns:a16="http://schemas.microsoft.com/office/drawing/2014/main" id="{378FC88D-B456-B92F-752D-C02B49A65425}"/>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54" name="Text Box 66" hidden="1">
          <a:extLst>
            <a:ext uri="{FF2B5EF4-FFF2-40B4-BE49-F238E27FC236}">
              <a16:creationId xmlns:a16="http://schemas.microsoft.com/office/drawing/2014/main" id="{9D5AA01F-90E0-E32B-3AE6-BA3A43CB67C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179917</xdr:rowOff>
    </xdr:from>
    <xdr:to>
      <xdr:col>24</xdr:col>
      <xdr:colOff>285750</xdr:colOff>
      <xdr:row>36</xdr:row>
      <xdr:rowOff>63500</xdr:rowOff>
    </xdr:to>
    <xdr:sp macro="" textlink="">
      <xdr:nvSpPr>
        <xdr:cNvPr id="370753" name="Text Box 65" hidden="1">
          <a:extLst>
            <a:ext uri="{FF2B5EF4-FFF2-40B4-BE49-F238E27FC236}">
              <a16:creationId xmlns:a16="http://schemas.microsoft.com/office/drawing/2014/main" id="{BFC2D8BD-8AFA-5FB2-4ED6-19F561F05294}"/>
            </a:ext>
          </a:extLst>
        </xdr:cNvPr>
        <xdr:cNvSpPr txBox="1">
          <a:spLocks noChangeArrowheads="1"/>
        </xdr:cNvSpPr>
      </xdr:nvSpPr>
      <xdr:spPr bwMode="auto">
        <a:xfrm>
          <a:off x="15970250" y="9048750"/>
          <a:ext cx="141605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30</xdr:row>
      <xdr:rowOff>67734</xdr:rowOff>
    </xdr:from>
    <xdr:to>
      <xdr:col>25</xdr:col>
      <xdr:colOff>152400</xdr:colOff>
      <xdr:row>36</xdr:row>
      <xdr:rowOff>120650</xdr:rowOff>
    </xdr:to>
    <xdr:sp macro="" textlink="">
      <xdr:nvSpPr>
        <xdr:cNvPr id="370752" name="Text Box 64" hidden="1">
          <a:extLst>
            <a:ext uri="{FF2B5EF4-FFF2-40B4-BE49-F238E27FC236}">
              <a16:creationId xmlns:a16="http://schemas.microsoft.com/office/drawing/2014/main" id="{9737E792-424E-1554-4C04-D19761325DEE}"/>
            </a:ext>
          </a:extLst>
        </xdr:cNvPr>
        <xdr:cNvSpPr txBox="1">
          <a:spLocks noChangeArrowheads="1"/>
        </xdr:cNvSpPr>
      </xdr:nvSpPr>
      <xdr:spPr bwMode="auto">
        <a:xfrm>
          <a:off x="16554450" y="8699500"/>
          <a:ext cx="1339850" cy="135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51" name="Text Box 63" hidden="1">
          <a:extLst>
            <a:ext uri="{FF2B5EF4-FFF2-40B4-BE49-F238E27FC236}">
              <a16:creationId xmlns:a16="http://schemas.microsoft.com/office/drawing/2014/main" id="{79989197-A0F8-79D7-F0F8-66C4CCC89A1F}"/>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50" name="Text Box 62" hidden="1">
          <a:extLst>
            <a:ext uri="{FF2B5EF4-FFF2-40B4-BE49-F238E27FC236}">
              <a16:creationId xmlns:a16="http://schemas.microsoft.com/office/drawing/2014/main" id="{C1CAADD9-E592-D45E-A3A7-202E7DAAF434}"/>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49" name="Text Box 61" hidden="1">
          <a:extLst>
            <a:ext uri="{FF2B5EF4-FFF2-40B4-BE49-F238E27FC236}">
              <a16:creationId xmlns:a16="http://schemas.microsoft.com/office/drawing/2014/main" id="{5A14E0C7-1391-1732-A361-EF08FA3597C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22</xdr:row>
      <xdr:rowOff>152400</xdr:rowOff>
    </xdr:from>
    <xdr:to>
      <xdr:col>3</xdr:col>
      <xdr:colOff>647700</xdr:colOff>
      <xdr:row>26</xdr:row>
      <xdr:rowOff>177800</xdr:rowOff>
    </xdr:to>
    <xdr:sp macro="" textlink="">
      <xdr:nvSpPr>
        <xdr:cNvPr id="370756" name="Text Box 68" hidden="1">
          <a:extLst>
            <a:ext uri="{FF2B5EF4-FFF2-40B4-BE49-F238E27FC236}">
              <a16:creationId xmlns:a16="http://schemas.microsoft.com/office/drawing/2014/main" id="{998A8E64-D6BD-4847-6BE0-1C2023866221}"/>
            </a:ext>
          </a:extLst>
        </xdr:cNvPr>
        <xdr:cNvSpPr txBox="1">
          <a:spLocks noChangeArrowheads="1"/>
        </xdr:cNvSpPr>
      </xdr:nvSpPr>
      <xdr:spPr bwMode="auto">
        <a:xfrm>
          <a:off x="3079750" y="7073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28</xdr:row>
      <xdr:rowOff>141817</xdr:rowOff>
    </xdr:from>
    <xdr:to>
      <xdr:col>9</xdr:col>
      <xdr:colOff>361950</xdr:colOff>
      <xdr:row>31</xdr:row>
      <xdr:rowOff>198967</xdr:rowOff>
    </xdr:to>
    <xdr:sp macro="" textlink="">
      <xdr:nvSpPr>
        <xdr:cNvPr id="370757" name="Text Box 69" hidden="1">
          <a:extLst>
            <a:ext uri="{FF2B5EF4-FFF2-40B4-BE49-F238E27FC236}">
              <a16:creationId xmlns:a16="http://schemas.microsoft.com/office/drawing/2014/main" id="{1C4E7468-EF48-DA26-848F-F163E1E47747}"/>
            </a:ext>
          </a:extLst>
        </xdr:cNvPr>
        <xdr:cNvSpPr txBox="1">
          <a:spLocks noChangeArrowheads="1"/>
        </xdr:cNvSpPr>
      </xdr:nvSpPr>
      <xdr:spPr bwMode="auto">
        <a:xfrm>
          <a:off x="67056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28</xdr:row>
      <xdr:rowOff>141817</xdr:rowOff>
    </xdr:from>
    <xdr:to>
      <xdr:col>10</xdr:col>
      <xdr:colOff>361950</xdr:colOff>
      <xdr:row>31</xdr:row>
      <xdr:rowOff>198967</xdr:rowOff>
    </xdr:to>
    <xdr:sp macro="" textlink="">
      <xdr:nvSpPr>
        <xdr:cNvPr id="370758" name="Text Box 70" hidden="1">
          <a:extLst>
            <a:ext uri="{FF2B5EF4-FFF2-40B4-BE49-F238E27FC236}">
              <a16:creationId xmlns:a16="http://schemas.microsoft.com/office/drawing/2014/main" id="{A553F19C-AFD1-108B-CE69-EF4FB489E9F1}"/>
            </a:ext>
          </a:extLst>
        </xdr:cNvPr>
        <xdr:cNvSpPr txBox="1">
          <a:spLocks noChangeArrowheads="1"/>
        </xdr:cNvSpPr>
      </xdr:nvSpPr>
      <xdr:spPr bwMode="auto">
        <a:xfrm>
          <a:off x="72263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68" name="Text Box 80" hidden="1">
          <a:extLst>
            <a:ext uri="{FF2B5EF4-FFF2-40B4-BE49-F238E27FC236}">
              <a16:creationId xmlns:a16="http://schemas.microsoft.com/office/drawing/2014/main" id="{0E2AA959-35E3-45F0-C8B3-A8D70BCFA7C9}"/>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67" name="Text Box 79" hidden="1">
          <a:extLst>
            <a:ext uri="{FF2B5EF4-FFF2-40B4-BE49-F238E27FC236}">
              <a16:creationId xmlns:a16="http://schemas.microsoft.com/office/drawing/2014/main" id="{77E72EC2-BE05-6AAB-38C7-A012170F618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66" name="Text Box 78" hidden="1">
          <a:extLst>
            <a:ext uri="{FF2B5EF4-FFF2-40B4-BE49-F238E27FC236}">
              <a16:creationId xmlns:a16="http://schemas.microsoft.com/office/drawing/2014/main" id="{2A67A1DE-B87F-DDC6-7672-6DD3BBCEAE70}"/>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65" name="Text Box 77" hidden="1">
          <a:extLst>
            <a:ext uri="{FF2B5EF4-FFF2-40B4-BE49-F238E27FC236}">
              <a16:creationId xmlns:a16="http://schemas.microsoft.com/office/drawing/2014/main" id="{D6C35F4A-BBEA-D025-3F15-0A195BE215E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64" name="Text Box 76" hidden="1">
          <a:extLst>
            <a:ext uri="{FF2B5EF4-FFF2-40B4-BE49-F238E27FC236}">
              <a16:creationId xmlns:a16="http://schemas.microsoft.com/office/drawing/2014/main" id="{7E98C0D6-8867-A81A-97AD-3F4A9100DC1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63" name="Text Box 75" hidden="1">
          <a:extLst>
            <a:ext uri="{FF2B5EF4-FFF2-40B4-BE49-F238E27FC236}">
              <a16:creationId xmlns:a16="http://schemas.microsoft.com/office/drawing/2014/main" id="{643228E3-13CD-6D3B-EA86-8FC2E1F70609}"/>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2" name="Text Box 74" hidden="1">
          <a:extLst>
            <a:ext uri="{FF2B5EF4-FFF2-40B4-BE49-F238E27FC236}">
              <a16:creationId xmlns:a16="http://schemas.microsoft.com/office/drawing/2014/main" id="{A6E28C89-7F69-8B51-BA81-BD0271E4F69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75" name="Text Box 87" hidden="1">
          <a:extLst>
            <a:ext uri="{FF2B5EF4-FFF2-40B4-BE49-F238E27FC236}">
              <a16:creationId xmlns:a16="http://schemas.microsoft.com/office/drawing/2014/main" id="{25C50424-C7FC-F8F4-C040-A67510E7A82A}"/>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74" name="Text Box 86" hidden="1">
          <a:extLst>
            <a:ext uri="{FF2B5EF4-FFF2-40B4-BE49-F238E27FC236}">
              <a16:creationId xmlns:a16="http://schemas.microsoft.com/office/drawing/2014/main" id="{4ECBBCBF-B94D-E971-7EC2-C73A39470768}"/>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73" name="Text Box 85" hidden="1">
          <a:extLst>
            <a:ext uri="{FF2B5EF4-FFF2-40B4-BE49-F238E27FC236}">
              <a16:creationId xmlns:a16="http://schemas.microsoft.com/office/drawing/2014/main" id="{8FD45D86-2C91-5A63-D54E-2B50B51F3307}"/>
            </a:ext>
          </a:extLst>
        </xdr:cNvPr>
        <xdr:cNvSpPr txBox="1">
          <a:spLocks noChangeArrowheads="1"/>
        </xdr:cNvSpPr>
      </xdr:nvSpPr>
      <xdr:spPr bwMode="auto">
        <a:xfrm>
          <a:off x="15970250" y="7639050"/>
          <a:ext cx="14160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72" name="Text Box 84" hidden="1">
          <a:extLst>
            <a:ext uri="{FF2B5EF4-FFF2-40B4-BE49-F238E27FC236}">
              <a16:creationId xmlns:a16="http://schemas.microsoft.com/office/drawing/2014/main" id="{A53641C6-1EEA-0447-7EB7-0BDAB09597C3}"/>
            </a:ext>
          </a:extLst>
        </xdr:cNvPr>
        <xdr:cNvSpPr txBox="1">
          <a:spLocks noChangeArrowheads="1"/>
        </xdr:cNvSpPr>
      </xdr:nvSpPr>
      <xdr:spPr bwMode="auto">
        <a:xfrm>
          <a:off x="16554450" y="7340600"/>
          <a:ext cx="133985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71" name="Text Box 83" hidden="1">
          <a:extLst>
            <a:ext uri="{FF2B5EF4-FFF2-40B4-BE49-F238E27FC236}">
              <a16:creationId xmlns:a16="http://schemas.microsoft.com/office/drawing/2014/main" id="{A66BA7FB-BF4F-99F6-096A-93ECF86C7F75}"/>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70" name="Text Box 82" hidden="1">
          <a:extLst>
            <a:ext uri="{FF2B5EF4-FFF2-40B4-BE49-F238E27FC236}">
              <a16:creationId xmlns:a16="http://schemas.microsoft.com/office/drawing/2014/main" id="{2DE268AB-99C7-F123-EA93-74C64F02D76B}"/>
            </a:ext>
          </a:extLst>
        </xdr:cNvPr>
        <xdr:cNvSpPr txBox="1">
          <a:spLocks noChangeArrowheads="1"/>
        </xdr:cNvSpPr>
      </xdr:nvSpPr>
      <xdr:spPr bwMode="auto">
        <a:xfrm>
          <a:off x="72263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9" name="Text Box 81" hidden="1">
          <a:extLst>
            <a:ext uri="{FF2B5EF4-FFF2-40B4-BE49-F238E27FC236}">
              <a16:creationId xmlns:a16="http://schemas.microsoft.com/office/drawing/2014/main" id="{4002C366-E9AE-A965-0EAE-FB9C293D6142}"/>
            </a:ext>
          </a:extLst>
        </xdr:cNvPr>
        <xdr:cNvSpPr txBox="1">
          <a:spLocks noChangeArrowheads="1"/>
        </xdr:cNvSpPr>
      </xdr:nvSpPr>
      <xdr:spPr bwMode="auto">
        <a:xfrm>
          <a:off x="67056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19" name="Text Box 7" hidden="1">
          <a:extLst>
            <a:ext uri="{FF2B5EF4-FFF2-40B4-BE49-F238E27FC236}">
              <a16:creationId xmlns:a16="http://schemas.microsoft.com/office/drawing/2014/main" id="{48EE7FA5-0D9B-D598-9E41-DD96D2A0B66E}"/>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18" name="Text Box 6" hidden="1">
          <a:extLst>
            <a:ext uri="{FF2B5EF4-FFF2-40B4-BE49-F238E27FC236}">
              <a16:creationId xmlns:a16="http://schemas.microsoft.com/office/drawing/2014/main" id="{611583D3-0BB2-F942-A6B8-DAAA5F5580D7}"/>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17" name="Text Box 5" hidden="1">
          <a:extLst>
            <a:ext uri="{FF2B5EF4-FFF2-40B4-BE49-F238E27FC236}">
              <a16:creationId xmlns:a16="http://schemas.microsoft.com/office/drawing/2014/main" id="{E489195E-F419-B5FC-9A26-FDA7679F4BD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16" name="Text Box 4" hidden="1">
          <a:extLst>
            <a:ext uri="{FF2B5EF4-FFF2-40B4-BE49-F238E27FC236}">
              <a16:creationId xmlns:a16="http://schemas.microsoft.com/office/drawing/2014/main" id="{C200C11A-435D-36A6-7EC7-8ABD9D45DE9F}"/>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15" name="Text Box 3" hidden="1">
          <a:extLst>
            <a:ext uri="{FF2B5EF4-FFF2-40B4-BE49-F238E27FC236}">
              <a16:creationId xmlns:a16="http://schemas.microsoft.com/office/drawing/2014/main" id="{21A2A100-2E86-9996-A3B4-167A2D099320}"/>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14" name="Text Box 2" hidden="1">
          <a:extLst>
            <a:ext uri="{FF2B5EF4-FFF2-40B4-BE49-F238E27FC236}">
              <a16:creationId xmlns:a16="http://schemas.microsoft.com/office/drawing/2014/main" id="{186D1B53-0413-6A8F-41F8-94B7D41CFB9B}"/>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13" name="Text Box 1" hidden="1">
          <a:extLst>
            <a:ext uri="{FF2B5EF4-FFF2-40B4-BE49-F238E27FC236}">
              <a16:creationId xmlns:a16="http://schemas.microsoft.com/office/drawing/2014/main" id="{BE8AF546-9BA3-9AFD-4E6A-81D380742B5C}"/>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3</xdr:col>
      <xdr:colOff>533400</xdr:colOff>
      <xdr:row>20</xdr:row>
      <xdr:rowOff>202988</xdr:rowOff>
    </xdr:from>
    <xdr:to>
      <xdr:col>6</xdr:col>
      <xdr:colOff>0</xdr:colOff>
      <xdr:row>23</xdr:row>
      <xdr:rowOff>105127</xdr:rowOff>
    </xdr:to>
    <xdr:sp macro="" textlink="">
      <xdr:nvSpPr>
        <xdr:cNvPr id="108546" name="Text Box 2" hidden="1">
          <a:extLst>
            <a:ext uri="{FF2B5EF4-FFF2-40B4-BE49-F238E27FC236}">
              <a16:creationId xmlns:a16="http://schemas.microsoft.com/office/drawing/2014/main" id="{900E1889-D4EE-4029-9358-E4D26DF5A003}"/>
            </a:ext>
          </a:extLst>
        </xdr:cNvPr>
        <xdr:cNvSpPr txBox="1">
          <a:spLocks noChangeArrowheads="1"/>
        </xdr:cNvSpPr>
      </xdr:nvSpPr>
      <xdr:spPr bwMode="auto">
        <a:xfrm>
          <a:off x="4762500" y="4312920"/>
          <a:ext cx="127254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141330</xdr:rowOff>
    </xdr:from>
    <xdr:to>
      <xdr:col>4</xdr:col>
      <xdr:colOff>228600</xdr:colOff>
      <xdr:row>29</xdr:row>
      <xdr:rowOff>45908</xdr:rowOff>
    </xdr:to>
    <xdr:sp macro="" textlink="">
      <xdr:nvSpPr>
        <xdr:cNvPr id="108551" name="Text Box 7" hidden="1">
          <a:extLst>
            <a:ext uri="{FF2B5EF4-FFF2-40B4-BE49-F238E27FC236}">
              <a16:creationId xmlns:a16="http://schemas.microsoft.com/office/drawing/2014/main" id="{6E178364-2A9F-41BB-B410-0297935D84D3}"/>
            </a:ext>
          </a:extLst>
        </xdr:cNvPr>
        <xdr:cNvSpPr txBox="1">
          <a:spLocks noChangeArrowheads="1"/>
        </xdr:cNvSpPr>
      </xdr:nvSpPr>
      <xdr:spPr bwMode="auto">
        <a:xfrm>
          <a:off x="3794760" y="5234940"/>
          <a:ext cx="125730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533400</xdr:colOff>
      <xdr:row>20</xdr:row>
      <xdr:rowOff>202988</xdr:rowOff>
    </xdr:from>
    <xdr:to>
      <xdr:col>6</xdr:col>
      <xdr:colOff>0</xdr:colOff>
      <xdr:row>23</xdr:row>
      <xdr:rowOff>105127</xdr:rowOff>
    </xdr:to>
    <xdr:sp macro="" textlink="">
      <xdr:nvSpPr>
        <xdr:cNvPr id="256002" name="Text Box 2" hidden="1">
          <a:extLst>
            <a:ext uri="{FF2B5EF4-FFF2-40B4-BE49-F238E27FC236}">
              <a16:creationId xmlns:a16="http://schemas.microsoft.com/office/drawing/2014/main" id="{3BCD75F0-92D3-4413-9A62-3F2B2595D15F}"/>
            </a:ext>
          </a:extLst>
        </xdr:cNvPr>
        <xdr:cNvSpPr txBox="1">
          <a:spLocks noChangeArrowheads="1"/>
        </xdr:cNvSpPr>
      </xdr:nvSpPr>
      <xdr:spPr bwMode="auto">
        <a:xfrm>
          <a:off x="4638675" y="4457700"/>
          <a:ext cx="1228725"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141330</xdr:rowOff>
    </xdr:from>
    <xdr:to>
      <xdr:col>4</xdr:col>
      <xdr:colOff>228600</xdr:colOff>
      <xdr:row>29</xdr:row>
      <xdr:rowOff>45908</xdr:rowOff>
    </xdr:to>
    <xdr:sp macro="" textlink="">
      <xdr:nvSpPr>
        <xdr:cNvPr id="256001" name="Text Box 1" hidden="1">
          <a:extLst>
            <a:ext uri="{FF2B5EF4-FFF2-40B4-BE49-F238E27FC236}">
              <a16:creationId xmlns:a16="http://schemas.microsoft.com/office/drawing/2014/main" id="{F2A004A8-8BFB-49A9-BCB6-B57380CB3CBF}"/>
            </a:ext>
          </a:extLst>
        </xdr:cNvPr>
        <xdr:cNvSpPr txBox="1">
          <a:spLocks noChangeArrowheads="1"/>
        </xdr:cNvSpPr>
      </xdr:nvSpPr>
      <xdr:spPr bwMode="auto">
        <a:xfrm>
          <a:off x="3686175" y="5400675"/>
          <a:ext cx="122872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21</xdr:row>
      <xdr:rowOff>135466</xdr:rowOff>
    </xdr:from>
    <xdr:to>
      <xdr:col>4</xdr:col>
      <xdr:colOff>450215</xdr:colOff>
      <xdr:row>25</xdr:row>
      <xdr:rowOff>6419</xdr:rowOff>
    </xdr:to>
    <xdr:sp macro="" textlink="">
      <xdr:nvSpPr>
        <xdr:cNvPr id="256005" name="Text Box 5" hidden="1">
          <a:extLst>
            <a:ext uri="{FF2B5EF4-FFF2-40B4-BE49-F238E27FC236}">
              <a16:creationId xmlns:a16="http://schemas.microsoft.com/office/drawing/2014/main" id="{328A59C4-6FDA-4AD2-BE7A-25E8C6DC11B5}"/>
            </a:ext>
          </a:extLst>
        </xdr:cNvPr>
        <xdr:cNvSpPr txBox="1">
          <a:spLocks noChangeArrowheads="1"/>
        </xdr:cNvSpPr>
      </xdr:nvSpPr>
      <xdr:spPr bwMode="auto">
        <a:xfrm>
          <a:off x="3752850" y="4695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19</xdr:row>
      <xdr:rowOff>54045</xdr:rowOff>
    </xdr:from>
    <xdr:to>
      <xdr:col>4</xdr:col>
      <xdr:colOff>450215</xdr:colOff>
      <xdr:row>21</xdr:row>
      <xdr:rowOff>35630</xdr:rowOff>
    </xdr:to>
    <xdr:sp macro="" textlink="">
      <xdr:nvSpPr>
        <xdr:cNvPr id="256006" name="Text Box 6" hidden="1">
          <a:extLst>
            <a:ext uri="{FF2B5EF4-FFF2-40B4-BE49-F238E27FC236}">
              <a16:creationId xmlns:a16="http://schemas.microsoft.com/office/drawing/2014/main" id="{B654904C-473D-4E82-B418-6833052CBE3F}"/>
            </a:ext>
          </a:extLst>
        </xdr:cNvPr>
        <xdr:cNvSpPr txBox="1">
          <a:spLocks noChangeArrowheads="1"/>
        </xdr:cNvSpPr>
      </xdr:nvSpPr>
      <xdr:spPr bwMode="auto">
        <a:xfrm>
          <a:off x="375285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19</xdr:row>
      <xdr:rowOff>54045</xdr:rowOff>
    </xdr:from>
    <xdr:to>
      <xdr:col>4</xdr:col>
      <xdr:colOff>450215</xdr:colOff>
      <xdr:row>21</xdr:row>
      <xdr:rowOff>35630</xdr:rowOff>
    </xdr:to>
    <xdr:sp macro="" textlink="">
      <xdr:nvSpPr>
        <xdr:cNvPr id="256007" name="Text Box 7" hidden="1">
          <a:extLst>
            <a:ext uri="{FF2B5EF4-FFF2-40B4-BE49-F238E27FC236}">
              <a16:creationId xmlns:a16="http://schemas.microsoft.com/office/drawing/2014/main" id="{76380ABA-64CB-43E9-81D2-449849275894}"/>
            </a:ext>
          </a:extLst>
        </xdr:cNvPr>
        <xdr:cNvSpPr txBox="1">
          <a:spLocks noChangeArrowheads="1"/>
        </xdr:cNvSpPr>
      </xdr:nvSpPr>
      <xdr:spPr bwMode="auto">
        <a:xfrm>
          <a:off x="385572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19</xdr:row>
      <xdr:rowOff>54045</xdr:rowOff>
    </xdr:from>
    <xdr:to>
      <xdr:col>4</xdr:col>
      <xdr:colOff>450215</xdr:colOff>
      <xdr:row>21</xdr:row>
      <xdr:rowOff>35630</xdr:rowOff>
    </xdr:to>
    <xdr:sp macro="" textlink="">
      <xdr:nvSpPr>
        <xdr:cNvPr id="256008" name="Text Box 8" hidden="1">
          <a:extLst>
            <a:ext uri="{FF2B5EF4-FFF2-40B4-BE49-F238E27FC236}">
              <a16:creationId xmlns:a16="http://schemas.microsoft.com/office/drawing/2014/main" id="{D9D2912B-38B1-4B89-9F5C-86AEE60BF522}"/>
            </a:ext>
          </a:extLst>
        </xdr:cNvPr>
        <xdr:cNvSpPr txBox="1">
          <a:spLocks noChangeArrowheads="1"/>
        </xdr:cNvSpPr>
      </xdr:nvSpPr>
      <xdr:spPr bwMode="auto">
        <a:xfrm>
          <a:off x="384810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19</xdr:row>
      <xdr:rowOff>54045</xdr:rowOff>
    </xdr:from>
    <xdr:to>
      <xdr:col>4</xdr:col>
      <xdr:colOff>419100</xdr:colOff>
      <xdr:row>21</xdr:row>
      <xdr:rowOff>35630</xdr:rowOff>
    </xdr:to>
    <xdr:sp macro="" textlink="">
      <xdr:nvSpPr>
        <xdr:cNvPr id="256009" name="Text Box 9" hidden="1">
          <a:extLst>
            <a:ext uri="{FF2B5EF4-FFF2-40B4-BE49-F238E27FC236}">
              <a16:creationId xmlns:a16="http://schemas.microsoft.com/office/drawing/2014/main" id="{7DEB3C0F-3C4D-48E8-B366-F7721C0F7129}"/>
            </a:ext>
          </a:extLst>
        </xdr:cNvPr>
        <xdr:cNvSpPr txBox="1">
          <a:spLocks noChangeArrowheads="1"/>
        </xdr:cNvSpPr>
      </xdr:nvSpPr>
      <xdr:spPr bwMode="auto">
        <a:xfrm>
          <a:off x="373380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19</xdr:row>
      <xdr:rowOff>10230</xdr:rowOff>
    </xdr:from>
    <xdr:to>
      <xdr:col>4</xdr:col>
      <xdr:colOff>419100</xdr:colOff>
      <xdr:row>21</xdr:row>
      <xdr:rowOff>35630</xdr:rowOff>
    </xdr:to>
    <xdr:sp macro="" textlink="">
      <xdr:nvSpPr>
        <xdr:cNvPr id="256010" name="Text Box 10" hidden="1">
          <a:extLst>
            <a:ext uri="{FF2B5EF4-FFF2-40B4-BE49-F238E27FC236}">
              <a16:creationId xmlns:a16="http://schemas.microsoft.com/office/drawing/2014/main" id="{84FC4EC6-831B-4D6C-90C5-FBEABEA68D4C}"/>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19</xdr:row>
      <xdr:rowOff>10230</xdr:rowOff>
    </xdr:from>
    <xdr:to>
      <xdr:col>4</xdr:col>
      <xdr:colOff>419100</xdr:colOff>
      <xdr:row>21</xdr:row>
      <xdr:rowOff>35630</xdr:rowOff>
    </xdr:to>
    <xdr:sp macro="" textlink="">
      <xdr:nvSpPr>
        <xdr:cNvPr id="256011" name="Text Box 11" hidden="1">
          <a:extLst>
            <a:ext uri="{FF2B5EF4-FFF2-40B4-BE49-F238E27FC236}">
              <a16:creationId xmlns:a16="http://schemas.microsoft.com/office/drawing/2014/main" id="{22F9C6AA-B4C6-46C1-9D41-EA05023379D5}"/>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19</xdr:row>
      <xdr:rowOff>10230</xdr:rowOff>
    </xdr:from>
    <xdr:to>
      <xdr:col>4</xdr:col>
      <xdr:colOff>419100</xdr:colOff>
      <xdr:row>21</xdr:row>
      <xdr:rowOff>35630</xdr:rowOff>
    </xdr:to>
    <xdr:sp macro="" textlink="">
      <xdr:nvSpPr>
        <xdr:cNvPr id="256012" name="Text Box 12" hidden="1">
          <a:extLst>
            <a:ext uri="{FF2B5EF4-FFF2-40B4-BE49-F238E27FC236}">
              <a16:creationId xmlns:a16="http://schemas.microsoft.com/office/drawing/2014/main" id="{DDED9C77-7325-48A9-8CD0-FEA399E34F19}"/>
            </a:ext>
          </a:extLst>
        </xdr:cNvPr>
        <xdr:cNvSpPr txBox="1">
          <a:spLocks noChangeArrowheads="1"/>
        </xdr:cNvSpPr>
      </xdr:nvSpPr>
      <xdr:spPr bwMode="auto">
        <a:xfrm>
          <a:off x="3832860" y="3985260"/>
          <a:ext cx="1409700" cy="4800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26459</xdr:rowOff>
    </xdr:from>
    <xdr:to>
      <xdr:col>4</xdr:col>
      <xdr:colOff>419100</xdr:colOff>
      <xdr:row>22</xdr:row>
      <xdr:rowOff>27163</xdr:rowOff>
    </xdr:to>
    <xdr:sp macro="" textlink="">
      <xdr:nvSpPr>
        <xdr:cNvPr id="256013" name="Text Box 13" hidden="1">
          <a:extLst>
            <a:ext uri="{FF2B5EF4-FFF2-40B4-BE49-F238E27FC236}">
              <a16:creationId xmlns:a16="http://schemas.microsoft.com/office/drawing/2014/main" id="{1D6851AD-3363-46A4-B2B7-549A514B762A}"/>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26459</xdr:rowOff>
    </xdr:from>
    <xdr:to>
      <xdr:col>4</xdr:col>
      <xdr:colOff>419100</xdr:colOff>
      <xdr:row>22</xdr:row>
      <xdr:rowOff>27163</xdr:rowOff>
    </xdr:to>
    <xdr:sp macro="" textlink="">
      <xdr:nvSpPr>
        <xdr:cNvPr id="256014" name="Text Box 14" hidden="1">
          <a:extLst>
            <a:ext uri="{FF2B5EF4-FFF2-40B4-BE49-F238E27FC236}">
              <a16:creationId xmlns:a16="http://schemas.microsoft.com/office/drawing/2014/main" id="{D76B6E1A-7425-4B8B-B4B1-964E6955A688}"/>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26459</xdr:rowOff>
    </xdr:from>
    <xdr:to>
      <xdr:col>4</xdr:col>
      <xdr:colOff>419100</xdr:colOff>
      <xdr:row>22</xdr:row>
      <xdr:rowOff>27163</xdr:rowOff>
    </xdr:to>
    <xdr:sp macro="" textlink="">
      <xdr:nvSpPr>
        <xdr:cNvPr id="256015" name="Text Box 15" hidden="1">
          <a:extLst>
            <a:ext uri="{FF2B5EF4-FFF2-40B4-BE49-F238E27FC236}">
              <a16:creationId xmlns:a16="http://schemas.microsoft.com/office/drawing/2014/main" id="{97F82287-25DD-41DB-BB3B-3A173A579629}"/>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47484</xdr:rowOff>
    </xdr:from>
    <xdr:to>
      <xdr:col>4</xdr:col>
      <xdr:colOff>419100</xdr:colOff>
      <xdr:row>22</xdr:row>
      <xdr:rowOff>46424</xdr:rowOff>
    </xdr:to>
    <xdr:sp macro="" textlink="">
      <xdr:nvSpPr>
        <xdr:cNvPr id="256016" name="Text Box 16" hidden="1">
          <a:extLst>
            <a:ext uri="{FF2B5EF4-FFF2-40B4-BE49-F238E27FC236}">
              <a16:creationId xmlns:a16="http://schemas.microsoft.com/office/drawing/2014/main" id="{076ECF08-B952-4940-9F0E-40D9161D6FEB}"/>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49601</xdr:rowOff>
    </xdr:from>
    <xdr:to>
      <xdr:col>4</xdr:col>
      <xdr:colOff>419100</xdr:colOff>
      <xdr:row>22</xdr:row>
      <xdr:rowOff>47483</xdr:rowOff>
    </xdr:to>
    <xdr:sp macro="" textlink="">
      <xdr:nvSpPr>
        <xdr:cNvPr id="256017" name="Text Box 17" hidden="1">
          <a:extLst>
            <a:ext uri="{FF2B5EF4-FFF2-40B4-BE49-F238E27FC236}">
              <a16:creationId xmlns:a16="http://schemas.microsoft.com/office/drawing/2014/main" id="{5EE8F155-5599-46F0-A518-3F02323F6B20}"/>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29281</xdr:rowOff>
    </xdr:from>
    <xdr:to>
      <xdr:col>4</xdr:col>
      <xdr:colOff>419100</xdr:colOff>
      <xdr:row>22</xdr:row>
      <xdr:rowOff>46213</xdr:rowOff>
    </xdr:to>
    <xdr:sp macro="" textlink="">
      <xdr:nvSpPr>
        <xdr:cNvPr id="256018" name="Text Box 18" hidden="1">
          <a:extLst>
            <a:ext uri="{FF2B5EF4-FFF2-40B4-BE49-F238E27FC236}">
              <a16:creationId xmlns:a16="http://schemas.microsoft.com/office/drawing/2014/main" id="{21D181B2-1ECB-4075-8308-5AA626D16D90}"/>
            </a:ext>
          </a:extLst>
        </xdr:cNvPr>
        <xdr:cNvSpPr txBox="1">
          <a:spLocks noChangeArrowheads="1"/>
        </xdr:cNvSpPr>
      </xdr:nvSpPr>
      <xdr:spPr bwMode="auto">
        <a:xfrm>
          <a:off x="3860800" y="4203700"/>
          <a:ext cx="1435100" cy="558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49741</xdr:rowOff>
    </xdr:to>
    <xdr:sp macro="" textlink="">
      <xdr:nvSpPr>
        <xdr:cNvPr id="256019" name="Text Box 19" hidden="1">
          <a:extLst>
            <a:ext uri="{FF2B5EF4-FFF2-40B4-BE49-F238E27FC236}">
              <a16:creationId xmlns:a16="http://schemas.microsoft.com/office/drawing/2014/main" id="{D15EB188-D9FA-411A-9EEC-351DF119091E}"/>
            </a:ext>
          </a:extLst>
        </xdr:cNvPr>
        <xdr:cNvSpPr txBox="1">
          <a:spLocks noChangeArrowheads="1"/>
        </xdr:cNvSpPr>
      </xdr:nvSpPr>
      <xdr:spPr bwMode="auto">
        <a:xfrm>
          <a:off x="3860800" y="2921000"/>
          <a:ext cx="143510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0" name="Text Box 20" hidden="1">
          <a:extLst>
            <a:ext uri="{FF2B5EF4-FFF2-40B4-BE49-F238E27FC236}">
              <a16:creationId xmlns:a16="http://schemas.microsoft.com/office/drawing/2014/main" id="{FE3A46FA-0211-46B9-9A76-C3236C68F01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1" name="Text Box 21" hidden="1">
          <a:extLst>
            <a:ext uri="{FF2B5EF4-FFF2-40B4-BE49-F238E27FC236}">
              <a16:creationId xmlns:a16="http://schemas.microsoft.com/office/drawing/2014/main" id="{03B35F61-803B-414C-AA7C-572C93B5B17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2" name="Text Box 22" hidden="1">
          <a:extLst>
            <a:ext uri="{FF2B5EF4-FFF2-40B4-BE49-F238E27FC236}">
              <a16:creationId xmlns:a16="http://schemas.microsoft.com/office/drawing/2014/main" id="{CFDBACB4-263B-4BB1-A01F-B0EEE79938A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5" name="Text Box 25" hidden="1">
          <a:extLst>
            <a:ext uri="{FF2B5EF4-FFF2-40B4-BE49-F238E27FC236}">
              <a16:creationId xmlns:a16="http://schemas.microsoft.com/office/drawing/2014/main" id="{FD08C76C-13FB-4AD2-967E-4A40998ABC49}"/>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4" name="Text Box 24" hidden="1">
          <a:extLst>
            <a:ext uri="{FF2B5EF4-FFF2-40B4-BE49-F238E27FC236}">
              <a16:creationId xmlns:a16="http://schemas.microsoft.com/office/drawing/2014/main" id="{45125E05-B1B2-4D55-8353-F21C5AEFC12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3" name="Text Box 23" hidden="1">
          <a:extLst>
            <a:ext uri="{FF2B5EF4-FFF2-40B4-BE49-F238E27FC236}">
              <a16:creationId xmlns:a16="http://schemas.microsoft.com/office/drawing/2014/main" id="{EFC6E660-4234-49C4-9C4F-62A6A9B8A77D}"/>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8" name="Text Box 28" hidden="1">
          <a:extLst>
            <a:ext uri="{FF2B5EF4-FFF2-40B4-BE49-F238E27FC236}">
              <a16:creationId xmlns:a16="http://schemas.microsoft.com/office/drawing/2014/main" id="{58356043-98C7-4E77-95D5-7523213E47FF}"/>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7" name="Text Box 27" hidden="1">
          <a:extLst>
            <a:ext uri="{FF2B5EF4-FFF2-40B4-BE49-F238E27FC236}">
              <a16:creationId xmlns:a16="http://schemas.microsoft.com/office/drawing/2014/main" id="{4DBF4FB8-B46C-471A-9EFA-FACFAF8B8E4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6" name="Text Box 26" hidden="1">
          <a:extLst>
            <a:ext uri="{FF2B5EF4-FFF2-40B4-BE49-F238E27FC236}">
              <a16:creationId xmlns:a16="http://schemas.microsoft.com/office/drawing/2014/main" id="{21B4DC36-EEBC-45B6-8598-133AD7A0377C}"/>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9" name="Text Box 29" hidden="1">
          <a:extLst>
            <a:ext uri="{FF2B5EF4-FFF2-40B4-BE49-F238E27FC236}">
              <a16:creationId xmlns:a16="http://schemas.microsoft.com/office/drawing/2014/main" id="{751B28B0-6F37-4047-BA56-03B094FCDAC6}"/>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30" name="Text Box 30" hidden="1">
          <a:extLst>
            <a:ext uri="{FF2B5EF4-FFF2-40B4-BE49-F238E27FC236}">
              <a16:creationId xmlns:a16="http://schemas.microsoft.com/office/drawing/2014/main" id="{0ED066DE-B462-4739-A319-B269BF38D925}"/>
            </a:ext>
          </a:extLst>
        </xdr:cNvPr>
        <xdr:cNvSpPr txBox="1">
          <a:spLocks noChangeArrowheads="1"/>
        </xdr:cNvSpPr>
      </xdr:nvSpPr>
      <xdr:spPr bwMode="auto">
        <a:xfrm>
          <a:off x="3832860" y="2903220"/>
          <a:ext cx="140970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31" name="Text Box 31" hidden="1">
          <a:extLst>
            <a:ext uri="{FF2B5EF4-FFF2-40B4-BE49-F238E27FC236}">
              <a16:creationId xmlns:a16="http://schemas.microsoft.com/office/drawing/2014/main" id="{41EA70D7-D237-445E-ADD6-79BE780C1958}"/>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32" name="Text Box 32" hidden="1">
          <a:extLst>
            <a:ext uri="{FF2B5EF4-FFF2-40B4-BE49-F238E27FC236}">
              <a16:creationId xmlns:a16="http://schemas.microsoft.com/office/drawing/2014/main" id="{725D078F-9263-4FE4-9A8C-4BAC1814A12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33" name="Text Box 33" hidden="1">
          <a:extLst>
            <a:ext uri="{FF2B5EF4-FFF2-40B4-BE49-F238E27FC236}">
              <a16:creationId xmlns:a16="http://schemas.microsoft.com/office/drawing/2014/main" id="{C0C50E55-1475-47AA-93D7-D98B491D1E9F}"/>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34" name="Text Box 34" hidden="1">
          <a:extLst>
            <a:ext uri="{FF2B5EF4-FFF2-40B4-BE49-F238E27FC236}">
              <a16:creationId xmlns:a16="http://schemas.microsoft.com/office/drawing/2014/main" id="{87498CA8-FA23-48E2-A7CB-A6600F7398B1}"/>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16</xdr:row>
      <xdr:rowOff>141816</xdr:rowOff>
    </xdr:from>
    <xdr:to>
      <xdr:col>4</xdr:col>
      <xdr:colOff>266700</xdr:colOff>
      <xdr:row>20</xdr:row>
      <xdr:rowOff>218017</xdr:rowOff>
    </xdr:to>
    <xdr:sp macro="" textlink="">
      <xdr:nvSpPr>
        <xdr:cNvPr id="256035" name="Text Box 35" hidden="1">
          <a:extLst>
            <a:ext uri="{FF2B5EF4-FFF2-40B4-BE49-F238E27FC236}">
              <a16:creationId xmlns:a16="http://schemas.microsoft.com/office/drawing/2014/main" id="{9BE6D443-0576-406F-B703-F89F54405A79}"/>
            </a:ext>
          </a:extLst>
        </xdr:cNvPr>
        <xdr:cNvSpPr txBox="1">
          <a:spLocks noChangeArrowheads="1"/>
        </xdr:cNvSpPr>
      </xdr:nvSpPr>
      <xdr:spPr bwMode="auto">
        <a:xfrm>
          <a:off x="3714750" y="364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97986" name="Text Box 2" hidden="1">
          <a:extLst>
            <a:ext uri="{FF2B5EF4-FFF2-40B4-BE49-F238E27FC236}">
              <a16:creationId xmlns:a16="http://schemas.microsoft.com/office/drawing/2014/main" id="{3D2F1FBB-10F3-4DA5-8E17-9015E6050C88}"/>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97987" name="Text Box 3" hidden="1">
          <a:extLst>
            <a:ext uri="{FF2B5EF4-FFF2-40B4-BE49-F238E27FC236}">
              <a16:creationId xmlns:a16="http://schemas.microsoft.com/office/drawing/2014/main" id="{74D3E717-6D2A-4506-8395-67FE19DF98EC}"/>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97988" name="Text Box 4" hidden="1">
          <a:extLst>
            <a:ext uri="{FF2B5EF4-FFF2-40B4-BE49-F238E27FC236}">
              <a16:creationId xmlns:a16="http://schemas.microsoft.com/office/drawing/2014/main" id="{AECA57F0-4CDD-41A0-AEA8-ECFA73E556DB}"/>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97989" name="Text Box 5" hidden="1">
          <a:extLst>
            <a:ext uri="{FF2B5EF4-FFF2-40B4-BE49-F238E27FC236}">
              <a16:creationId xmlns:a16="http://schemas.microsoft.com/office/drawing/2014/main" id="{8758B5AB-9953-4E63-BE4B-73387FC2F4D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97990" name="Text Box 6" hidden="1">
          <a:extLst>
            <a:ext uri="{FF2B5EF4-FFF2-40B4-BE49-F238E27FC236}">
              <a16:creationId xmlns:a16="http://schemas.microsoft.com/office/drawing/2014/main" id="{7E6DB084-5544-4AFD-AE73-3693FF5FBB82}"/>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310273" name="Text Box 1" hidden="1">
          <a:extLst>
            <a:ext uri="{FF2B5EF4-FFF2-40B4-BE49-F238E27FC236}">
              <a16:creationId xmlns:a16="http://schemas.microsoft.com/office/drawing/2014/main" id="{25D695A5-FE04-4F9D-833B-D567F1944B76}"/>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310274" name="Text Box 2" hidden="1">
          <a:extLst>
            <a:ext uri="{FF2B5EF4-FFF2-40B4-BE49-F238E27FC236}">
              <a16:creationId xmlns:a16="http://schemas.microsoft.com/office/drawing/2014/main" id="{BE268C70-B43A-44B4-8E5C-A316AB1478C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310275" name="Text Box 3" hidden="1">
          <a:extLst>
            <a:ext uri="{FF2B5EF4-FFF2-40B4-BE49-F238E27FC236}">
              <a16:creationId xmlns:a16="http://schemas.microsoft.com/office/drawing/2014/main" id="{56070536-FDEA-70DC-6080-CD0A56765E77}"/>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76200</xdr:rowOff>
    </xdr:from>
    <xdr:to>
      <xdr:col>4</xdr:col>
      <xdr:colOff>419100</xdr:colOff>
      <xdr:row>17</xdr:row>
      <xdr:rowOff>106892</xdr:rowOff>
    </xdr:to>
    <xdr:sp macro="" textlink="">
      <xdr:nvSpPr>
        <xdr:cNvPr id="310276" name="Text Box 4" hidden="1">
          <a:extLst>
            <a:ext uri="{FF2B5EF4-FFF2-40B4-BE49-F238E27FC236}">
              <a16:creationId xmlns:a16="http://schemas.microsoft.com/office/drawing/2014/main" id="{EE7E513A-1B65-E13A-3BB9-EBC95F11BDD4}"/>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76200</xdr:rowOff>
    </xdr:from>
    <xdr:to>
      <xdr:col>4</xdr:col>
      <xdr:colOff>419100</xdr:colOff>
      <xdr:row>17</xdr:row>
      <xdr:rowOff>106892</xdr:rowOff>
    </xdr:to>
    <xdr:sp macro="" textlink="">
      <xdr:nvSpPr>
        <xdr:cNvPr id="371714" name="Text Box 2" hidden="1">
          <a:extLst>
            <a:ext uri="{FF2B5EF4-FFF2-40B4-BE49-F238E27FC236}">
              <a16:creationId xmlns:a16="http://schemas.microsoft.com/office/drawing/2014/main" id="{63717356-803E-0657-5CA3-1D0D0408C93E}"/>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76200</xdr:rowOff>
    </xdr:from>
    <xdr:to>
      <xdr:col>4</xdr:col>
      <xdr:colOff>419100</xdr:colOff>
      <xdr:row>17</xdr:row>
      <xdr:rowOff>106892</xdr:rowOff>
    </xdr:to>
    <xdr:sp macro="" textlink="">
      <xdr:nvSpPr>
        <xdr:cNvPr id="371713" name="Text Box 1" hidden="1">
          <a:extLst>
            <a:ext uri="{FF2B5EF4-FFF2-40B4-BE49-F238E27FC236}">
              <a16:creationId xmlns:a16="http://schemas.microsoft.com/office/drawing/2014/main" id="{700889A4-8198-6B6D-B6AF-F593420036BD}"/>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15" name="Text Box 3" hidden="1">
          <a:extLst>
            <a:ext uri="{FF2B5EF4-FFF2-40B4-BE49-F238E27FC236}">
              <a16:creationId xmlns:a16="http://schemas.microsoft.com/office/drawing/2014/main" id="{784C5296-80C2-EA69-153B-D687F4684F18}"/>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16" name="Text Box 4" hidden="1">
          <a:extLst>
            <a:ext uri="{FF2B5EF4-FFF2-40B4-BE49-F238E27FC236}">
              <a16:creationId xmlns:a16="http://schemas.microsoft.com/office/drawing/2014/main" id="{160561DA-B7AE-E418-6D4F-ED8C73B537C2}"/>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1717" name="Text Box 5" hidden="1">
          <a:extLst>
            <a:ext uri="{FF2B5EF4-FFF2-40B4-BE49-F238E27FC236}">
              <a16:creationId xmlns:a16="http://schemas.microsoft.com/office/drawing/2014/main" id="{32CA18D5-05AC-2E8E-7611-80B09046E5A2}"/>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19" name="Text Box 7" hidden="1">
          <a:extLst>
            <a:ext uri="{FF2B5EF4-FFF2-40B4-BE49-F238E27FC236}">
              <a16:creationId xmlns:a16="http://schemas.microsoft.com/office/drawing/2014/main" id="{C1B10AA7-4D92-F71B-B79E-2CE630A8AEEF}"/>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1718" name="Text Box 6" hidden="1">
          <a:extLst>
            <a:ext uri="{FF2B5EF4-FFF2-40B4-BE49-F238E27FC236}">
              <a16:creationId xmlns:a16="http://schemas.microsoft.com/office/drawing/2014/main" id="{782CFB5E-29B8-1A8D-3440-F8E80569A46C}"/>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21" name="Text Box 9" hidden="1">
          <a:extLst>
            <a:ext uri="{FF2B5EF4-FFF2-40B4-BE49-F238E27FC236}">
              <a16:creationId xmlns:a16="http://schemas.microsoft.com/office/drawing/2014/main" id="{802ACE7E-8BE3-07DB-09A0-9AC7A58193B1}"/>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1720" name="Text Box 8" hidden="1">
          <a:extLst>
            <a:ext uri="{FF2B5EF4-FFF2-40B4-BE49-F238E27FC236}">
              <a16:creationId xmlns:a16="http://schemas.microsoft.com/office/drawing/2014/main" id="{87754F5A-086A-7820-985D-AE2E09FA5E5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25" name="Text Box 13" hidden="1">
          <a:extLst>
            <a:ext uri="{FF2B5EF4-FFF2-40B4-BE49-F238E27FC236}">
              <a16:creationId xmlns:a16="http://schemas.microsoft.com/office/drawing/2014/main" id="{EDD6A8BF-002D-480A-6C33-964F6A86FE04}"/>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1724" name="Text Box 12" hidden="1">
          <a:extLst>
            <a:ext uri="{FF2B5EF4-FFF2-40B4-BE49-F238E27FC236}">
              <a16:creationId xmlns:a16="http://schemas.microsoft.com/office/drawing/2014/main" id="{72168D1D-F789-4EF1-4624-D79DE27DE704}"/>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23" name="Text Box 11" hidden="1">
          <a:extLst>
            <a:ext uri="{FF2B5EF4-FFF2-40B4-BE49-F238E27FC236}">
              <a16:creationId xmlns:a16="http://schemas.microsoft.com/office/drawing/2014/main" id="{50AF7AD4-6A56-B4DC-94C2-6D0AC61B53C2}"/>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1722" name="Text Box 10" hidden="1">
          <a:extLst>
            <a:ext uri="{FF2B5EF4-FFF2-40B4-BE49-F238E27FC236}">
              <a16:creationId xmlns:a16="http://schemas.microsoft.com/office/drawing/2014/main" id="{159D9B6D-25BD-AD8C-15CD-20852D42FB58}"/>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27" name="Text Box 15" hidden="1">
          <a:extLst>
            <a:ext uri="{FF2B5EF4-FFF2-40B4-BE49-F238E27FC236}">
              <a16:creationId xmlns:a16="http://schemas.microsoft.com/office/drawing/2014/main" id="{A22D2B44-5459-6885-ABDD-40ACFD8D5D57}"/>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1726" name="Text Box 14" hidden="1">
          <a:extLst>
            <a:ext uri="{FF2B5EF4-FFF2-40B4-BE49-F238E27FC236}">
              <a16:creationId xmlns:a16="http://schemas.microsoft.com/office/drawing/2014/main" id="{AE2BC495-F16A-D49E-A7DC-8B2819D60F20}"/>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29" name="Text Box 17" hidden="1">
          <a:extLst>
            <a:ext uri="{FF2B5EF4-FFF2-40B4-BE49-F238E27FC236}">
              <a16:creationId xmlns:a16="http://schemas.microsoft.com/office/drawing/2014/main" id="{4FCE6BF4-5183-4889-D13E-2DCBF1C5229E}"/>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1728" name="Text Box 16" hidden="1">
          <a:extLst>
            <a:ext uri="{FF2B5EF4-FFF2-40B4-BE49-F238E27FC236}">
              <a16:creationId xmlns:a16="http://schemas.microsoft.com/office/drawing/2014/main" id="{728E7E35-945C-F906-62C9-F58FDFFC023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27</xdr:row>
      <xdr:rowOff>114300</xdr:rowOff>
    </xdr:from>
    <xdr:to>
      <xdr:col>4</xdr:col>
      <xdr:colOff>266700</xdr:colOff>
      <xdr:row>32</xdr:row>
      <xdr:rowOff>0</xdr:rowOff>
    </xdr:to>
    <xdr:sp macro="" textlink="">
      <xdr:nvSpPr>
        <xdr:cNvPr id="371730" name="Text Box 18" hidden="1">
          <a:extLst>
            <a:ext uri="{FF2B5EF4-FFF2-40B4-BE49-F238E27FC236}">
              <a16:creationId xmlns:a16="http://schemas.microsoft.com/office/drawing/2014/main" id="{BE19CDA2-A647-8661-9A3A-06CF0EAA1B00}"/>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33" name="Text Box 21" hidden="1">
          <a:extLst>
            <a:ext uri="{FF2B5EF4-FFF2-40B4-BE49-F238E27FC236}">
              <a16:creationId xmlns:a16="http://schemas.microsoft.com/office/drawing/2014/main" id="{A047B2E2-A35A-8726-65FB-FD36B9DB5E5A}"/>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1732" name="Text Box 20" hidden="1">
          <a:extLst>
            <a:ext uri="{FF2B5EF4-FFF2-40B4-BE49-F238E27FC236}">
              <a16:creationId xmlns:a16="http://schemas.microsoft.com/office/drawing/2014/main" id="{AD42D4AA-8E89-B4FE-163B-FA721358CD6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27</xdr:row>
      <xdr:rowOff>114300</xdr:rowOff>
    </xdr:from>
    <xdr:to>
      <xdr:col>4</xdr:col>
      <xdr:colOff>266700</xdr:colOff>
      <xdr:row>32</xdr:row>
      <xdr:rowOff>0</xdr:rowOff>
    </xdr:to>
    <xdr:sp macro="" textlink="">
      <xdr:nvSpPr>
        <xdr:cNvPr id="371731" name="Text Box 19" hidden="1">
          <a:extLst>
            <a:ext uri="{FF2B5EF4-FFF2-40B4-BE49-F238E27FC236}">
              <a16:creationId xmlns:a16="http://schemas.microsoft.com/office/drawing/2014/main" id="{7A6F45D2-A663-1AB2-53D4-C83950094EFE}"/>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36" name="Text Box 24" hidden="1">
          <a:extLst>
            <a:ext uri="{FF2B5EF4-FFF2-40B4-BE49-F238E27FC236}">
              <a16:creationId xmlns:a16="http://schemas.microsoft.com/office/drawing/2014/main" id="{2F7ACA5B-4082-3502-AC41-ADDD45025A03}"/>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1735" name="Text Box 23" hidden="1">
          <a:extLst>
            <a:ext uri="{FF2B5EF4-FFF2-40B4-BE49-F238E27FC236}">
              <a16:creationId xmlns:a16="http://schemas.microsoft.com/office/drawing/2014/main" id="{CB95E849-9166-CB5D-A8DD-AFC7E469867E}"/>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27</xdr:row>
      <xdr:rowOff>114300</xdr:rowOff>
    </xdr:from>
    <xdr:to>
      <xdr:col>4</xdr:col>
      <xdr:colOff>266700</xdr:colOff>
      <xdr:row>32</xdr:row>
      <xdr:rowOff>0</xdr:rowOff>
    </xdr:to>
    <xdr:sp macro="" textlink="">
      <xdr:nvSpPr>
        <xdr:cNvPr id="371734" name="Text Box 22" hidden="1">
          <a:extLst>
            <a:ext uri="{FF2B5EF4-FFF2-40B4-BE49-F238E27FC236}">
              <a16:creationId xmlns:a16="http://schemas.microsoft.com/office/drawing/2014/main" id="{DC59DE2C-8CBF-6887-E800-A35F7133C8F3}"/>
            </a:ext>
          </a:extLst>
        </xdr:cNvPr>
        <xdr:cNvSpPr txBox="1">
          <a:spLocks noChangeArrowheads="1"/>
        </xdr:cNvSpPr>
      </xdr:nvSpPr>
      <xdr:spPr bwMode="auto">
        <a:xfrm>
          <a:off x="3848100" y="5803900"/>
          <a:ext cx="13081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2739" name="Text Box 3" hidden="1">
          <a:extLst>
            <a:ext uri="{FF2B5EF4-FFF2-40B4-BE49-F238E27FC236}">
              <a16:creationId xmlns:a16="http://schemas.microsoft.com/office/drawing/2014/main" id="{CB0A40A6-7DB8-9A97-19EC-942270936995}"/>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2738" name="Text Box 2" hidden="1">
          <a:extLst>
            <a:ext uri="{FF2B5EF4-FFF2-40B4-BE49-F238E27FC236}">
              <a16:creationId xmlns:a16="http://schemas.microsoft.com/office/drawing/2014/main" id="{91ADF157-2435-9104-D128-990161B2DC25}"/>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27</xdr:row>
      <xdr:rowOff>114300</xdr:rowOff>
    </xdr:from>
    <xdr:to>
      <xdr:col>4</xdr:col>
      <xdr:colOff>266700</xdr:colOff>
      <xdr:row>32</xdr:row>
      <xdr:rowOff>0</xdr:rowOff>
    </xdr:to>
    <xdr:sp macro="" textlink="">
      <xdr:nvSpPr>
        <xdr:cNvPr id="372737" name="Text Box 1" hidden="1">
          <a:extLst>
            <a:ext uri="{FF2B5EF4-FFF2-40B4-BE49-F238E27FC236}">
              <a16:creationId xmlns:a16="http://schemas.microsoft.com/office/drawing/2014/main" id="{7C2E0D97-A28B-8CB2-39B2-9115A2FD06B8}"/>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23</xdr:col>
      <xdr:colOff>133350</xdr:colOff>
      <xdr:row>9</xdr:row>
      <xdr:rowOff>95250</xdr:rowOff>
    </xdr:from>
    <xdr:to>
      <xdr:col>25</xdr:col>
      <xdr:colOff>57150</xdr:colOff>
      <xdr:row>13</xdr:row>
      <xdr:rowOff>76200</xdr:rowOff>
    </xdr:to>
    <xdr:sp macro="" textlink="">
      <xdr:nvSpPr>
        <xdr:cNvPr id="330758" name="Text Box 6" hidden="1">
          <a:extLst>
            <a:ext uri="{FF2B5EF4-FFF2-40B4-BE49-F238E27FC236}">
              <a16:creationId xmlns:a16="http://schemas.microsoft.com/office/drawing/2014/main" id="{5E3CE043-38BC-3A97-739F-353E37A41E8D}"/>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8" name="Text Box 2" hidden="1">
          <a:extLst>
            <a:ext uri="{FF2B5EF4-FFF2-40B4-BE49-F238E27FC236}">
              <a16:creationId xmlns:a16="http://schemas.microsoft.com/office/drawing/2014/main" id="{80562993-AAD0-A481-062D-FA072ACF0692}"/>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7" name="Text Box 1" hidden="1">
          <a:extLst>
            <a:ext uri="{FF2B5EF4-FFF2-40B4-BE49-F238E27FC236}">
              <a16:creationId xmlns:a16="http://schemas.microsoft.com/office/drawing/2014/main" id="{8BA509EF-C0D9-6B0C-C2EB-9632E691ED60}"/>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9" name="Text Box 3" hidden="1">
          <a:extLst>
            <a:ext uri="{FF2B5EF4-FFF2-40B4-BE49-F238E27FC236}">
              <a16:creationId xmlns:a16="http://schemas.microsoft.com/office/drawing/2014/main" id="{F8FB0289-F65C-3C95-A780-D6C5893D775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0" name="Text Box 4" hidden="1">
          <a:extLst>
            <a:ext uri="{FF2B5EF4-FFF2-40B4-BE49-F238E27FC236}">
              <a16:creationId xmlns:a16="http://schemas.microsoft.com/office/drawing/2014/main" id="{2A8DBEB4-0A86-D7A7-829E-766EA2072E4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1" name="Text Box 5" hidden="1">
          <a:extLst>
            <a:ext uri="{FF2B5EF4-FFF2-40B4-BE49-F238E27FC236}">
              <a16:creationId xmlns:a16="http://schemas.microsoft.com/office/drawing/2014/main" id="{CA682EA7-38B2-526C-BBC6-D972F04F8566}"/>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2" name="Text Box 6" hidden="1">
          <a:extLst>
            <a:ext uri="{FF2B5EF4-FFF2-40B4-BE49-F238E27FC236}">
              <a16:creationId xmlns:a16="http://schemas.microsoft.com/office/drawing/2014/main" id="{8F321DB0-984B-B152-372F-9C946CCDC03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4" name="Text Box 8" hidden="1">
          <a:extLst>
            <a:ext uri="{FF2B5EF4-FFF2-40B4-BE49-F238E27FC236}">
              <a16:creationId xmlns:a16="http://schemas.microsoft.com/office/drawing/2014/main" id="{066A95EC-F7B5-6A3E-C1B1-4CC552185CA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3" name="Text Box 7" hidden="1">
          <a:extLst>
            <a:ext uri="{FF2B5EF4-FFF2-40B4-BE49-F238E27FC236}">
              <a16:creationId xmlns:a16="http://schemas.microsoft.com/office/drawing/2014/main" id="{C3496039-361C-E824-A18F-8942423E6674}"/>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5" name="Text Box 9" hidden="1">
          <a:extLst>
            <a:ext uri="{FF2B5EF4-FFF2-40B4-BE49-F238E27FC236}">
              <a16:creationId xmlns:a16="http://schemas.microsoft.com/office/drawing/2014/main" id="{546B4EFD-C137-54F2-0FB5-AA1E74C620AD}"/>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6" name="Text Box 10" hidden="1">
          <a:extLst>
            <a:ext uri="{FF2B5EF4-FFF2-40B4-BE49-F238E27FC236}">
              <a16:creationId xmlns:a16="http://schemas.microsoft.com/office/drawing/2014/main" id="{06E844B6-84DF-6E8B-D2CF-2A2B22B75DE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7" name="Text Box 11" hidden="1">
          <a:extLst>
            <a:ext uri="{FF2B5EF4-FFF2-40B4-BE49-F238E27FC236}">
              <a16:creationId xmlns:a16="http://schemas.microsoft.com/office/drawing/2014/main" id="{D0DBDB4F-B509-73E8-939C-3B4C13D1A2E1}"/>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8" name="Text Box 12" hidden="1">
          <a:extLst>
            <a:ext uri="{FF2B5EF4-FFF2-40B4-BE49-F238E27FC236}">
              <a16:creationId xmlns:a16="http://schemas.microsoft.com/office/drawing/2014/main" id="{EA9039A9-6B2B-E9F2-7308-93C60A41070B}"/>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1" name="Text Box 1" hidden="1">
          <a:extLst>
            <a:ext uri="{FF2B5EF4-FFF2-40B4-BE49-F238E27FC236}">
              <a16:creationId xmlns:a16="http://schemas.microsoft.com/office/drawing/2014/main" id="{39C1559E-4D8A-51DC-16B3-852E88736B3A}"/>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6</xdr:col>
      <xdr:colOff>169232</xdr:colOff>
      <xdr:row>91</xdr:row>
      <xdr:rowOff>717334</xdr:rowOff>
    </xdr:from>
    <xdr:to>
      <xdr:col>8</xdr:col>
      <xdr:colOff>278088</xdr:colOff>
      <xdr:row>91</xdr:row>
      <xdr:rowOff>717334</xdr:rowOff>
    </xdr:to>
    <xdr:sp macro="" textlink="">
      <xdr:nvSpPr>
        <xdr:cNvPr id="226308" name="Text Box 4" hidden="1">
          <a:extLst>
            <a:ext uri="{FF2B5EF4-FFF2-40B4-BE49-F238E27FC236}">
              <a16:creationId xmlns:a16="http://schemas.microsoft.com/office/drawing/2014/main" id="{1DE4B262-442A-4D34-B009-70A4A545BC56}"/>
            </a:ext>
          </a:extLst>
        </xdr:cNvPr>
        <xdr:cNvSpPr txBox="1">
          <a:spLocks noChangeArrowheads="1"/>
        </xdr:cNvSpPr>
      </xdr:nvSpPr>
      <xdr:spPr bwMode="auto">
        <a:xfrm>
          <a:off x="911352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91</xdr:row>
      <xdr:rowOff>717334</xdr:rowOff>
    </xdr:from>
    <xdr:to>
      <xdr:col>11</xdr:col>
      <xdr:colOff>238504</xdr:colOff>
      <xdr:row>91</xdr:row>
      <xdr:rowOff>717334</xdr:rowOff>
    </xdr:to>
    <xdr:sp macro="" textlink="">
      <xdr:nvSpPr>
        <xdr:cNvPr id="226309" name="Text Box 5" hidden="1">
          <a:extLst>
            <a:ext uri="{FF2B5EF4-FFF2-40B4-BE49-F238E27FC236}">
              <a16:creationId xmlns:a16="http://schemas.microsoft.com/office/drawing/2014/main" id="{D9E7EF9B-6EE7-4596-9F7A-667D322486CE}"/>
            </a:ext>
          </a:extLst>
        </xdr:cNvPr>
        <xdr:cNvSpPr txBox="1">
          <a:spLocks noChangeArrowheads="1"/>
        </xdr:cNvSpPr>
      </xdr:nvSpPr>
      <xdr:spPr bwMode="auto">
        <a:xfrm>
          <a:off x="1149096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26311" name="Text Box 7" hidden="1">
          <a:extLst>
            <a:ext uri="{FF2B5EF4-FFF2-40B4-BE49-F238E27FC236}">
              <a16:creationId xmlns:a16="http://schemas.microsoft.com/office/drawing/2014/main" id="{EAA688B6-1968-4D27-8F25-C3201443AA10}"/>
            </a:ext>
          </a:extLst>
        </xdr:cNvPr>
        <xdr:cNvSpPr txBox="1">
          <a:spLocks noChangeArrowheads="1"/>
        </xdr:cNvSpPr>
      </xdr:nvSpPr>
      <xdr:spPr bwMode="auto">
        <a:xfrm>
          <a:off x="3413760" y="6713220"/>
          <a:ext cx="169926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2678793</xdr:colOff>
      <xdr:row>52</xdr:row>
      <xdr:rowOff>171674</xdr:rowOff>
    </xdr:from>
    <xdr:to>
      <xdr:col>1</xdr:col>
      <xdr:colOff>4259019</xdr:colOff>
      <xdr:row>54</xdr:row>
      <xdr:rowOff>275393</xdr:rowOff>
    </xdr:to>
    <xdr:sp macro="" textlink="">
      <xdr:nvSpPr>
        <xdr:cNvPr id="226312" name="Text Box 8" hidden="1">
          <a:extLst>
            <a:ext uri="{FF2B5EF4-FFF2-40B4-BE49-F238E27FC236}">
              <a16:creationId xmlns:a16="http://schemas.microsoft.com/office/drawing/2014/main" id="{F1E14B72-AEAB-46EA-B162-5CA570848783}"/>
            </a:ext>
          </a:extLst>
        </xdr:cNvPr>
        <xdr:cNvSpPr txBox="1">
          <a:spLocks noChangeArrowheads="1"/>
        </xdr:cNvSpPr>
      </xdr:nvSpPr>
      <xdr:spPr bwMode="auto">
        <a:xfrm>
          <a:off x="3451860" y="11963400"/>
          <a:ext cx="1668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91</xdr:row>
      <xdr:rowOff>717334</xdr:rowOff>
    </xdr:from>
    <xdr:to>
      <xdr:col>8</xdr:col>
      <xdr:colOff>278088</xdr:colOff>
      <xdr:row>91</xdr:row>
      <xdr:rowOff>717334</xdr:rowOff>
    </xdr:to>
    <xdr:sp macro="" textlink="">
      <xdr:nvSpPr>
        <xdr:cNvPr id="257028" name="Text Box 4" hidden="1">
          <a:extLst>
            <a:ext uri="{FF2B5EF4-FFF2-40B4-BE49-F238E27FC236}">
              <a16:creationId xmlns:a16="http://schemas.microsoft.com/office/drawing/2014/main" id="{28ED4E88-6FEE-470C-9119-B4144BC9353F}"/>
            </a:ext>
          </a:extLst>
        </xdr:cNvPr>
        <xdr:cNvSpPr txBox="1">
          <a:spLocks noChangeArrowheads="1"/>
        </xdr:cNvSpPr>
      </xdr:nvSpPr>
      <xdr:spPr bwMode="auto">
        <a:xfrm>
          <a:off x="8820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91</xdr:row>
      <xdr:rowOff>717334</xdr:rowOff>
    </xdr:from>
    <xdr:to>
      <xdr:col>11</xdr:col>
      <xdr:colOff>238504</xdr:colOff>
      <xdr:row>91</xdr:row>
      <xdr:rowOff>717334</xdr:rowOff>
    </xdr:to>
    <xdr:sp macro="" textlink="">
      <xdr:nvSpPr>
        <xdr:cNvPr id="257027" name="Text Box 3" hidden="1">
          <a:extLst>
            <a:ext uri="{FF2B5EF4-FFF2-40B4-BE49-F238E27FC236}">
              <a16:creationId xmlns:a16="http://schemas.microsoft.com/office/drawing/2014/main" id="{EBD70E14-1BE1-426C-9A08-89E7D87FFDF1}"/>
            </a:ext>
          </a:extLst>
        </xdr:cNvPr>
        <xdr:cNvSpPr txBox="1">
          <a:spLocks noChangeArrowheads="1"/>
        </xdr:cNvSpPr>
      </xdr:nvSpPr>
      <xdr:spPr bwMode="auto">
        <a:xfrm>
          <a:off x="11106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26" name="Text Box 2" hidden="1">
          <a:extLst>
            <a:ext uri="{FF2B5EF4-FFF2-40B4-BE49-F238E27FC236}">
              <a16:creationId xmlns:a16="http://schemas.microsoft.com/office/drawing/2014/main" id="{CB9DF60B-A556-41D0-8F31-B5EC781346F7}"/>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31" name="Text Box 7" hidden="1">
          <a:extLst>
            <a:ext uri="{FF2B5EF4-FFF2-40B4-BE49-F238E27FC236}">
              <a16:creationId xmlns:a16="http://schemas.microsoft.com/office/drawing/2014/main" id="{5E32F841-A5FA-409C-9657-69FB758DEEE6}"/>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30" name="Text Box 6" hidden="1">
          <a:extLst>
            <a:ext uri="{FF2B5EF4-FFF2-40B4-BE49-F238E27FC236}">
              <a16:creationId xmlns:a16="http://schemas.microsoft.com/office/drawing/2014/main" id="{50DEFB65-0857-4FF4-A53D-F6F80CC90388}"/>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29" name="Text Box 5" hidden="1">
          <a:extLst>
            <a:ext uri="{FF2B5EF4-FFF2-40B4-BE49-F238E27FC236}">
              <a16:creationId xmlns:a16="http://schemas.microsoft.com/office/drawing/2014/main" id="{3EC56823-01B7-467B-88F1-28CB5BFFB582}"/>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34" name="Text Box 10" hidden="1">
          <a:extLst>
            <a:ext uri="{FF2B5EF4-FFF2-40B4-BE49-F238E27FC236}">
              <a16:creationId xmlns:a16="http://schemas.microsoft.com/office/drawing/2014/main" id="{C1EA262D-67FB-4B68-924D-FF6C353E7F37}"/>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33" name="Text Box 9" hidden="1">
          <a:extLst>
            <a:ext uri="{FF2B5EF4-FFF2-40B4-BE49-F238E27FC236}">
              <a16:creationId xmlns:a16="http://schemas.microsoft.com/office/drawing/2014/main" id="{70752714-EDA0-4379-9856-8F8BC81E5D7D}"/>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32" name="Text Box 8" hidden="1">
          <a:extLst>
            <a:ext uri="{FF2B5EF4-FFF2-40B4-BE49-F238E27FC236}">
              <a16:creationId xmlns:a16="http://schemas.microsoft.com/office/drawing/2014/main" id="{4996AB1E-2F27-4526-9786-B277D5B0846F}"/>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37" name="Text Box 13" hidden="1">
          <a:extLst>
            <a:ext uri="{FF2B5EF4-FFF2-40B4-BE49-F238E27FC236}">
              <a16:creationId xmlns:a16="http://schemas.microsoft.com/office/drawing/2014/main" id="{F731A324-9439-4B49-9917-A5D271302AB3}"/>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36" name="Text Box 12" hidden="1">
          <a:extLst>
            <a:ext uri="{FF2B5EF4-FFF2-40B4-BE49-F238E27FC236}">
              <a16:creationId xmlns:a16="http://schemas.microsoft.com/office/drawing/2014/main" id="{940EAF4A-5B45-43FC-9EFE-FAC9867C357C}"/>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35" name="Text Box 11" hidden="1">
          <a:extLst>
            <a:ext uri="{FF2B5EF4-FFF2-40B4-BE49-F238E27FC236}">
              <a16:creationId xmlns:a16="http://schemas.microsoft.com/office/drawing/2014/main" id="{CB99E69D-FC54-4E53-83C0-6DCB764E9998}"/>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40" name="Text Box 16" hidden="1">
          <a:extLst>
            <a:ext uri="{FF2B5EF4-FFF2-40B4-BE49-F238E27FC236}">
              <a16:creationId xmlns:a16="http://schemas.microsoft.com/office/drawing/2014/main" id="{4E659185-8FFF-4856-B4E8-DD06AEB9E849}"/>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39" name="Text Box 15" hidden="1">
          <a:extLst>
            <a:ext uri="{FF2B5EF4-FFF2-40B4-BE49-F238E27FC236}">
              <a16:creationId xmlns:a16="http://schemas.microsoft.com/office/drawing/2014/main" id="{B94567FD-1CEF-4713-B876-04E8EE5FD6C3}"/>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38" name="Text Box 14" hidden="1">
          <a:extLst>
            <a:ext uri="{FF2B5EF4-FFF2-40B4-BE49-F238E27FC236}">
              <a16:creationId xmlns:a16="http://schemas.microsoft.com/office/drawing/2014/main" id="{DF83690E-EF73-4747-9F95-1901E315F774}"/>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43" name="Text Box 19" hidden="1">
          <a:extLst>
            <a:ext uri="{FF2B5EF4-FFF2-40B4-BE49-F238E27FC236}">
              <a16:creationId xmlns:a16="http://schemas.microsoft.com/office/drawing/2014/main" id="{0A303A15-59CD-43DB-AF8C-764E3691985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42" name="Text Box 18" hidden="1">
          <a:extLst>
            <a:ext uri="{FF2B5EF4-FFF2-40B4-BE49-F238E27FC236}">
              <a16:creationId xmlns:a16="http://schemas.microsoft.com/office/drawing/2014/main" id="{19C5F908-4132-4BA9-B0FD-F7B35016DC74}"/>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41" name="Text Box 17" hidden="1">
          <a:extLst>
            <a:ext uri="{FF2B5EF4-FFF2-40B4-BE49-F238E27FC236}">
              <a16:creationId xmlns:a16="http://schemas.microsoft.com/office/drawing/2014/main" id="{01CF4EF3-E604-418A-B600-BB577F9E83C5}"/>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46" name="Text Box 22" hidden="1">
          <a:extLst>
            <a:ext uri="{FF2B5EF4-FFF2-40B4-BE49-F238E27FC236}">
              <a16:creationId xmlns:a16="http://schemas.microsoft.com/office/drawing/2014/main" id="{9946A254-90FC-41C6-83DF-FE5E0AB5DED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45" name="Text Box 21" hidden="1">
          <a:extLst>
            <a:ext uri="{FF2B5EF4-FFF2-40B4-BE49-F238E27FC236}">
              <a16:creationId xmlns:a16="http://schemas.microsoft.com/office/drawing/2014/main" id="{F2554D94-03A4-4B6F-B938-002AE7AC04B5}"/>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44" name="Text Box 20" hidden="1">
          <a:extLst>
            <a:ext uri="{FF2B5EF4-FFF2-40B4-BE49-F238E27FC236}">
              <a16:creationId xmlns:a16="http://schemas.microsoft.com/office/drawing/2014/main" id="{4238BAAC-07CA-4ADA-B706-BAE0C0F58C5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49" name="Text Box 25" hidden="1">
          <a:extLst>
            <a:ext uri="{FF2B5EF4-FFF2-40B4-BE49-F238E27FC236}">
              <a16:creationId xmlns:a16="http://schemas.microsoft.com/office/drawing/2014/main" id="{88B357B8-6FA3-4558-B5D6-4459D5FC1F6B}"/>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48" name="Text Box 24" hidden="1">
          <a:extLst>
            <a:ext uri="{FF2B5EF4-FFF2-40B4-BE49-F238E27FC236}">
              <a16:creationId xmlns:a16="http://schemas.microsoft.com/office/drawing/2014/main" id="{9010921A-755A-4EC5-92EF-32FCAB666790}"/>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47" name="Text Box 23" hidden="1">
          <a:extLst>
            <a:ext uri="{FF2B5EF4-FFF2-40B4-BE49-F238E27FC236}">
              <a16:creationId xmlns:a16="http://schemas.microsoft.com/office/drawing/2014/main" id="{479F985F-BD47-4B06-822F-F9F1AFFBB9D3}"/>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278088</xdr:colOff>
      <xdr:row>74</xdr:row>
      <xdr:rowOff>76772</xdr:rowOff>
    </xdr:to>
    <xdr:sp macro="" textlink="">
      <xdr:nvSpPr>
        <xdr:cNvPr id="257052" name="Text Box 28" hidden="1">
          <a:extLst>
            <a:ext uri="{FF2B5EF4-FFF2-40B4-BE49-F238E27FC236}">
              <a16:creationId xmlns:a16="http://schemas.microsoft.com/office/drawing/2014/main" id="{BA03B1DF-5678-4960-86A9-90A0F62E091E}"/>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74</xdr:row>
      <xdr:rowOff>76772</xdr:rowOff>
    </xdr:from>
    <xdr:to>
      <xdr:col>11</xdr:col>
      <xdr:colOff>238504</xdr:colOff>
      <xdr:row>74</xdr:row>
      <xdr:rowOff>76772</xdr:rowOff>
    </xdr:to>
    <xdr:sp macro="" textlink="">
      <xdr:nvSpPr>
        <xdr:cNvPr id="257051" name="Text Box 27" hidden="1">
          <a:extLst>
            <a:ext uri="{FF2B5EF4-FFF2-40B4-BE49-F238E27FC236}">
              <a16:creationId xmlns:a16="http://schemas.microsoft.com/office/drawing/2014/main" id="{C4341359-BD0F-4BA7-9F69-8B8D500AA37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50" name="Text Box 26" hidden="1">
          <a:extLst>
            <a:ext uri="{FF2B5EF4-FFF2-40B4-BE49-F238E27FC236}">
              <a16:creationId xmlns:a16="http://schemas.microsoft.com/office/drawing/2014/main" id="{05855913-78F0-4223-8038-D305F555B84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278088</xdr:colOff>
      <xdr:row>74</xdr:row>
      <xdr:rowOff>76772</xdr:rowOff>
    </xdr:to>
    <xdr:sp macro="" textlink="">
      <xdr:nvSpPr>
        <xdr:cNvPr id="257055" name="Text Box 31" hidden="1">
          <a:extLst>
            <a:ext uri="{FF2B5EF4-FFF2-40B4-BE49-F238E27FC236}">
              <a16:creationId xmlns:a16="http://schemas.microsoft.com/office/drawing/2014/main" id="{5788BB33-76A5-4E76-822E-D9D9D8A0D61D}"/>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74</xdr:row>
      <xdr:rowOff>76772</xdr:rowOff>
    </xdr:from>
    <xdr:to>
      <xdr:col>11</xdr:col>
      <xdr:colOff>238504</xdr:colOff>
      <xdr:row>74</xdr:row>
      <xdr:rowOff>76772</xdr:rowOff>
    </xdr:to>
    <xdr:sp macro="" textlink="">
      <xdr:nvSpPr>
        <xdr:cNvPr id="257054" name="Text Box 30" hidden="1">
          <a:extLst>
            <a:ext uri="{FF2B5EF4-FFF2-40B4-BE49-F238E27FC236}">
              <a16:creationId xmlns:a16="http://schemas.microsoft.com/office/drawing/2014/main" id="{D77DFA6E-8790-4BAB-9DC1-3B853FF078B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53" name="Text Box 29" hidden="1">
          <a:extLst>
            <a:ext uri="{FF2B5EF4-FFF2-40B4-BE49-F238E27FC236}">
              <a16:creationId xmlns:a16="http://schemas.microsoft.com/office/drawing/2014/main" id="{A83452A6-7CBE-43F1-9998-9480FCA95423}"/>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278088</xdr:colOff>
      <xdr:row>74</xdr:row>
      <xdr:rowOff>76772</xdr:rowOff>
    </xdr:to>
    <xdr:sp macro="" textlink="">
      <xdr:nvSpPr>
        <xdr:cNvPr id="257058" name="Text Box 34" hidden="1">
          <a:extLst>
            <a:ext uri="{FF2B5EF4-FFF2-40B4-BE49-F238E27FC236}">
              <a16:creationId xmlns:a16="http://schemas.microsoft.com/office/drawing/2014/main" id="{DD413987-4369-462D-93F0-2BC704A52D7B}"/>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74</xdr:row>
      <xdr:rowOff>76772</xdr:rowOff>
    </xdr:from>
    <xdr:to>
      <xdr:col>11</xdr:col>
      <xdr:colOff>238504</xdr:colOff>
      <xdr:row>74</xdr:row>
      <xdr:rowOff>76772</xdr:rowOff>
    </xdr:to>
    <xdr:sp macro="" textlink="">
      <xdr:nvSpPr>
        <xdr:cNvPr id="257057" name="Text Box 33" hidden="1">
          <a:extLst>
            <a:ext uri="{FF2B5EF4-FFF2-40B4-BE49-F238E27FC236}">
              <a16:creationId xmlns:a16="http://schemas.microsoft.com/office/drawing/2014/main" id="{37D8BF58-F7E7-4445-8E61-CE41CBC3F494}"/>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56" name="Text Box 32" hidden="1">
          <a:extLst>
            <a:ext uri="{FF2B5EF4-FFF2-40B4-BE49-F238E27FC236}">
              <a16:creationId xmlns:a16="http://schemas.microsoft.com/office/drawing/2014/main" id="{B3E55306-FDCD-4EC4-B640-21B153F81C1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278088</xdr:colOff>
      <xdr:row>74</xdr:row>
      <xdr:rowOff>76772</xdr:rowOff>
    </xdr:to>
    <xdr:sp macro="" textlink="">
      <xdr:nvSpPr>
        <xdr:cNvPr id="257061" name="Text Box 37" hidden="1">
          <a:extLst>
            <a:ext uri="{FF2B5EF4-FFF2-40B4-BE49-F238E27FC236}">
              <a16:creationId xmlns:a16="http://schemas.microsoft.com/office/drawing/2014/main" id="{E7A9EFEE-8C2A-47D6-A9F1-20E33F6DACFA}"/>
            </a:ext>
          </a:extLst>
        </xdr:cNvPr>
        <xdr:cNvSpPr txBox="1">
          <a:spLocks noChangeArrowheads="1"/>
        </xdr:cNvSpPr>
      </xdr:nvSpPr>
      <xdr:spPr bwMode="auto">
        <a:xfrm>
          <a:off x="8820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74</xdr:row>
      <xdr:rowOff>76772</xdr:rowOff>
    </xdr:from>
    <xdr:to>
      <xdr:col>11</xdr:col>
      <xdr:colOff>238504</xdr:colOff>
      <xdr:row>74</xdr:row>
      <xdr:rowOff>76772</xdr:rowOff>
    </xdr:to>
    <xdr:sp macro="" textlink="">
      <xdr:nvSpPr>
        <xdr:cNvPr id="257060" name="Text Box 36" hidden="1">
          <a:extLst>
            <a:ext uri="{FF2B5EF4-FFF2-40B4-BE49-F238E27FC236}">
              <a16:creationId xmlns:a16="http://schemas.microsoft.com/office/drawing/2014/main" id="{62D32994-E943-436A-83B1-4727E069F05C}"/>
            </a:ext>
          </a:extLst>
        </xdr:cNvPr>
        <xdr:cNvSpPr txBox="1">
          <a:spLocks noChangeArrowheads="1"/>
        </xdr:cNvSpPr>
      </xdr:nvSpPr>
      <xdr:spPr bwMode="auto">
        <a:xfrm>
          <a:off x="11106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59" name="Text Box 35" hidden="1">
          <a:extLst>
            <a:ext uri="{FF2B5EF4-FFF2-40B4-BE49-F238E27FC236}">
              <a16:creationId xmlns:a16="http://schemas.microsoft.com/office/drawing/2014/main" id="{18568BF6-9422-4C81-85DD-255CE443CC9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256900</xdr:rowOff>
    </xdr:from>
    <xdr:to>
      <xdr:col>8</xdr:col>
      <xdr:colOff>278088</xdr:colOff>
      <xdr:row>74</xdr:row>
      <xdr:rowOff>256900</xdr:rowOff>
    </xdr:to>
    <xdr:sp macro="" textlink="">
      <xdr:nvSpPr>
        <xdr:cNvPr id="257064" name="Text Box 40" hidden="1">
          <a:extLst>
            <a:ext uri="{FF2B5EF4-FFF2-40B4-BE49-F238E27FC236}">
              <a16:creationId xmlns:a16="http://schemas.microsoft.com/office/drawing/2014/main" id="{36297DA4-650E-4F6F-88C8-CE992EFC0C42}"/>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74</xdr:row>
      <xdr:rowOff>256900</xdr:rowOff>
    </xdr:from>
    <xdr:to>
      <xdr:col>11</xdr:col>
      <xdr:colOff>238504</xdr:colOff>
      <xdr:row>74</xdr:row>
      <xdr:rowOff>256900</xdr:rowOff>
    </xdr:to>
    <xdr:sp macro="" textlink="">
      <xdr:nvSpPr>
        <xdr:cNvPr id="257063" name="Text Box 39" hidden="1">
          <a:extLst>
            <a:ext uri="{FF2B5EF4-FFF2-40B4-BE49-F238E27FC236}">
              <a16:creationId xmlns:a16="http://schemas.microsoft.com/office/drawing/2014/main" id="{4E60497A-51E5-4187-AF04-0665CD7AB38E}"/>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273516</xdr:rowOff>
    </xdr:to>
    <xdr:sp macro="" textlink="">
      <xdr:nvSpPr>
        <xdr:cNvPr id="257062" name="Text Box 38" hidden="1">
          <a:extLst>
            <a:ext uri="{FF2B5EF4-FFF2-40B4-BE49-F238E27FC236}">
              <a16:creationId xmlns:a16="http://schemas.microsoft.com/office/drawing/2014/main" id="{54BB827F-03CD-4D0F-914F-D43C7D038473}"/>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256900</xdr:rowOff>
    </xdr:from>
    <xdr:to>
      <xdr:col>8</xdr:col>
      <xdr:colOff>278088</xdr:colOff>
      <xdr:row>74</xdr:row>
      <xdr:rowOff>256900</xdr:rowOff>
    </xdr:to>
    <xdr:sp macro="" textlink="">
      <xdr:nvSpPr>
        <xdr:cNvPr id="257067" name="Text Box 43" hidden="1">
          <a:extLst>
            <a:ext uri="{FF2B5EF4-FFF2-40B4-BE49-F238E27FC236}">
              <a16:creationId xmlns:a16="http://schemas.microsoft.com/office/drawing/2014/main" id="{5F3A5D53-53DA-45F2-BD79-67EE648C059C}"/>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74</xdr:row>
      <xdr:rowOff>256900</xdr:rowOff>
    </xdr:from>
    <xdr:to>
      <xdr:col>11</xdr:col>
      <xdr:colOff>238504</xdr:colOff>
      <xdr:row>74</xdr:row>
      <xdr:rowOff>256900</xdr:rowOff>
    </xdr:to>
    <xdr:sp macro="" textlink="">
      <xdr:nvSpPr>
        <xdr:cNvPr id="257066" name="Text Box 42" hidden="1">
          <a:extLst>
            <a:ext uri="{FF2B5EF4-FFF2-40B4-BE49-F238E27FC236}">
              <a16:creationId xmlns:a16="http://schemas.microsoft.com/office/drawing/2014/main" id="{5E5D425A-4000-4EEE-96AA-9C8A51FE5992}"/>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273516</xdr:rowOff>
    </xdr:to>
    <xdr:sp macro="" textlink="">
      <xdr:nvSpPr>
        <xdr:cNvPr id="257065" name="Text Box 41" hidden="1">
          <a:extLst>
            <a:ext uri="{FF2B5EF4-FFF2-40B4-BE49-F238E27FC236}">
              <a16:creationId xmlns:a16="http://schemas.microsoft.com/office/drawing/2014/main" id="{8241E13C-659F-466F-AE44-D262041E5D72}"/>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179120</xdr:colOff>
      <xdr:row>74</xdr:row>
      <xdr:rowOff>256900</xdr:rowOff>
    </xdr:from>
    <xdr:to>
      <xdr:col>8</xdr:col>
      <xdr:colOff>287976</xdr:colOff>
      <xdr:row>74</xdr:row>
      <xdr:rowOff>256900</xdr:rowOff>
    </xdr:to>
    <xdr:sp macro="" textlink="">
      <xdr:nvSpPr>
        <xdr:cNvPr id="257070" name="Text Box 46" hidden="1">
          <a:extLst>
            <a:ext uri="{FF2B5EF4-FFF2-40B4-BE49-F238E27FC236}">
              <a16:creationId xmlns:a16="http://schemas.microsoft.com/office/drawing/2014/main" id="{6A14DC19-8F26-4B09-8118-A64C451BC9B7}"/>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256900</xdr:rowOff>
    </xdr:from>
    <xdr:to>
      <xdr:col>11</xdr:col>
      <xdr:colOff>248392</xdr:colOff>
      <xdr:row>74</xdr:row>
      <xdr:rowOff>256900</xdr:rowOff>
    </xdr:to>
    <xdr:sp macro="" textlink="">
      <xdr:nvSpPr>
        <xdr:cNvPr id="257069" name="Text Box 45" hidden="1">
          <a:extLst>
            <a:ext uri="{FF2B5EF4-FFF2-40B4-BE49-F238E27FC236}">
              <a16:creationId xmlns:a16="http://schemas.microsoft.com/office/drawing/2014/main" id="{5C1FCB85-77E5-4D67-A2EB-A7320B741BC0}"/>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273516</xdr:rowOff>
    </xdr:to>
    <xdr:sp macro="" textlink="">
      <xdr:nvSpPr>
        <xdr:cNvPr id="257068" name="Text Box 44" hidden="1">
          <a:extLst>
            <a:ext uri="{FF2B5EF4-FFF2-40B4-BE49-F238E27FC236}">
              <a16:creationId xmlns:a16="http://schemas.microsoft.com/office/drawing/2014/main" id="{8326F70B-86BC-49E8-9D34-15674FD14583}"/>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179120</xdr:colOff>
      <xdr:row>74</xdr:row>
      <xdr:rowOff>256900</xdr:rowOff>
    </xdr:from>
    <xdr:to>
      <xdr:col>8</xdr:col>
      <xdr:colOff>287976</xdr:colOff>
      <xdr:row>74</xdr:row>
      <xdr:rowOff>256900</xdr:rowOff>
    </xdr:to>
    <xdr:sp macro="" textlink="">
      <xdr:nvSpPr>
        <xdr:cNvPr id="257073" name="Text Box 49" hidden="1">
          <a:extLst>
            <a:ext uri="{FF2B5EF4-FFF2-40B4-BE49-F238E27FC236}">
              <a16:creationId xmlns:a16="http://schemas.microsoft.com/office/drawing/2014/main" id="{05E5D1E3-A3A7-4790-94E6-A7C37EC826E8}"/>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256900</xdr:rowOff>
    </xdr:from>
    <xdr:to>
      <xdr:col>11</xdr:col>
      <xdr:colOff>248392</xdr:colOff>
      <xdr:row>74</xdr:row>
      <xdr:rowOff>256900</xdr:rowOff>
    </xdr:to>
    <xdr:sp macro="" textlink="">
      <xdr:nvSpPr>
        <xdr:cNvPr id="257072" name="Text Box 48" hidden="1">
          <a:extLst>
            <a:ext uri="{FF2B5EF4-FFF2-40B4-BE49-F238E27FC236}">
              <a16:creationId xmlns:a16="http://schemas.microsoft.com/office/drawing/2014/main" id="{7FC18613-8358-4B57-99DD-0E3FED7BBEAD}"/>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273516</xdr:rowOff>
    </xdr:to>
    <xdr:sp macro="" textlink="">
      <xdr:nvSpPr>
        <xdr:cNvPr id="257071" name="Text Box 47" hidden="1">
          <a:extLst>
            <a:ext uri="{FF2B5EF4-FFF2-40B4-BE49-F238E27FC236}">
              <a16:creationId xmlns:a16="http://schemas.microsoft.com/office/drawing/2014/main" id="{534620AE-0CFC-475C-AE84-EDBFA844E61A}"/>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142290</xdr:colOff>
      <xdr:row>74</xdr:row>
      <xdr:rowOff>117858</xdr:rowOff>
    </xdr:from>
    <xdr:to>
      <xdr:col>8</xdr:col>
      <xdr:colOff>257496</xdr:colOff>
      <xdr:row>74</xdr:row>
      <xdr:rowOff>117858</xdr:rowOff>
    </xdr:to>
    <xdr:sp macro="" textlink="">
      <xdr:nvSpPr>
        <xdr:cNvPr id="257076" name="Text Box 52" hidden="1">
          <a:extLst>
            <a:ext uri="{FF2B5EF4-FFF2-40B4-BE49-F238E27FC236}">
              <a16:creationId xmlns:a16="http://schemas.microsoft.com/office/drawing/2014/main" id="{A8D1167D-3B98-498E-838B-AF237BE4C460}"/>
            </a:ext>
          </a:extLst>
        </xdr:cNvPr>
        <xdr:cNvSpPr txBox="1">
          <a:spLocks noChangeArrowheads="1"/>
        </xdr:cNvSpPr>
      </xdr:nvSpPr>
      <xdr:spPr bwMode="auto">
        <a:xfrm>
          <a:off x="909828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135362</xdr:colOff>
      <xdr:row>74</xdr:row>
      <xdr:rowOff>117858</xdr:rowOff>
    </xdr:from>
    <xdr:to>
      <xdr:col>11</xdr:col>
      <xdr:colOff>211562</xdr:colOff>
      <xdr:row>74</xdr:row>
      <xdr:rowOff>117858</xdr:rowOff>
    </xdr:to>
    <xdr:sp macro="" textlink="">
      <xdr:nvSpPr>
        <xdr:cNvPr id="257075" name="Text Box 51" hidden="1">
          <a:extLst>
            <a:ext uri="{FF2B5EF4-FFF2-40B4-BE49-F238E27FC236}">
              <a16:creationId xmlns:a16="http://schemas.microsoft.com/office/drawing/2014/main" id="{2CAFE827-43B4-43C9-9968-5006BDDA8849}"/>
            </a:ext>
          </a:extLst>
        </xdr:cNvPr>
        <xdr:cNvSpPr txBox="1">
          <a:spLocks noChangeArrowheads="1"/>
        </xdr:cNvSpPr>
      </xdr:nvSpPr>
      <xdr:spPr bwMode="auto">
        <a:xfrm>
          <a:off x="1143000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4200599</xdr:colOff>
      <xdr:row>33</xdr:row>
      <xdr:rowOff>273516</xdr:rowOff>
    </xdr:to>
    <xdr:sp macro="" textlink="">
      <xdr:nvSpPr>
        <xdr:cNvPr id="257074" name="Text Box 50" hidden="1">
          <a:extLst>
            <a:ext uri="{FF2B5EF4-FFF2-40B4-BE49-F238E27FC236}">
              <a16:creationId xmlns:a16="http://schemas.microsoft.com/office/drawing/2014/main" id="{05A4EDC0-CAC5-4A46-B5BA-4027EC1AECEF}"/>
            </a:ext>
          </a:extLst>
        </xdr:cNvPr>
        <xdr:cNvSpPr txBox="1">
          <a:spLocks noChangeArrowheads="1"/>
        </xdr:cNvSpPr>
      </xdr:nvSpPr>
      <xdr:spPr bwMode="auto">
        <a:xfrm>
          <a:off x="3421380" y="6713220"/>
          <a:ext cx="16306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554462</xdr:colOff>
      <xdr:row>30</xdr:row>
      <xdr:rowOff>374463</xdr:rowOff>
    </xdr:to>
    <xdr:sp macro="" textlink="">
      <xdr:nvSpPr>
        <xdr:cNvPr id="257077" name="Text Box 53" hidden="1">
          <a:extLst>
            <a:ext uri="{FF2B5EF4-FFF2-40B4-BE49-F238E27FC236}">
              <a16:creationId xmlns:a16="http://schemas.microsoft.com/office/drawing/2014/main" id="{596C25C8-CBAD-472D-9760-2BDF3A769F5B}"/>
            </a:ext>
          </a:extLst>
        </xdr:cNvPr>
        <xdr:cNvSpPr txBox="1">
          <a:spLocks noChangeArrowheads="1"/>
        </xdr:cNvSpPr>
      </xdr:nvSpPr>
      <xdr:spPr bwMode="auto">
        <a:xfrm>
          <a:off x="16855440" y="5273040"/>
          <a:ext cx="13335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554462</xdr:colOff>
      <xdr:row>28</xdr:row>
      <xdr:rowOff>237751</xdr:rowOff>
    </xdr:to>
    <xdr:sp macro="" textlink="">
      <xdr:nvSpPr>
        <xdr:cNvPr id="257078" name="Text Box 54" hidden="1">
          <a:extLst>
            <a:ext uri="{FF2B5EF4-FFF2-40B4-BE49-F238E27FC236}">
              <a16:creationId xmlns:a16="http://schemas.microsoft.com/office/drawing/2014/main" id="{02E8607D-8B4F-444E-AFEF-18A26FD97CD0}"/>
            </a:ext>
          </a:extLst>
        </xdr:cNvPr>
        <xdr:cNvSpPr txBox="1">
          <a:spLocks noChangeArrowheads="1"/>
        </xdr:cNvSpPr>
      </xdr:nvSpPr>
      <xdr:spPr bwMode="auto">
        <a:xfrm>
          <a:off x="16855440" y="4549140"/>
          <a:ext cx="13335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31935</xdr:rowOff>
    </xdr:to>
    <xdr:sp macro="" textlink="">
      <xdr:nvSpPr>
        <xdr:cNvPr id="257080" name="Text Box 56" hidden="1">
          <a:extLst>
            <a:ext uri="{FF2B5EF4-FFF2-40B4-BE49-F238E27FC236}">
              <a16:creationId xmlns:a16="http://schemas.microsoft.com/office/drawing/2014/main" id="{C7B0062A-6A72-47D9-84AF-5D760D232B2C}"/>
            </a:ext>
          </a:extLst>
        </xdr:cNvPr>
        <xdr:cNvSpPr txBox="1">
          <a:spLocks noChangeArrowheads="1"/>
        </xdr:cNvSpPr>
      </xdr:nvSpPr>
      <xdr:spPr bwMode="auto">
        <a:xfrm>
          <a:off x="18440400" y="17251680"/>
          <a:ext cx="1363980" cy="12649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117858</xdr:rowOff>
    </xdr:from>
    <xdr:to>
      <xdr:col>8</xdr:col>
      <xdr:colOff>249876</xdr:colOff>
      <xdr:row>74</xdr:row>
      <xdr:rowOff>117858</xdr:rowOff>
    </xdr:to>
    <xdr:sp macro="" textlink="">
      <xdr:nvSpPr>
        <xdr:cNvPr id="257086" name="Text Box 62" hidden="1">
          <a:extLst>
            <a:ext uri="{FF2B5EF4-FFF2-40B4-BE49-F238E27FC236}">
              <a16:creationId xmlns:a16="http://schemas.microsoft.com/office/drawing/2014/main" id="{ED262875-3C6F-4CCF-A0B4-225D961BFB9B}"/>
            </a:ext>
          </a:extLst>
        </xdr:cNvPr>
        <xdr:cNvSpPr txBox="1">
          <a:spLocks noChangeArrowheads="1"/>
        </xdr:cNvSpPr>
      </xdr:nvSpPr>
      <xdr:spPr bwMode="auto">
        <a:xfrm>
          <a:off x="9029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117858</xdr:rowOff>
    </xdr:from>
    <xdr:to>
      <xdr:col>11</xdr:col>
      <xdr:colOff>210292</xdr:colOff>
      <xdr:row>74</xdr:row>
      <xdr:rowOff>117858</xdr:rowOff>
    </xdr:to>
    <xdr:sp macro="" textlink="">
      <xdr:nvSpPr>
        <xdr:cNvPr id="257085" name="Text Box 61" hidden="1">
          <a:extLst>
            <a:ext uri="{FF2B5EF4-FFF2-40B4-BE49-F238E27FC236}">
              <a16:creationId xmlns:a16="http://schemas.microsoft.com/office/drawing/2014/main" id="{EA0096F3-83F9-454E-AB5A-9E2466E3F2A5}"/>
            </a:ext>
          </a:extLst>
        </xdr:cNvPr>
        <xdr:cNvSpPr txBox="1">
          <a:spLocks noChangeArrowheads="1"/>
        </xdr:cNvSpPr>
      </xdr:nvSpPr>
      <xdr:spPr bwMode="auto">
        <a:xfrm>
          <a:off x="11315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084" name="Text Box 60" hidden="1">
          <a:extLst>
            <a:ext uri="{FF2B5EF4-FFF2-40B4-BE49-F238E27FC236}">
              <a16:creationId xmlns:a16="http://schemas.microsoft.com/office/drawing/2014/main" id="{06F485A7-E077-446F-9B22-A3CFDF977281}"/>
            </a:ext>
          </a:extLst>
        </xdr:cNvPr>
        <xdr:cNvSpPr txBox="1">
          <a:spLocks noChangeArrowheads="1"/>
        </xdr:cNvSpPr>
      </xdr:nvSpPr>
      <xdr:spPr bwMode="auto">
        <a:xfrm>
          <a:off x="3390900" y="6762750"/>
          <a:ext cx="16573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083" name="Text Box 59" hidden="1">
          <a:extLst>
            <a:ext uri="{FF2B5EF4-FFF2-40B4-BE49-F238E27FC236}">
              <a16:creationId xmlns:a16="http://schemas.microsoft.com/office/drawing/2014/main" id="{95EF0680-2EA0-41C5-9026-8AC7BE90855D}"/>
            </a:ext>
          </a:extLst>
        </xdr:cNvPr>
        <xdr:cNvSpPr txBox="1">
          <a:spLocks noChangeArrowheads="1"/>
        </xdr:cNvSpPr>
      </xdr:nvSpPr>
      <xdr:spPr bwMode="auto">
        <a:xfrm>
          <a:off x="165354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082" name="Text Box 58" hidden="1">
          <a:extLst>
            <a:ext uri="{FF2B5EF4-FFF2-40B4-BE49-F238E27FC236}">
              <a16:creationId xmlns:a16="http://schemas.microsoft.com/office/drawing/2014/main" id="{0FFD1E25-EB11-46D4-A7C1-DE5B1A9B890E}"/>
            </a:ext>
          </a:extLst>
        </xdr:cNvPr>
        <xdr:cNvSpPr txBox="1">
          <a:spLocks noChangeArrowheads="1"/>
        </xdr:cNvSpPr>
      </xdr:nvSpPr>
      <xdr:spPr bwMode="auto">
        <a:xfrm>
          <a:off x="165354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11615</xdr:rowOff>
    </xdr:to>
    <xdr:sp macro="" textlink="">
      <xdr:nvSpPr>
        <xdr:cNvPr id="257081" name="Text Box 57" hidden="1">
          <a:extLst>
            <a:ext uri="{FF2B5EF4-FFF2-40B4-BE49-F238E27FC236}">
              <a16:creationId xmlns:a16="http://schemas.microsoft.com/office/drawing/2014/main" id="{B5AD0D2C-9C39-4605-AB4E-1D490CD13191}"/>
            </a:ext>
          </a:extLst>
        </xdr:cNvPr>
        <xdr:cNvSpPr txBox="1">
          <a:spLocks noChangeArrowheads="1"/>
        </xdr:cNvSpPr>
      </xdr:nvSpPr>
      <xdr:spPr bwMode="auto">
        <a:xfrm>
          <a:off x="18059400" y="17354550"/>
          <a:ext cx="133350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117858</xdr:rowOff>
    </xdr:from>
    <xdr:to>
      <xdr:col>8</xdr:col>
      <xdr:colOff>249876</xdr:colOff>
      <xdr:row>74</xdr:row>
      <xdr:rowOff>117858</xdr:rowOff>
    </xdr:to>
    <xdr:sp macro="" textlink="">
      <xdr:nvSpPr>
        <xdr:cNvPr id="257092" name="Text Box 68" hidden="1">
          <a:extLst>
            <a:ext uri="{FF2B5EF4-FFF2-40B4-BE49-F238E27FC236}">
              <a16:creationId xmlns:a16="http://schemas.microsoft.com/office/drawing/2014/main" id="{AF8B870A-8AA5-47F2-9ADB-C68DBC96ECC7}"/>
            </a:ext>
          </a:extLst>
        </xdr:cNvPr>
        <xdr:cNvSpPr txBox="1">
          <a:spLocks noChangeArrowheads="1"/>
        </xdr:cNvSpPr>
      </xdr:nvSpPr>
      <xdr:spPr bwMode="auto">
        <a:xfrm>
          <a:off x="909066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117858</xdr:rowOff>
    </xdr:from>
    <xdr:to>
      <xdr:col>11</xdr:col>
      <xdr:colOff>210292</xdr:colOff>
      <xdr:row>74</xdr:row>
      <xdr:rowOff>117858</xdr:rowOff>
    </xdr:to>
    <xdr:sp macro="" textlink="">
      <xdr:nvSpPr>
        <xdr:cNvPr id="257091" name="Text Box 67" hidden="1">
          <a:extLst>
            <a:ext uri="{FF2B5EF4-FFF2-40B4-BE49-F238E27FC236}">
              <a16:creationId xmlns:a16="http://schemas.microsoft.com/office/drawing/2014/main" id="{CAD70D59-C0F2-459C-93BB-CC430A15D291}"/>
            </a:ext>
          </a:extLst>
        </xdr:cNvPr>
        <xdr:cNvSpPr txBox="1">
          <a:spLocks noChangeArrowheads="1"/>
        </xdr:cNvSpPr>
      </xdr:nvSpPr>
      <xdr:spPr bwMode="auto">
        <a:xfrm>
          <a:off x="1142238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090" name="Text Box 66" hidden="1">
          <a:extLst>
            <a:ext uri="{FF2B5EF4-FFF2-40B4-BE49-F238E27FC236}">
              <a16:creationId xmlns:a16="http://schemas.microsoft.com/office/drawing/2014/main" id="{365F9AC4-C7D6-4296-BFA9-3FF38B77F03B}"/>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089" name="Text Box 65" hidden="1">
          <a:extLst>
            <a:ext uri="{FF2B5EF4-FFF2-40B4-BE49-F238E27FC236}">
              <a16:creationId xmlns:a16="http://schemas.microsoft.com/office/drawing/2014/main" id="{F149A5D8-8A35-438C-A9BD-8D361CA32E8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088" name="Text Box 64" hidden="1">
          <a:extLst>
            <a:ext uri="{FF2B5EF4-FFF2-40B4-BE49-F238E27FC236}">
              <a16:creationId xmlns:a16="http://schemas.microsoft.com/office/drawing/2014/main" id="{53F8BD20-C5ED-456F-8823-676AD38E91D3}"/>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11615</xdr:rowOff>
    </xdr:to>
    <xdr:sp macro="" textlink="">
      <xdr:nvSpPr>
        <xdr:cNvPr id="257087" name="Text Box 63" hidden="1">
          <a:extLst>
            <a:ext uri="{FF2B5EF4-FFF2-40B4-BE49-F238E27FC236}">
              <a16:creationId xmlns:a16="http://schemas.microsoft.com/office/drawing/2014/main" id="{BA6D4909-C54B-42C1-B42B-7664F989C2B6}"/>
            </a:ext>
          </a:extLst>
        </xdr:cNvPr>
        <xdr:cNvSpPr txBox="1">
          <a:spLocks noChangeArrowheads="1"/>
        </xdr:cNvSpPr>
      </xdr:nvSpPr>
      <xdr:spPr bwMode="auto">
        <a:xfrm>
          <a:off x="18440400" y="17251680"/>
          <a:ext cx="136398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10" name="Text Box 86" hidden="1">
          <a:extLst>
            <a:ext uri="{FF2B5EF4-FFF2-40B4-BE49-F238E27FC236}">
              <a16:creationId xmlns:a16="http://schemas.microsoft.com/office/drawing/2014/main" id="{F482FAD2-97BC-4A89-ACD4-4D610E4E44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09" name="Text Box 85" hidden="1">
          <a:extLst>
            <a:ext uri="{FF2B5EF4-FFF2-40B4-BE49-F238E27FC236}">
              <a16:creationId xmlns:a16="http://schemas.microsoft.com/office/drawing/2014/main" id="{9EA39ABC-A427-4877-81B2-FF7D7C4EF5CB}"/>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08" name="Text Box 84" hidden="1">
          <a:extLst>
            <a:ext uri="{FF2B5EF4-FFF2-40B4-BE49-F238E27FC236}">
              <a16:creationId xmlns:a16="http://schemas.microsoft.com/office/drawing/2014/main" id="{109238EC-05D4-4A27-82FE-833C27DE87E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07" name="Text Box 83" hidden="1">
          <a:extLst>
            <a:ext uri="{FF2B5EF4-FFF2-40B4-BE49-F238E27FC236}">
              <a16:creationId xmlns:a16="http://schemas.microsoft.com/office/drawing/2014/main" id="{E56545D4-9508-42FC-9837-B15A14567B7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06" name="Text Box 82" hidden="1">
          <a:extLst>
            <a:ext uri="{FF2B5EF4-FFF2-40B4-BE49-F238E27FC236}">
              <a16:creationId xmlns:a16="http://schemas.microsoft.com/office/drawing/2014/main" id="{2939EA37-DDF8-41E9-AE9B-FC712530927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118435</xdr:rowOff>
    </xdr:to>
    <xdr:sp macro="" textlink="">
      <xdr:nvSpPr>
        <xdr:cNvPr id="257105" name="Text Box 81" hidden="1">
          <a:extLst>
            <a:ext uri="{FF2B5EF4-FFF2-40B4-BE49-F238E27FC236}">
              <a16:creationId xmlns:a16="http://schemas.microsoft.com/office/drawing/2014/main" id="{5D64F758-EB2C-4FD7-B976-A2D58C802521}"/>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04" name="Text Box 80" hidden="1">
          <a:extLst>
            <a:ext uri="{FF2B5EF4-FFF2-40B4-BE49-F238E27FC236}">
              <a16:creationId xmlns:a16="http://schemas.microsoft.com/office/drawing/2014/main" id="{2DF52582-9440-46BE-B838-8BBC350C191D}"/>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03" name="Text Box 79" hidden="1">
          <a:extLst>
            <a:ext uri="{FF2B5EF4-FFF2-40B4-BE49-F238E27FC236}">
              <a16:creationId xmlns:a16="http://schemas.microsoft.com/office/drawing/2014/main" id="{957B8A20-2459-4434-836D-28B0501B847C}"/>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02" name="Text Box 78" hidden="1">
          <a:extLst>
            <a:ext uri="{FF2B5EF4-FFF2-40B4-BE49-F238E27FC236}">
              <a16:creationId xmlns:a16="http://schemas.microsoft.com/office/drawing/2014/main" id="{31DEA9C7-460E-407B-BA7B-8BDB8BB020D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01" name="Text Box 77" hidden="1">
          <a:extLst>
            <a:ext uri="{FF2B5EF4-FFF2-40B4-BE49-F238E27FC236}">
              <a16:creationId xmlns:a16="http://schemas.microsoft.com/office/drawing/2014/main" id="{8E7E3F0E-98EB-48CF-BC46-AFC3FE4AEE3F}"/>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00" name="Text Box 76" hidden="1">
          <a:extLst>
            <a:ext uri="{FF2B5EF4-FFF2-40B4-BE49-F238E27FC236}">
              <a16:creationId xmlns:a16="http://schemas.microsoft.com/office/drawing/2014/main" id="{D51E2A5C-1A56-415F-90DF-59C1F57DDC98}"/>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118435</xdr:rowOff>
    </xdr:to>
    <xdr:sp macro="" textlink="">
      <xdr:nvSpPr>
        <xdr:cNvPr id="257099" name="Text Box 75" hidden="1">
          <a:extLst>
            <a:ext uri="{FF2B5EF4-FFF2-40B4-BE49-F238E27FC236}">
              <a16:creationId xmlns:a16="http://schemas.microsoft.com/office/drawing/2014/main" id="{3476C49D-937B-4930-A583-6E14B6A0BE89}"/>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098" name="Text Box 74" hidden="1">
          <a:extLst>
            <a:ext uri="{FF2B5EF4-FFF2-40B4-BE49-F238E27FC236}">
              <a16:creationId xmlns:a16="http://schemas.microsoft.com/office/drawing/2014/main" id="{44F5701B-F7D7-443F-BD3B-17FDE925E0FE}"/>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097" name="Text Box 73" hidden="1">
          <a:extLst>
            <a:ext uri="{FF2B5EF4-FFF2-40B4-BE49-F238E27FC236}">
              <a16:creationId xmlns:a16="http://schemas.microsoft.com/office/drawing/2014/main" id="{519DEEC6-D893-497D-9BFC-CD5EBFC51E0F}"/>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096" name="Text Box 72" hidden="1">
          <a:extLst>
            <a:ext uri="{FF2B5EF4-FFF2-40B4-BE49-F238E27FC236}">
              <a16:creationId xmlns:a16="http://schemas.microsoft.com/office/drawing/2014/main" id="{42619555-8572-4D16-A8F6-BF6CED6D58F7}"/>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095" name="Text Box 71" hidden="1">
          <a:extLst>
            <a:ext uri="{FF2B5EF4-FFF2-40B4-BE49-F238E27FC236}">
              <a16:creationId xmlns:a16="http://schemas.microsoft.com/office/drawing/2014/main" id="{B33E632E-AD20-43BB-AE45-0A8143ABBC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094" name="Text Box 70" hidden="1">
          <a:extLst>
            <a:ext uri="{FF2B5EF4-FFF2-40B4-BE49-F238E27FC236}">
              <a16:creationId xmlns:a16="http://schemas.microsoft.com/office/drawing/2014/main" id="{59779769-C767-4E31-842E-EE247BD5731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118435</xdr:rowOff>
    </xdr:to>
    <xdr:sp macro="" textlink="">
      <xdr:nvSpPr>
        <xdr:cNvPr id="257093" name="Text Box 69" hidden="1">
          <a:extLst>
            <a:ext uri="{FF2B5EF4-FFF2-40B4-BE49-F238E27FC236}">
              <a16:creationId xmlns:a16="http://schemas.microsoft.com/office/drawing/2014/main" id="{E05F20D6-B533-43B3-8581-8EDB18D75F26}"/>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28" name="Text Box 104" hidden="1">
          <a:extLst>
            <a:ext uri="{FF2B5EF4-FFF2-40B4-BE49-F238E27FC236}">
              <a16:creationId xmlns:a16="http://schemas.microsoft.com/office/drawing/2014/main" id="{334FCD33-6D65-46E9-91DE-09893B56DB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27" name="Text Box 103" hidden="1">
          <a:extLst>
            <a:ext uri="{FF2B5EF4-FFF2-40B4-BE49-F238E27FC236}">
              <a16:creationId xmlns:a16="http://schemas.microsoft.com/office/drawing/2014/main" id="{4AC97C91-9A3C-447B-949D-969204591FBD}"/>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26" name="Text Box 102" hidden="1">
          <a:extLst>
            <a:ext uri="{FF2B5EF4-FFF2-40B4-BE49-F238E27FC236}">
              <a16:creationId xmlns:a16="http://schemas.microsoft.com/office/drawing/2014/main" id="{F5201CC2-7D85-4D14-A942-DDCDCFC6FD46}"/>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25" name="Text Box 101" hidden="1">
          <a:extLst>
            <a:ext uri="{FF2B5EF4-FFF2-40B4-BE49-F238E27FC236}">
              <a16:creationId xmlns:a16="http://schemas.microsoft.com/office/drawing/2014/main" id="{60EE70AD-91D2-45B6-AC74-6172A44D4D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24" name="Text Box 100" hidden="1">
          <a:extLst>
            <a:ext uri="{FF2B5EF4-FFF2-40B4-BE49-F238E27FC236}">
              <a16:creationId xmlns:a16="http://schemas.microsoft.com/office/drawing/2014/main" id="{1EABBFA6-9195-489D-B3DB-C2131C2C6FBD}"/>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23" name="Text Box 99" hidden="1">
          <a:extLst>
            <a:ext uri="{FF2B5EF4-FFF2-40B4-BE49-F238E27FC236}">
              <a16:creationId xmlns:a16="http://schemas.microsoft.com/office/drawing/2014/main" id="{63FF430A-11F1-4A07-9543-ABA89E10414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22" name="Text Box 98" hidden="1">
          <a:extLst>
            <a:ext uri="{FF2B5EF4-FFF2-40B4-BE49-F238E27FC236}">
              <a16:creationId xmlns:a16="http://schemas.microsoft.com/office/drawing/2014/main" id="{2100F805-6056-45AB-AE32-AC5DE514707A}"/>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21" name="Text Box 97" hidden="1">
          <a:extLst>
            <a:ext uri="{FF2B5EF4-FFF2-40B4-BE49-F238E27FC236}">
              <a16:creationId xmlns:a16="http://schemas.microsoft.com/office/drawing/2014/main" id="{9D2292D9-046E-49E1-89A0-7DB5ABCFDCC7}"/>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20" name="Text Box 96" hidden="1">
          <a:extLst>
            <a:ext uri="{FF2B5EF4-FFF2-40B4-BE49-F238E27FC236}">
              <a16:creationId xmlns:a16="http://schemas.microsoft.com/office/drawing/2014/main" id="{108BCA3D-FDC5-4390-92C7-48129A10F4D8}"/>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19" name="Text Box 95" hidden="1">
          <a:extLst>
            <a:ext uri="{FF2B5EF4-FFF2-40B4-BE49-F238E27FC236}">
              <a16:creationId xmlns:a16="http://schemas.microsoft.com/office/drawing/2014/main" id="{528A232C-593F-44A6-8988-DF78FA4AAA7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18" name="Text Box 94" hidden="1">
          <a:extLst>
            <a:ext uri="{FF2B5EF4-FFF2-40B4-BE49-F238E27FC236}">
              <a16:creationId xmlns:a16="http://schemas.microsoft.com/office/drawing/2014/main" id="{BD3F191C-A311-4AAA-8E3E-32841BAFF482}"/>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17" name="Text Box 93" hidden="1">
          <a:extLst>
            <a:ext uri="{FF2B5EF4-FFF2-40B4-BE49-F238E27FC236}">
              <a16:creationId xmlns:a16="http://schemas.microsoft.com/office/drawing/2014/main" id="{E12F4184-2DF7-41A0-9633-D09940E62FCD}"/>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16" name="Text Box 92" hidden="1">
          <a:extLst>
            <a:ext uri="{FF2B5EF4-FFF2-40B4-BE49-F238E27FC236}">
              <a16:creationId xmlns:a16="http://schemas.microsoft.com/office/drawing/2014/main" id="{D5B74A37-DFF6-4EAF-8224-EE85FCD6A09B}"/>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15" name="Text Box 91" hidden="1">
          <a:extLst>
            <a:ext uri="{FF2B5EF4-FFF2-40B4-BE49-F238E27FC236}">
              <a16:creationId xmlns:a16="http://schemas.microsoft.com/office/drawing/2014/main" id="{79BAE7B9-FAFA-4E00-AEA7-6FE5F73899CA}"/>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14" name="Text Box 90" hidden="1">
          <a:extLst>
            <a:ext uri="{FF2B5EF4-FFF2-40B4-BE49-F238E27FC236}">
              <a16:creationId xmlns:a16="http://schemas.microsoft.com/office/drawing/2014/main" id="{85B488F7-464B-4D1C-9190-01D17BD5710E}"/>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13" name="Text Box 89" hidden="1">
          <a:extLst>
            <a:ext uri="{FF2B5EF4-FFF2-40B4-BE49-F238E27FC236}">
              <a16:creationId xmlns:a16="http://schemas.microsoft.com/office/drawing/2014/main" id="{A8961393-CD77-4749-A61C-7E68AD4C521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12" name="Text Box 88" hidden="1">
          <a:extLst>
            <a:ext uri="{FF2B5EF4-FFF2-40B4-BE49-F238E27FC236}">
              <a16:creationId xmlns:a16="http://schemas.microsoft.com/office/drawing/2014/main" id="{85EF94C3-EF5F-4DCB-BCBC-0335AC8B43C1}"/>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11" name="Text Box 87" hidden="1">
          <a:extLst>
            <a:ext uri="{FF2B5EF4-FFF2-40B4-BE49-F238E27FC236}">
              <a16:creationId xmlns:a16="http://schemas.microsoft.com/office/drawing/2014/main" id="{0869021C-A8F7-48BF-B815-C1A8056C0E7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34" name="Text Box 110" hidden="1">
          <a:extLst>
            <a:ext uri="{FF2B5EF4-FFF2-40B4-BE49-F238E27FC236}">
              <a16:creationId xmlns:a16="http://schemas.microsoft.com/office/drawing/2014/main" id="{1590A68D-3D25-48AC-9241-4AE18D64491C}"/>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33" name="Text Box 109" hidden="1">
          <a:extLst>
            <a:ext uri="{FF2B5EF4-FFF2-40B4-BE49-F238E27FC236}">
              <a16:creationId xmlns:a16="http://schemas.microsoft.com/office/drawing/2014/main" id="{288ED32E-479A-4BEB-A9F6-EDBD5EF862E9}"/>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32" name="Text Box 108" hidden="1">
          <a:extLst>
            <a:ext uri="{FF2B5EF4-FFF2-40B4-BE49-F238E27FC236}">
              <a16:creationId xmlns:a16="http://schemas.microsoft.com/office/drawing/2014/main" id="{ED5389FA-9A17-4BBC-A337-FB1A54EE74D3}"/>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31" name="Text Box 107" hidden="1">
          <a:extLst>
            <a:ext uri="{FF2B5EF4-FFF2-40B4-BE49-F238E27FC236}">
              <a16:creationId xmlns:a16="http://schemas.microsoft.com/office/drawing/2014/main" id="{7E26A996-70F8-4C2B-8A71-72F07DBBB2A0}"/>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30" name="Text Box 106" hidden="1">
          <a:extLst>
            <a:ext uri="{FF2B5EF4-FFF2-40B4-BE49-F238E27FC236}">
              <a16:creationId xmlns:a16="http://schemas.microsoft.com/office/drawing/2014/main" id="{DD0A966B-5DF1-4778-8D1D-4AE67CDA7AD3}"/>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29" name="Text Box 105" hidden="1">
          <a:extLst>
            <a:ext uri="{FF2B5EF4-FFF2-40B4-BE49-F238E27FC236}">
              <a16:creationId xmlns:a16="http://schemas.microsoft.com/office/drawing/2014/main" id="{09BD3517-DCE0-4221-9E5A-16AB0C58D361}"/>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40" name="Text Box 116" hidden="1">
          <a:extLst>
            <a:ext uri="{FF2B5EF4-FFF2-40B4-BE49-F238E27FC236}">
              <a16:creationId xmlns:a16="http://schemas.microsoft.com/office/drawing/2014/main" id="{919A0E0D-226C-4AEF-9FF2-4AD99043150E}"/>
            </a:ext>
          </a:extLst>
        </xdr:cNvPr>
        <xdr:cNvSpPr txBox="1">
          <a:spLocks noChangeArrowheads="1"/>
        </xdr:cNvSpPr>
      </xdr:nvSpPr>
      <xdr:spPr bwMode="auto">
        <a:xfrm>
          <a:off x="909828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39" name="Text Box 115" hidden="1">
          <a:extLst>
            <a:ext uri="{FF2B5EF4-FFF2-40B4-BE49-F238E27FC236}">
              <a16:creationId xmlns:a16="http://schemas.microsoft.com/office/drawing/2014/main" id="{C9AA62C4-5160-484C-AD45-C67D1FE1D144}"/>
            </a:ext>
          </a:extLst>
        </xdr:cNvPr>
        <xdr:cNvSpPr txBox="1">
          <a:spLocks noChangeArrowheads="1"/>
        </xdr:cNvSpPr>
      </xdr:nvSpPr>
      <xdr:spPr bwMode="auto">
        <a:xfrm>
          <a:off x="1143000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38" name="Text Box 114" hidden="1">
          <a:extLst>
            <a:ext uri="{FF2B5EF4-FFF2-40B4-BE49-F238E27FC236}">
              <a16:creationId xmlns:a16="http://schemas.microsoft.com/office/drawing/2014/main" id="{53C7E674-F75D-46DC-9310-AA54FDEBC8CD}"/>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37" name="Text Box 113" hidden="1">
          <a:extLst>
            <a:ext uri="{FF2B5EF4-FFF2-40B4-BE49-F238E27FC236}">
              <a16:creationId xmlns:a16="http://schemas.microsoft.com/office/drawing/2014/main" id="{8FAC019D-AD94-46E1-9C66-96D2831A2883}"/>
            </a:ext>
          </a:extLst>
        </xdr:cNvPr>
        <xdr:cNvSpPr txBox="1">
          <a:spLocks noChangeArrowheads="1"/>
        </xdr:cNvSpPr>
      </xdr:nvSpPr>
      <xdr:spPr bwMode="auto">
        <a:xfrm>
          <a:off x="1686306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36" name="Text Box 112" hidden="1">
          <a:extLst>
            <a:ext uri="{FF2B5EF4-FFF2-40B4-BE49-F238E27FC236}">
              <a16:creationId xmlns:a16="http://schemas.microsoft.com/office/drawing/2014/main" id="{1F57F116-1C75-449C-8112-F8FC0FC566D9}"/>
            </a:ext>
          </a:extLst>
        </xdr:cNvPr>
        <xdr:cNvSpPr txBox="1">
          <a:spLocks noChangeArrowheads="1"/>
        </xdr:cNvSpPr>
      </xdr:nvSpPr>
      <xdr:spPr bwMode="auto">
        <a:xfrm>
          <a:off x="1686306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35" name="Text Box 111" hidden="1">
          <a:extLst>
            <a:ext uri="{FF2B5EF4-FFF2-40B4-BE49-F238E27FC236}">
              <a16:creationId xmlns:a16="http://schemas.microsoft.com/office/drawing/2014/main" id="{85284D39-E70A-4B91-AC6E-DAE65E189BFE}"/>
            </a:ext>
          </a:extLst>
        </xdr:cNvPr>
        <xdr:cNvSpPr txBox="1">
          <a:spLocks noChangeArrowheads="1"/>
        </xdr:cNvSpPr>
      </xdr:nvSpPr>
      <xdr:spPr bwMode="auto">
        <a:xfrm>
          <a:off x="1844802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46" name="Text Box 122" hidden="1">
          <a:extLst>
            <a:ext uri="{FF2B5EF4-FFF2-40B4-BE49-F238E27FC236}">
              <a16:creationId xmlns:a16="http://schemas.microsoft.com/office/drawing/2014/main" id="{C1618FBE-C6A8-4D1E-BFC9-ACBD6D8A587A}"/>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45" name="Text Box 121" hidden="1">
          <a:extLst>
            <a:ext uri="{FF2B5EF4-FFF2-40B4-BE49-F238E27FC236}">
              <a16:creationId xmlns:a16="http://schemas.microsoft.com/office/drawing/2014/main" id="{F1746707-BB96-434A-8561-49CEAFD7407F}"/>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44" name="Text Box 120" hidden="1">
          <a:extLst>
            <a:ext uri="{FF2B5EF4-FFF2-40B4-BE49-F238E27FC236}">
              <a16:creationId xmlns:a16="http://schemas.microsoft.com/office/drawing/2014/main" id="{AD194C3B-789E-4AB3-8823-CF9AB092F75F}"/>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43" name="Text Box 119" hidden="1">
          <a:extLst>
            <a:ext uri="{FF2B5EF4-FFF2-40B4-BE49-F238E27FC236}">
              <a16:creationId xmlns:a16="http://schemas.microsoft.com/office/drawing/2014/main" id="{EB0C2A84-0B13-4D6A-BE74-3ECAB1511B3A}"/>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42" name="Text Box 118" hidden="1">
          <a:extLst>
            <a:ext uri="{FF2B5EF4-FFF2-40B4-BE49-F238E27FC236}">
              <a16:creationId xmlns:a16="http://schemas.microsoft.com/office/drawing/2014/main" id="{2AC4D304-21FB-47D9-B0B4-631A72D35397}"/>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41" name="Text Box 117" hidden="1">
          <a:extLst>
            <a:ext uri="{FF2B5EF4-FFF2-40B4-BE49-F238E27FC236}">
              <a16:creationId xmlns:a16="http://schemas.microsoft.com/office/drawing/2014/main" id="{F0FAF444-E61D-47B9-8618-28C06B3274D7}"/>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52" name="Text Box 128" hidden="1">
          <a:extLst>
            <a:ext uri="{FF2B5EF4-FFF2-40B4-BE49-F238E27FC236}">
              <a16:creationId xmlns:a16="http://schemas.microsoft.com/office/drawing/2014/main" id="{FCB1C9CB-849E-40E6-9BCA-2334A3246467}"/>
            </a:ext>
          </a:extLst>
        </xdr:cNvPr>
        <xdr:cNvSpPr txBox="1">
          <a:spLocks noChangeArrowheads="1"/>
        </xdr:cNvSpPr>
      </xdr:nvSpPr>
      <xdr:spPr bwMode="auto">
        <a:xfrm>
          <a:off x="9017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51" name="Text Box 127" hidden="1">
          <a:extLst>
            <a:ext uri="{FF2B5EF4-FFF2-40B4-BE49-F238E27FC236}">
              <a16:creationId xmlns:a16="http://schemas.microsoft.com/office/drawing/2014/main" id="{80C1B981-29FF-41AE-96CD-8637295303EF}"/>
            </a:ext>
          </a:extLst>
        </xdr:cNvPr>
        <xdr:cNvSpPr txBox="1">
          <a:spLocks noChangeArrowheads="1"/>
        </xdr:cNvSpPr>
      </xdr:nvSpPr>
      <xdr:spPr bwMode="auto">
        <a:xfrm>
          <a:off x="11303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50" name="Text Box 126" hidden="1">
          <a:extLst>
            <a:ext uri="{FF2B5EF4-FFF2-40B4-BE49-F238E27FC236}">
              <a16:creationId xmlns:a16="http://schemas.microsoft.com/office/drawing/2014/main" id="{20FD817E-5DAB-42DD-8003-5B5A76F040E7}"/>
            </a:ext>
          </a:extLst>
        </xdr:cNvPr>
        <xdr:cNvSpPr txBox="1">
          <a:spLocks noChangeArrowheads="1"/>
        </xdr:cNvSpPr>
      </xdr:nvSpPr>
      <xdr:spPr bwMode="auto">
        <a:xfrm>
          <a:off x="3390900" y="6762750"/>
          <a:ext cx="16446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49" name="Text Box 125" hidden="1">
          <a:extLst>
            <a:ext uri="{FF2B5EF4-FFF2-40B4-BE49-F238E27FC236}">
              <a16:creationId xmlns:a16="http://schemas.microsoft.com/office/drawing/2014/main" id="{0A8948E8-A868-46D3-A4CA-2CCF6AD02A44}"/>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48" name="Text Box 124" hidden="1">
          <a:extLst>
            <a:ext uri="{FF2B5EF4-FFF2-40B4-BE49-F238E27FC236}">
              <a16:creationId xmlns:a16="http://schemas.microsoft.com/office/drawing/2014/main" id="{F5FB7346-48E1-47ED-8EFA-C3066256995A}"/>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47" name="Text Box 123" hidden="1">
          <a:extLst>
            <a:ext uri="{FF2B5EF4-FFF2-40B4-BE49-F238E27FC236}">
              <a16:creationId xmlns:a16="http://schemas.microsoft.com/office/drawing/2014/main" id="{A66D16E0-86E6-4BBF-AD06-16C592C73970}"/>
            </a:ext>
          </a:extLst>
        </xdr:cNvPr>
        <xdr:cNvSpPr txBox="1">
          <a:spLocks noChangeArrowheads="1"/>
        </xdr:cNvSpPr>
      </xdr:nvSpPr>
      <xdr:spPr bwMode="auto">
        <a:xfrm>
          <a:off x="18046700" y="175387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58" name="Text Box 134" hidden="1">
          <a:extLst>
            <a:ext uri="{FF2B5EF4-FFF2-40B4-BE49-F238E27FC236}">
              <a16:creationId xmlns:a16="http://schemas.microsoft.com/office/drawing/2014/main" id="{D93A728E-15B4-49A5-BBD0-9D2B80150A75}"/>
            </a:ext>
          </a:extLst>
        </xdr:cNvPr>
        <xdr:cNvSpPr txBox="1">
          <a:spLocks noChangeArrowheads="1"/>
        </xdr:cNvSpPr>
      </xdr:nvSpPr>
      <xdr:spPr bwMode="auto">
        <a:xfrm>
          <a:off x="878205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57" name="Text Box 133" hidden="1">
          <a:extLst>
            <a:ext uri="{FF2B5EF4-FFF2-40B4-BE49-F238E27FC236}">
              <a16:creationId xmlns:a16="http://schemas.microsoft.com/office/drawing/2014/main" id="{7830E37A-E9D2-4515-B981-461521EF186F}"/>
            </a:ext>
          </a:extLst>
        </xdr:cNvPr>
        <xdr:cNvSpPr txBox="1">
          <a:spLocks noChangeArrowheads="1"/>
        </xdr:cNvSpPr>
      </xdr:nvSpPr>
      <xdr:spPr bwMode="auto">
        <a:xfrm>
          <a:off x="1102995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56" name="Text Box 132" hidden="1">
          <a:extLst>
            <a:ext uri="{FF2B5EF4-FFF2-40B4-BE49-F238E27FC236}">
              <a16:creationId xmlns:a16="http://schemas.microsoft.com/office/drawing/2014/main" id="{35EA564A-B49D-4B02-BEFB-DB8CBC5DC067}"/>
            </a:ext>
          </a:extLst>
        </xdr:cNvPr>
        <xdr:cNvSpPr txBox="1">
          <a:spLocks noChangeArrowheads="1"/>
        </xdr:cNvSpPr>
      </xdr:nvSpPr>
      <xdr:spPr bwMode="auto">
        <a:xfrm>
          <a:off x="3390900" y="6734175"/>
          <a:ext cx="14859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55" name="Text Box 131" hidden="1">
          <a:extLst>
            <a:ext uri="{FF2B5EF4-FFF2-40B4-BE49-F238E27FC236}">
              <a16:creationId xmlns:a16="http://schemas.microsoft.com/office/drawing/2014/main" id="{8EDE1E9D-C605-4B4F-AE27-ECB443C82C51}"/>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54" name="Text Box 130" hidden="1">
          <a:extLst>
            <a:ext uri="{FF2B5EF4-FFF2-40B4-BE49-F238E27FC236}">
              <a16:creationId xmlns:a16="http://schemas.microsoft.com/office/drawing/2014/main" id="{93141F4C-C21A-4F14-99FC-411FF6C1E873}"/>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53" name="Text Box 129" hidden="1">
          <a:extLst>
            <a:ext uri="{FF2B5EF4-FFF2-40B4-BE49-F238E27FC236}">
              <a16:creationId xmlns:a16="http://schemas.microsoft.com/office/drawing/2014/main" id="{43895AEC-41F4-45CF-A994-06112E5A1478}"/>
            </a:ext>
          </a:extLst>
        </xdr:cNvPr>
        <xdr:cNvSpPr txBox="1">
          <a:spLocks noChangeArrowheads="1"/>
        </xdr:cNvSpPr>
      </xdr:nvSpPr>
      <xdr:spPr bwMode="auto">
        <a:xfrm>
          <a:off x="1777365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64</xdr:row>
      <xdr:rowOff>36291</xdr:rowOff>
    </xdr:from>
    <xdr:to>
      <xdr:col>8</xdr:col>
      <xdr:colOff>249876</xdr:colOff>
      <xdr:row>64</xdr:row>
      <xdr:rowOff>36291</xdr:rowOff>
    </xdr:to>
    <xdr:sp macro="" textlink="">
      <xdr:nvSpPr>
        <xdr:cNvPr id="257164" name="Text Box 140" hidden="1">
          <a:extLst>
            <a:ext uri="{FF2B5EF4-FFF2-40B4-BE49-F238E27FC236}">
              <a16:creationId xmlns:a16="http://schemas.microsoft.com/office/drawing/2014/main" id="{747C0FB6-050D-4FB5-8EF1-9B1F65B39EE4}"/>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57163" name="Text Box 139" hidden="1">
          <a:extLst>
            <a:ext uri="{FF2B5EF4-FFF2-40B4-BE49-F238E27FC236}">
              <a16:creationId xmlns:a16="http://schemas.microsoft.com/office/drawing/2014/main" id="{AA4DDC66-231B-43CE-9FF0-C46963B7754A}"/>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61" name="Text Box 137" hidden="1">
          <a:extLst>
            <a:ext uri="{FF2B5EF4-FFF2-40B4-BE49-F238E27FC236}">
              <a16:creationId xmlns:a16="http://schemas.microsoft.com/office/drawing/2014/main" id="{6822B5F3-6DDB-4E98-917C-B9017A689178}"/>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60" name="Text Box 136" hidden="1">
          <a:extLst>
            <a:ext uri="{FF2B5EF4-FFF2-40B4-BE49-F238E27FC236}">
              <a16:creationId xmlns:a16="http://schemas.microsoft.com/office/drawing/2014/main" id="{4B921095-8199-4311-9F92-48CD818D993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57159" name="Text Box 135" hidden="1">
          <a:extLst>
            <a:ext uri="{FF2B5EF4-FFF2-40B4-BE49-F238E27FC236}">
              <a16:creationId xmlns:a16="http://schemas.microsoft.com/office/drawing/2014/main" id="{ADC60E7E-77A4-4844-8D5C-1C2A44627E76}"/>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140260</xdr:rowOff>
    </xdr:to>
    <xdr:sp macro="" textlink="">
      <xdr:nvSpPr>
        <xdr:cNvPr id="257165" name="Text Box 141" hidden="1">
          <a:extLst>
            <a:ext uri="{FF2B5EF4-FFF2-40B4-BE49-F238E27FC236}">
              <a16:creationId xmlns:a16="http://schemas.microsoft.com/office/drawing/2014/main" id="{3FF23CC8-18F0-4C3E-B36E-B4C00B7F8F04}"/>
            </a:ext>
          </a:extLst>
        </xdr:cNvPr>
        <xdr:cNvSpPr txBox="1">
          <a:spLocks noChangeArrowheads="1"/>
        </xdr:cNvSpPr>
      </xdr:nvSpPr>
      <xdr:spPr bwMode="auto">
        <a:xfrm>
          <a:off x="17849850" y="3343275"/>
          <a:ext cx="12954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431613</xdr:rowOff>
    </xdr:from>
    <xdr:to>
      <xdr:col>1</xdr:col>
      <xdr:colOff>4726379</xdr:colOff>
      <xdr:row>32</xdr:row>
      <xdr:rowOff>107390</xdr:rowOff>
    </xdr:to>
    <xdr:sp macro="" textlink="">
      <xdr:nvSpPr>
        <xdr:cNvPr id="257166" name="Text Box 142" hidden="1">
          <a:extLst>
            <a:ext uri="{FF2B5EF4-FFF2-40B4-BE49-F238E27FC236}">
              <a16:creationId xmlns:a16="http://schemas.microsoft.com/office/drawing/2014/main" id="{635273FE-A697-4789-9432-B5E7848AD005}"/>
            </a:ext>
          </a:extLst>
        </xdr:cNvPr>
        <xdr:cNvSpPr txBox="1">
          <a:spLocks noChangeArrowheads="1"/>
        </xdr:cNvSpPr>
      </xdr:nvSpPr>
      <xdr:spPr bwMode="auto">
        <a:xfrm>
          <a:off x="4133850" y="611505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64</xdr:row>
      <xdr:rowOff>36291</xdr:rowOff>
    </xdr:from>
    <xdr:to>
      <xdr:col>8</xdr:col>
      <xdr:colOff>249876</xdr:colOff>
      <xdr:row>64</xdr:row>
      <xdr:rowOff>36291</xdr:rowOff>
    </xdr:to>
    <xdr:sp macro="" textlink="">
      <xdr:nvSpPr>
        <xdr:cNvPr id="299015" name="Text Box 7" hidden="1">
          <a:extLst>
            <a:ext uri="{FF2B5EF4-FFF2-40B4-BE49-F238E27FC236}">
              <a16:creationId xmlns:a16="http://schemas.microsoft.com/office/drawing/2014/main" id="{72E7DA07-1F39-4171-8F05-C1E10C1AA6A8}"/>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14" name="Text Box 6" hidden="1">
          <a:extLst>
            <a:ext uri="{FF2B5EF4-FFF2-40B4-BE49-F238E27FC236}">
              <a16:creationId xmlns:a16="http://schemas.microsoft.com/office/drawing/2014/main" id="{1F74E6F8-1F70-44F1-91C0-F265DA7A7F07}"/>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99013" name="Text Box 5" hidden="1">
          <a:extLst>
            <a:ext uri="{FF2B5EF4-FFF2-40B4-BE49-F238E27FC236}">
              <a16:creationId xmlns:a16="http://schemas.microsoft.com/office/drawing/2014/main" id="{1CFE5B4C-A6A5-4E00-B1F0-582C646E6FDF}"/>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99012" name="Text Box 4" hidden="1">
          <a:extLst>
            <a:ext uri="{FF2B5EF4-FFF2-40B4-BE49-F238E27FC236}">
              <a16:creationId xmlns:a16="http://schemas.microsoft.com/office/drawing/2014/main" id="{00A2BDF7-D3D6-4057-BABB-1979110FE52F}"/>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1" name="Text Box 3" hidden="1">
          <a:extLst>
            <a:ext uri="{FF2B5EF4-FFF2-40B4-BE49-F238E27FC236}">
              <a16:creationId xmlns:a16="http://schemas.microsoft.com/office/drawing/2014/main" id="{97329995-FEB3-4544-8F2B-8C5EE4FBDA2F}"/>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140260</xdr:rowOff>
    </xdr:to>
    <xdr:sp macro="" textlink="">
      <xdr:nvSpPr>
        <xdr:cNvPr id="299010" name="Text Box 2" hidden="1">
          <a:extLst>
            <a:ext uri="{FF2B5EF4-FFF2-40B4-BE49-F238E27FC236}">
              <a16:creationId xmlns:a16="http://schemas.microsoft.com/office/drawing/2014/main" id="{9DB6E285-7B1A-4645-AF3A-C0E2B97E743B}"/>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431613</xdr:rowOff>
    </xdr:from>
    <xdr:to>
      <xdr:col>1</xdr:col>
      <xdr:colOff>4726379</xdr:colOff>
      <xdr:row>32</xdr:row>
      <xdr:rowOff>107390</xdr:rowOff>
    </xdr:to>
    <xdr:sp macro="" textlink="">
      <xdr:nvSpPr>
        <xdr:cNvPr id="299009" name="Text Box 1" hidden="1">
          <a:extLst>
            <a:ext uri="{FF2B5EF4-FFF2-40B4-BE49-F238E27FC236}">
              <a16:creationId xmlns:a16="http://schemas.microsoft.com/office/drawing/2014/main" id="{078C7C1E-D8FE-42E2-99E9-00F7CD98AF67}"/>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64</xdr:row>
      <xdr:rowOff>36291</xdr:rowOff>
    </xdr:from>
    <xdr:to>
      <xdr:col>8</xdr:col>
      <xdr:colOff>249876</xdr:colOff>
      <xdr:row>64</xdr:row>
      <xdr:rowOff>36291</xdr:rowOff>
    </xdr:to>
    <xdr:sp macro="" textlink="">
      <xdr:nvSpPr>
        <xdr:cNvPr id="299022" name="Text Box 14" hidden="1">
          <a:extLst>
            <a:ext uri="{FF2B5EF4-FFF2-40B4-BE49-F238E27FC236}">
              <a16:creationId xmlns:a16="http://schemas.microsoft.com/office/drawing/2014/main" id="{6148C1DE-6A46-4B34-975C-45245F14F1B0}"/>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1" name="Text Box 13" hidden="1">
          <a:extLst>
            <a:ext uri="{FF2B5EF4-FFF2-40B4-BE49-F238E27FC236}">
              <a16:creationId xmlns:a16="http://schemas.microsoft.com/office/drawing/2014/main" id="{9AF86D6E-E715-4725-8350-E875719592A3}"/>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99020" name="Text Box 12" hidden="1">
          <a:extLst>
            <a:ext uri="{FF2B5EF4-FFF2-40B4-BE49-F238E27FC236}">
              <a16:creationId xmlns:a16="http://schemas.microsoft.com/office/drawing/2014/main" id="{02FE1826-2AE8-4974-AD1C-7C44EF9417B2}"/>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99019" name="Text Box 11" hidden="1">
          <a:extLst>
            <a:ext uri="{FF2B5EF4-FFF2-40B4-BE49-F238E27FC236}">
              <a16:creationId xmlns:a16="http://schemas.microsoft.com/office/drawing/2014/main" id="{52D06EBC-E320-4A52-81DB-BEA32E36D14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8" name="Text Box 10" hidden="1">
          <a:extLst>
            <a:ext uri="{FF2B5EF4-FFF2-40B4-BE49-F238E27FC236}">
              <a16:creationId xmlns:a16="http://schemas.microsoft.com/office/drawing/2014/main" id="{EB10DF0E-6CC2-439A-B40D-C22FEE1005E1}"/>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140260</xdr:rowOff>
    </xdr:to>
    <xdr:sp macro="" textlink="">
      <xdr:nvSpPr>
        <xdr:cNvPr id="299017" name="Text Box 9" hidden="1">
          <a:extLst>
            <a:ext uri="{FF2B5EF4-FFF2-40B4-BE49-F238E27FC236}">
              <a16:creationId xmlns:a16="http://schemas.microsoft.com/office/drawing/2014/main" id="{DF3FCEE2-5D06-44D7-84EB-A2FF4AA31E98}"/>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431613</xdr:rowOff>
    </xdr:from>
    <xdr:to>
      <xdr:col>1</xdr:col>
      <xdr:colOff>4726379</xdr:colOff>
      <xdr:row>32</xdr:row>
      <xdr:rowOff>107390</xdr:rowOff>
    </xdr:to>
    <xdr:sp macro="" textlink="">
      <xdr:nvSpPr>
        <xdr:cNvPr id="299016" name="Text Box 8" hidden="1">
          <a:extLst>
            <a:ext uri="{FF2B5EF4-FFF2-40B4-BE49-F238E27FC236}">
              <a16:creationId xmlns:a16="http://schemas.microsoft.com/office/drawing/2014/main" id="{31E1DEC3-3D5B-4A48-A538-02CD0A217DF0}"/>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64</xdr:row>
      <xdr:rowOff>36291</xdr:rowOff>
    </xdr:from>
    <xdr:to>
      <xdr:col>8</xdr:col>
      <xdr:colOff>249876</xdr:colOff>
      <xdr:row>64</xdr:row>
      <xdr:rowOff>36291</xdr:rowOff>
    </xdr:to>
    <xdr:sp macro="" textlink="">
      <xdr:nvSpPr>
        <xdr:cNvPr id="299029" name="Text Box 21" hidden="1">
          <a:extLst>
            <a:ext uri="{FF2B5EF4-FFF2-40B4-BE49-F238E27FC236}">
              <a16:creationId xmlns:a16="http://schemas.microsoft.com/office/drawing/2014/main" id="{C01C75E8-49E5-49D0-AE54-A995CFAC89F4}"/>
            </a:ext>
          </a:extLst>
        </xdr:cNvPr>
        <xdr:cNvSpPr txBox="1">
          <a:spLocks noChangeArrowheads="1"/>
        </xdr:cNvSpPr>
      </xdr:nvSpPr>
      <xdr:spPr bwMode="auto">
        <a:xfrm>
          <a:off x="9017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8" name="Text Box 20" hidden="1">
          <a:extLst>
            <a:ext uri="{FF2B5EF4-FFF2-40B4-BE49-F238E27FC236}">
              <a16:creationId xmlns:a16="http://schemas.microsoft.com/office/drawing/2014/main" id="{E087E503-842D-4D7D-B75F-FB78B050DD43}"/>
            </a:ext>
          </a:extLst>
        </xdr:cNvPr>
        <xdr:cNvSpPr txBox="1">
          <a:spLocks noChangeArrowheads="1"/>
        </xdr:cNvSpPr>
      </xdr:nvSpPr>
      <xdr:spPr bwMode="auto">
        <a:xfrm>
          <a:off x="11303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99027" name="Text Box 19" hidden="1">
          <a:extLst>
            <a:ext uri="{FF2B5EF4-FFF2-40B4-BE49-F238E27FC236}">
              <a16:creationId xmlns:a16="http://schemas.microsoft.com/office/drawing/2014/main" id="{933DF242-8FD9-41B5-BC6E-1A6A8B35F07F}"/>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99026" name="Text Box 18" hidden="1">
          <a:extLst>
            <a:ext uri="{FF2B5EF4-FFF2-40B4-BE49-F238E27FC236}">
              <a16:creationId xmlns:a16="http://schemas.microsoft.com/office/drawing/2014/main" id="{6A532F64-892B-4773-8924-0DC57EAA40F5}"/>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25" name="Text Box 17" hidden="1">
          <a:extLst>
            <a:ext uri="{FF2B5EF4-FFF2-40B4-BE49-F238E27FC236}">
              <a16:creationId xmlns:a16="http://schemas.microsoft.com/office/drawing/2014/main" id="{C20793F8-B6F5-44F4-BD88-6139B98E7A68}"/>
            </a:ext>
          </a:extLst>
        </xdr:cNvPr>
        <xdr:cNvSpPr txBox="1">
          <a:spLocks noChangeArrowheads="1"/>
        </xdr:cNvSpPr>
      </xdr:nvSpPr>
      <xdr:spPr bwMode="auto">
        <a:xfrm>
          <a:off x="18046700" y="154559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140260</xdr:rowOff>
    </xdr:to>
    <xdr:sp macro="" textlink="">
      <xdr:nvSpPr>
        <xdr:cNvPr id="299024" name="Text Box 16" hidden="1">
          <a:extLst>
            <a:ext uri="{FF2B5EF4-FFF2-40B4-BE49-F238E27FC236}">
              <a16:creationId xmlns:a16="http://schemas.microsoft.com/office/drawing/2014/main" id="{FAF79D2E-A32F-4EE2-A454-9769297A93D8}"/>
            </a:ext>
          </a:extLst>
        </xdr:cNvPr>
        <xdr:cNvSpPr txBox="1">
          <a:spLocks noChangeArrowheads="1"/>
        </xdr:cNvSpPr>
      </xdr:nvSpPr>
      <xdr:spPr bwMode="auto">
        <a:xfrm>
          <a:off x="181229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431613</xdr:rowOff>
    </xdr:from>
    <xdr:to>
      <xdr:col>1</xdr:col>
      <xdr:colOff>4726379</xdr:colOff>
      <xdr:row>32</xdr:row>
      <xdr:rowOff>107390</xdr:rowOff>
    </xdr:to>
    <xdr:sp macro="" textlink="">
      <xdr:nvSpPr>
        <xdr:cNvPr id="299023" name="Text Box 15" hidden="1">
          <a:extLst>
            <a:ext uri="{FF2B5EF4-FFF2-40B4-BE49-F238E27FC236}">
              <a16:creationId xmlns:a16="http://schemas.microsoft.com/office/drawing/2014/main" id="{7C043F31-68E5-498C-AA82-74D5B42E623F}"/>
            </a:ext>
          </a:extLst>
        </xdr:cNvPr>
        <xdr:cNvSpPr txBox="1">
          <a:spLocks noChangeArrowheads="1"/>
        </xdr:cNvSpPr>
      </xdr:nvSpPr>
      <xdr:spPr bwMode="auto">
        <a:xfrm>
          <a:off x="4292600" y="6140450"/>
          <a:ext cx="12763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236599</xdr:colOff>
      <xdr:row>64</xdr:row>
      <xdr:rowOff>75010</xdr:rowOff>
    </xdr:to>
    <xdr:sp macro="" textlink="">
      <xdr:nvSpPr>
        <xdr:cNvPr id="299036" name="Text Box 28" hidden="1">
          <a:extLst>
            <a:ext uri="{FF2B5EF4-FFF2-40B4-BE49-F238E27FC236}">
              <a16:creationId xmlns:a16="http://schemas.microsoft.com/office/drawing/2014/main" id="{399819B4-63B2-4C2E-A12E-82E385610B26}"/>
            </a:ext>
          </a:extLst>
        </xdr:cNvPr>
        <xdr:cNvSpPr txBox="1">
          <a:spLocks noChangeArrowheads="1"/>
        </xdr:cNvSpPr>
      </xdr:nvSpPr>
      <xdr:spPr bwMode="auto">
        <a:xfrm>
          <a:off x="9004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120815</xdr:colOff>
      <xdr:row>64</xdr:row>
      <xdr:rowOff>75010</xdr:rowOff>
    </xdr:from>
    <xdr:to>
      <xdr:col>11</xdr:col>
      <xdr:colOff>197015</xdr:colOff>
      <xdr:row>64</xdr:row>
      <xdr:rowOff>75010</xdr:rowOff>
    </xdr:to>
    <xdr:sp macro="" textlink="">
      <xdr:nvSpPr>
        <xdr:cNvPr id="299035" name="Text Box 27" hidden="1">
          <a:extLst>
            <a:ext uri="{FF2B5EF4-FFF2-40B4-BE49-F238E27FC236}">
              <a16:creationId xmlns:a16="http://schemas.microsoft.com/office/drawing/2014/main" id="{7B25B8C6-8CA8-4524-8A92-6D95865C5C17}"/>
            </a:ext>
          </a:extLst>
        </xdr:cNvPr>
        <xdr:cNvSpPr txBox="1">
          <a:spLocks noChangeArrowheads="1"/>
        </xdr:cNvSpPr>
      </xdr:nvSpPr>
      <xdr:spPr bwMode="auto">
        <a:xfrm>
          <a:off x="11290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539915</xdr:colOff>
      <xdr:row>30</xdr:row>
      <xdr:rowOff>374463</xdr:rowOff>
    </xdr:to>
    <xdr:sp macro="" textlink="">
      <xdr:nvSpPr>
        <xdr:cNvPr id="299034" name="Text Box 26" hidden="1">
          <a:extLst>
            <a:ext uri="{FF2B5EF4-FFF2-40B4-BE49-F238E27FC236}">
              <a16:creationId xmlns:a16="http://schemas.microsoft.com/office/drawing/2014/main" id="{B622A327-F58C-45AA-B45E-2EAB2034AE26}"/>
            </a:ext>
          </a:extLst>
        </xdr:cNvPr>
        <xdr:cNvSpPr txBox="1">
          <a:spLocks noChangeArrowheads="1"/>
        </xdr:cNvSpPr>
      </xdr:nvSpPr>
      <xdr:spPr bwMode="auto">
        <a:xfrm>
          <a:off x="164719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330761</xdr:rowOff>
    </xdr:from>
    <xdr:to>
      <xdr:col>17</xdr:col>
      <xdr:colOff>539915</xdr:colOff>
      <xdr:row>28</xdr:row>
      <xdr:rowOff>237751</xdr:rowOff>
    </xdr:to>
    <xdr:sp macro="" textlink="">
      <xdr:nvSpPr>
        <xdr:cNvPr id="299033" name="Text Box 25" hidden="1">
          <a:extLst>
            <a:ext uri="{FF2B5EF4-FFF2-40B4-BE49-F238E27FC236}">
              <a16:creationId xmlns:a16="http://schemas.microsoft.com/office/drawing/2014/main" id="{CE4DDC36-7821-424A-8E7E-0907A6AFA839}"/>
            </a:ext>
          </a:extLst>
        </xdr:cNvPr>
        <xdr:cNvSpPr txBox="1">
          <a:spLocks noChangeArrowheads="1"/>
        </xdr:cNvSpPr>
      </xdr:nvSpPr>
      <xdr:spPr bwMode="auto">
        <a:xfrm>
          <a:off x="164719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82715</xdr:colOff>
      <xdr:row>21</xdr:row>
      <xdr:rowOff>95250</xdr:rowOff>
    </xdr:from>
    <xdr:to>
      <xdr:col>19</xdr:col>
      <xdr:colOff>616115</xdr:colOff>
      <xdr:row>24</xdr:row>
      <xdr:rowOff>140260</xdr:rowOff>
    </xdr:to>
    <xdr:sp macro="" textlink="">
      <xdr:nvSpPr>
        <xdr:cNvPr id="299031" name="Text Box 23" hidden="1">
          <a:extLst>
            <a:ext uri="{FF2B5EF4-FFF2-40B4-BE49-F238E27FC236}">
              <a16:creationId xmlns:a16="http://schemas.microsoft.com/office/drawing/2014/main" id="{53646557-6862-4D30-8D35-1A1FB8DC0488}"/>
            </a:ext>
          </a:extLst>
        </xdr:cNvPr>
        <xdr:cNvSpPr txBox="1">
          <a:spLocks noChangeArrowheads="1"/>
        </xdr:cNvSpPr>
      </xdr:nvSpPr>
      <xdr:spPr bwMode="auto">
        <a:xfrm>
          <a:off x="181102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4713102</xdr:colOff>
      <xdr:row>32</xdr:row>
      <xdr:rowOff>107390</xdr:rowOff>
    </xdr:to>
    <xdr:sp macro="" textlink="">
      <xdr:nvSpPr>
        <xdr:cNvPr id="299030" name="Text Box 22" hidden="1">
          <a:extLst>
            <a:ext uri="{FF2B5EF4-FFF2-40B4-BE49-F238E27FC236}">
              <a16:creationId xmlns:a16="http://schemas.microsoft.com/office/drawing/2014/main" id="{33645079-28BC-4576-A56A-BDAF11ED0110}"/>
            </a:ext>
          </a:extLst>
        </xdr:cNvPr>
        <xdr:cNvSpPr txBox="1">
          <a:spLocks noChangeArrowheads="1"/>
        </xdr:cNvSpPr>
      </xdr:nvSpPr>
      <xdr:spPr bwMode="auto">
        <a:xfrm>
          <a:off x="4229100" y="6121400"/>
          <a:ext cx="13271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10268</xdr:colOff>
      <xdr:row>80</xdr:row>
      <xdr:rowOff>153154</xdr:rowOff>
    </xdr:to>
    <xdr:sp macro="" textlink="">
      <xdr:nvSpPr>
        <xdr:cNvPr id="299045" name="Text Box 37" hidden="1">
          <a:extLst>
            <a:ext uri="{FF2B5EF4-FFF2-40B4-BE49-F238E27FC236}">
              <a16:creationId xmlns:a16="http://schemas.microsoft.com/office/drawing/2014/main" id="{21738633-7086-423A-9D22-F9662922E6FC}"/>
            </a:ext>
          </a:extLst>
        </xdr:cNvPr>
        <xdr:cNvSpPr txBox="1">
          <a:spLocks noChangeArrowheads="1"/>
        </xdr:cNvSpPr>
      </xdr:nvSpPr>
      <xdr:spPr bwMode="auto">
        <a:xfrm>
          <a:off x="4248150" y="20421600"/>
          <a:ext cx="1346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120815</xdr:colOff>
      <xdr:row>60</xdr:row>
      <xdr:rowOff>103557</xdr:rowOff>
    </xdr:from>
    <xdr:to>
      <xdr:col>20</xdr:col>
      <xdr:colOff>654215</xdr:colOff>
      <xdr:row>62</xdr:row>
      <xdr:rowOff>234837</xdr:rowOff>
    </xdr:to>
    <xdr:sp macro="" textlink="">
      <xdr:nvSpPr>
        <xdr:cNvPr id="299046" name="Text Box 38" hidden="1">
          <a:extLst>
            <a:ext uri="{FF2B5EF4-FFF2-40B4-BE49-F238E27FC236}">
              <a16:creationId xmlns:a16="http://schemas.microsoft.com/office/drawing/2014/main" id="{ADD25145-6168-4E72-89E5-A3A438F40E35}"/>
            </a:ext>
          </a:extLst>
        </xdr:cNvPr>
        <xdr:cNvSpPr txBox="1">
          <a:spLocks noChangeArrowheads="1"/>
        </xdr:cNvSpPr>
      </xdr:nvSpPr>
      <xdr:spPr bwMode="auto">
        <a:xfrm>
          <a:off x="18910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120815</xdr:colOff>
      <xdr:row>60</xdr:row>
      <xdr:rowOff>103557</xdr:rowOff>
    </xdr:from>
    <xdr:to>
      <xdr:col>24</xdr:col>
      <xdr:colOff>654215</xdr:colOff>
      <xdr:row>62</xdr:row>
      <xdr:rowOff>234837</xdr:rowOff>
    </xdr:to>
    <xdr:sp macro="" textlink="">
      <xdr:nvSpPr>
        <xdr:cNvPr id="299047" name="Text Box 39" hidden="1">
          <a:extLst>
            <a:ext uri="{FF2B5EF4-FFF2-40B4-BE49-F238E27FC236}">
              <a16:creationId xmlns:a16="http://schemas.microsoft.com/office/drawing/2014/main" id="{39C80203-6992-4E71-83AE-745B344F33D7}"/>
            </a:ext>
          </a:extLst>
        </xdr:cNvPr>
        <xdr:cNvSpPr txBox="1">
          <a:spLocks noChangeArrowheads="1"/>
        </xdr:cNvSpPr>
      </xdr:nvSpPr>
      <xdr:spPr bwMode="auto">
        <a:xfrm>
          <a:off x="21958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120815</xdr:colOff>
      <xdr:row>60</xdr:row>
      <xdr:rowOff>103557</xdr:rowOff>
    </xdr:from>
    <xdr:to>
      <xdr:col>28</xdr:col>
      <xdr:colOff>654215</xdr:colOff>
      <xdr:row>62</xdr:row>
      <xdr:rowOff>234837</xdr:rowOff>
    </xdr:to>
    <xdr:sp macro="" textlink="">
      <xdr:nvSpPr>
        <xdr:cNvPr id="299048" name="Text Box 40" hidden="1">
          <a:extLst>
            <a:ext uri="{FF2B5EF4-FFF2-40B4-BE49-F238E27FC236}">
              <a16:creationId xmlns:a16="http://schemas.microsoft.com/office/drawing/2014/main" id="{4C7E5085-5C2B-4F2D-936E-DA7D20D47D08}"/>
            </a:ext>
          </a:extLst>
        </xdr:cNvPr>
        <xdr:cNvSpPr txBox="1">
          <a:spLocks noChangeArrowheads="1"/>
        </xdr:cNvSpPr>
      </xdr:nvSpPr>
      <xdr:spPr bwMode="auto">
        <a:xfrm>
          <a:off x="25006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236599</xdr:colOff>
      <xdr:row>64</xdr:row>
      <xdr:rowOff>75010</xdr:rowOff>
    </xdr:to>
    <xdr:sp macro="" textlink="">
      <xdr:nvSpPr>
        <xdr:cNvPr id="299058" name="Text Box 50" hidden="1">
          <a:extLst>
            <a:ext uri="{FF2B5EF4-FFF2-40B4-BE49-F238E27FC236}">
              <a16:creationId xmlns:a16="http://schemas.microsoft.com/office/drawing/2014/main" id="{E56C2B9F-DBBC-401A-95EB-56FE448109E4}"/>
            </a:ext>
          </a:extLst>
        </xdr:cNvPr>
        <xdr:cNvSpPr txBox="1">
          <a:spLocks noChangeArrowheads="1"/>
        </xdr:cNvSpPr>
      </xdr:nvSpPr>
      <xdr:spPr bwMode="auto">
        <a:xfrm>
          <a:off x="8734425" y="15621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120815</xdr:colOff>
      <xdr:row>64</xdr:row>
      <xdr:rowOff>75010</xdr:rowOff>
    </xdr:from>
    <xdr:to>
      <xdr:col>11</xdr:col>
      <xdr:colOff>197015</xdr:colOff>
      <xdr:row>64</xdr:row>
      <xdr:rowOff>75010</xdr:rowOff>
    </xdr:to>
    <xdr:sp macro="" textlink="">
      <xdr:nvSpPr>
        <xdr:cNvPr id="299057" name="Text Box 49" hidden="1">
          <a:extLst>
            <a:ext uri="{FF2B5EF4-FFF2-40B4-BE49-F238E27FC236}">
              <a16:creationId xmlns:a16="http://schemas.microsoft.com/office/drawing/2014/main" id="{180E7C2F-B5AB-4B2F-86EE-62B520B33503}"/>
            </a:ext>
          </a:extLst>
        </xdr:cNvPr>
        <xdr:cNvSpPr txBox="1">
          <a:spLocks noChangeArrowheads="1"/>
        </xdr:cNvSpPr>
      </xdr:nvSpPr>
      <xdr:spPr bwMode="auto">
        <a:xfrm>
          <a:off x="10982325" y="15621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539915</xdr:colOff>
      <xdr:row>30</xdr:row>
      <xdr:rowOff>374463</xdr:rowOff>
    </xdr:to>
    <xdr:sp macro="" textlink="">
      <xdr:nvSpPr>
        <xdr:cNvPr id="299056" name="Text Box 48" hidden="1">
          <a:extLst>
            <a:ext uri="{FF2B5EF4-FFF2-40B4-BE49-F238E27FC236}">
              <a16:creationId xmlns:a16="http://schemas.microsoft.com/office/drawing/2014/main" id="{6D762BA8-5008-4773-880D-F2E6AFA7C36A}"/>
            </a:ext>
          </a:extLst>
        </xdr:cNvPr>
        <xdr:cNvSpPr txBox="1">
          <a:spLocks noChangeArrowheads="1"/>
        </xdr:cNvSpPr>
      </xdr:nvSpPr>
      <xdr:spPr bwMode="auto">
        <a:xfrm>
          <a:off x="16163925" y="5295900"/>
          <a:ext cx="13335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330761</xdr:rowOff>
    </xdr:from>
    <xdr:to>
      <xdr:col>17</xdr:col>
      <xdr:colOff>539915</xdr:colOff>
      <xdr:row>28</xdr:row>
      <xdr:rowOff>237751</xdr:rowOff>
    </xdr:to>
    <xdr:sp macro="" textlink="">
      <xdr:nvSpPr>
        <xdr:cNvPr id="299055" name="Text Box 47" hidden="1">
          <a:extLst>
            <a:ext uri="{FF2B5EF4-FFF2-40B4-BE49-F238E27FC236}">
              <a16:creationId xmlns:a16="http://schemas.microsoft.com/office/drawing/2014/main" id="{230EB62E-4C78-41E6-B5C1-734CA29DD0DD}"/>
            </a:ext>
          </a:extLst>
        </xdr:cNvPr>
        <xdr:cNvSpPr txBox="1">
          <a:spLocks noChangeArrowheads="1"/>
        </xdr:cNvSpPr>
      </xdr:nvSpPr>
      <xdr:spPr bwMode="auto">
        <a:xfrm>
          <a:off x="16163925" y="457200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82715</xdr:colOff>
      <xdr:row>21</xdr:row>
      <xdr:rowOff>95250</xdr:rowOff>
    </xdr:from>
    <xdr:to>
      <xdr:col>19</xdr:col>
      <xdr:colOff>616115</xdr:colOff>
      <xdr:row>24</xdr:row>
      <xdr:rowOff>140260</xdr:rowOff>
    </xdr:to>
    <xdr:sp macro="" textlink="">
      <xdr:nvSpPr>
        <xdr:cNvPr id="299054" name="Text Box 46" hidden="1">
          <a:extLst>
            <a:ext uri="{FF2B5EF4-FFF2-40B4-BE49-F238E27FC236}">
              <a16:creationId xmlns:a16="http://schemas.microsoft.com/office/drawing/2014/main" id="{1BAB6882-EA83-4697-9ECB-A90D89E44E35}"/>
            </a:ext>
          </a:extLst>
        </xdr:cNvPr>
        <xdr:cNvSpPr txBox="1">
          <a:spLocks noChangeArrowheads="1"/>
        </xdr:cNvSpPr>
      </xdr:nvSpPr>
      <xdr:spPr bwMode="auto">
        <a:xfrm>
          <a:off x="17802225"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4713102</xdr:colOff>
      <xdr:row>32</xdr:row>
      <xdr:rowOff>107390</xdr:rowOff>
    </xdr:to>
    <xdr:sp macro="" textlink="">
      <xdr:nvSpPr>
        <xdr:cNvPr id="299053" name="Text Box 45" hidden="1">
          <a:extLst>
            <a:ext uri="{FF2B5EF4-FFF2-40B4-BE49-F238E27FC236}">
              <a16:creationId xmlns:a16="http://schemas.microsoft.com/office/drawing/2014/main" id="{82BC4430-CB01-4C05-8F04-42531DC8AD52}"/>
            </a:ext>
          </a:extLst>
        </xdr:cNvPr>
        <xdr:cNvSpPr txBox="1">
          <a:spLocks noChangeArrowheads="1"/>
        </xdr:cNvSpPr>
      </xdr:nvSpPr>
      <xdr:spPr bwMode="auto">
        <a:xfrm>
          <a:off x="4229100" y="6096000"/>
          <a:ext cx="11334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10268</xdr:colOff>
      <xdr:row>80</xdr:row>
      <xdr:rowOff>153154</xdr:rowOff>
    </xdr:to>
    <xdr:sp macro="" textlink="">
      <xdr:nvSpPr>
        <xdr:cNvPr id="299052" name="Text Box 44" hidden="1">
          <a:extLst>
            <a:ext uri="{FF2B5EF4-FFF2-40B4-BE49-F238E27FC236}">
              <a16:creationId xmlns:a16="http://schemas.microsoft.com/office/drawing/2014/main" id="{E4BEFD25-3D72-4434-802A-69937C1E5F8D}"/>
            </a:ext>
          </a:extLst>
        </xdr:cNvPr>
        <xdr:cNvSpPr txBox="1">
          <a:spLocks noChangeArrowheads="1"/>
        </xdr:cNvSpPr>
      </xdr:nvSpPr>
      <xdr:spPr bwMode="auto">
        <a:xfrm>
          <a:off x="4248150" y="20488275"/>
          <a:ext cx="11525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120815</xdr:colOff>
      <xdr:row>60</xdr:row>
      <xdr:rowOff>103557</xdr:rowOff>
    </xdr:from>
    <xdr:to>
      <xdr:col>20</xdr:col>
      <xdr:colOff>654215</xdr:colOff>
      <xdr:row>62</xdr:row>
      <xdr:rowOff>234837</xdr:rowOff>
    </xdr:to>
    <xdr:sp macro="" textlink="">
      <xdr:nvSpPr>
        <xdr:cNvPr id="299051" name="Text Box 43" hidden="1">
          <a:extLst>
            <a:ext uri="{FF2B5EF4-FFF2-40B4-BE49-F238E27FC236}">
              <a16:creationId xmlns:a16="http://schemas.microsoft.com/office/drawing/2014/main" id="{0C9C38DE-FC5A-4AA3-AE62-97AF37FB57A5}"/>
            </a:ext>
          </a:extLst>
        </xdr:cNvPr>
        <xdr:cNvSpPr txBox="1">
          <a:spLocks noChangeArrowheads="1"/>
        </xdr:cNvSpPr>
      </xdr:nvSpPr>
      <xdr:spPr bwMode="auto">
        <a:xfrm>
          <a:off x="18602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120815</xdr:colOff>
      <xdr:row>60</xdr:row>
      <xdr:rowOff>103557</xdr:rowOff>
    </xdr:from>
    <xdr:to>
      <xdr:col>24</xdr:col>
      <xdr:colOff>654215</xdr:colOff>
      <xdr:row>62</xdr:row>
      <xdr:rowOff>234837</xdr:rowOff>
    </xdr:to>
    <xdr:sp macro="" textlink="">
      <xdr:nvSpPr>
        <xdr:cNvPr id="299050" name="Text Box 42" hidden="1">
          <a:extLst>
            <a:ext uri="{FF2B5EF4-FFF2-40B4-BE49-F238E27FC236}">
              <a16:creationId xmlns:a16="http://schemas.microsoft.com/office/drawing/2014/main" id="{1CAACE1E-3B7F-49A2-9E19-8887E7880B19}"/>
            </a:ext>
          </a:extLst>
        </xdr:cNvPr>
        <xdr:cNvSpPr txBox="1">
          <a:spLocks noChangeArrowheads="1"/>
        </xdr:cNvSpPr>
      </xdr:nvSpPr>
      <xdr:spPr bwMode="auto">
        <a:xfrm>
          <a:off x="21650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120815</xdr:colOff>
      <xdr:row>60</xdr:row>
      <xdr:rowOff>103557</xdr:rowOff>
    </xdr:from>
    <xdr:to>
      <xdr:col>28</xdr:col>
      <xdr:colOff>654215</xdr:colOff>
      <xdr:row>62</xdr:row>
      <xdr:rowOff>234837</xdr:rowOff>
    </xdr:to>
    <xdr:sp macro="" textlink="">
      <xdr:nvSpPr>
        <xdr:cNvPr id="299049" name="Text Box 41" hidden="1">
          <a:extLst>
            <a:ext uri="{FF2B5EF4-FFF2-40B4-BE49-F238E27FC236}">
              <a16:creationId xmlns:a16="http://schemas.microsoft.com/office/drawing/2014/main" id="{AD678E4F-8D2C-4402-A598-8C4C3F7D9628}"/>
            </a:ext>
          </a:extLst>
        </xdr:cNvPr>
        <xdr:cNvSpPr txBox="1">
          <a:spLocks noChangeArrowheads="1"/>
        </xdr:cNvSpPr>
      </xdr:nvSpPr>
      <xdr:spPr bwMode="auto">
        <a:xfrm>
          <a:off x="24698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177965</xdr:colOff>
      <xdr:row>15</xdr:row>
      <xdr:rowOff>123825</xdr:rowOff>
    </xdr:from>
    <xdr:to>
      <xdr:col>23</xdr:col>
      <xdr:colOff>1223</xdr:colOff>
      <xdr:row>19</xdr:row>
      <xdr:rowOff>47625</xdr:rowOff>
    </xdr:to>
    <xdr:sp macro="" textlink="">
      <xdr:nvSpPr>
        <xdr:cNvPr id="299059" name="Text Box 51" hidden="1">
          <a:extLst>
            <a:ext uri="{FF2B5EF4-FFF2-40B4-BE49-F238E27FC236}">
              <a16:creationId xmlns:a16="http://schemas.microsoft.com/office/drawing/2014/main" id="{042DF6A9-E0A9-4CFD-81D7-8BE4A67E3F7D}"/>
            </a:ext>
          </a:extLst>
        </xdr:cNvPr>
        <xdr:cNvSpPr txBox="1">
          <a:spLocks noChangeArrowheads="1"/>
        </xdr:cNvSpPr>
      </xdr:nvSpPr>
      <xdr:spPr bwMode="auto">
        <a:xfrm>
          <a:off x="20183475" y="20478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254187</xdr:rowOff>
    </xdr:from>
    <xdr:to>
      <xdr:col>8</xdr:col>
      <xdr:colOff>228600</xdr:colOff>
      <xdr:row>91</xdr:row>
      <xdr:rowOff>254187</xdr:rowOff>
    </xdr:to>
    <xdr:sp macro="" textlink="">
      <xdr:nvSpPr>
        <xdr:cNvPr id="311307" name="Text Box 11" hidden="1">
          <a:extLst>
            <a:ext uri="{FF2B5EF4-FFF2-40B4-BE49-F238E27FC236}">
              <a16:creationId xmlns:a16="http://schemas.microsoft.com/office/drawing/2014/main" id="{23955DA3-9ACA-4979-B093-E96CBDBB426A}"/>
            </a:ext>
          </a:extLst>
        </xdr:cNvPr>
        <xdr:cNvSpPr txBox="1">
          <a:spLocks noChangeArrowheads="1"/>
        </xdr:cNvSpPr>
      </xdr:nvSpPr>
      <xdr:spPr bwMode="auto">
        <a:xfrm>
          <a:off x="8978900" y="2335530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254187</xdr:rowOff>
    </xdr:from>
    <xdr:to>
      <xdr:col>11</xdr:col>
      <xdr:colOff>190500</xdr:colOff>
      <xdr:row>91</xdr:row>
      <xdr:rowOff>254187</xdr:rowOff>
    </xdr:to>
    <xdr:sp macro="" textlink="">
      <xdr:nvSpPr>
        <xdr:cNvPr id="311306" name="Text Box 10" hidden="1">
          <a:extLst>
            <a:ext uri="{FF2B5EF4-FFF2-40B4-BE49-F238E27FC236}">
              <a16:creationId xmlns:a16="http://schemas.microsoft.com/office/drawing/2014/main" id="{C648C09D-8CDC-4ED2-B374-9076EDBB5E24}"/>
            </a:ext>
          </a:extLst>
        </xdr:cNvPr>
        <xdr:cNvSpPr txBox="1">
          <a:spLocks noChangeArrowheads="1"/>
        </xdr:cNvSpPr>
      </xdr:nvSpPr>
      <xdr:spPr bwMode="auto">
        <a:xfrm>
          <a:off x="11309350" y="23355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374463</xdr:rowOff>
    </xdr:to>
    <xdr:sp macro="" textlink="">
      <xdr:nvSpPr>
        <xdr:cNvPr id="311305" name="Text Box 9" hidden="1">
          <a:extLst>
            <a:ext uri="{FF2B5EF4-FFF2-40B4-BE49-F238E27FC236}">
              <a16:creationId xmlns:a16="http://schemas.microsoft.com/office/drawing/2014/main" id="{9107698F-1477-452D-886D-F96E3F322328}"/>
            </a:ext>
          </a:extLst>
        </xdr:cNvPr>
        <xdr:cNvSpPr txBox="1">
          <a:spLocks noChangeArrowheads="1"/>
        </xdr:cNvSpPr>
      </xdr:nvSpPr>
      <xdr:spPr bwMode="auto">
        <a:xfrm>
          <a:off x="1649095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330761</xdr:rowOff>
    </xdr:from>
    <xdr:to>
      <xdr:col>17</xdr:col>
      <xdr:colOff>533400</xdr:colOff>
      <xdr:row>28</xdr:row>
      <xdr:rowOff>237751</xdr:rowOff>
    </xdr:to>
    <xdr:sp macro="" textlink="">
      <xdr:nvSpPr>
        <xdr:cNvPr id="311304" name="Text Box 8" hidden="1">
          <a:extLst>
            <a:ext uri="{FF2B5EF4-FFF2-40B4-BE49-F238E27FC236}">
              <a16:creationId xmlns:a16="http://schemas.microsoft.com/office/drawing/2014/main" id="{D4E29340-ED95-477E-BFD3-6A2437D9A6F2}"/>
            </a:ext>
          </a:extLst>
        </xdr:cNvPr>
        <xdr:cNvSpPr txBox="1">
          <a:spLocks noChangeArrowheads="1"/>
        </xdr:cNvSpPr>
      </xdr:nvSpPr>
      <xdr:spPr bwMode="auto">
        <a:xfrm>
          <a:off x="1649095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140260</xdr:rowOff>
    </xdr:to>
    <xdr:sp macro="" textlink="">
      <xdr:nvSpPr>
        <xdr:cNvPr id="311303" name="Text Box 7" hidden="1">
          <a:extLst>
            <a:ext uri="{FF2B5EF4-FFF2-40B4-BE49-F238E27FC236}">
              <a16:creationId xmlns:a16="http://schemas.microsoft.com/office/drawing/2014/main" id="{6CB5D491-E502-4945-A831-7AB597444D54}"/>
            </a:ext>
          </a:extLst>
        </xdr:cNvPr>
        <xdr:cNvSpPr txBox="1">
          <a:spLocks noChangeArrowheads="1"/>
        </xdr:cNvSpPr>
      </xdr:nvSpPr>
      <xdr:spPr bwMode="auto">
        <a:xfrm>
          <a:off x="1812925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4686300</xdr:colOff>
      <xdr:row>32</xdr:row>
      <xdr:rowOff>107390</xdr:rowOff>
    </xdr:to>
    <xdr:sp macro="" textlink="">
      <xdr:nvSpPr>
        <xdr:cNvPr id="311302" name="Text Box 6" hidden="1">
          <a:extLst>
            <a:ext uri="{FF2B5EF4-FFF2-40B4-BE49-F238E27FC236}">
              <a16:creationId xmlns:a16="http://schemas.microsoft.com/office/drawing/2014/main" id="{90911D7C-EA5F-4D27-B02B-D00D1B2725A6}"/>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129489</xdr:rowOff>
    </xdr:from>
    <xdr:to>
      <xdr:col>1</xdr:col>
      <xdr:colOff>4724400</xdr:colOff>
      <xdr:row>179</xdr:row>
      <xdr:rowOff>174500</xdr:rowOff>
    </xdr:to>
    <xdr:sp macro="" textlink="">
      <xdr:nvSpPr>
        <xdr:cNvPr id="311301" name="Text Box 5" hidden="1">
          <a:extLst>
            <a:ext uri="{FF2B5EF4-FFF2-40B4-BE49-F238E27FC236}">
              <a16:creationId xmlns:a16="http://schemas.microsoft.com/office/drawing/2014/main" id="{51D958F3-9B1C-46F7-BC5E-CCD0B41CD609}"/>
            </a:ext>
          </a:extLst>
        </xdr:cNvPr>
        <xdr:cNvSpPr txBox="1">
          <a:spLocks noChangeArrowheads="1"/>
        </xdr:cNvSpPr>
      </xdr:nvSpPr>
      <xdr:spPr bwMode="auto">
        <a:xfrm>
          <a:off x="4229100" y="4041140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428874</xdr:rowOff>
    </xdr:from>
    <xdr:to>
      <xdr:col>20</xdr:col>
      <xdr:colOff>647700</xdr:colOff>
      <xdr:row>90</xdr:row>
      <xdr:rowOff>168773</xdr:rowOff>
    </xdr:to>
    <xdr:sp macro="" textlink="">
      <xdr:nvSpPr>
        <xdr:cNvPr id="311300" name="Text Box 4" hidden="1">
          <a:extLst>
            <a:ext uri="{FF2B5EF4-FFF2-40B4-BE49-F238E27FC236}">
              <a16:creationId xmlns:a16="http://schemas.microsoft.com/office/drawing/2014/main" id="{E0FA0B4A-8112-4880-AF45-7B4514B8C4D1}"/>
            </a:ext>
          </a:extLst>
        </xdr:cNvPr>
        <xdr:cNvSpPr txBox="1">
          <a:spLocks noChangeArrowheads="1"/>
        </xdr:cNvSpPr>
      </xdr:nvSpPr>
      <xdr:spPr bwMode="auto">
        <a:xfrm>
          <a:off x="18929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428874</xdr:rowOff>
    </xdr:from>
    <xdr:to>
      <xdr:col>24</xdr:col>
      <xdr:colOff>647700</xdr:colOff>
      <xdr:row>90</xdr:row>
      <xdr:rowOff>168773</xdr:rowOff>
    </xdr:to>
    <xdr:sp macro="" textlink="">
      <xdr:nvSpPr>
        <xdr:cNvPr id="311299" name="Text Box 3" hidden="1">
          <a:extLst>
            <a:ext uri="{FF2B5EF4-FFF2-40B4-BE49-F238E27FC236}">
              <a16:creationId xmlns:a16="http://schemas.microsoft.com/office/drawing/2014/main" id="{1F127A3E-3FCF-4FB5-99C6-06D666B793B6}"/>
            </a:ext>
          </a:extLst>
        </xdr:cNvPr>
        <xdr:cNvSpPr txBox="1">
          <a:spLocks noChangeArrowheads="1"/>
        </xdr:cNvSpPr>
      </xdr:nvSpPr>
      <xdr:spPr bwMode="auto">
        <a:xfrm>
          <a:off x="21977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428874</xdr:rowOff>
    </xdr:from>
    <xdr:to>
      <xdr:col>28</xdr:col>
      <xdr:colOff>647700</xdr:colOff>
      <xdr:row>90</xdr:row>
      <xdr:rowOff>168773</xdr:rowOff>
    </xdr:to>
    <xdr:sp macro="" textlink="">
      <xdr:nvSpPr>
        <xdr:cNvPr id="311298" name="Text Box 2" hidden="1">
          <a:extLst>
            <a:ext uri="{FF2B5EF4-FFF2-40B4-BE49-F238E27FC236}">
              <a16:creationId xmlns:a16="http://schemas.microsoft.com/office/drawing/2014/main" id="{E07F550C-14AB-4124-8527-4BF7833DE3E6}"/>
            </a:ext>
          </a:extLst>
        </xdr:cNvPr>
        <xdr:cNvSpPr txBox="1">
          <a:spLocks noChangeArrowheads="1"/>
        </xdr:cNvSpPr>
      </xdr:nvSpPr>
      <xdr:spPr bwMode="auto">
        <a:xfrm>
          <a:off x="25025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123825</xdr:rowOff>
    </xdr:from>
    <xdr:to>
      <xdr:col>23</xdr:col>
      <xdr:colOff>0</xdr:colOff>
      <xdr:row>19</xdr:row>
      <xdr:rowOff>28575</xdr:rowOff>
    </xdr:to>
    <xdr:sp macro="" textlink="">
      <xdr:nvSpPr>
        <xdr:cNvPr id="311297" name="Text Box 1" hidden="1">
          <a:extLst>
            <a:ext uri="{FF2B5EF4-FFF2-40B4-BE49-F238E27FC236}">
              <a16:creationId xmlns:a16="http://schemas.microsoft.com/office/drawing/2014/main" id="{5CA7E701-CD06-4DC3-8915-B39C2CC774EE}"/>
            </a:ext>
          </a:extLst>
        </xdr:cNvPr>
        <xdr:cNvSpPr txBox="1">
          <a:spLocks noChangeArrowheads="1"/>
        </xdr:cNvSpPr>
      </xdr:nvSpPr>
      <xdr:spPr bwMode="auto">
        <a:xfrm>
          <a:off x="2049145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47625</xdr:rowOff>
    </xdr:from>
    <xdr:to>
      <xdr:col>2</xdr:col>
      <xdr:colOff>685800</xdr:colOff>
      <xdr:row>54</xdr:row>
      <xdr:rowOff>114922</xdr:rowOff>
    </xdr:to>
    <xdr:sp macro="" textlink="">
      <xdr:nvSpPr>
        <xdr:cNvPr id="311308" name="Text Box 12" hidden="1">
          <a:extLst>
            <a:ext uri="{FF2B5EF4-FFF2-40B4-BE49-F238E27FC236}">
              <a16:creationId xmlns:a16="http://schemas.microsoft.com/office/drawing/2014/main" id="{7AF13A0A-D7FB-47FA-AEED-91E11A450016}"/>
            </a:ext>
          </a:extLst>
        </xdr:cNvPr>
        <xdr:cNvSpPr txBox="1">
          <a:spLocks noChangeArrowheads="1"/>
        </xdr:cNvSpPr>
      </xdr:nvSpPr>
      <xdr:spPr bwMode="auto">
        <a:xfrm>
          <a:off x="4991100" y="11741150"/>
          <a:ext cx="1422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99421</xdr:rowOff>
    </xdr:from>
    <xdr:to>
      <xdr:col>21</xdr:col>
      <xdr:colOff>685800</xdr:colOff>
      <xdr:row>97</xdr:row>
      <xdr:rowOff>172820</xdr:rowOff>
    </xdr:to>
    <xdr:sp macro="" textlink="">
      <xdr:nvSpPr>
        <xdr:cNvPr id="311321" name="Text Box 25" hidden="1">
          <a:extLst>
            <a:ext uri="{FF2B5EF4-FFF2-40B4-BE49-F238E27FC236}">
              <a16:creationId xmlns:a16="http://schemas.microsoft.com/office/drawing/2014/main" id="{EB03ED1F-379B-4B10-92D6-9F8648E38B80}"/>
            </a:ext>
          </a:extLst>
        </xdr:cNvPr>
        <xdr:cNvSpPr txBox="1">
          <a:spLocks noChangeArrowheads="1"/>
        </xdr:cNvSpPr>
      </xdr:nvSpPr>
      <xdr:spPr bwMode="auto">
        <a:xfrm>
          <a:off x="19729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99421</xdr:rowOff>
    </xdr:from>
    <xdr:to>
      <xdr:col>25</xdr:col>
      <xdr:colOff>685800</xdr:colOff>
      <xdr:row>97</xdr:row>
      <xdr:rowOff>172820</xdr:rowOff>
    </xdr:to>
    <xdr:sp macro="" textlink="">
      <xdr:nvSpPr>
        <xdr:cNvPr id="311322" name="Text Box 26" hidden="1">
          <a:extLst>
            <a:ext uri="{FF2B5EF4-FFF2-40B4-BE49-F238E27FC236}">
              <a16:creationId xmlns:a16="http://schemas.microsoft.com/office/drawing/2014/main" id="{156F43C7-5371-4B86-8242-1EBCC2A43D37}"/>
            </a:ext>
          </a:extLst>
        </xdr:cNvPr>
        <xdr:cNvSpPr txBox="1">
          <a:spLocks noChangeArrowheads="1"/>
        </xdr:cNvSpPr>
      </xdr:nvSpPr>
      <xdr:spPr bwMode="auto">
        <a:xfrm>
          <a:off x="22777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99421</xdr:rowOff>
    </xdr:from>
    <xdr:to>
      <xdr:col>29</xdr:col>
      <xdr:colOff>685800</xdr:colOff>
      <xdr:row>97</xdr:row>
      <xdr:rowOff>172820</xdr:rowOff>
    </xdr:to>
    <xdr:sp macro="" textlink="">
      <xdr:nvSpPr>
        <xdr:cNvPr id="311323" name="Text Box 27" hidden="1">
          <a:extLst>
            <a:ext uri="{FF2B5EF4-FFF2-40B4-BE49-F238E27FC236}">
              <a16:creationId xmlns:a16="http://schemas.microsoft.com/office/drawing/2014/main" id="{127155EE-3CFC-4663-8BAB-C2E44318263E}"/>
            </a:ext>
          </a:extLst>
        </xdr:cNvPr>
        <xdr:cNvSpPr txBox="1">
          <a:spLocks noChangeArrowheads="1"/>
        </xdr:cNvSpPr>
      </xdr:nvSpPr>
      <xdr:spPr bwMode="auto">
        <a:xfrm>
          <a:off x="25825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330761</xdr:rowOff>
    </xdr:from>
    <xdr:to>
      <xdr:col>22</xdr:col>
      <xdr:colOff>609600</xdr:colOff>
      <xdr:row>28</xdr:row>
      <xdr:rowOff>171076</xdr:rowOff>
    </xdr:to>
    <xdr:sp macro="" textlink="">
      <xdr:nvSpPr>
        <xdr:cNvPr id="311324" name="Text Box 28" hidden="1">
          <a:extLst>
            <a:ext uri="{FF2B5EF4-FFF2-40B4-BE49-F238E27FC236}">
              <a16:creationId xmlns:a16="http://schemas.microsoft.com/office/drawing/2014/main" id="{B1661101-3B65-4016-9B0D-C87BA4CE952A}"/>
            </a:ext>
          </a:extLst>
        </xdr:cNvPr>
        <xdr:cNvSpPr txBox="1">
          <a:spLocks noChangeArrowheads="1"/>
        </xdr:cNvSpPr>
      </xdr:nvSpPr>
      <xdr:spPr bwMode="auto">
        <a:xfrm>
          <a:off x="20453350" y="4572000"/>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254187</xdr:rowOff>
    </xdr:from>
    <xdr:to>
      <xdr:col>8</xdr:col>
      <xdr:colOff>228600</xdr:colOff>
      <xdr:row>91</xdr:row>
      <xdr:rowOff>254187</xdr:rowOff>
    </xdr:to>
    <xdr:sp macro="" textlink="">
      <xdr:nvSpPr>
        <xdr:cNvPr id="311340" name="Text Box 44" hidden="1">
          <a:extLst>
            <a:ext uri="{FF2B5EF4-FFF2-40B4-BE49-F238E27FC236}">
              <a16:creationId xmlns:a16="http://schemas.microsoft.com/office/drawing/2014/main" id="{70EC5761-0AC7-49DE-B955-C4A9720AAB43}"/>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254187</xdr:rowOff>
    </xdr:from>
    <xdr:to>
      <xdr:col>11</xdr:col>
      <xdr:colOff>190500</xdr:colOff>
      <xdr:row>91</xdr:row>
      <xdr:rowOff>254187</xdr:rowOff>
    </xdr:to>
    <xdr:sp macro="" textlink="">
      <xdr:nvSpPr>
        <xdr:cNvPr id="311339" name="Text Box 43" hidden="1">
          <a:extLst>
            <a:ext uri="{FF2B5EF4-FFF2-40B4-BE49-F238E27FC236}">
              <a16:creationId xmlns:a16="http://schemas.microsoft.com/office/drawing/2014/main" id="{4E25295D-A23E-4906-9D08-47403828DA18}"/>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374463</xdr:rowOff>
    </xdr:to>
    <xdr:sp macro="" textlink="">
      <xdr:nvSpPr>
        <xdr:cNvPr id="311338" name="Text Box 42" hidden="1">
          <a:extLst>
            <a:ext uri="{FF2B5EF4-FFF2-40B4-BE49-F238E27FC236}">
              <a16:creationId xmlns:a16="http://schemas.microsoft.com/office/drawing/2014/main" id="{C51496EC-9FC4-45F0-98CD-00A486FD6047}"/>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330761</xdr:rowOff>
    </xdr:from>
    <xdr:to>
      <xdr:col>17</xdr:col>
      <xdr:colOff>533400</xdr:colOff>
      <xdr:row>28</xdr:row>
      <xdr:rowOff>237751</xdr:rowOff>
    </xdr:to>
    <xdr:sp macro="" textlink="">
      <xdr:nvSpPr>
        <xdr:cNvPr id="311337" name="Text Box 41" hidden="1">
          <a:extLst>
            <a:ext uri="{FF2B5EF4-FFF2-40B4-BE49-F238E27FC236}">
              <a16:creationId xmlns:a16="http://schemas.microsoft.com/office/drawing/2014/main" id="{EEF1CB26-81A3-4054-B6F7-5C05021D71C5}"/>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140260</xdr:rowOff>
    </xdr:to>
    <xdr:sp macro="" textlink="">
      <xdr:nvSpPr>
        <xdr:cNvPr id="311336" name="Text Box 40" hidden="1">
          <a:extLst>
            <a:ext uri="{FF2B5EF4-FFF2-40B4-BE49-F238E27FC236}">
              <a16:creationId xmlns:a16="http://schemas.microsoft.com/office/drawing/2014/main" id="{E1EF579B-346B-4705-94FC-207134DEBC5B}"/>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4686300</xdr:colOff>
      <xdr:row>32</xdr:row>
      <xdr:rowOff>107390</xdr:rowOff>
    </xdr:to>
    <xdr:sp macro="" textlink="">
      <xdr:nvSpPr>
        <xdr:cNvPr id="311335" name="Text Box 39" hidden="1">
          <a:extLst>
            <a:ext uri="{FF2B5EF4-FFF2-40B4-BE49-F238E27FC236}">
              <a16:creationId xmlns:a16="http://schemas.microsoft.com/office/drawing/2014/main" id="{8C8E918B-7749-4F85-B353-8CCEA92E390C}"/>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129489</xdr:rowOff>
    </xdr:from>
    <xdr:to>
      <xdr:col>1</xdr:col>
      <xdr:colOff>4724400</xdr:colOff>
      <xdr:row>179</xdr:row>
      <xdr:rowOff>174500</xdr:rowOff>
    </xdr:to>
    <xdr:sp macro="" textlink="">
      <xdr:nvSpPr>
        <xdr:cNvPr id="311334" name="Text Box 38" hidden="1">
          <a:extLst>
            <a:ext uri="{FF2B5EF4-FFF2-40B4-BE49-F238E27FC236}">
              <a16:creationId xmlns:a16="http://schemas.microsoft.com/office/drawing/2014/main" id="{EE61C163-AF36-4CFD-8ABB-EDF170CEC4DD}"/>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428874</xdr:rowOff>
    </xdr:from>
    <xdr:to>
      <xdr:col>20</xdr:col>
      <xdr:colOff>647700</xdr:colOff>
      <xdr:row>90</xdr:row>
      <xdr:rowOff>168773</xdr:rowOff>
    </xdr:to>
    <xdr:sp macro="" textlink="">
      <xdr:nvSpPr>
        <xdr:cNvPr id="311333" name="Text Box 37" hidden="1">
          <a:extLst>
            <a:ext uri="{FF2B5EF4-FFF2-40B4-BE49-F238E27FC236}">
              <a16:creationId xmlns:a16="http://schemas.microsoft.com/office/drawing/2014/main" id="{62503561-6D20-46EF-B45E-3D1F70D7E32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428874</xdr:rowOff>
    </xdr:from>
    <xdr:to>
      <xdr:col>24</xdr:col>
      <xdr:colOff>647700</xdr:colOff>
      <xdr:row>90</xdr:row>
      <xdr:rowOff>168773</xdr:rowOff>
    </xdr:to>
    <xdr:sp macro="" textlink="">
      <xdr:nvSpPr>
        <xdr:cNvPr id="311332" name="Text Box 36" hidden="1">
          <a:extLst>
            <a:ext uri="{FF2B5EF4-FFF2-40B4-BE49-F238E27FC236}">
              <a16:creationId xmlns:a16="http://schemas.microsoft.com/office/drawing/2014/main" id="{CC7178B2-984C-4BE5-900A-BD7A3BD69E85}"/>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428874</xdr:rowOff>
    </xdr:from>
    <xdr:to>
      <xdr:col>28</xdr:col>
      <xdr:colOff>647700</xdr:colOff>
      <xdr:row>90</xdr:row>
      <xdr:rowOff>168773</xdr:rowOff>
    </xdr:to>
    <xdr:sp macro="" textlink="">
      <xdr:nvSpPr>
        <xdr:cNvPr id="311331" name="Text Box 35" hidden="1">
          <a:extLst>
            <a:ext uri="{FF2B5EF4-FFF2-40B4-BE49-F238E27FC236}">
              <a16:creationId xmlns:a16="http://schemas.microsoft.com/office/drawing/2014/main" id="{E0CA14EB-82FF-42B5-835D-1761A8A4DF59}"/>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123825</xdr:rowOff>
    </xdr:from>
    <xdr:to>
      <xdr:col>23</xdr:col>
      <xdr:colOff>0</xdr:colOff>
      <xdr:row>19</xdr:row>
      <xdr:rowOff>28575</xdr:rowOff>
    </xdr:to>
    <xdr:sp macro="" textlink="">
      <xdr:nvSpPr>
        <xdr:cNvPr id="311330" name="Text Box 34" hidden="1">
          <a:extLst>
            <a:ext uri="{FF2B5EF4-FFF2-40B4-BE49-F238E27FC236}">
              <a16:creationId xmlns:a16="http://schemas.microsoft.com/office/drawing/2014/main" id="{E3D3FF04-A9A8-4042-9F96-5B1F4E52707D}"/>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47625</xdr:rowOff>
    </xdr:from>
    <xdr:to>
      <xdr:col>2</xdr:col>
      <xdr:colOff>685800</xdr:colOff>
      <xdr:row>54</xdr:row>
      <xdr:rowOff>114922</xdr:rowOff>
    </xdr:to>
    <xdr:sp macro="" textlink="">
      <xdr:nvSpPr>
        <xdr:cNvPr id="311329" name="Text Box 33" hidden="1">
          <a:extLst>
            <a:ext uri="{FF2B5EF4-FFF2-40B4-BE49-F238E27FC236}">
              <a16:creationId xmlns:a16="http://schemas.microsoft.com/office/drawing/2014/main" id="{6AD674DC-6599-4BE1-AD78-B4F66AC60891}"/>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99421</xdr:rowOff>
    </xdr:from>
    <xdr:to>
      <xdr:col>21</xdr:col>
      <xdr:colOff>685800</xdr:colOff>
      <xdr:row>97</xdr:row>
      <xdr:rowOff>172820</xdr:rowOff>
    </xdr:to>
    <xdr:sp macro="" textlink="">
      <xdr:nvSpPr>
        <xdr:cNvPr id="311328" name="Text Box 32" hidden="1">
          <a:extLst>
            <a:ext uri="{FF2B5EF4-FFF2-40B4-BE49-F238E27FC236}">
              <a16:creationId xmlns:a16="http://schemas.microsoft.com/office/drawing/2014/main" id="{1461C6A1-6D4C-438E-A9B3-905D104464B4}"/>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99421</xdr:rowOff>
    </xdr:from>
    <xdr:to>
      <xdr:col>25</xdr:col>
      <xdr:colOff>685800</xdr:colOff>
      <xdr:row>97</xdr:row>
      <xdr:rowOff>172820</xdr:rowOff>
    </xdr:to>
    <xdr:sp macro="" textlink="">
      <xdr:nvSpPr>
        <xdr:cNvPr id="311327" name="Text Box 31" hidden="1">
          <a:extLst>
            <a:ext uri="{FF2B5EF4-FFF2-40B4-BE49-F238E27FC236}">
              <a16:creationId xmlns:a16="http://schemas.microsoft.com/office/drawing/2014/main" id="{45829A71-01D8-4AB3-8E9F-0145EB78B437}"/>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99421</xdr:rowOff>
    </xdr:from>
    <xdr:to>
      <xdr:col>29</xdr:col>
      <xdr:colOff>685800</xdr:colOff>
      <xdr:row>97</xdr:row>
      <xdr:rowOff>172820</xdr:rowOff>
    </xdr:to>
    <xdr:sp macro="" textlink="">
      <xdr:nvSpPr>
        <xdr:cNvPr id="311326" name="Text Box 30" hidden="1">
          <a:extLst>
            <a:ext uri="{FF2B5EF4-FFF2-40B4-BE49-F238E27FC236}">
              <a16:creationId xmlns:a16="http://schemas.microsoft.com/office/drawing/2014/main" id="{295589FA-3FC7-464A-A1A8-3A3B7B2FB537}"/>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330761</xdr:rowOff>
    </xdr:from>
    <xdr:to>
      <xdr:col>22</xdr:col>
      <xdr:colOff>609600</xdr:colOff>
      <xdr:row>28</xdr:row>
      <xdr:rowOff>152026</xdr:rowOff>
    </xdr:to>
    <xdr:sp macro="" textlink="">
      <xdr:nvSpPr>
        <xdr:cNvPr id="311325" name="Text Box 29" hidden="1">
          <a:extLst>
            <a:ext uri="{FF2B5EF4-FFF2-40B4-BE49-F238E27FC236}">
              <a16:creationId xmlns:a16="http://schemas.microsoft.com/office/drawing/2014/main" id="{EB74A1FC-F163-4CA9-B5A5-2770AB4C03E8}"/>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254187</xdr:rowOff>
    </xdr:from>
    <xdr:to>
      <xdr:col>8</xdr:col>
      <xdr:colOff>228600</xdr:colOff>
      <xdr:row>91</xdr:row>
      <xdr:rowOff>254187</xdr:rowOff>
    </xdr:to>
    <xdr:sp macro="" textlink="">
      <xdr:nvSpPr>
        <xdr:cNvPr id="311356" name="Text Box 60" hidden="1">
          <a:extLst>
            <a:ext uri="{FF2B5EF4-FFF2-40B4-BE49-F238E27FC236}">
              <a16:creationId xmlns:a16="http://schemas.microsoft.com/office/drawing/2014/main" id="{2A96247D-2CAE-BBF6-9431-90CA06B62E1B}"/>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254187</xdr:rowOff>
    </xdr:from>
    <xdr:to>
      <xdr:col>11</xdr:col>
      <xdr:colOff>190500</xdr:colOff>
      <xdr:row>91</xdr:row>
      <xdr:rowOff>254187</xdr:rowOff>
    </xdr:to>
    <xdr:sp macro="" textlink="">
      <xdr:nvSpPr>
        <xdr:cNvPr id="311355" name="Text Box 59" hidden="1">
          <a:extLst>
            <a:ext uri="{FF2B5EF4-FFF2-40B4-BE49-F238E27FC236}">
              <a16:creationId xmlns:a16="http://schemas.microsoft.com/office/drawing/2014/main" id="{728E5653-9942-744D-F028-643F938E2C67}"/>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374463</xdr:rowOff>
    </xdr:to>
    <xdr:sp macro="" textlink="">
      <xdr:nvSpPr>
        <xdr:cNvPr id="311354" name="Text Box 58" hidden="1">
          <a:extLst>
            <a:ext uri="{FF2B5EF4-FFF2-40B4-BE49-F238E27FC236}">
              <a16:creationId xmlns:a16="http://schemas.microsoft.com/office/drawing/2014/main" id="{1505AEA0-28BE-F3EC-B235-3936DC8E5325}"/>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330761</xdr:rowOff>
    </xdr:from>
    <xdr:to>
      <xdr:col>17</xdr:col>
      <xdr:colOff>533400</xdr:colOff>
      <xdr:row>28</xdr:row>
      <xdr:rowOff>237751</xdr:rowOff>
    </xdr:to>
    <xdr:sp macro="" textlink="">
      <xdr:nvSpPr>
        <xdr:cNvPr id="311353" name="Text Box 57" hidden="1">
          <a:extLst>
            <a:ext uri="{FF2B5EF4-FFF2-40B4-BE49-F238E27FC236}">
              <a16:creationId xmlns:a16="http://schemas.microsoft.com/office/drawing/2014/main" id="{2CA4AF3E-CFA2-7268-5E19-D24B0B50638A}"/>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140260</xdr:rowOff>
    </xdr:to>
    <xdr:sp macro="" textlink="">
      <xdr:nvSpPr>
        <xdr:cNvPr id="311352" name="Text Box 56" hidden="1">
          <a:extLst>
            <a:ext uri="{FF2B5EF4-FFF2-40B4-BE49-F238E27FC236}">
              <a16:creationId xmlns:a16="http://schemas.microsoft.com/office/drawing/2014/main" id="{E434CE6A-8C67-B4AA-76E2-8969CF9445BA}"/>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4686300</xdr:colOff>
      <xdr:row>32</xdr:row>
      <xdr:rowOff>107390</xdr:rowOff>
    </xdr:to>
    <xdr:sp macro="" textlink="">
      <xdr:nvSpPr>
        <xdr:cNvPr id="311351" name="Text Box 55" hidden="1">
          <a:extLst>
            <a:ext uri="{FF2B5EF4-FFF2-40B4-BE49-F238E27FC236}">
              <a16:creationId xmlns:a16="http://schemas.microsoft.com/office/drawing/2014/main" id="{A83E545C-03EB-B6CA-D2F8-6006234B1F2B}"/>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129489</xdr:rowOff>
    </xdr:from>
    <xdr:to>
      <xdr:col>1</xdr:col>
      <xdr:colOff>4724400</xdr:colOff>
      <xdr:row>179</xdr:row>
      <xdr:rowOff>174500</xdr:rowOff>
    </xdr:to>
    <xdr:sp macro="" textlink="">
      <xdr:nvSpPr>
        <xdr:cNvPr id="311350" name="Text Box 54" hidden="1">
          <a:extLst>
            <a:ext uri="{FF2B5EF4-FFF2-40B4-BE49-F238E27FC236}">
              <a16:creationId xmlns:a16="http://schemas.microsoft.com/office/drawing/2014/main" id="{0E2FC91B-5806-1EEA-B2D6-FB29B167238C}"/>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428874</xdr:rowOff>
    </xdr:from>
    <xdr:to>
      <xdr:col>20</xdr:col>
      <xdr:colOff>647700</xdr:colOff>
      <xdr:row>90</xdr:row>
      <xdr:rowOff>168773</xdr:rowOff>
    </xdr:to>
    <xdr:sp macro="" textlink="">
      <xdr:nvSpPr>
        <xdr:cNvPr id="311349" name="Text Box 53" hidden="1">
          <a:extLst>
            <a:ext uri="{FF2B5EF4-FFF2-40B4-BE49-F238E27FC236}">
              <a16:creationId xmlns:a16="http://schemas.microsoft.com/office/drawing/2014/main" id="{86AE32E1-5727-FC4C-872A-B6A7DA0F027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428874</xdr:rowOff>
    </xdr:from>
    <xdr:to>
      <xdr:col>24</xdr:col>
      <xdr:colOff>647700</xdr:colOff>
      <xdr:row>90</xdr:row>
      <xdr:rowOff>168773</xdr:rowOff>
    </xdr:to>
    <xdr:sp macro="" textlink="">
      <xdr:nvSpPr>
        <xdr:cNvPr id="311348" name="Text Box 52" hidden="1">
          <a:extLst>
            <a:ext uri="{FF2B5EF4-FFF2-40B4-BE49-F238E27FC236}">
              <a16:creationId xmlns:a16="http://schemas.microsoft.com/office/drawing/2014/main" id="{91AB72ED-15B9-557B-108D-370843C822C1}"/>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428874</xdr:rowOff>
    </xdr:from>
    <xdr:to>
      <xdr:col>28</xdr:col>
      <xdr:colOff>647700</xdr:colOff>
      <xdr:row>90</xdr:row>
      <xdr:rowOff>168773</xdr:rowOff>
    </xdr:to>
    <xdr:sp macro="" textlink="">
      <xdr:nvSpPr>
        <xdr:cNvPr id="311347" name="Text Box 51" hidden="1">
          <a:extLst>
            <a:ext uri="{FF2B5EF4-FFF2-40B4-BE49-F238E27FC236}">
              <a16:creationId xmlns:a16="http://schemas.microsoft.com/office/drawing/2014/main" id="{8B69E227-C231-B163-5B5E-22A1D1C8438B}"/>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123825</xdr:rowOff>
    </xdr:from>
    <xdr:to>
      <xdr:col>23</xdr:col>
      <xdr:colOff>0</xdr:colOff>
      <xdr:row>19</xdr:row>
      <xdr:rowOff>28575</xdr:rowOff>
    </xdr:to>
    <xdr:sp macro="" textlink="">
      <xdr:nvSpPr>
        <xdr:cNvPr id="311346" name="Text Box 50" hidden="1">
          <a:extLst>
            <a:ext uri="{FF2B5EF4-FFF2-40B4-BE49-F238E27FC236}">
              <a16:creationId xmlns:a16="http://schemas.microsoft.com/office/drawing/2014/main" id="{D560BE1C-D1D0-DF19-CDC1-51E09C26CC91}"/>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47625</xdr:rowOff>
    </xdr:from>
    <xdr:to>
      <xdr:col>2</xdr:col>
      <xdr:colOff>685800</xdr:colOff>
      <xdr:row>54</xdr:row>
      <xdr:rowOff>114922</xdr:rowOff>
    </xdr:to>
    <xdr:sp macro="" textlink="">
      <xdr:nvSpPr>
        <xdr:cNvPr id="311345" name="Text Box 49" hidden="1">
          <a:extLst>
            <a:ext uri="{FF2B5EF4-FFF2-40B4-BE49-F238E27FC236}">
              <a16:creationId xmlns:a16="http://schemas.microsoft.com/office/drawing/2014/main" id="{1D0F89FC-EF40-5099-42F5-2A590105B1E4}"/>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99421</xdr:rowOff>
    </xdr:from>
    <xdr:to>
      <xdr:col>21</xdr:col>
      <xdr:colOff>685800</xdr:colOff>
      <xdr:row>97</xdr:row>
      <xdr:rowOff>172820</xdr:rowOff>
    </xdr:to>
    <xdr:sp macro="" textlink="">
      <xdr:nvSpPr>
        <xdr:cNvPr id="311344" name="Text Box 48" hidden="1">
          <a:extLst>
            <a:ext uri="{FF2B5EF4-FFF2-40B4-BE49-F238E27FC236}">
              <a16:creationId xmlns:a16="http://schemas.microsoft.com/office/drawing/2014/main" id="{BCFB5243-91C5-7B8E-5B94-3827464D09B6}"/>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99421</xdr:rowOff>
    </xdr:from>
    <xdr:to>
      <xdr:col>25</xdr:col>
      <xdr:colOff>685800</xdr:colOff>
      <xdr:row>97</xdr:row>
      <xdr:rowOff>172820</xdr:rowOff>
    </xdr:to>
    <xdr:sp macro="" textlink="">
      <xdr:nvSpPr>
        <xdr:cNvPr id="311343" name="Text Box 47" hidden="1">
          <a:extLst>
            <a:ext uri="{FF2B5EF4-FFF2-40B4-BE49-F238E27FC236}">
              <a16:creationId xmlns:a16="http://schemas.microsoft.com/office/drawing/2014/main" id="{DE369244-402A-6367-9147-957000843878}"/>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99421</xdr:rowOff>
    </xdr:from>
    <xdr:to>
      <xdr:col>29</xdr:col>
      <xdr:colOff>685800</xdr:colOff>
      <xdr:row>97</xdr:row>
      <xdr:rowOff>172820</xdr:rowOff>
    </xdr:to>
    <xdr:sp macro="" textlink="">
      <xdr:nvSpPr>
        <xdr:cNvPr id="311342" name="Text Box 46" hidden="1">
          <a:extLst>
            <a:ext uri="{FF2B5EF4-FFF2-40B4-BE49-F238E27FC236}">
              <a16:creationId xmlns:a16="http://schemas.microsoft.com/office/drawing/2014/main" id="{9B3F94DC-C6B6-A0C0-CBBC-9C1E2DC67EA6}"/>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330761</xdr:rowOff>
    </xdr:from>
    <xdr:to>
      <xdr:col>22</xdr:col>
      <xdr:colOff>609600</xdr:colOff>
      <xdr:row>28</xdr:row>
      <xdr:rowOff>152026</xdr:rowOff>
    </xdr:to>
    <xdr:sp macro="" textlink="">
      <xdr:nvSpPr>
        <xdr:cNvPr id="311341" name="Text Box 45" hidden="1">
          <a:extLst>
            <a:ext uri="{FF2B5EF4-FFF2-40B4-BE49-F238E27FC236}">
              <a16:creationId xmlns:a16="http://schemas.microsoft.com/office/drawing/2014/main" id="{0D575779-9493-F7B6-FDFC-A55DB3A3C4C2}"/>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11372" name="Text Box 76" hidden="1">
          <a:extLst>
            <a:ext uri="{FF2B5EF4-FFF2-40B4-BE49-F238E27FC236}">
              <a16:creationId xmlns:a16="http://schemas.microsoft.com/office/drawing/2014/main" id="{6BEF1E5D-F174-3DC5-BB25-9798F7291678}"/>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11371" name="Text Box 75" hidden="1">
          <a:extLst>
            <a:ext uri="{FF2B5EF4-FFF2-40B4-BE49-F238E27FC236}">
              <a16:creationId xmlns:a16="http://schemas.microsoft.com/office/drawing/2014/main" id="{BC045F7D-504A-BF20-44C0-03D925EF85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11370" name="Text Box 74" hidden="1">
          <a:extLst>
            <a:ext uri="{FF2B5EF4-FFF2-40B4-BE49-F238E27FC236}">
              <a16:creationId xmlns:a16="http://schemas.microsoft.com/office/drawing/2014/main" id="{DBC8FDFD-C94A-3523-DC5D-0DC82974D4C6}"/>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11369" name="Text Box 73" hidden="1">
          <a:extLst>
            <a:ext uri="{FF2B5EF4-FFF2-40B4-BE49-F238E27FC236}">
              <a16:creationId xmlns:a16="http://schemas.microsoft.com/office/drawing/2014/main" id="{B0864C73-9499-214D-1039-1ABCAAB35C90}"/>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11368" name="Text Box 72" hidden="1">
          <a:extLst>
            <a:ext uri="{FF2B5EF4-FFF2-40B4-BE49-F238E27FC236}">
              <a16:creationId xmlns:a16="http://schemas.microsoft.com/office/drawing/2014/main" id="{D1D01C5B-7A98-0018-F74E-CA19F3FAF13B}"/>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11367" name="Text Box 71" hidden="1">
          <a:extLst>
            <a:ext uri="{FF2B5EF4-FFF2-40B4-BE49-F238E27FC236}">
              <a16:creationId xmlns:a16="http://schemas.microsoft.com/office/drawing/2014/main" id="{1724F5E4-1CF3-C8D5-BE13-12E998E4921B}"/>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11366" name="Text Box 70" hidden="1">
          <a:extLst>
            <a:ext uri="{FF2B5EF4-FFF2-40B4-BE49-F238E27FC236}">
              <a16:creationId xmlns:a16="http://schemas.microsoft.com/office/drawing/2014/main" id="{C399C2D0-6D2C-1C55-552E-88108AB88DF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11365" name="Text Box 69" hidden="1">
          <a:extLst>
            <a:ext uri="{FF2B5EF4-FFF2-40B4-BE49-F238E27FC236}">
              <a16:creationId xmlns:a16="http://schemas.microsoft.com/office/drawing/2014/main" id="{62B8E475-F858-B5E2-482E-2CDEF7B51AA2}"/>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11364" name="Text Box 68" hidden="1">
          <a:extLst>
            <a:ext uri="{FF2B5EF4-FFF2-40B4-BE49-F238E27FC236}">
              <a16:creationId xmlns:a16="http://schemas.microsoft.com/office/drawing/2014/main" id="{AF8BCF44-60F5-D045-FCD0-6EE2AECA8638}"/>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11363" name="Text Box 67" hidden="1">
          <a:extLst>
            <a:ext uri="{FF2B5EF4-FFF2-40B4-BE49-F238E27FC236}">
              <a16:creationId xmlns:a16="http://schemas.microsoft.com/office/drawing/2014/main" id="{55B6E464-D1AC-2139-A6F3-6AF661CD02F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11362" name="Text Box 66" hidden="1">
          <a:extLst>
            <a:ext uri="{FF2B5EF4-FFF2-40B4-BE49-F238E27FC236}">
              <a16:creationId xmlns:a16="http://schemas.microsoft.com/office/drawing/2014/main" id="{74DC6817-50C2-931B-A0CA-876CBD84377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11361" name="Text Box 65" hidden="1">
          <a:extLst>
            <a:ext uri="{FF2B5EF4-FFF2-40B4-BE49-F238E27FC236}">
              <a16:creationId xmlns:a16="http://schemas.microsoft.com/office/drawing/2014/main" id="{FD51CE5F-133D-AE71-A5FB-DBA52475A7AA}"/>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11360" name="Text Box 64" hidden="1">
          <a:extLst>
            <a:ext uri="{FF2B5EF4-FFF2-40B4-BE49-F238E27FC236}">
              <a16:creationId xmlns:a16="http://schemas.microsoft.com/office/drawing/2014/main" id="{37C3A1F0-8B18-06A5-80E9-4C38633D2E8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11359" name="Text Box 63" hidden="1">
          <a:extLst>
            <a:ext uri="{FF2B5EF4-FFF2-40B4-BE49-F238E27FC236}">
              <a16:creationId xmlns:a16="http://schemas.microsoft.com/office/drawing/2014/main" id="{DFF9B17C-32E0-8C8C-FE91-47C7C45988B6}"/>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11358" name="Text Box 62" hidden="1">
          <a:extLst>
            <a:ext uri="{FF2B5EF4-FFF2-40B4-BE49-F238E27FC236}">
              <a16:creationId xmlns:a16="http://schemas.microsoft.com/office/drawing/2014/main" id="{F6AC0DB2-D002-84B0-F6DD-48B2E5BB29B4}"/>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11357" name="Text Box 61" hidden="1">
          <a:extLst>
            <a:ext uri="{FF2B5EF4-FFF2-40B4-BE49-F238E27FC236}">
              <a16:creationId xmlns:a16="http://schemas.microsoft.com/office/drawing/2014/main" id="{7233BF75-DFDC-0F31-D7D0-9D5A091E8A8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11462" name="Text Box 166" hidden="1">
          <a:extLst>
            <a:ext uri="{FF2B5EF4-FFF2-40B4-BE49-F238E27FC236}">
              <a16:creationId xmlns:a16="http://schemas.microsoft.com/office/drawing/2014/main" id="{26C2B5F1-1CAB-026A-CBF6-5A0761ECBE1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11463" name="Text Box 167" hidden="1">
          <a:extLst>
            <a:ext uri="{FF2B5EF4-FFF2-40B4-BE49-F238E27FC236}">
              <a16:creationId xmlns:a16="http://schemas.microsoft.com/office/drawing/2014/main" id="{12FF9D87-761C-C679-E2D7-CC360AC8D8AF}"/>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796" name="Text Box 36" hidden="1">
          <a:extLst>
            <a:ext uri="{FF2B5EF4-FFF2-40B4-BE49-F238E27FC236}">
              <a16:creationId xmlns:a16="http://schemas.microsoft.com/office/drawing/2014/main" id="{01B075CB-82C8-1487-7E4C-2FF17010EF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795" name="Text Box 35" hidden="1">
          <a:extLst>
            <a:ext uri="{FF2B5EF4-FFF2-40B4-BE49-F238E27FC236}">
              <a16:creationId xmlns:a16="http://schemas.microsoft.com/office/drawing/2014/main" id="{ECFC881A-8224-D4E1-AC2B-F113FC49721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794" name="Text Box 34" hidden="1">
          <a:extLst>
            <a:ext uri="{FF2B5EF4-FFF2-40B4-BE49-F238E27FC236}">
              <a16:creationId xmlns:a16="http://schemas.microsoft.com/office/drawing/2014/main" id="{A95512E3-CA1A-7B83-E82E-E846E26D3257}"/>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793" name="Text Box 33" hidden="1">
          <a:extLst>
            <a:ext uri="{FF2B5EF4-FFF2-40B4-BE49-F238E27FC236}">
              <a16:creationId xmlns:a16="http://schemas.microsoft.com/office/drawing/2014/main" id="{8D01ACC3-DA51-4E7E-35A6-A307DA06228F}"/>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92" name="Text Box 32" hidden="1">
          <a:extLst>
            <a:ext uri="{FF2B5EF4-FFF2-40B4-BE49-F238E27FC236}">
              <a16:creationId xmlns:a16="http://schemas.microsoft.com/office/drawing/2014/main" id="{B3E3716D-5AFE-F955-6D4D-E2F7D2742585}"/>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91" name="Text Box 31" hidden="1">
          <a:extLst>
            <a:ext uri="{FF2B5EF4-FFF2-40B4-BE49-F238E27FC236}">
              <a16:creationId xmlns:a16="http://schemas.microsoft.com/office/drawing/2014/main" id="{16BE1C49-4922-3209-1F59-7E91E30914B8}"/>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790" name="Text Box 30" hidden="1">
          <a:extLst>
            <a:ext uri="{FF2B5EF4-FFF2-40B4-BE49-F238E27FC236}">
              <a16:creationId xmlns:a16="http://schemas.microsoft.com/office/drawing/2014/main" id="{BE91FFD7-E2DB-F547-0BBE-F3773D869936}"/>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789" name="Text Box 29" hidden="1">
          <a:extLst>
            <a:ext uri="{FF2B5EF4-FFF2-40B4-BE49-F238E27FC236}">
              <a16:creationId xmlns:a16="http://schemas.microsoft.com/office/drawing/2014/main" id="{4B4CF67A-29E4-2C3E-8C18-0628FB7154D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788" name="Text Box 28" hidden="1">
          <a:extLst>
            <a:ext uri="{FF2B5EF4-FFF2-40B4-BE49-F238E27FC236}">
              <a16:creationId xmlns:a16="http://schemas.microsoft.com/office/drawing/2014/main" id="{7567E21E-F767-4D69-7410-484F60F758CE}"/>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787" name="Text Box 27" hidden="1">
          <a:extLst>
            <a:ext uri="{FF2B5EF4-FFF2-40B4-BE49-F238E27FC236}">
              <a16:creationId xmlns:a16="http://schemas.microsoft.com/office/drawing/2014/main" id="{675E3984-E4D0-957C-729F-8794E26FBEA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786" name="Text Box 26" hidden="1">
          <a:extLst>
            <a:ext uri="{FF2B5EF4-FFF2-40B4-BE49-F238E27FC236}">
              <a16:creationId xmlns:a16="http://schemas.microsoft.com/office/drawing/2014/main" id="{70B8B27E-0BD0-61F5-1C56-E5266AC793B2}"/>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785" name="Text Box 25" hidden="1">
          <a:extLst>
            <a:ext uri="{FF2B5EF4-FFF2-40B4-BE49-F238E27FC236}">
              <a16:creationId xmlns:a16="http://schemas.microsoft.com/office/drawing/2014/main" id="{E2F2E485-943D-568E-CEE8-0801B1B27062}"/>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784" name="Text Box 24" hidden="1">
          <a:extLst>
            <a:ext uri="{FF2B5EF4-FFF2-40B4-BE49-F238E27FC236}">
              <a16:creationId xmlns:a16="http://schemas.microsoft.com/office/drawing/2014/main" id="{45B7B390-3D7D-7C1C-541C-4A2671477C3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783" name="Text Box 23" hidden="1">
          <a:extLst>
            <a:ext uri="{FF2B5EF4-FFF2-40B4-BE49-F238E27FC236}">
              <a16:creationId xmlns:a16="http://schemas.microsoft.com/office/drawing/2014/main" id="{B0BCF35C-18D0-F523-7100-F4C64A063F0A}"/>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782" name="Text Box 22" hidden="1">
          <a:extLst>
            <a:ext uri="{FF2B5EF4-FFF2-40B4-BE49-F238E27FC236}">
              <a16:creationId xmlns:a16="http://schemas.microsoft.com/office/drawing/2014/main" id="{BA0A4168-0EC3-0521-A812-093E8DD0543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81" name="Text Box 21" hidden="1">
          <a:extLst>
            <a:ext uri="{FF2B5EF4-FFF2-40B4-BE49-F238E27FC236}">
              <a16:creationId xmlns:a16="http://schemas.microsoft.com/office/drawing/2014/main" id="{C3FE5D16-95D2-6883-D718-7902A104F3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80" name="Text Box 20" hidden="1">
          <a:extLst>
            <a:ext uri="{FF2B5EF4-FFF2-40B4-BE49-F238E27FC236}">
              <a16:creationId xmlns:a16="http://schemas.microsoft.com/office/drawing/2014/main" id="{7FBA0935-3957-360E-100D-E69413F62DC0}"/>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779" name="Text Box 19" hidden="1">
          <a:extLst>
            <a:ext uri="{FF2B5EF4-FFF2-40B4-BE49-F238E27FC236}">
              <a16:creationId xmlns:a16="http://schemas.microsoft.com/office/drawing/2014/main" id="{AB3CCF69-2326-63F9-79D4-49373BB2AEA3}"/>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778" name="Text Box 18" hidden="1">
          <a:extLst>
            <a:ext uri="{FF2B5EF4-FFF2-40B4-BE49-F238E27FC236}">
              <a16:creationId xmlns:a16="http://schemas.microsoft.com/office/drawing/2014/main" id="{CB07D0A9-62E6-1A8E-A56A-0F42100172CF}"/>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777" name="Text Box 17" hidden="1">
          <a:extLst>
            <a:ext uri="{FF2B5EF4-FFF2-40B4-BE49-F238E27FC236}">
              <a16:creationId xmlns:a16="http://schemas.microsoft.com/office/drawing/2014/main" id="{1756DB6F-BC83-0A9B-01A5-3E7167DBBA09}"/>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776" name="Text Box 16" hidden="1">
          <a:extLst>
            <a:ext uri="{FF2B5EF4-FFF2-40B4-BE49-F238E27FC236}">
              <a16:creationId xmlns:a16="http://schemas.microsoft.com/office/drawing/2014/main" id="{E154357C-2B57-3116-ABE8-BF78AB0138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775" name="Text Box 15" hidden="1">
          <a:extLst>
            <a:ext uri="{FF2B5EF4-FFF2-40B4-BE49-F238E27FC236}">
              <a16:creationId xmlns:a16="http://schemas.microsoft.com/office/drawing/2014/main" id="{08CCE737-7916-B7E1-A8CC-C3529B51EE0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74" name="Text Box 14" hidden="1">
          <a:extLst>
            <a:ext uri="{FF2B5EF4-FFF2-40B4-BE49-F238E27FC236}">
              <a16:creationId xmlns:a16="http://schemas.microsoft.com/office/drawing/2014/main" id="{16917201-D42F-ABED-B1B9-532FDE124E8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73" name="Text Box 13" hidden="1">
          <a:extLst>
            <a:ext uri="{FF2B5EF4-FFF2-40B4-BE49-F238E27FC236}">
              <a16:creationId xmlns:a16="http://schemas.microsoft.com/office/drawing/2014/main" id="{EEDC3ED1-F895-BC3F-4D5A-15F4B2C44BD1}"/>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772" name="Text Box 12" hidden="1">
          <a:extLst>
            <a:ext uri="{FF2B5EF4-FFF2-40B4-BE49-F238E27FC236}">
              <a16:creationId xmlns:a16="http://schemas.microsoft.com/office/drawing/2014/main" id="{B4B16BBC-87A3-53B7-90C8-C6901EE2192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771" name="Text Box 11" hidden="1">
          <a:extLst>
            <a:ext uri="{FF2B5EF4-FFF2-40B4-BE49-F238E27FC236}">
              <a16:creationId xmlns:a16="http://schemas.microsoft.com/office/drawing/2014/main" id="{BCFFE3A6-1F5E-5772-2A5F-55325DAE8C9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770" name="Text Box 10" hidden="1">
          <a:extLst>
            <a:ext uri="{FF2B5EF4-FFF2-40B4-BE49-F238E27FC236}">
              <a16:creationId xmlns:a16="http://schemas.microsoft.com/office/drawing/2014/main" id="{F99ACA9D-C4B6-B3EA-41A8-93DE1C2A1D26}"/>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769" name="Text Box 9" hidden="1">
          <a:extLst>
            <a:ext uri="{FF2B5EF4-FFF2-40B4-BE49-F238E27FC236}">
              <a16:creationId xmlns:a16="http://schemas.microsoft.com/office/drawing/2014/main" id="{8DF10D6B-7CAD-C4AB-0BD3-25DA029B4C9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768" name="Text Box 8" hidden="1">
          <a:extLst>
            <a:ext uri="{FF2B5EF4-FFF2-40B4-BE49-F238E27FC236}">
              <a16:creationId xmlns:a16="http://schemas.microsoft.com/office/drawing/2014/main" id="{4FCD7BB7-6E43-44C6-8CFC-9F0FD59854C9}"/>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767" name="Text Box 7" hidden="1">
          <a:extLst>
            <a:ext uri="{FF2B5EF4-FFF2-40B4-BE49-F238E27FC236}">
              <a16:creationId xmlns:a16="http://schemas.microsoft.com/office/drawing/2014/main" id="{A432D465-4FCC-2F87-05E1-69C98E2491BC}"/>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766" name="Text Box 6" hidden="1">
          <a:extLst>
            <a:ext uri="{FF2B5EF4-FFF2-40B4-BE49-F238E27FC236}">
              <a16:creationId xmlns:a16="http://schemas.microsoft.com/office/drawing/2014/main" id="{6D8A2B65-23BA-5542-5D28-3C75AC6A222A}"/>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765" name="Text Box 5" hidden="1">
          <a:extLst>
            <a:ext uri="{FF2B5EF4-FFF2-40B4-BE49-F238E27FC236}">
              <a16:creationId xmlns:a16="http://schemas.microsoft.com/office/drawing/2014/main" id="{791D9452-48DA-72E1-1241-FA3F0D849708}"/>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764" name="Text Box 4" hidden="1">
          <a:extLst>
            <a:ext uri="{FF2B5EF4-FFF2-40B4-BE49-F238E27FC236}">
              <a16:creationId xmlns:a16="http://schemas.microsoft.com/office/drawing/2014/main" id="{DA18D6E2-6B83-4879-7976-9419D4C88F7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63" name="Text Box 3" hidden="1">
          <a:extLst>
            <a:ext uri="{FF2B5EF4-FFF2-40B4-BE49-F238E27FC236}">
              <a16:creationId xmlns:a16="http://schemas.microsoft.com/office/drawing/2014/main" id="{32EC25D1-5A18-2F1D-4582-3368925B656C}"/>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62" name="Text Box 2" hidden="1">
          <a:extLst>
            <a:ext uri="{FF2B5EF4-FFF2-40B4-BE49-F238E27FC236}">
              <a16:creationId xmlns:a16="http://schemas.microsoft.com/office/drawing/2014/main" id="{08FF46CA-EF65-63B0-68EA-4A87434F58EC}"/>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761" name="Text Box 1" hidden="1">
          <a:extLst>
            <a:ext uri="{FF2B5EF4-FFF2-40B4-BE49-F238E27FC236}">
              <a16:creationId xmlns:a16="http://schemas.microsoft.com/office/drawing/2014/main" id="{38D9F9B3-9E75-A49B-224D-BD71F8BA6521}"/>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814" name="Text Box 54" hidden="1">
          <a:extLst>
            <a:ext uri="{FF2B5EF4-FFF2-40B4-BE49-F238E27FC236}">
              <a16:creationId xmlns:a16="http://schemas.microsoft.com/office/drawing/2014/main" id="{DF4E1259-9E13-2893-54E4-ECB2C862FBA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813" name="Text Box 53" hidden="1">
          <a:extLst>
            <a:ext uri="{FF2B5EF4-FFF2-40B4-BE49-F238E27FC236}">
              <a16:creationId xmlns:a16="http://schemas.microsoft.com/office/drawing/2014/main" id="{64FE10EE-8ED4-99CD-E0A0-5C3FA8B0DA6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12" name="Text Box 52" hidden="1">
          <a:extLst>
            <a:ext uri="{FF2B5EF4-FFF2-40B4-BE49-F238E27FC236}">
              <a16:creationId xmlns:a16="http://schemas.microsoft.com/office/drawing/2014/main" id="{8595A315-7620-2551-BEBD-3E0AAF6D68D2}"/>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11" name="Text Box 51" hidden="1">
          <a:extLst>
            <a:ext uri="{FF2B5EF4-FFF2-40B4-BE49-F238E27FC236}">
              <a16:creationId xmlns:a16="http://schemas.microsoft.com/office/drawing/2014/main" id="{A33A20A1-6429-E9D1-787F-8BBBB448A8B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10" name="Text Box 50" hidden="1">
          <a:extLst>
            <a:ext uri="{FF2B5EF4-FFF2-40B4-BE49-F238E27FC236}">
              <a16:creationId xmlns:a16="http://schemas.microsoft.com/office/drawing/2014/main" id="{8CFD6D27-D417-EDF4-0CAF-47FCD4FEB752}"/>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09" name="Text Box 49" hidden="1">
          <a:extLst>
            <a:ext uri="{FF2B5EF4-FFF2-40B4-BE49-F238E27FC236}">
              <a16:creationId xmlns:a16="http://schemas.microsoft.com/office/drawing/2014/main" id="{DF5CEA45-3DE9-65E4-B8F5-7E27757F41C7}"/>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808" name="Text Box 48" hidden="1">
          <a:extLst>
            <a:ext uri="{FF2B5EF4-FFF2-40B4-BE49-F238E27FC236}">
              <a16:creationId xmlns:a16="http://schemas.microsoft.com/office/drawing/2014/main" id="{F8545C7F-5BBB-90FE-D484-EFD00FC5D30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807" name="Text Box 47" hidden="1">
          <a:extLst>
            <a:ext uri="{FF2B5EF4-FFF2-40B4-BE49-F238E27FC236}">
              <a16:creationId xmlns:a16="http://schemas.microsoft.com/office/drawing/2014/main" id="{92DD7BC1-057A-101F-2F93-E679635EFFC0}"/>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806" name="Text Box 46" hidden="1">
          <a:extLst>
            <a:ext uri="{FF2B5EF4-FFF2-40B4-BE49-F238E27FC236}">
              <a16:creationId xmlns:a16="http://schemas.microsoft.com/office/drawing/2014/main" id="{B2579017-7FB3-5A9E-FA72-9AB199E13C8D}"/>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805" name="Text Box 45" hidden="1">
          <a:extLst>
            <a:ext uri="{FF2B5EF4-FFF2-40B4-BE49-F238E27FC236}">
              <a16:creationId xmlns:a16="http://schemas.microsoft.com/office/drawing/2014/main" id="{BA1CFF92-B0E0-CE4A-1E43-6590D0B9102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04" name="Text Box 44" hidden="1">
          <a:extLst>
            <a:ext uri="{FF2B5EF4-FFF2-40B4-BE49-F238E27FC236}">
              <a16:creationId xmlns:a16="http://schemas.microsoft.com/office/drawing/2014/main" id="{99D35677-4ACD-B619-F86D-FA09D18924FC}"/>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803" name="Text Box 43" hidden="1">
          <a:extLst>
            <a:ext uri="{FF2B5EF4-FFF2-40B4-BE49-F238E27FC236}">
              <a16:creationId xmlns:a16="http://schemas.microsoft.com/office/drawing/2014/main" id="{F35D0725-FA27-EA51-CBF2-780231D55848}"/>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802" name="Text Box 42" hidden="1">
          <a:extLst>
            <a:ext uri="{FF2B5EF4-FFF2-40B4-BE49-F238E27FC236}">
              <a16:creationId xmlns:a16="http://schemas.microsoft.com/office/drawing/2014/main" id="{AE3EC61B-CC32-9FDC-3ED9-A6A8872AF479}"/>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801" name="Text Box 41" hidden="1">
          <a:extLst>
            <a:ext uri="{FF2B5EF4-FFF2-40B4-BE49-F238E27FC236}">
              <a16:creationId xmlns:a16="http://schemas.microsoft.com/office/drawing/2014/main" id="{6C35BEFE-AED4-4A69-6FDF-BCD9352CF819}"/>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800" name="Text Box 40" hidden="1">
          <a:extLst>
            <a:ext uri="{FF2B5EF4-FFF2-40B4-BE49-F238E27FC236}">
              <a16:creationId xmlns:a16="http://schemas.microsoft.com/office/drawing/2014/main" id="{8B424B35-60D5-23DB-C48C-07639561DC32}"/>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99" name="Text Box 39" hidden="1">
          <a:extLst>
            <a:ext uri="{FF2B5EF4-FFF2-40B4-BE49-F238E27FC236}">
              <a16:creationId xmlns:a16="http://schemas.microsoft.com/office/drawing/2014/main" id="{BFC54BCC-52A0-9859-8467-21CC9250CF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98" name="Text Box 38" hidden="1">
          <a:extLst>
            <a:ext uri="{FF2B5EF4-FFF2-40B4-BE49-F238E27FC236}">
              <a16:creationId xmlns:a16="http://schemas.microsoft.com/office/drawing/2014/main" id="{C8F17C7C-7177-2351-D6E6-AF9FAF8FE493}"/>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797" name="Text Box 37" hidden="1">
          <a:extLst>
            <a:ext uri="{FF2B5EF4-FFF2-40B4-BE49-F238E27FC236}">
              <a16:creationId xmlns:a16="http://schemas.microsoft.com/office/drawing/2014/main" id="{61F7FC0D-3551-1250-7183-76E350F8491B}"/>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832" name="Text Box 72" hidden="1">
          <a:extLst>
            <a:ext uri="{FF2B5EF4-FFF2-40B4-BE49-F238E27FC236}">
              <a16:creationId xmlns:a16="http://schemas.microsoft.com/office/drawing/2014/main" id="{0FB42A1A-66AB-E895-CAC8-28F048047309}"/>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831" name="Text Box 71" hidden="1">
          <a:extLst>
            <a:ext uri="{FF2B5EF4-FFF2-40B4-BE49-F238E27FC236}">
              <a16:creationId xmlns:a16="http://schemas.microsoft.com/office/drawing/2014/main" id="{E797BDB8-C2E7-CD07-7630-B0A50CEDEEF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30" name="Text Box 70" hidden="1">
          <a:extLst>
            <a:ext uri="{FF2B5EF4-FFF2-40B4-BE49-F238E27FC236}">
              <a16:creationId xmlns:a16="http://schemas.microsoft.com/office/drawing/2014/main" id="{A13729DD-65DA-37B2-698F-46829450AAAF}"/>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29" name="Text Box 69" hidden="1">
          <a:extLst>
            <a:ext uri="{FF2B5EF4-FFF2-40B4-BE49-F238E27FC236}">
              <a16:creationId xmlns:a16="http://schemas.microsoft.com/office/drawing/2014/main" id="{10C6B44C-171E-216D-99DE-5B9E9C844036}"/>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28" name="Text Box 68" hidden="1">
          <a:extLst>
            <a:ext uri="{FF2B5EF4-FFF2-40B4-BE49-F238E27FC236}">
              <a16:creationId xmlns:a16="http://schemas.microsoft.com/office/drawing/2014/main" id="{D346A789-2DE4-AE76-82F9-5B207C96F0DF}"/>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27" name="Text Box 67" hidden="1">
          <a:extLst>
            <a:ext uri="{FF2B5EF4-FFF2-40B4-BE49-F238E27FC236}">
              <a16:creationId xmlns:a16="http://schemas.microsoft.com/office/drawing/2014/main" id="{0A79955F-93EE-3019-AB63-03D88A70C01A}"/>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826" name="Text Box 66" hidden="1">
          <a:extLst>
            <a:ext uri="{FF2B5EF4-FFF2-40B4-BE49-F238E27FC236}">
              <a16:creationId xmlns:a16="http://schemas.microsoft.com/office/drawing/2014/main" id="{CBA09E5E-13E3-9D6E-1882-A029CEE4EB5A}"/>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825" name="Text Box 65" hidden="1">
          <a:extLst>
            <a:ext uri="{FF2B5EF4-FFF2-40B4-BE49-F238E27FC236}">
              <a16:creationId xmlns:a16="http://schemas.microsoft.com/office/drawing/2014/main" id="{E2DFB43C-43CA-08CC-BA87-32149995EFBE}"/>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824" name="Text Box 64" hidden="1">
          <a:extLst>
            <a:ext uri="{FF2B5EF4-FFF2-40B4-BE49-F238E27FC236}">
              <a16:creationId xmlns:a16="http://schemas.microsoft.com/office/drawing/2014/main" id="{853D25EC-17CF-1EC8-B974-C6EDED736347}"/>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823" name="Text Box 63" hidden="1">
          <a:extLst>
            <a:ext uri="{FF2B5EF4-FFF2-40B4-BE49-F238E27FC236}">
              <a16:creationId xmlns:a16="http://schemas.microsoft.com/office/drawing/2014/main" id="{380B5D08-C837-83A8-61D2-20573941F25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22" name="Text Box 62" hidden="1">
          <a:extLst>
            <a:ext uri="{FF2B5EF4-FFF2-40B4-BE49-F238E27FC236}">
              <a16:creationId xmlns:a16="http://schemas.microsoft.com/office/drawing/2014/main" id="{DE1ECCF4-3129-3A4C-D060-679470B4986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821" name="Text Box 61" hidden="1">
          <a:extLst>
            <a:ext uri="{FF2B5EF4-FFF2-40B4-BE49-F238E27FC236}">
              <a16:creationId xmlns:a16="http://schemas.microsoft.com/office/drawing/2014/main" id="{483FEC49-7E26-E624-3575-BA4708E3435F}"/>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820" name="Text Box 60" hidden="1">
          <a:extLst>
            <a:ext uri="{FF2B5EF4-FFF2-40B4-BE49-F238E27FC236}">
              <a16:creationId xmlns:a16="http://schemas.microsoft.com/office/drawing/2014/main" id="{26A79ED8-B6B1-662F-3406-43FC6FF628CE}"/>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819" name="Text Box 59" hidden="1">
          <a:extLst>
            <a:ext uri="{FF2B5EF4-FFF2-40B4-BE49-F238E27FC236}">
              <a16:creationId xmlns:a16="http://schemas.microsoft.com/office/drawing/2014/main" id="{43DEDDD1-25E9-B3F8-3328-BDC9D0A255A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818" name="Text Box 58" hidden="1">
          <a:extLst>
            <a:ext uri="{FF2B5EF4-FFF2-40B4-BE49-F238E27FC236}">
              <a16:creationId xmlns:a16="http://schemas.microsoft.com/office/drawing/2014/main" id="{C6AFB107-E031-5AAD-DBE8-6CB3F25B8EB5}"/>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17" name="Text Box 57" hidden="1">
          <a:extLst>
            <a:ext uri="{FF2B5EF4-FFF2-40B4-BE49-F238E27FC236}">
              <a16:creationId xmlns:a16="http://schemas.microsoft.com/office/drawing/2014/main" id="{1C95F654-776F-C2BE-8C12-08130D87E6A1}"/>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16" name="Text Box 56" hidden="1">
          <a:extLst>
            <a:ext uri="{FF2B5EF4-FFF2-40B4-BE49-F238E27FC236}">
              <a16:creationId xmlns:a16="http://schemas.microsoft.com/office/drawing/2014/main" id="{1BE39442-43A6-0A90-70C9-C59B554B328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815" name="Text Box 55" hidden="1">
          <a:extLst>
            <a:ext uri="{FF2B5EF4-FFF2-40B4-BE49-F238E27FC236}">
              <a16:creationId xmlns:a16="http://schemas.microsoft.com/office/drawing/2014/main" id="{C6955F2D-EBA2-EEE8-2B01-1872FA798990}"/>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850" name="Text Box 90" hidden="1">
          <a:extLst>
            <a:ext uri="{FF2B5EF4-FFF2-40B4-BE49-F238E27FC236}">
              <a16:creationId xmlns:a16="http://schemas.microsoft.com/office/drawing/2014/main" id="{9FEB273C-F0EC-428F-F480-27BBD318DF9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849" name="Text Box 89" hidden="1">
          <a:extLst>
            <a:ext uri="{FF2B5EF4-FFF2-40B4-BE49-F238E27FC236}">
              <a16:creationId xmlns:a16="http://schemas.microsoft.com/office/drawing/2014/main" id="{DE1A51FD-1A95-6BA0-F132-E3D77BFF9069}"/>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48" name="Text Box 88" hidden="1">
          <a:extLst>
            <a:ext uri="{FF2B5EF4-FFF2-40B4-BE49-F238E27FC236}">
              <a16:creationId xmlns:a16="http://schemas.microsoft.com/office/drawing/2014/main" id="{31A1A8A7-C302-17C8-D208-A68AA6395681}"/>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47" name="Text Box 87" hidden="1">
          <a:extLst>
            <a:ext uri="{FF2B5EF4-FFF2-40B4-BE49-F238E27FC236}">
              <a16:creationId xmlns:a16="http://schemas.microsoft.com/office/drawing/2014/main" id="{4495F29D-627E-82AC-5D71-06B40065536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46" name="Text Box 86" hidden="1">
          <a:extLst>
            <a:ext uri="{FF2B5EF4-FFF2-40B4-BE49-F238E27FC236}">
              <a16:creationId xmlns:a16="http://schemas.microsoft.com/office/drawing/2014/main" id="{9F651967-0F76-921E-30D8-A73E06F3AFB2}"/>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45" name="Text Box 85" hidden="1">
          <a:extLst>
            <a:ext uri="{FF2B5EF4-FFF2-40B4-BE49-F238E27FC236}">
              <a16:creationId xmlns:a16="http://schemas.microsoft.com/office/drawing/2014/main" id="{10DCD79C-175D-50E9-01AF-7D825B4E78FA}"/>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844" name="Text Box 84" hidden="1">
          <a:extLst>
            <a:ext uri="{FF2B5EF4-FFF2-40B4-BE49-F238E27FC236}">
              <a16:creationId xmlns:a16="http://schemas.microsoft.com/office/drawing/2014/main" id="{54B2EB07-4630-EECA-A72B-B1BBA0E22128}"/>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843" name="Text Box 83" hidden="1">
          <a:extLst>
            <a:ext uri="{FF2B5EF4-FFF2-40B4-BE49-F238E27FC236}">
              <a16:creationId xmlns:a16="http://schemas.microsoft.com/office/drawing/2014/main" id="{62EECBA6-2D6D-D47D-3560-F1D7B5255E4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842" name="Text Box 82" hidden="1">
          <a:extLst>
            <a:ext uri="{FF2B5EF4-FFF2-40B4-BE49-F238E27FC236}">
              <a16:creationId xmlns:a16="http://schemas.microsoft.com/office/drawing/2014/main" id="{909C542A-B23B-4A05-F425-C607A5B36998}"/>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841" name="Text Box 81" hidden="1">
          <a:extLst>
            <a:ext uri="{FF2B5EF4-FFF2-40B4-BE49-F238E27FC236}">
              <a16:creationId xmlns:a16="http://schemas.microsoft.com/office/drawing/2014/main" id="{280EBFA3-3E08-A24C-A875-CE2BBEC7D6C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40" name="Text Box 80" hidden="1">
          <a:extLst>
            <a:ext uri="{FF2B5EF4-FFF2-40B4-BE49-F238E27FC236}">
              <a16:creationId xmlns:a16="http://schemas.microsoft.com/office/drawing/2014/main" id="{23A30279-27EC-D533-FBDC-D570283F839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839" name="Text Box 79" hidden="1">
          <a:extLst>
            <a:ext uri="{FF2B5EF4-FFF2-40B4-BE49-F238E27FC236}">
              <a16:creationId xmlns:a16="http://schemas.microsoft.com/office/drawing/2014/main" id="{527B0D37-913A-349D-4528-53951A43BD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838" name="Text Box 78" hidden="1">
          <a:extLst>
            <a:ext uri="{FF2B5EF4-FFF2-40B4-BE49-F238E27FC236}">
              <a16:creationId xmlns:a16="http://schemas.microsoft.com/office/drawing/2014/main" id="{5BC2688D-DD0F-4C56-54C4-DDFF405C9008}"/>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837" name="Text Box 77" hidden="1">
          <a:extLst>
            <a:ext uri="{FF2B5EF4-FFF2-40B4-BE49-F238E27FC236}">
              <a16:creationId xmlns:a16="http://schemas.microsoft.com/office/drawing/2014/main" id="{8E337A17-EC30-F74B-98D4-9F27BA552222}"/>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836" name="Text Box 76" hidden="1">
          <a:extLst>
            <a:ext uri="{FF2B5EF4-FFF2-40B4-BE49-F238E27FC236}">
              <a16:creationId xmlns:a16="http://schemas.microsoft.com/office/drawing/2014/main" id="{61BE5686-2AFA-5722-47DC-96E347213ADF}"/>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35" name="Text Box 75" hidden="1">
          <a:extLst>
            <a:ext uri="{FF2B5EF4-FFF2-40B4-BE49-F238E27FC236}">
              <a16:creationId xmlns:a16="http://schemas.microsoft.com/office/drawing/2014/main" id="{B3660A24-2EE5-B415-85BB-287B11AC4BB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34" name="Text Box 74" hidden="1">
          <a:extLst>
            <a:ext uri="{FF2B5EF4-FFF2-40B4-BE49-F238E27FC236}">
              <a16:creationId xmlns:a16="http://schemas.microsoft.com/office/drawing/2014/main" id="{7B176A7A-D725-E1BC-095B-085FEB83C3BF}"/>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833" name="Text Box 73" hidden="1">
          <a:extLst>
            <a:ext uri="{FF2B5EF4-FFF2-40B4-BE49-F238E27FC236}">
              <a16:creationId xmlns:a16="http://schemas.microsoft.com/office/drawing/2014/main" id="{0D11A201-012A-2A99-8A24-8A7F4912317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868" name="Text Box 108" hidden="1">
          <a:extLst>
            <a:ext uri="{FF2B5EF4-FFF2-40B4-BE49-F238E27FC236}">
              <a16:creationId xmlns:a16="http://schemas.microsoft.com/office/drawing/2014/main" id="{55B954A5-D1C8-9AF6-D9C5-75324A1ABD06}"/>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867" name="Text Box 107" hidden="1">
          <a:extLst>
            <a:ext uri="{FF2B5EF4-FFF2-40B4-BE49-F238E27FC236}">
              <a16:creationId xmlns:a16="http://schemas.microsoft.com/office/drawing/2014/main" id="{8D1B9AC1-38E4-05AC-3FF3-AFAF225757B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66" name="Text Box 106" hidden="1">
          <a:extLst>
            <a:ext uri="{FF2B5EF4-FFF2-40B4-BE49-F238E27FC236}">
              <a16:creationId xmlns:a16="http://schemas.microsoft.com/office/drawing/2014/main" id="{6C0C1208-3D0D-B545-4EE5-12EADABB8F0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65" name="Text Box 105" hidden="1">
          <a:extLst>
            <a:ext uri="{FF2B5EF4-FFF2-40B4-BE49-F238E27FC236}">
              <a16:creationId xmlns:a16="http://schemas.microsoft.com/office/drawing/2014/main" id="{EB121873-2287-A2DB-89E7-3FF66C737FC9}"/>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64" name="Text Box 104" hidden="1">
          <a:extLst>
            <a:ext uri="{FF2B5EF4-FFF2-40B4-BE49-F238E27FC236}">
              <a16:creationId xmlns:a16="http://schemas.microsoft.com/office/drawing/2014/main" id="{C2A6E14F-B3F5-CABE-1FBA-85F49CF059A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63" name="Text Box 103" hidden="1">
          <a:extLst>
            <a:ext uri="{FF2B5EF4-FFF2-40B4-BE49-F238E27FC236}">
              <a16:creationId xmlns:a16="http://schemas.microsoft.com/office/drawing/2014/main" id="{98809196-FE80-4A4C-71F1-7D11FD999C57}"/>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862" name="Text Box 102" hidden="1">
          <a:extLst>
            <a:ext uri="{FF2B5EF4-FFF2-40B4-BE49-F238E27FC236}">
              <a16:creationId xmlns:a16="http://schemas.microsoft.com/office/drawing/2014/main" id="{58EA3C78-7910-E91E-C5FF-F25E290D29B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861" name="Text Box 101" hidden="1">
          <a:extLst>
            <a:ext uri="{FF2B5EF4-FFF2-40B4-BE49-F238E27FC236}">
              <a16:creationId xmlns:a16="http://schemas.microsoft.com/office/drawing/2014/main" id="{10DF9DB6-3255-87C9-2C43-A0598C7E79B7}"/>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860" name="Text Box 100" hidden="1">
          <a:extLst>
            <a:ext uri="{FF2B5EF4-FFF2-40B4-BE49-F238E27FC236}">
              <a16:creationId xmlns:a16="http://schemas.microsoft.com/office/drawing/2014/main" id="{E833BCAC-615F-7B3E-D88D-808D57A63041}"/>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859" name="Text Box 99" hidden="1">
          <a:extLst>
            <a:ext uri="{FF2B5EF4-FFF2-40B4-BE49-F238E27FC236}">
              <a16:creationId xmlns:a16="http://schemas.microsoft.com/office/drawing/2014/main" id="{DECCB0A7-51A7-B72D-F542-C1A4582663E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58" name="Text Box 98" hidden="1">
          <a:extLst>
            <a:ext uri="{FF2B5EF4-FFF2-40B4-BE49-F238E27FC236}">
              <a16:creationId xmlns:a16="http://schemas.microsoft.com/office/drawing/2014/main" id="{BEE93D2C-1218-77C0-B325-ED257C7BCA91}"/>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857" name="Text Box 97" hidden="1">
          <a:extLst>
            <a:ext uri="{FF2B5EF4-FFF2-40B4-BE49-F238E27FC236}">
              <a16:creationId xmlns:a16="http://schemas.microsoft.com/office/drawing/2014/main" id="{3652439E-CA15-809A-AB25-805D6A28CCC7}"/>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856" name="Text Box 96" hidden="1">
          <a:extLst>
            <a:ext uri="{FF2B5EF4-FFF2-40B4-BE49-F238E27FC236}">
              <a16:creationId xmlns:a16="http://schemas.microsoft.com/office/drawing/2014/main" id="{18395B03-AB3B-78E1-65D5-E9D954799831}"/>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855" name="Text Box 95" hidden="1">
          <a:extLst>
            <a:ext uri="{FF2B5EF4-FFF2-40B4-BE49-F238E27FC236}">
              <a16:creationId xmlns:a16="http://schemas.microsoft.com/office/drawing/2014/main" id="{A597661F-908A-A610-ED5B-A2CF891326AF}"/>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854" name="Text Box 94" hidden="1">
          <a:extLst>
            <a:ext uri="{FF2B5EF4-FFF2-40B4-BE49-F238E27FC236}">
              <a16:creationId xmlns:a16="http://schemas.microsoft.com/office/drawing/2014/main" id="{858FAD4E-83A7-DAF9-7260-8B40E4EC6C9E}"/>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53" name="Text Box 93" hidden="1">
          <a:extLst>
            <a:ext uri="{FF2B5EF4-FFF2-40B4-BE49-F238E27FC236}">
              <a16:creationId xmlns:a16="http://schemas.microsoft.com/office/drawing/2014/main" id="{5073BEBF-A013-F941-F6F2-17E82BDB4E26}"/>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52" name="Text Box 92" hidden="1">
          <a:extLst>
            <a:ext uri="{FF2B5EF4-FFF2-40B4-BE49-F238E27FC236}">
              <a16:creationId xmlns:a16="http://schemas.microsoft.com/office/drawing/2014/main" id="{F269276D-DB13-80DB-A0C2-9A00BCC792D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851" name="Text Box 91" hidden="1">
          <a:extLst>
            <a:ext uri="{FF2B5EF4-FFF2-40B4-BE49-F238E27FC236}">
              <a16:creationId xmlns:a16="http://schemas.microsoft.com/office/drawing/2014/main" id="{41D06F80-D88D-FE68-AE20-3287A3212B7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904" name="Text Box 144" hidden="1">
          <a:extLst>
            <a:ext uri="{FF2B5EF4-FFF2-40B4-BE49-F238E27FC236}">
              <a16:creationId xmlns:a16="http://schemas.microsoft.com/office/drawing/2014/main" id="{E5EC0A44-C03C-2171-4145-E2423E0F6B2E}"/>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903" name="Text Box 143" hidden="1">
          <a:extLst>
            <a:ext uri="{FF2B5EF4-FFF2-40B4-BE49-F238E27FC236}">
              <a16:creationId xmlns:a16="http://schemas.microsoft.com/office/drawing/2014/main" id="{A0C365DF-989C-D60E-7944-3D4225637E9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02" name="Text Box 142" hidden="1">
          <a:extLst>
            <a:ext uri="{FF2B5EF4-FFF2-40B4-BE49-F238E27FC236}">
              <a16:creationId xmlns:a16="http://schemas.microsoft.com/office/drawing/2014/main" id="{54E86B33-72DB-8839-0E45-A52621D23E3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01" name="Text Box 141" hidden="1">
          <a:extLst>
            <a:ext uri="{FF2B5EF4-FFF2-40B4-BE49-F238E27FC236}">
              <a16:creationId xmlns:a16="http://schemas.microsoft.com/office/drawing/2014/main" id="{4CF2D4CB-89EF-DBB8-1FD6-801A1FE42A3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00" name="Text Box 140" hidden="1">
          <a:extLst>
            <a:ext uri="{FF2B5EF4-FFF2-40B4-BE49-F238E27FC236}">
              <a16:creationId xmlns:a16="http://schemas.microsoft.com/office/drawing/2014/main" id="{52AF4C78-C216-4A20-0F06-BB6997B32787}"/>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99" name="Text Box 139" hidden="1">
          <a:extLst>
            <a:ext uri="{FF2B5EF4-FFF2-40B4-BE49-F238E27FC236}">
              <a16:creationId xmlns:a16="http://schemas.microsoft.com/office/drawing/2014/main" id="{8583316E-73C9-AAB6-DA4D-295B7EC1A069}"/>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898" name="Text Box 138" hidden="1">
          <a:extLst>
            <a:ext uri="{FF2B5EF4-FFF2-40B4-BE49-F238E27FC236}">
              <a16:creationId xmlns:a16="http://schemas.microsoft.com/office/drawing/2014/main" id="{F8B11DD9-0F6F-6D48-7982-4CE78B86C23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897" name="Text Box 137" hidden="1">
          <a:extLst>
            <a:ext uri="{FF2B5EF4-FFF2-40B4-BE49-F238E27FC236}">
              <a16:creationId xmlns:a16="http://schemas.microsoft.com/office/drawing/2014/main" id="{ECFB81CA-BEAD-7E66-3FC1-074B1A02047F}"/>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896" name="Text Box 136" hidden="1">
          <a:extLst>
            <a:ext uri="{FF2B5EF4-FFF2-40B4-BE49-F238E27FC236}">
              <a16:creationId xmlns:a16="http://schemas.microsoft.com/office/drawing/2014/main" id="{7DCF58F6-7033-55EE-AFE3-F0207A44411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895" name="Text Box 135" hidden="1">
          <a:extLst>
            <a:ext uri="{FF2B5EF4-FFF2-40B4-BE49-F238E27FC236}">
              <a16:creationId xmlns:a16="http://schemas.microsoft.com/office/drawing/2014/main" id="{A61FF78C-AF06-6B67-90F5-346E76825AC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94" name="Text Box 134" hidden="1">
          <a:extLst>
            <a:ext uri="{FF2B5EF4-FFF2-40B4-BE49-F238E27FC236}">
              <a16:creationId xmlns:a16="http://schemas.microsoft.com/office/drawing/2014/main" id="{C054E130-4B42-C7B5-9AF3-012B03D24A35}"/>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893" name="Text Box 133" hidden="1">
          <a:extLst>
            <a:ext uri="{FF2B5EF4-FFF2-40B4-BE49-F238E27FC236}">
              <a16:creationId xmlns:a16="http://schemas.microsoft.com/office/drawing/2014/main" id="{B195FE82-66CF-A92D-5168-4A61587B14F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892" name="Text Box 132" hidden="1">
          <a:extLst>
            <a:ext uri="{FF2B5EF4-FFF2-40B4-BE49-F238E27FC236}">
              <a16:creationId xmlns:a16="http://schemas.microsoft.com/office/drawing/2014/main" id="{BE3117FF-97C9-1D33-CD8C-AC7C14273C51}"/>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891" name="Text Box 131" hidden="1">
          <a:extLst>
            <a:ext uri="{FF2B5EF4-FFF2-40B4-BE49-F238E27FC236}">
              <a16:creationId xmlns:a16="http://schemas.microsoft.com/office/drawing/2014/main" id="{A5DC8501-7AA6-E520-350A-003FCB17FB7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890" name="Text Box 130" hidden="1">
          <a:extLst>
            <a:ext uri="{FF2B5EF4-FFF2-40B4-BE49-F238E27FC236}">
              <a16:creationId xmlns:a16="http://schemas.microsoft.com/office/drawing/2014/main" id="{8B47E433-8EFA-5009-3B13-B5011EB9FD9E}"/>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89" name="Text Box 129" hidden="1">
          <a:extLst>
            <a:ext uri="{FF2B5EF4-FFF2-40B4-BE49-F238E27FC236}">
              <a16:creationId xmlns:a16="http://schemas.microsoft.com/office/drawing/2014/main" id="{EC35543E-FFCE-EFC9-AD21-6799AD563E4A}"/>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88" name="Text Box 128" hidden="1">
          <a:extLst>
            <a:ext uri="{FF2B5EF4-FFF2-40B4-BE49-F238E27FC236}">
              <a16:creationId xmlns:a16="http://schemas.microsoft.com/office/drawing/2014/main" id="{8849FA2B-A1CE-3A76-64D6-776E5E413E77}"/>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887" name="Text Box 127" hidden="1">
          <a:extLst>
            <a:ext uri="{FF2B5EF4-FFF2-40B4-BE49-F238E27FC236}">
              <a16:creationId xmlns:a16="http://schemas.microsoft.com/office/drawing/2014/main" id="{1EF8A7EA-0241-29F7-A27C-D247101A27C9}"/>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886" name="Text Box 126" hidden="1">
          <a:extLst>
            <a:ext uri="{FF2B5EF4-FFF2-40B4-BE49-F238E27FC236}">
              <a16:creationId xmlns:a16="http://schemas.microsoft.com/office/drawing/2014/main" id="{11A40B11-AB33-FFD8-35DA-732BB702645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885" name="Text Box 125" hidden="1">
          <a:extLst>
            <a:ext uri="{FF2B5EF4-FFF2-40B4-BE49-F238E27FC236}">
              <a16:creationId xmlns:a16="http://schemas.microsoft.com/office/drawing/2014/main" id="{9FC31A9F-6DE8-BE30-C831-44221ABC6611}"/>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84" name="Text Box 124" hidden="1">
          <a:extLst>
            <a:ext uri="{FF2B5EF4-FFF2-40B4-BE49-F238E27FC236}">
              <a16:creationId xmlns:a16="http://schemas.microsoft.com/office/drawing/2014/main" id="{3BFC5514-EA08-A866-4A4F-67E0F16E9D37}"/>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83" name="Text Box 123" hidden="1">
          <a:extLst>
            <a:ext uri="{FF2B5EF4-FFF2-40B4-BE49-F238E27FC236}">
              <a16:creationId xmlns:a16="http://schemas.microsoft.com/office/drawing/2014/main" id="{C9CB33E5-D3DE-B053-6A98-77629B099C0B}"/>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82" name="Text Box 122" hidden="1">
          <a:extLst>
            <a:ext uri="{FF2B5EF4-FFF2-40B4-BE49-F238E27FC236}">
              <a16:creationId xmlns:a16="http://schemas.microsoft.com/office/drawing/2014/main" id="{784E6994-FA68-5D80-3541-6D736E928A89}"/>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81" name="Text Box 121" hidden="1">
          <a:extLst>
            <a:ext uri="{FF2B5EF4-FFF2-40B4-BE49-F238E27FC236}">
              <a16:creationId xmlns:a16="http://schemas.microsoft.com/office/drawing/2014/main" id="{6ED91B3D-5F9F-5457-0C4D-7F9AEA162432}"/>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880" name="Text Box 120" hidden="1">
          <a:extLst>
            <a:ext uri="{FF2B5EF4-FFF2-40B4-BE49-F238E27FC236}">
              <a16:creationId xmlns:a16="http://schemas.microsoft.com/office/drawing/2014/main" id="{D4A50A11-F42D-8C75-9610-A366C371418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879" name="Text Box 119" hidden="1">
          <a:extLst>
            <a:ext uri="{FF2B5EF4-FFF2-40B4-BE49-F238E27FC236}">
              <a16:creationId xmlns:a16="http://schemas.microsoft.com/office/drawing/2014/main" id="{D01C1F70-DB77-D2BF-97D6-51577E35FEB0}"/>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878" name="Text Box 118" hidden="1">
          <a:extLst>
            <a:ext uri="{FF2B5EF4-FFF2-40B4-BE49-F238E27FC236}">
              <a16:creationId xmlns:a16="http://schemas.microsoft.com/office/drawing/2014/main" id="{F7B65222-0167-F24F-BAA3-40DEFE7E1F43}"/>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877" name="Text Box 117" hidden="1">
          <a:extLst>
            <a:ext uri="{FF2B5EF4-FFF2-40B4-BE49-F238E27FC236}">
              <a16:creationId xmlns:a16="http://schemas.microsoft.com/office/drawing/2014/main" id="{EBA745CB-7E5C-1D01-3EA4-7356F4A4D87E}"/>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76" name="Text Box 116" hidden="1">
          <a:extLst>
            <a:ext uri="{FF2B5EF4-FFF2-40B4-BE49-F238E27FC236}">
              <a16:creationId xmlns:a16="http://schemas.microsoft.com/office/drawing/2014/main" id="{4FC5D77A-A16A-9EF7-EA1F-FD5C76B71826}"/>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875" name="Text Box 115" hidden="1">
          <a:extLst>
            <a:ext uri="{FF2B5EF4-FFF2-40B4-BE49-F238E27FC236}">
              <a16:creationId xmlns:a16="http://schemas.microsoft.com/office/drawing/2014/main" id="{A6D6F9C7-67EA-C0D4-EB9D-8129A960A2EC}"/>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874" name="Text Box 114" hidden="1">
          <a:extLst>
            <a:ext uri="{FF2B5EF4-FFF2-40B4-BE49-F238E27FC236}">
              <a16:creationId xmlns:a16="http://schemas.microsoft.com/office/drawing/2014/main" id="{AF71F6AB-3806-B2FE-E63F-ECBED4C3639D}"/>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873" name="Text Box 113" hidden="1">
          <a:extLst>
            <a:ext uri="{FF2B5EF4-FFF2-40B4-BE49-F238E27FC236}">
              <a16:creationId xmlns:a16="http://schemas.microsoft.com/office/drawing/2014/main" id="{5443763E-51F0-363D-3E6A-5548952ED286}"/>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872" name="Text Box 112" hidden="1">
          <a:extLst>
            <a:ext uri="{FF2B5EF4-FFF2-40B4-BE49-F238E27FC236}">
              <a16:creationId xmlns:a16="http://schemas.microsoft.com/office/drawing/2014/main" id="{94C0DABD-B673-0B98-C5A0-FF722A1EEC8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71" name="Text Box 111" hidden="1">
          <a:extLst>
            <a:ext uri="{FF2B5EF4-FFF2-40B4-BE49-F238E27FC236}">
              <a16:creationId xmlns:a16="http://schemas.microsoft.com/office/drawing/2014/main" id="{05E95257-C15E-90F9-A643-85A280B4844D}"/>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70" name="Text Box 110" hidden="1">
          <a:extLst>
            <a:ext uri="{FF2B5EF4-FFF2-40B4-BE49-F238E27FC236}">
              <a16:creationId xmlns:a16="http://schemas.microsoft.com/office/drawing/2014/main" id="{369AF97E-9576-A26B-0630-16B6DB6E54EA}"/>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869" name="Text Box 109" hidden="1">
          <a:extLst>
            <a:ext uri="{FF2B5EF4-FFF2-40B4-BE49-F238E27FC236}">
              <a16:creationId xmlns:a16="http://schemas.microsoft.com/office/drawing/2014/main" id="{21759A3F-1E29-1481-6D72-096634314BC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922" name="Text Box 162" hidden="1">
          <a:extLst>
            <a:ext uri="{FF2B5EF4-FFF2-40B4-BE49-F238E27FC236}">
              <a16:creationId xmlns:a16="http://schemas.microsoft.com/office/drawing/2014/main" id="{D588AC09-4751-223A-77C5-8DD9EAF6DB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921" name="Text Box 161" hidden="1">
          <a:extLst>
            <a:ext uri="{FF2B5EF4-FFF2-40B4-BE49-F238E27FC236}">
              <a16:creationId xmlns:a16="http://schemas.microsoft.com/office/drawing/2014/main" id="{592ACE5E-8FCD-BC54-554A-FDA721FDAF72}"/>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20" name="Text Box 160" hidden="1">
          <a:extLst>
            <a:ext uri="{FF2B5EF4-FFF2-40B4-BE49-F238E27FC236}">
              <a16:creationId xmlns:a16="http://schemas.microsoft.com/office/drawing/2014/main" id="{789AB1B3-73BD-840D-319D-FE07839C48D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19" name="Text Box 159" hidden="1">
          <a:extLst>
            <a:ext uri="{FF2B5EF4-FFF2-40B4-BE49-F238E27FC236}">
              <a16:creationId xmlns:a16="http://schemas.microsoft.com/office/drawing/2014/main" id="{B709DB7E-9367-E131-A998-A80FB660E26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18" name="Text Box 158" hidden="1">
          <a:extLst>
            <a:ext uri="{FF2B5EF4-FFF2-40B4-BE49-F238E27FC236}">
              <a16:creationId xmlns:a16="http://schemas.microsoft.com/office/drawing/2014/main" id="{4B6BCDB2-C3CA-C628-BB70-F3BDABE0CAE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17" name="Text Box 157" hidden="1">
          <a:extLst>
            <a:ext uri="{FF2B5EF4-FFF2-40B4-BE49-F238E27FC236}">
              <a16:creationId xmlns:a16="http://schemas.microsoft.com/office/drawing/2014/main" id="{D6DC3ED6-4CB3-979C-F2BC-96D9A7312F0D}"/>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916" name="Text Box 156" hidden="1">
          <a:extLst>
            <a:ext uri="{FF2B5EF4-FFF2-40B4-BE49-F238E27FC236}">
              <a16:creationId xmlns:a16="http://schemas.microsoft.com/office/drawing/2014/main" id="{82FFFCE3-ED28-7C26-D35C-249D75AC2629}"/>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915" name="Text Box 155" hidden="1">
          <a:extLst>
            <a:ext uri="{FF2B5EF4-FFF2-40B4-BE49-F238E27FC236}">
              <a16:creationId xmlns:a16="http://schemas.microsoft.com/office/drawing/2014/main" id="{955B7D26-5F89-6EE6-FDD6-F79EAACF7F46}"/>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914" name="Text Box 154" hidden="1">
          <a:extLst>
            <a:ext uri="{FF2B5EF4-FFF2-40B4-BE49-F238E27FC236}">
              <a16:creationId xmlns:a16="http://schemas.microsoft.com/office/drawing/2014/main" id="{DD92601A-B417-DC87-EA49-1EFD9ACC58F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913" name="Text Box 153" hidden="1">
          <a:extLst>
            <a:ext uri="{FF2B5EF4-FFF2-40B4-BE49-F238E27FC236}">
              <a16:creationId xmlns:a16="http://schemas.microsoft.com/office/drawing/2014/main" id="{40D04E43-0957-8AA1-4C34-BBC5EF07E24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912" name="Text Box 152" hidden="1">
          <a:extLst>
            <a:ext uri="{FF2B5EF4-FFF2-40B4-BE49-F238E27FC236}">
              <a16:creationId xmlns:a16="http://schemas.microsoft.com/office/drawing/2014/main" id="{D116C01C-0C9A-8E6D-502E-72C518FDAF87}"/>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911" name="Text Box 151" hidden="1">
          <a:extLst>
            <a:ext uri="{FF2B5EF4-FFF2-40B4-BE49-F238E27FC236}">
              <a16:creationId xmlns:a16="http://schemas.microsoft.com/office/drawing/2014/main" id="{6B694E4C-DCCE-F85F-B01A-8641A24062DE}"/>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910" name="Text Box 150" hidden="1">
          <a:extLst>
            <a:ext uri="{FF2B5EF4-FFF2-40B4-BE49-F238E27FC236}">
              <a16:creationId xmlns:a16="http://schemas.microsoft.com/office/drawing/2014/main" id="{AFA18855-34A5-3F4C-71EE-79D30A01C550}"/>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909" name="Text Box 149" hidden="1">
          <a:extLst>
            <a:ext uri="{FF2B5EF4-FFF2-40B4-BE49-F238E27FC236}">
              <a16:creationId xmlns:a16="http://schemas.microsoft.com/office/drawing/2014/main" id="{E5E0AC7A-6C1F-A5A8-84FA-B54171E42522}"/>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908" name="Text Box 148" hidden="1">
          <a:extLst>
            <a:ext uri="{FF2B5EF4-FFF2-40B4-BE49-F238E27FC236}">
              <a16:creationId xmlns:a16="http://schemas.microsoft.com/office/drawing/2014/main" id="{CF82399F-2E82-D8D5-CFB5-FF74D32206CF}"/>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07" name="Text Box 147" hidden="1">
          <a:extLst>
            <a:ext uri="{FF2B5EF4-FFF2-40B4-BE49-F238E27FC236}">
              <a16:creationId xmlns:a16="http://schemas.microsoft.com/office/drawing/2014/main" id="{700D3507-757D-7AEF-C5EE-16122F8704E0}"/>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06" name="Text Box 146" hidden="1">
          <a:extLst>
            <a:ext uri="{FF2B5EF4-FFF2-40B4-BE49-F238E27FC236}">
              <a16:creationId xmlns:a16="http://schemas.microsoft.com/office/drawing/2014/main" id="{BD9A2D51-3856-934A-6015-4205DB85927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905" name="Text Box 145" hidden="1">
          <a:extLst>
            <a:ext uri="{FF2B5EF4-FFF2-40B4-BE49-F238E27FC236}">
              <a16:creationId xmlns:a16="http://schemas.microsoft.com/office/drawing/2014/main" id="{3C562E06-193F-358A-4E47-91C619D4564A}"/>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940" name="Text Box 180" hidden="1">
          <a:extLst>
            <a:ext uri="{FF2B5EF4-FFF2-40B4-BE49-F238E27FC236}">
              <a16:creationId xmlns:a16="http://schemas.microsoft.com/office/drawing/2014/main" id="{28EA635F-5A32-A4D2-1C0B-FD71DB6C1E5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939" name="Text Box 179" hidden="1">
          <a:extLst>
            <a:ext uri="{FF2B5EF4-FFF2-40B4-BE49-F238E27FC236}">
              <a16:creationId xmlns:a16="http://schemas.microsoft.com/office/drawing/2014/main" id="{6CBD67B2-56E5-43B3-7CCE-319DEC714873}"/>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38" name="Text Box 178" hidden="1">
          <a:extLst>
            <a:ext uri="{FF2B5EF4-FFF2-40B4-BE49-F238E27FC236}">
              <a16:creationId xmlns:a16="http://schemas.microsoft.com/office/drawing/2014/main" id="{2752CCDE-4AFD-C7DE-CC0A-07BF069B8D46}"/>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37" name="Text Box 177" hidden="1">
          <a:extLst>
            <a:ext uri="{FF2B5EF4-FFF2-40B4-BE49-F238E27FC236}">
              <a16:creationId xmlns:a16="http://schemas.microsoft.com/office/drawing/2014/main" id="{64C0CA45-FE5F-9C07-6E0B-1C7AA86F38A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36" name="Text Box 176" hidden="1">
          <a:extLst>
            <a:ext uri="{FF2B5EF4-FFF2-40B4-BE49-F238E27FC236}">
              <a16:creationId xmlns:a16="http://schemas.microsoft.com/office/drawing/2014/main" id="{31BEF7A3-295E-9588-7E28-FF1A87E648C4}"/>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35" name="Text Box 175" hidden="1">
          <a:extLst>
            <a:ext uri="{FF2B5EF4-FFF2-40B4-BE49-F238E27FC236}">
              <a16:creationId xmlns:a16="http://schemas.microsoft.com/office/drawing/2014/main" id="{2AA10193-A78E-825A-DAFC-BCF3B4E396C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934" name="Text Box 174" hidden="1">
          <a:extLst>
            <a:ext uri="{FF2B5EF4-FFF2-40B4-BE49-F238E27FC236}">
              <a16:creationId xmlns:a16="http://schemas.microsoft.com/office/drawing/2014/main" id="{F6C9482F-16E9-CDF5-9325-D2315E7F1802}"/>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933" name="Text Box 173" hidden="1">
          <a:extLst>
            <a:ext uri="{FF2B5EF4-FFF2-40B4-BE49-F238E27FC236}">
              <a16:creationId xmlns:a16="http://schemas.microsoft.com/office/drawing/2014/main" id="{0B07AF2F-1132-09D5-AF81-9156ED97E2F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932" name="Text Box 172" hidden="1">
          <a:extLst>
            <a:ext uri="{FF2B5EF4-FFF2-40B4-BE49-F238E27FC236}">
              <a16:creationId xmlns:a16="http://schemas.microsoft.com/office/drawing/2014/main" id="{61D4D838-9C5F-F9CF-8F00-23F4856CA9C5}"/>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931" name="Text Box 171" hidden="1">
          <a:extLst>
            <a:ext uri="{FF2B5EF4-FFF2-40B4-BE49-F238E27FC236}">
              <a16:creationId xmlns:a16="http://schemas.microsoft.com/office/drawing/2014/main" id="{5AAAE54D-4006-57D7-3A56-2C515FAA522F}"/>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930" name="Text Box 170" hidden="1">
          <a:extLst>
            <a:ext uri="{FF2B5EF4-FFF2-40B4-BE49-F238E27FC236}">
              <a16:creationId xmlns:a16="http://schemas.microsoft.com/office/drawing/2014/main" id="{FBC4E487-2049-D07B-3B53-A4BE9E8FCCB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929" name="Text Box 169" hidden="1">
          <a:extLst>
            <a:ext uri="{FF2B5EF4-FFF2-40B4-BE49-F238E27FC236}">
              <a16:creationId xmlns:a16="http://schemas.microsoft.com/office/drawing/2014/main" id="{D993DE9A-CF9D-5807-48CE-B960072516DA}"/>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928" name="Text Box 168" hidden="1">
          <a:extLst>
            <a:ext uri="{FF2B5EF4-FFF2-40B4-BE49-F238E27FC236}">
              <a16:creationId xmlns:a16="http://schemas.microsoft.com/office/drawing/2014/main" id="{9145D250-2B9C-CD8E-F916-E38B0395AC19}"/>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927" name="Text Box 167" hidden="1">
          <a:extLst>
            <a:ext uri="{FF2B5EF4-FFF2-40B4-BE49-F238E27FC236}">
              <a16:creationId xmlns:a16="http://schemas.microsoft.com/office/drawing/2014/main" id="{0A19F514-E1C8-ED6B-45A5-AFAA0C7EF6C1}"/>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926" name="Text Box 166" hidden="1">
          <a:extLst>
            <a:ext uri="{FF2B5EF4-FFF2-40B4-BE49-F238E27FC236}">
              <a16:creationId xmlns:a16="http://schemas.microsoft.com/office/drawing/2014/main" id="{B5BDBDA7-A8A8-7B4D-1106-A606969ACE78}"/>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25" name="Text Box 165" hidden="1">
          <a:extLst>
            <a:ext uri="{FF2B5EF4-FFF2-40B4-BE49-F238E27FC236}">
              <a16:creationId xmlns:a16="http://schemas.microsoft.com/office/drawing/2014/main" id="{A2E5BCA1-94CB-4B25-5491-904333FDD4B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24" name="Text Box 164" hidden="1">
          <a:extLst>
            <a:ext uri="{FF2B5EF4-FFF2-40B4-BE49-F238E27FC236}">
              <a16:creationId xmlns:a16="http://schemas.microsoft.com/office/drawing/2014/main" id="{3BC07E72-65F9-2077-1C98-383C6C566CA7}"/>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923" name="Text Box 163" hidden="1">
          <a:extLst>
            <a:ext uri="{FF2B5EF4-FFF2-40B4-BE49-F238E27FC236}">
              <a16:creationId xmlns:a16="http://schemas.microsoft.com/office/drawing/2014/main" id="{7982D449-FBB1-62B9-EB71-E35C6F1A825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958" name="Text Box 198" hidden="1">
          <a:extLst>
            <a:ext uri="{FF2B5EF4-FFF2-40B4-BE49-F238E27FC236}">
              <a16:creationId xmlns:a16="http://schemas.microsoft.com/office/drawing/2014/main" id="{09864E50-F4BF-DB46-37D1-E85444B03A1C}"/>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957" name="Text Box 197" hidden="1">
          <a:extLst>
            <a:ext uri="{FF2B5EF4-FFF2-40B4-BE49-F238E27FC236}">
              <a16:creationId xmlns:a16="http://schemas.microsoft.com/office/drawing/2014/main" id="{044E7E1E-AF9A-601D-6B27-814644E606E0}"/>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56" name="Text Box 196" hidden="1">
          <a:extLst>
            <a:ext uri="{FF2B5EF4-FFF2-40B4-BE49-F238E27FC236}">
              <a16:creationId xmlns:a16="http://schemas.microsoft.com/office/drawing/2014/main" id="{C5EB96AE-5F9C-7835-54DE-D78FD645110E}"/>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55" name="Text Box 195" hidden="1">
          <a:extLst>
            <a:ext uri="{FF2B5EF4-FFF2-40B4-BE49-F238E27FC236}">
              <a16:creationId xmlns:a16="http://schemas.microsoft.com/office/drawing/2014/main" id="{D8E3D7BC-6386-E9A8-5639-FC5C6F5B884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54" name="Text Box 194" hidden="1">
          <a:extLst>
            <a:ext uri="{FF2B5EF4-FFF2-40B4-BE49-F238E27FC236}">
              <a16:creationId xmlns:a16="http://schemas.microsoft.com/office/drawing/2014/main" id="{89D0312C-87F8-6A2D-77E3-74D97F7290BB}"/>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53" name="Text Box 193" hidden="1">
          <a:extLst>
            <a:ext uri="{FF2B5EF4-FFF2-40B4-BE49-F238E27FC236}">
              <a16:creationId xmlns:a16="http://schemas.microsoft.com/office/drawing/2014/main" id="{FBF12AED-8ABE-0A39-679C-642EA351DADC}"/>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952" name="Text Box 192" hidden="1">
          <a:extLst>
            <a:ext uri="{FF2B5EF4-FFF2-40B4-BE49-F238E27FC236}">
              <a16:creationId xmlns:a16="http://schemas.microsoft.com/office/drawing/2014/main" id="{0BF3C935-FD53-D0A0-5554-8E4C56A30F2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951" name="Text Box 191" hidden="1">
          <a:extLst>
            <a:ext uri="{FF2B5EF4-FFF2-40B4-BE49-F238E27FC236}">
              <a16:creationId xmlns:a16="http://schemas.microsoft.com/office/drawing/2014/main" id="{99E1AE6D-C4BA-1665-78AC-9E2A68D91AC2}"/>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950" name="Text Box 190" hidden="1">
          <a:extLst>
            <a:ext uri="{FF2B5EF4-FFF2-40B4-BE49-F238E27FC236}">
              <a16:creationId xmlns:a16="http://schemas.microsoft.com/office/drawing/2014/main" id="{D41D5622-C79F-5BDB-7579-88EFC89E4B74}"/>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949" name="Text Box 189" hidden="1">
          <a:extLst>
            <a:ext uri="{FF2B5EF4-FFF2-40B4-BE49-F238E27FC236}">
              <a16:creationId xmlns:a16="http://schemas.microsoft.com/office/drawing/2014/main" id="{139B93FE-6657-8983-14F4-F0A880E1086A}"/>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948" name="Text Box 188" hidden="1">
          <a:extLst>
            <a:ext uri="{FF2B5EF4-FFF2-40B4-BE49-F238E27FC236}">
              <a16:creationId xmlns:a16="http://schemas.microsoft.com/office/drawing/2014/main" id="{76CD80ED-F3B1-80B0-5DFB-D635030EF0B2}"/>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947" name="Text Box 187" hidden="1">
          <a:extLst>
            <a:ext uri="{FF2B5EF4-FFF2-40B4-BE49-F238E27FC236}">
              <a16:creationId xmlns:a16="http://schemas.microsoft.com/office/drawing/2014/main" id="{FA86C211-FB4D-243B-81A8-0C62F48D8A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946" name="Text Box 186" hidden="1">
          <a:extLst>
            <a:ext uri="{FF2B5EF4-FFF2-40B4-BE49-F238E27FC236}">
              <a16:creationId xmlns:a16="http://schemas.microsoft.com/office/drawing/2014/main" id="{33DA4B3B-2D6A-8F85-6D31-997E4F3C37E4}"/>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945" name="Text Box 185" hidden="1">
          <a:extLst>
            <a:ext uri="{FF2B5EF4-FFF2-40B4-BE49-F238E27FC236}">
              <a16:creationId xmlns:a16="http://schemas.microsoft.com/office/drawing/2014/main" id="{C5647AFC-1865-6BDD-7BD7-1C3312F50CF5}"/>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944" name="Text Box 184" hidden="1">
          <a:extLst>
            <a:ext uri="{FF2B5EF4-FFF2-40B4-BE49-F238E27FC236}">
              <a16:creationId xmlns:a16="http://schemas.microsoft.com/office/drawing/2014/main" id="{A3DCAC3A-2188-1B44-5FBE-CDF7A6A13AD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43" name="Text Box 183" hidden="1">
          <a:extLst>
            <a:ext uri="{FF2B5EF4-FFF2-40B4-BE49-F238E27FC236}">
              <a16:creationId xmlns:a16="http://schemas.microsoft.com/office/drawing/2014/main" id="{80B40D6B-1007-721D-D75C-C7179028671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42" name="Text Box 182" hidden="1">
          <a:extLst>
            <a:ext uri="{FF2B5EF4-FFF2-40B4-BE49-F238E27FC236}">
              <a16:creationId xmlns:a16="http://schemas.microsoft.com/office/drawing/2014/main" id="{4390B42C-DF65-2168-1DDA-0EB692C88F1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941" name="Text Box 181" hidden="1">
          <a:extLst>
            <a:ext uri="{FF2B5EF4-FFF2-40B4-BE49-F238E27FC236}">
              <a16:creationId xmlns:a16="http://schemas.microsoft.com/office/drawing/2014/main" id="{1E43E3E9-494D-B03D-468A-749253A777B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976" name="Text Box 216" hidden="1">
          <a:extLst>
            <a:ext uri="{FF2B5EF4-FFF2-40B4-BE49-F238E27FC236}">
              <a16:creationId xmlns:a16="http://schemas.microsoft.com/office/drawing/2014/main" id="{CAF293F5-C13C-A445-5B94-6C61B7E8A24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975" name="Text Box 215" hidden="1">
          <a:extLst>
            <a:ext uri="{FF2B5EF4-FFF2-40B4-BE49-F238E27FC236}">
              <a16:creationId xmlns:a16="http://schemas.microsoft.com/office/drawing/2014/main" id="{C632ACE2-1974-5B19-757C-1BA25600C1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74" name="Text Box 214" hidden="1">
          <a:extLst>
            <a:ext uri="{FF2B5EF4-FFF2-40B4-BE49-F238E27FC236}">
              <a16:creationId xmlns:a16="http://schemas.microsoft.com/office/drawing/2014/main" id="{279481FB-65BD-1BCE-7613-58290262CD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73" name="Text Box 213" hidden="1">
          <a:extLst>
            <a:ext uri="{FF2B5EF4-FFF2-40B4-BE49-F238E27FC236}">
              <a16:creationId xmlns:a16="http://schemas.microsoft.com/office/drawing/2014/main" id="{39FF1584-1D80-F082-366F-1426B46BC198}"/>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72" name="Text Box 212" hidden="1">
          <a:extLst>
            <a:ext uri="{FF2B5EF4-FFF2-40B4-BE49-F238E27FC236}">
              <a16:creationId xmlns:a16="http://schemas.microsoft.com/office/drawing/2014/main" id="{CDF73FE8-B0B8-9512-FE8A-6FDED377CFD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71" name="Text Box 211" hidden="1">
          <a:extLst>
            <a:ext uri="{FF2B5EF4-FFF2-40B4-BE49-F238E27FC236}">
              <a16:creationId xmlns:a16="http://schemas.microsoft.com/office/drawing/2014/main" id="{3C0997A2-240B-CA18-90B4-2CA67E618B62}"/>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970" name="Text Box 210" hidden="1">
          <a:extLst>
            <a:ext uri="{FF2B5EF4-FFF2-40B4-BE49-F238E27FC236}">
              <a16:creationId xmlns:a16="http://schemas.microsoft.com/office/drawing/2014/main" id="{58AA5E60-57FF-F56A-E2A2-98B28002041B}"/>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969" name="Text Box 209" hidden="1">
          <a:extLst>
            <a:ext uri="{FF2B5EF4-FFF2-40B4-BE49-F238E27FC236}">
              <a16:creationId xmlns:a16="http://schemas.microsoft.com/office/drawing/2014/main" id="{F66DE21D-249F-1153-10D6-22C097DA57F1}"/>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968" name="Text Box 208" hidden="1">
          <a:extLst>
            <a:ext uri="{FF2B5EF4-FFF2-40B4-BE49-F238E27FC236}">
              <a16:creationId xmlns:a16="http://schemas.microsoft.com/office/drawing/2014/main" id="{FA57440F-2586-7D10-DFEC-1FDF49D8EB0C}"/>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967" name="Text Box 207" hidden="1">
          <a:extLst>
            <a:ext uri="{FF2B5EF4-FFF2-40B4-BE49-F238E27FC236}">
              <a16:creationId xmlns:a16="http://schemas.microsoft.com/office/drawing/2014/main" id="{C4117911-F48E-332C-73C0-F54273309F7C}"/>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966" name="Text Box 206" hidden="1">
          <a:extLst>
            <a:ext uri="{FF2B5EF4-FFF2-40B4-BE49-F238E27FC236}">
              <a16:creationId xmlns:a16="http://schemas.microsoft.com/office/drawing/2014/main" id="{79F7C8C4-2270-8781-1018-239CF5F078EB}"/>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965" name="Text Box 205" hidden="1">
          <a:extLst>
            <a:ext uri="{FF2B5EF4-FFF2-40B4-BE49-F238E27FC236}">
              <a16:creationId xmlns:a16="http://schemas.microsoft.com/office/drawing/2014/main" id="{ECCEFC9F-00DB-0D57-27F1-7C32485B8F5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964" name="Text Box 204" hidden="1">
          <a:extLst>
            <a:ext uri="{FF2B5EF4-FFF2-40B4-BE49-F238E27FC236}">
              <a16:creationId xmlns:a16="http://schemas.microsoft.com/office/drawing/2014/main" id="{D4335A28-940B-F409-AE3C-192492777D5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963" name="Text Box 203" hidden="1">
          <a:extLst>
            <a:ext uri="{FF2B5EF4-FFF2-40B4-BE49-F238E27FC236}">
              <a16:creationId xmlns:a16="http://schemas.microsoft.com/office/drawing/2014/main" id="{DE58FF3B-28EC-B078-7A92-02846E1E429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962" name="Text Box 202" hidden="1">
          <a:extLst>
            <a:ext uri="{FF2B5EF4-FFF2-40B4-BE49-F238E27FC236}">
              <a16:creationId xmlns:a16="http://schemas.microsoft.com/office/drawing/2014/main" id="{B2E58C5A-6B18-D469-5B40-46445B3F1B6C}"/>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61" name="Text Box 201" hidden="1">
          <a:extLst>
            <a:ext uri="{FF2B5EF4-FFF2-40B4-BE49-F238E27FC236}">
              <a16:creationId xmlns:a16="http://schemas.microsoft.com/office/drawing/2014/main" id="{BA94193E-86A0-3B38-5346-CF344983770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60" name="Text Box 200" hidden="1">
          <a:extLst>
            <a:ext uri="{FF2B5EF4-FFF2-40B4-BE49-F238E27FC236}">
              <a16:creationId xmlns:a16="http://schemas.microsoft.com/office/drawing/2014/main" id="{5FEEBD44-1233-A3A3-3A2F-6691A2D39F01}"/>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959" name="Text Box 199" hidden="1">
          <a:extLst>
            <a:ext uri="{FF2B5EF4-FFF2-40B4-BE49-F238E27FC236}">
              <a16:creationId xmlns:a16="http://schemas.microsoft.com/office/drawing/2014/main" id="{4D8C99D2-7AB1-03FE-78FB-AFDA32DC850D}"/>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4805" name="Text Box 21" hidden="1">
          <a:extLst>
            <a:ext uri="{FF2B5EF4-FFF2-40B4-BE49-F238E27FC236}">
              <a16:creationId xmlns:a16="http://schemas.microsoft.com/office/drawing/2014/main" id="{D65DA039-B302-0FFA-5830-2D7E7613276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4804" name="Text Box 20" hidden="1">
          <a:extLst>
            <a:ext uri="{FF2B5EF4-FFF2-40B4-BE49-F238E27FC236}">
              <a16:creationId xmlns:a16="http://schemas.microsoft.com/office/drawing/2014/main" id="{BF7454B9-8F07-519E-0FC7-CF9195301D1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33</xdr:row>
      <xdr:rowOff>342900</xdr:rowOff>
    </xdr:from>
    <xdr:to>
      <xdr:col>17</xdr:col>
      <xdr:colOff>533400</xdr:colOff>
      <xdr:row>33</xdr:row>
      <xdr:rowOff>342900</xdr:rowOff>
    </xdr:to>
    <xdr:sp macro="" textlink="">
      <xdr:nvSpPr>
        <xdr:cNvPr id="374803" name="Text Box 19" hidden="1">
          <a:extLst>
            <a:ext uri="{FF2B5EF4-FFF2-40B4-BE49-F238E27FC236}">
              <a16:creationId xmlns:a16="http://schemas.microsoft.com/office/drawing/2014/main" id="{415EFF81-291E-A2FB-8BA9-F1A513D9D59B}"/>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32</xdr:row>
      <xdr:rowOff>342900</xdr:rowOff>
    </xdr:from>
    <xdr:to>
      <xdr:col>17</xdr:col>
      <xdr:colOff>533400</xdr:colOff>
      <xdr:row>33</xdr:row>
      <xdr:rowOff>342900</xdr:rowOff>
    </xdr:to>
    <xdr:sp macro="" textlink="">
      <xdr:nvSpPr>
        <xdr:cNvPr id="374802" name="Text Box 18" hidden="1">
          <a:extLst>
            <a:ext uri="{FF2B5EF4-FFF2-40B4-BE49-F238E27FC236}">
              <a16:creationId xmlns:a16="http://schemas.microsoft.com/office/drawing/2014/main" id="{F44085C4-4735-C956-EE1E-421CCD082183}"/>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01" name="Text Box 17" hidden="1">
          <a:extLst>
            <a:ext uri="{FF2B5EF4-FFF2-40B4-BE49-F238E27FC236}">
              <a16:creationId xmlns:a16="http://schemas.microsoft.com/office/drawing/2014/main" id="{DA8759AC-56FC-D2C7-FCA0-1CF305C7D27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00" name="Text Box 16" hidden="1">
          <a:extLst>
            <a:ext uri="{FF2B5EF4-FFF2-40B4-BE49-F238E27FC236}">
              <a16:creationId xmlns:a16="http://schemas.microsoft.com/office/drawing/2014/main" id="{2EF7E31D-93B8-EF07-55EC-524D3C3C6720}"/>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4799" name="Text Box 15" hidden="1">
          <a:extLst>
            <a:ext uri="{FF2B5EF4-FFF2-40B4-BE49-F238E27FC236}">
              <a16:creationId xmlns:a16="http://schemas.microsoft.com/office/drawing/2014/main" id="{D296347B-E488-8480-9459-C08249795E90}"/>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4798" name="Text Box 14" hidden="1">
          <a:extLst>
            <a:ext uri="{FF2B5EF4-FFF2-40B4-BE49-F238E27FC236}">
              <a16:creationId xmlns:a16="http://schemas.microsoft.com/office/drawing/2014/main" id="{CDE029A1-AC64-4864-3181-992E2A32A49D}"/>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4797" name="Text Box 13" hidden="1">
          <a:extLst>
            <a:ext uri="{FF2B5EF4-FFF2-40B4-BE49-F238E27FC236}">
              <a16:creationId xmlns:a16="http://schemas.microsoft.com/office/drawing/2014/main" id="{1120FB2D-FC75-BE1D-19B7-FF30046BF5AB}"/>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4796" name="Text Box 12" hidden="1">
          <a:extLst>
            <a:ext uri="{FF2B5EF4-FFF2-40B4-BE49-F238E27FC236}">
              <a16:creationId xmlns:a16="http://schemas.microsoft.com/office/drawing/2014/main" id="{E951FBA7-68FC-BAAD-5D19-FFA1B04FF5A2}"/>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4233</xdr:colOff>
      <xdr:row>19</xdr:row>
      <xdr:rowOff>19050</xdr:rowOff>
    </xdr:to>
    <xdr:sp macro="" textlink="">
      <xdr:nvSpPr>
        <xdr:cNvPr id="374795" name="Text Box 11" hidden="1">
          <a:extLst>
            <a:ext uri="{FF2B5EF4-FFF2-40B4-BE49-F238E27FC236}">
              <a16:creationId xmlns:a16="http://schemas.microsoft.com/office/drawing/2014/main" id="{82F93A6B-2748-8767-68E3-91598B6874F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4794" name="Text Box 10" hidden="1">
          <a:extLst>
            <a:ext uri="{FF2B5EF4-FFF2-40B4-BE49-F238E27FC236}">
              <a16:creationId xmlns:a16="http://schemas.microsoft.com/office/drawing/2014/main" id="{7553CAFD-DC66-648D-0B01-A8442D802E0F}"/>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4793" name="Text Box 9" hidden="1">
          <a:extLst>
            <a:ext uri="{FF2B5EF4-FFF2-40B4-BE49-F238E27FC236}">
              <a16:creationId xmlns:a16="http://schemas.microsoft.com/office/drawing/2014/main" id="{2944D17A-F6C8-6BA2-C3A4-94B25AEC1AC5}"/>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4792" name="Text Box 8" hidden="1">
          <a:extLst>
            <a:ext uri="{FF2B5EF4-FFF2-40B4-BE49-F238E27FC236}">
              <a16:creationId xmlns:a16="http://schemas.microsoft.com/office/drawing/2014/main" id="{B6CDB66F-8B7F-09C4-7E35-AC27DDCF77D7}"/>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4791" name="Text Box 7" hidden="1">
          <a:extLst>
            <a:ext uri="{FF2B5EF4-FFF2-40B4-BE49-F238E27FC236}">
              <a16:creationId xmlns:a16="http://schemas.microsoft.com/office/drawing/2014/main" id="{5B3B6EB9-7B3C-DF09-1700-15D2B705FD2A}"/>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790" name="Text Box 6" hidden="1">
          <a:extLst>
            <a:ext uri="{FF2B5EF4-FFF2-40B4-BE49-F238E27FC236}">
              <a16:creationId xmlns:a16="http://schemas.microsoft.com/office/drawing/2014/main" id="{E19A18B6-2E27-E601-AAB7-539B4C28A38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789" name="Text Box 5" hidden="1">
          <a:extLst>
            <a:ext uri="{FF2B5EF4-FFF2-40B4-BE49-F238E27FC236}">
              <a16:creationId xmlns:a16="http://schemas.microsoft.com/office/drawing/2014/main" id="{4898186E-20D1-424E-BFDD-19915F34943B}"/>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4788" name="Text Box 4" hidden="1">
          <a:extLst>
            <a:ext uri="{FF2B5EF4-FFF2-40B4-BE49-F238E27FC236}">
              <a16:creationId xmlns:a16="http://schemas.microsoft.com/office/drawing/2014/main" id="{D3A9E122-7E8C-B91C-C19A-0D446ABC69F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787" name="Text Box 3" hidden="1">
          <a:extLst>
            <a:ext uri="{FF2B5EF4-FFF2-40B4-BE49-F238E27FC236}">
              <a16:creationId xmlns:a16="http://schemas.microsoft.com/office/drawing/2014/main" id="{E3C82D54-F9D0-5702-45E4-946730E909A5}"/>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786" name="Text Box 2" hidden="1">
          <a:extLst>
            <a:ext uri="{FF2B5EF4-FFF2-40B4-BE49-F238E27FC236}">
              <a16:creationId xmlns:a16="http://schemas.microsoft.com/office/drawing/2014/main" id="{C30F5D03-238A-10E4-7867-89B683D6CFEE}"/>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90</xdr:row>
      <xdr:rowOff>99483</xdr:rowOff>
    </xdr:from>
    <xdr:to>
      <xdr:col>32</xdr:col>
      <xdr:colOff>666750</xdr:colOff>
      <xdr:row>91</xdr:row>
      <xdr:rowOff>402167</xdr:rowOff>
    </xdr:to>
    <xdr:sp macro="" textlink="">
      <xdr:nvSpPr>
        <xdr:cNvPr id="374785" name="Text Box 1" hidden="1">
          <a:extLst>
            <a:ext uri="{FF2B5EF4-FFF2-40B4-BE49-F238E27FC236}">
              <a16:creationId xmlns:a16="http://schemas.microsoft.com/office/drawing/2014/main" id="{D520F19F-D0A3-4589-5979-85D288DB97D4}"/>
            </a:ext>
          </a:extLst>
        </xdr:cNvPr>
        <xdr:cNvSpPr txBox="1">
          <a:spLocks noChangeArrowheads="1"/>
        </xdr:cNvSpPr>
      </xdr:nvSpPr>
      <xdr:spPr bwMode="auto">
        <a:xfrm>
          <a:off x="28060650" y="2273300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5</xdr:col>
      <xdr:colOff>844759</xdr:colOff>
      <xdr:row>101</xdr:row>
      <xdr:rowOff>255402</xdr:rowOff>
    </xdr:from>
    <xdr:to>
      <xdr:col>8</xdr:col>
      <xdr:colOff>9147</xdr:colOff>
      <xdr:row>101</xdr:row>
      <xdr:rowOff>255402</xdr:rowOff>
    </xdr:to>
    <xdr:sp macro="" textlink="">
      <xdr:nvSpPr>
        <xdr:cNvPr id="2" name="Text Box 4" hidden="1">
          <a:extLst>
            <a:ext uri="{FF2B5EF4-FFF2-40B4-BE49-F238E27FC236}">
              <a16:creationId xmlns:a16="http://schemas.microsoft.com/office/drawing/2014/main" id="{0691EE16-0C46-4D85-9FD4-EF55C74F2D64}"/>
            </a:ext>
          </a:extLst>
        </xdr:cNvPr>
        <xdr:cNvSpPr txBox="1">
          <a:spLocks noChangeArrowheads="1"/>
        </xdr:cNvSpPr>
      </xdr:nvSpPr>
      <xdr:spPr bwMode="auto">
        <a:xfrm>
          <a:off x="9014782" y="23838742"/>
          <a:ext cx="1591581"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3" name="Text Box 5" hidden="1">
          <a:extLst>
            <a:ext uri="{FF2B5EF4-FFF2-40B4-BE49-F238E27FC236}">
              <a16:creationId xmlns:a16="http://schemas.microsoft.com/office/drawing/2014/main" id="{BE57657E-FF28-423D-A2EF-F064EFC860DD}"/>
            </a:ext>
          </a:extLst>
        </xdr:cNvPr>
        <xdr:cNvSpPr txBox="1">
          <a:spLocks noChangeArrowheads="1"/>
        </xdr:cNvSpPr>
      </xdr:nvSpPr>
      <xdr:spPr bwMode="auto">
        <a:xfrm>
          <a:off x="11328779" y="23838742"/>
          <a:ext cx="1587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 name="Text Box 7" hidden="1">
          <a:extLst>
            <a:ext uri="{FF2B5EF4-FFF2-40B4-BE49-F238E27FC236}">
              <a16:creationId xmlns:a16="http://schemas.microsoft.com/office/drawing/2014/main" id="{54EAF1AE-2D0A-48B8-A016-121DF618761E}"/>
            </a:ext>
          </a:extLst>
        </xdr:cNvPr>
        <xdr:cNvSpPr txBox="1">
          <a:spLocks noChangeArrowheads="1"/>
        </xdr:cNvSpPr>
      </xdr:nvSpPr>
      <xdr:spPr bwMode="auto">
        <a:xfrm>
          <a:off x="3393168" y="6759388"/>
          <a:ext cx="1593561" cy="780508"/>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2678793</xdr:colOff>
      <xdr:row>51</xdr:row>
      <xdr:rowOff>161029</xdr:rowOff>
    </xdr:from>
    <xdr:to>
      <xdr:col>1</xdr:col>
      <xdr:colOff>4259019</xdr:colOff>
      <xdr:row>55</xdr:row>
      <xdr:rowOff>49906</xdr:rowOff>
    </xdr:to>
    <xdr:sp macro="" textlink="">
      <xdr:nvSpPr>
        <xdr:cNvPr id="5" name="Text Box 8" hidden="1">
          <a:extLst>
            <a:ext uri="{FF2B5EF4-FFF2-40B4-BE49-F238E27FC236}">
              <a16:creationId xmlns:a16="http://schemas.microsoft.com/office/drawing/2014/main" id="{D41B16DB-19AE-4E30-8515-53B8A56BFF96}"/>
            </a:ext>
          </a:extLst>
        </xdr:cNvPr>
        <xdr:cNvSpPr txBox="1">
          <a:spLocks noChangeArrowheads="1"/>
        </xdr:cNvSpPr>
      </xdr:nvSpPr>
      <xdr:spPr bwMode="auto">
        <a:xfrm>
          <a:off x="3431268" y="11862024"/>
          <a:ext cx="1580226" cy="803278"/>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101</xdr:row>
      <xdr:rowOff>255402</xdr:rowOff>
    </xdr:from>
    <xdr:to>
      <xdr:col>8</xdr:col>
      <xdr:colOff>9147</xdr:colOff>
      <xdr:row>101</xdr:row>
      <xdr:rowOff>255402</xdr:rowOff>
    </xdr:to>
    <xdr:sp macro="" textlink="">
      <xdr:nvSpPr>
        <xdr:cNvPr id="6" name="Text Box 4" hidden="1">
          <a:extLst>
            <a:ext uri="{FF2B5EF4-FFF2-40B4-BE49-F238E27FC236}">
              <a16:creationId xmlns:a16="http://schemas.microsoft.com/office/drawing/2014/main" id="{11B673C1-34F8-4FD9-806E-EF7817BC4534}"/>
            </a:ext>
          </a:extLst>
        </xdr:cNvPr>
        <xdr:cNvSpPr txBox="1">
          <a:spLocks noChangeArrowheads="1"/>
        </xdr:cNvSpPr>
      </xdr:nvSpPr>
      <xdr:spPr bwMode="auto">
        <a:xfrm>
          <a:off x="9014782" y="23838742"/>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7" name="Text Box 3" hidden="1">
          <a:extLst>
            <a:ext uri="{FF2B5EF4-FFF2-40B4-BE49-F238E27FC236}">
              <a16:creationId xmlns:a16="http://schemas.microsoft.com/office/drawing/2014/main" id="{BA66565C-9D79-4D50-AC7F-3241299C8D73}"/>
            </a:ext>
          </a:extLst>
        </xdr:cNvPr>
        <xdr:cNvSpPr txBox="1">
          <a:spLocks noChangeArrowheads="1"/>
        </xdr:cNvSpPr>
      </xdr:nvSpPr>
      <xdr:spPr bwMode="auto">
        <a:xfrm>
          <a:off x="11328779" y="2383874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8" name="Text Box 2" hidden="1">
          <a:extLst>
            <a:ext uri="{FF2B5EF4-FFF2-40B4-BE49-F238E27FC236}">
              <a16:creationId xmlns:a16="http://schemas.microsoft.com/office/drawing/2014/main" id="{05B0E8EE-A2C7-48D8-A1C0-B253B8EC4ED5}"/>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9" name="Text Box 7" hidden="1">
          <a:extLst>
            <a:ext uri="{FF2B5EF4-FFF2-40B4-BE49-F238E27FC236}">
              <a16:creationId xmlns:a16="http://schemas.microsoft.com/office/drawing/2014/main" id="{53C259D1-1A51-4430-B7C6-6493DC5C5C1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0" name="Text Box 6" hidden="1">
          <a:extLst>
            <a:ext uri="{FF2B5EF4-FFF2-40B4-BE49-F238E27FC236}">
              <a16:creationId xmlns:a16="http://schemas.microsoft.com/office/drawing/2014/main" id="{86787A2A-F6D6-4D1B-B401-AC1087D6653A}"/>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1" name="Text Box 5" hidden="1">
          <a:extLst>
            <a:ext uri="{FF2B5EF4-FFF2-40B4-BE49-F238E27FC236}">
              <a16:creationId xmlns:a16="http://schemas.microsoft.com/office/drawing/2014/main" id="{FD2F1AB9-B6B7-4516-BE35-A4D87010496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2" name="Text Box 10" hidden="1">
          <a:extLst>
            <a:ext uri="{FF2B5EF4-FFF2-40B4-BE49-F238E27FC236}">
              <a16:creationId xmlns:a16="http://schemas.microsoft.com/office/drawing/2014/main" id="{8158A8FC-6353-44D0-B26C-DE52A596A354}"/>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3" name="Text Box 9" hidden="1">
          <a:extLst>
            <a:ext uri="{FF2B5EF4-FFF2-40B4-BE49-F238E27FC236}">
              <a16:creationId xmlns:a16="http://schemas.microsoft.com/office/drawing/2014/main" id="{94EB6A12-D096-4239-9EB4-73C74D5387C0}"/>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4" name="Text Box 8" hidden="1">
          <a:extLst>
            <a:ext uri="{FF2B5EF4-FFF2-40B4-BE49-F238E27FC236}">
              <a16:creationId xmlns:a16="http://schemas.microsoft.com/office/drawing/2014/main" id="{46203EAE-19E8-447E-9272-D8443F598503}"/>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5" name="Text Box 13" hidden="1">
          <a:extLst>
            <a:ext uri="{FF2B5EF4-FFF2-40B4-BE49-F238E27FC236}">
              <a16:creationId xmlns:a16="http://schemas.microsoft.com/office/drawing/2014/main" id="{650D6024-5BFA-4BA4-9F7B-57289EC2E230}"/>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6" name="Text Box 12" hidden="1">
          <a:extLst>
            <a:ext uri="{FF2B5EF4-FFF2-40B4-BE49-F238E27FC236}">
              <a16:creationId xmlns:a16="http://schemas.microsoft.com/office/drawing/2014/main" id="{270183A6-26A5-4A85-B856-A2D89E34388D}"/>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7" name="Text Box 11" hidden="1">
          <a:extLst>
            <a:ext uri="{FF2B5EF4-FFF2-40B4-BE49-F238E27FC236}">
              <a16:creationId xmlns:a16="http://schemas.microsoft.com/office/drawing/2014/main" id="{4E96C962-8702-4CC2-9C11-73DA8358612F}"/>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8" name="Text Box 16" hidden="1">
          <a:extLst>
            <a:ext uri="{FF2B5EF4-FFF2-40B4-BE49-F238E27FC236}">
              <a16:creationId xmlns:a16="http://schemas.microsoft.com/office/drawing/2014/main" id="{626207F0-EA76-4B20-837A-23888ADF65A1}"/>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9" name="Text Box 15" hidden="1">
          <a:extLst>
            <a:ext uri="{FF2B5EF4-FFF2-40B4-BE49-F238E27FC236}">
              <a16:creationId xmlns:a16="http://schemas.microsoft.com/office/drawing/2014/main" id="{CB390E45-1673-46C7-941D-A508AFC4D6E8}"/>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0" name="Text Box 14" hidden="1">
          <a:extLst>
            <a:ext uri="{FF2B5EF4-FFF2-40B4-BE49-F238E27FC236}">
              <a16:creationId xmlns:a16="http://schemas.microsoft.com/office/drawing/2014/main" id="{661D9627-F1CA-4F75-8473-0C942788C73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1" name="Text Box 19" hidden="1">
          <a:extLst>
            <a:ext uri="{FF2B5EF4-FFF2-40B4-BE49-F238E27FC236}">
              <a16:creationId xmlns:a16="http://schemas.microsoft.com/office/drawing/2014/main" id="{5F6A8D8E-13D0-4046-B1C7-91B37C0F8EB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2" name="Text Box 18" hidden="1">
          <a:extLst>
            <a:ext uri="{FF2B5EF4-FFF2-40B4-BE49-F238E27FC236}">
              <a16:creationId xmlns:a16="http://schemas.microsoft.com/office/drawing/2014/main" id="{0FA87725-3E33-4A91-8F32-A0E78CA437BF}"/>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3" name="Text Box 17" hidden="1">
          <a:extLst>
            <a:ext uri="{FF2B5EF4-FFF2-40B4-BE49-F238E27FC236}">
              <a16:creationId xmlns:a16="http://schemas.microsoft.com/office/drawing/2014/main" id="{7EFE59CA-633E-42D2-8800-04E1E7EBFE42}"/>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4" name="Text Box 22" hidden="1">
          <a:extLst>
            <a:ext uri="{FF2B5EF4-FFF2-40B4-BE49-F238E27FC236}">
              <a16:creationId xmlns:a16="http://schemas.microsoft.com/office/drawing/2014/main" id="{CBEA0ACC-4893-4FD7-967C-18A4FAB462FC}"/>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5" name="Text Box 21" hidden="1">
          <a:extLst>
            <a:ext uri="{FF2B5EF4-FFF2-40B4-BE49-F238E27FC236}">
              <a16:creationId xmlns:a16="http://schemas.microsoft.com/office/drawing/2014/main" id="{40AA5AD6-D189-4C31-8091-3894A8CE190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6" name="Text Box 20" hidden="1">
          <a:extLst>
            <a:ext uri="{FF2B5EF4-FFF2-40B4-BE49-F238E27FC236}">
              <a16:creationId xmlns:a16="http://schemas.microsoft.com/office/drawing/2014/main" id="{7D793F23-DD73-4FFB-9E7A-4A1358461A67}"/>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7" name="Text Box 25" hidden="1">
          <a:extLst>
            <a:ext uri="{FF2B5EF4-FFF2-40B4-BE49-F238E27FC236}">
              <a16:creationId xmlns:a16="http://schemas.microsoft.com/office/drawing/2014/main" id="{9DFA9DAE-D6B1-47AD-9631-E6360C46A738}"/>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8" name="Text Box 24" hidden="1">
          <a:extLst>
            <a:ext uri="{FF2B5EF4-FFF2-40B4-BE49-F238E27FC236}">
              <a16:creationId xmlns:a16="http://schemas.microsoft.com/office/drawing/2014/main" id="{60C3A95F-284E-449E-9B1F-342DA37BC4B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9" name="Text Box 23" hidden="1">
          <a:extLst>
            <a:ext uri="{FF2B5EF4-FFF2-40B4-BE49-F238E27FC236}">
              <a16:creationId xmlns:a16="http://schemas.microsoft.com/office/drawing/2014/main" id="{2BCD6C99-44C9-4EE1-96D4-B3A354B94AD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0" name="Text Box 28" hidden="1">
          <a:extLst>
            <a:ext uri="{FF2B5EF4-FFF2-40B4-BE49-F238E27FC236}">
              <a16:creationId xmlns:a16="http://schemas.microsoft.com/office/drawing/2014/main" id="{BADE9FCA-4A15-49EC-9496-FB0D21A4D270}"/>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1" name="Text Box 27" hidden="1">
          <a:extLst>
            <a:ext uri="{FF2B5EF4-FFF2-40B4-BE49-F238E27FC236}">
              <a16:creationId xmlns:a16="http://schemas.microsoft.com/office/drawing/2014/main" id="{70528C97-5943-4EC3-A30C-9C2674EA14F3}"/>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2" name="Text Box 26" hidden="1">
          <a:extLst>
            <a:ext uri="{FF2B5EF4-FFF2-40B4-BE49-F238E27FC236}">
              <a16:creationId xmlns:a16="http://schemas.microsoft.com/office/drawing/2014/main" id="{0F888637-88BA-4FFC-90C2-EA8F91EEA10B}"/>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3" name="Text Box 31" hidden="1">
          <a:extLst>
            <a:ext uri="{FF2B5EF4-FFF2-40B4-BE49-F238E27FC236}">
              <a16:creationId xmlns:a16="http://schemas.microsoft.com/office/drawing/2014/main" id="{2CA9723F-5C8C-4D23-9C72-17D1F5117189}"/>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4" name="Text Box 30" hidden="1">
          <a:extLst>
            <a:ext uri="{FF2B5EF4-FFF2-40B4-BE49-F238E27FC236}">
              <a16:creationId xmlns:a16="http://schemas.microsoft.com/office/drawing/2014/main" id="{49CA1536-A866-4C14-BE9C-4016D629FD8F}"/>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5" name="Text Box 29" hidden="1">
          <a:extLst>
            <a:ext uri="{FF2B5EF4-FFF2-40B4-BE49-F238E27FC236}">
              <a16:creationId xmlns:a16="http://schemas.microsoft.com/office/drawing/2014/main" id="{0D1046D8-2692-4BC4-BC0C-07FAA3C6712A}"/>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6" name="Text Box 34" hidden="1">
          <a:extLst>
            <a:ext uri="{FF2B5EF4-FFF2-40B4-BE49-F238E27FC236}">
              <a16:creationId xmlns:a16="http://schemas.microsoft.com/office/drawing/2014/main" id="{0D3AD16F-A685-41EE-BCAA-1490EEF31AAB}"/>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7" name="Text Box 33" hidden="1">
          <a:extLst>
            <a:ext uri="{FF2B5EF4-FFF2-40B4-BE49-F238E27FC236}">
              <a16:creationId xmlns:a16="http://schemas.microsoft.com/office/drawing/2014/main" id="{7B41FD0D-9DB5-4A9F-BA8F-80C460F975CE}"/>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8" name="Text Box 32" hidden="1">
          <a:extLst>
            <a:ext uri="{FF2B5EF4-FFF2-40B4-BE49-F238E27FC236}">
              <a16:creationId xmlns:a16="http://schemas.microsoft.com/office/drawing/2014/main" id="{3147E6DF-DE98-4625-8906-34369A0DAA86}"/>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9" name="Text Box 37" hidden="1">
          <a:extLst>
            <a:ext uri="{FF2B5EF4-FFF2-40B4-BE49-F238E27FC236}">
              <a16:creationId xmlns:a16="http://schemas.microsoft.com/office/drawing/2014/main" id="{BB579CF4-5CCE-4A4F-99AC-0F2191A62E41}"/>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40" name="Text Box 36" hidden="1">
          <a:extLst>
            <a:ext uri="{FF2B5EF4-FFF2-40B4-BE49-F238E27FC236}">
              <a16:creationId xmlns:a16="http://schemas.microsoft.com/office/drawing/2014/main" id="{C7EDD65B-C8A6-4EEF-909E-76DF1A9AF09C}"/>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1" name="Text Box 35" hidden="1">
          <a:extLst>
            <a:ext uri="{FF2B5EF4-FFF2-40B4-BE49-F238E27FC236}">
              <a16:creationId xmlns:a16="http://schemas.microsoft.com/office/drawing/2014/main" id="{1DB52A29-EFBC-48AA-AB56-07FE8333013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2" name="Text Box 40" hidden="1">
          <a:extLst>
            <a:ext uri="{FF2B5EF4-FFF2-40B4-BE49-F238E27FC236}">
              <a16:creationId xmlns:a16="http://schemas.microsoft.com/office/drawing/2014/main" id="{F5AB0263-B488-4410-B659-4C20BB989884}"/>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3" name="Text Box 39" hidden="1">
          <a:extLst>
            <a:ext uri="{FF2B5EF4-FFF2-40B4-BE49-F238E27FC236}">
              <a16:creationId xmlns:a16="http://schemas.microsoft.com/office/drawing/2014/main" id="{04204A27-CB98-40B9-A0B1-7FB76D704548}"/>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4" name="Text Box 38" hidden="1">
          <a:extLst>
            <a:ext uri="{FF2B5EF4-FFF2-40B4-BE49-F238E27FC236}">
              <a16:creationId xmlns:a16="http://schemas.microsoft.com/office/drawing/2014/main" id="{46862D14-01A9-4A81-9886-78D81D09DCE8}"/>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5" name="Text Box 43" hidden="1">
          <a:extLst>
            <a:ext uri="{FF2B5EF4-FFF2-40B4-BE49-F238E27FC236}">
              <a16:creationId xmlns:a16="http://schemas.microsoft.com/office/drawing/2014/main" id="{16F26580-6DC3-4729-9AF7-82D5683A3F7B}"/>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6" name="Text Box 42" hidden="1">
          <a:extLst>
            <a:ext uri="{FF2B5EF4-FFF2-40B4-BE49-F238E27FC236}">
              <a16:creationId xmlns:a16="http://schemas.microsoft.com/office/drawing/2014/main" id="{7626AD3E-4FA6-4822-98F7-5102A2CA2100}"/>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7" name="Text Box 41" hidden="1">
          <a:extLst>
            <a:ext uri="{FF2B5EF4-FFF2-40B4-BE49-F238E27FC236}">
              <a16:creationId xmlns:a16="http://schemas.microsoft.com/office/drawing/2014/main" id="{442CEB52-52C7-47DF-9850-10C696C19717}"/>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48" name="Text Box 46" hidden="1">
          <a:extLst>
            <a:ext uri="{FF2B5EF4-FFF2-40B4-BE49-F238E27FC236}">
              <a16:creationId xmlns:a16="http://schemas.microsoft.com/office/drawing/2014/main" id="{FD5E7D07-4FBB-48E5-82AE-2AC8416A9EBF}"/>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49" name="Text Box 45" hidden="1">
          <a:extLst>
            <a:ext uri="{FF2B5EF4-FFF2-40B4-BE49-F238E27FC236}">
              <a16:creationId xmlns:a16="http://schemas.microsoft.com/office/drawing/2014/main" id="{1AD3B64E-D57C-44D4-8AAE-13895C8911C9}"/>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0" name="Text Box 44" hidden="1">
          <a:extLst>
            <a:ext uri="{FF2B5EF4-FFF2-40B4-BE49-F238E27FC236}">
              <a16:creationId xmlns:a16="http://schemas.microsoft.com/office/drawing/2014/main" id="{4490B07B-D57B-4A93-988B-4BD8FDB61CEC}"/>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51" name="Text Box 49" hidden="1">
          <a:extLst>
            <a:ext uri="{FF2B5EF4-FFF2-40B4-BE49-F238E27FC236}">
              <a16:creationId xmlns:a16="http://schemas.microsoft.com/office/drawing/2014/main" id="{C9DDB686-1F24-4D72-A9C9-2334C8A3C108}"/>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52" name="Text Box 48" hidden="1">
          <a:extLst>
            <a:ext uri="{FF2B5EF4-FFF2-40B4-BE49-F238E27FC236}">
              <a16:creationId xmlns:a16="http://schemas.microsoft.com/office/drawing/2014/main" id="{5B2DB892-CAD0-4DE7-8A41-370063B239FD}"/>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3" name="Text Box 47" hidden="1">
          <a:extLst>
            <a:ext uri="{FF2B5EF4-FFF2-40B4-BE49-F238E27FC236}">
              <a16:creationId xmlns:a16="http://schemas.microsoft.com/office/drawing/2014/main" id="{DEA64C0F-F4BA-495D-81F4-54FCAF5A3C51}"/>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817817</xdr:colOff>
      <xdr:row>85</xdr:row>
      <xdr:rowOff>50560</xdr:rowOff>
    </xdr:from>
    <xdr:to>
      <xdr:col>7</xdr:col>
      <xdr:colOff>826382</xdr:colOff>
      <xdr:row>85</xdr:row>
      <xdr:rowOff>50560</xdr:rowOff>
    </xdr:to>
    <xdr:sp macro="" textlink="">
      <xdr:nvSpPr>
        <xdr:cNvPr id="54" name="Text Box 52" hidden="1">
          <a:extLst>
            <a:ext uri="{FF2B5EF4-FFF2-40B4-BE49-F238E27FC236}">
              <a16:creationId xmlns:a16="http://schemas.microsoft.com/office/drawing/2014/main" id="{9707ED17-E3BC-4F29-B027-373CE855FFB0}"/>
            </a:ext>
          </a:extLst>
        </xdr:cNvPr>
        <xdr:cNvSpPr txBox="1">
          <a:spLocks noChangeArrowheads="1"/>
        </xdr:cNvSpPr>
      </xdr:nvSpPr>
      <xdr:spPr bwMode="auto">
        <a:xfrm>
          <a:off x="8991015" y="18791091"/>
          <a:ext cx="1594756"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703126</xdr:colOff>
      <xdr:row>85</xdr:row>
      <xdr:rowOff>50560</xdr:rowOff>
    </xdr:from>
    <xdr:to>
      <xdr:col>10</xdr:col>
      <xdr:colOff>522151</xdr:colOff>
      <xdr:row>85</xdr:row>
      <xdr:rowOff>50560</xdr:rowOff>
    </xdr:to>
    <xdr:sp macro="" textlink="">
      <xdr:nvSpPr>
        <xdr:cNvPr id="55" name="Text Box 51" hidden="1">
          <a:extLst>
            <a:ext uri="{FF2B5EF4-FFF2-40B4-BE49-F238E27FC236}">
              <a16:creationId xmlns:a16="http://schemas.microsoft.com/office/drawing/2014/main" id="{1C78F84C-943B-4F0F-B2F0-BD6FEC6D489D}"/>
            </a:ext>
          </a:extLst>
        </xdr:cNvPr>
        <xdr:cNvSpPr txBox="1">
          <a:spLocks noChangeArrowheads="1"/>
        </xdr:cNvSpPr>
      </xdr:nvSpPr>
      <xdr:spPr bwMode="auto">
        <a:xfrm>
          <a:off x="1130501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4200599</xdr:colOff>
      <xdr:row>36</xdr:row>
      <xdr:rowOff>122984</xdr:rowOff>
    </xdr:to>
    <xdr:sp macro="" textlink="">
      <xdr:nvSpPr>
        <xdr:cNvPr id="56" name="Text Box 50" hidden="1">
          <a:extLst>
            <a:ext uri="{FF2B5EF4-FFF2-40B4-BE49-F238E27FC236}">
              <a16:creationId xmlns:a16="http://schemas.microsoft.com/office/drawing/2014/main" id="{185EF336-AC13-4722-9939-FC3E96CBC160}"/>
            </a:ext>
          </a:extLst>
        </xdr:cNvPr>
        <xdr:cNvSpPr txBox="1">
          <a:spLocks noChangeArrowheads="1"/>
        </xdr:cNvSpPr>
      </xdr:nvSpPr>
      <xdr:spPr bwMode="auto">
        <a:xfrm>
          <a:off x="3384550" y="6759388"/>
          <a:ext cx="1568524"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763639</xdr:colOff>
      <xdr:row>31</xdr:row>
      <xdr:rowOff>153520</xdr:rowOff>
    </xdr:to>
    <xdr:sp macro="" textlink="">
      <xdr:nvSpPr>
        <xdr:cNvPr id="57" name="Text Box 53" hidden="1">
          <a:extLst>
            <a:ext uri="{FF2B5EF4-FFF2-40B4-BE49-F238E27FC236}">
              <a16:creationId xmlns:a16="http://schemas.microsoft.com/office/drawing/2014/main" id="{1AACBF53-CDCC-48E6-AE66-DE6F71A7C6C0}"/>
            </a:ext>
          </a:extLst>
        </xdr:cNvPr>
        <xdr:cNvSpPr txBox="1">
          <a:spLocks noChangeArrowheads="1"/>
        </xdr:cNvSpPr>
      </xdr:nvSpPr>
      <xdr:spPr bwMode="auto">
        <a:xfrm>
          <a:off x="16424275" y="5314576"/>
          <a:ext cx="1345037" cy="76536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763639</xdr:colOff>
      <xdr:row>28</xdr:row>
      <xdr:rowOff>115047</xdr:rowOff>
    </xdr:to>
    <xdr:sp macro="" textlink="">
      <xdr:nvSpPr>
        <xdr:cNvPr id="58" name="Text Box 54" hidden="1">
          <a:extLst>
            <a:ext uri="{FF2B5EF4-FFF2-40B4-BE49-F238E27FC236}">
              <a16:creationId xmlns:a16="http://schemas.microsoft.com/office/drawing/2014/main" id="{99AC66A4-4D6D-4840-9AB0-347F45077448}"/>
            </a:ext>
          </a:extLst>
        </xdr:cNvPr>
        <xdr:cNvSpPr txBox="1">
          <a:spLocks noChangeArrowheads="1"/>
        </xdr:cNvSpPr>
      </xdr:nvSpPr>
      <xdr:spPr bwMode="auto">
        <a:xfrm>
          <a:off x="16424275" y="4563036"/>
          <a:ext cx="1345037" cy="8340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155137</xdr:rowOff>
    </xdr:to>
    <xdr:sp macro="" textlink="">
      <xdr:nvSpPr>
        <xdr:cNvPr id="59" name="Text Box 56" hidden="1">
          <a:extLst>
            <a:ext uri="{FF2B5EF4-FFF2-40B4-BE49-F238E27FC236}">
              <a16:creationId xmlns:a16="http://schemas.microsoft.com/office/drawing/2014/main" id="{27122D55-4D32-496C-9D26-5E0B67120E36}"/>
            </a:ext>
          </a:extLst>
        </xdr:cNvPr>
        <xdr:cNvSpPr txBox="1">
          <a:spLocks noChangeArrowheads="1"/>
        </xdr:cNvSpPr>
      </xdr:nvSpPr>
      <xdr:spPr bwMode="auto">
        <a:xfrm>
          <a:off x="17935575" y="17366091"/>
          <a:ext cx="1381867" cy="134225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0" name="Text Box 62" hidden="1">
          <a:extLst>
            <a:ext uri="{FF2B5EF4-FFF2-40B4-BE49-F238E27FC236}">
              <a16:creationId xmlns:a16="http://schemas.microsoft.com/office/drawing/2014/main" id="{6028E8AF-8310-482F-BE50-EE9BD91AA8EA}"/>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1" name="Text Box 61" hidden="1">
          <a:extLst>
            <a:ext uri="{FF2B5EF4-FFF2-40B4-BE49-F238E27FC236}">
              <a16:creationId xmlns:a16="http://schemas.microsoft.com/office/drawing/2014/main" id="{9F4D4BD1-FFFD-4CD2-99A3-3F61C5FE6F98}"/>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2" name="Text Box 60" hidden="1">
          <a:extLst>
            <a:ext uri="{FF2B5EF4-FFF2-40B4-BE49-F238E27FC236}">
              <a16:creationId xmlns:a16="http://schemas.microsoft.com/office/drawing/2014/main" id="{E86438DB-4788-4AA7-92B8-4FC3E102831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3" name="Text Box 59" hidden="1">
          <a:extLst>
            <a:ext uri="{FF2B5EF4-FFF2-40B4-BE49-F238E27FC236}">
              <a16:creationId xmlns:a16="http://schemas.microsoft.com/office/drawing/2014/main" id="{C654AE99-02DC-4004-B9EB-CD8E53A52B9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64" name="Text Box 58" hidden="1">
          <a:extLst>
            <a:ext uri="{FF2B5EF4-FFF2-40B4-BE49-F238E27FC236}">
              <a16:creationId xmlns:a16="http://schemas.microsoft.com/office/drawing/2014/main" id="{D75468F9-D413-49A6-BE8D-FB64AAA0C03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65" name="Text Box 57" hidden="1">
          <a:extLst>
            <a:ext uri="{FF2B5EF4-FFF2-40B4-BE49-F238E27FC236}">
              <a16:creationId xmlns:a16="http://schemas.microsoft.com/office/drawing/2014/main" id="{725DCDDC-4AA1-4A40-B5E7-AF6E9509F58E}"/>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6" name="Text Box 68" hidden="1">
          <a:extLst>
            <a:ext uri="{FF2B5EF4-FFF2-40B4-BE49-F238E27FC236}">
              <a16:creationId xmlns:a16="http://schemas.microsoft.com/office/drawing/2014/main" id="{3519ECD4-973B-40FF-9AFE-0EE797B1D33C}"/>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7" name="Text Box 67" hidden="1">
          <a:extLst>
            <a:ext uri="{FF2B5EF4-FFF2-40B4-BE49-F238E27FC236}">
              <a16:creationId xmlns:a16="http://schemas.microsoft.com/office/drawing/2014/main" id="{5A30CA96-087C-4B04-8C87-D74E5876D4FC}"/>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8" name="Text Box 66" hidden="1">
          <a:extLst>
            <a:ext uri="{FF2B5EF4-FFF2-40B4-BE49-F238E27FC236}">
              <a16:creationId xmlns:a16="http://schemas.microsoft.com/office/drawing/2014/main" id="{3A9679D4-F943-472A-A2C1-7E7C68EE3EA1}"/>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9" name="Text Box 65" hidden="1">
          <a:extLst>
            <a:ext uri="{FF2B5EF4-FFF2-40B4-BE49-F238E27FC236}">
              <a16:creationId xmlns:a16="http://schemas.microsoft.com/office/drawing/2014/main" id="{5059A9CE-7AC4-4334-93BE-938E0012D805}"/>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0" name="Text Box 64" hidden="1">
          <a:extLst>
            <a:ext uri="{FF2B5EF4-FFF2-40B4-BE49-F238E27FC236}">
              <a16:creationId xmlns:a16="http://schemas.microsoft.com/office/drawing/2014/main" id="{63A6A6F3-1F46-42D3-A9E7-75B8690AFAE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71" name="Text Box 63" hidden="1">
          <a:extLst>
            <a:ext uri="{FF2B5EF4-FFF2-40B4-BE49-F238E27FC236}">
              <a16:creationId xmlns:a16="http://schemas.microsoft.com/office/drawing/2014/main" id="{25454F2E-A0E8-4B3F-8CAC-E8800CF769AC}"/>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2" name="Text Box 86" hidden="1">
          <a:extLst>
            <a:ext uri="{FF2B5EF4-FFF2-40B4-BE49-F238E27FC236}">
              <a16:creationId xmlns:a16="http://schemas.microsoft.com/office/drawing/2014/main" id="{E8E09BAD-0D56-4EEE-A6B1-323EE7C97DD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3" name="Text Box 85" hidden="1">
          <a:extLst>
            <a:ext uri="{FF2B5EF4-FFF2-40B4-BE49-F238E27FC236}">
              <a16:creationId xmlns:a16="http://schemas.microsoft.com/office/drawing/2014/main" id="{0E79090E-EB1E-419C-8C09-F98F4269A6D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74" name="Text Box 84" hidden="1">
          <a:extLst>
            <a:ext uri="{FF2B5EF4-FFF2-40B4-BE49-F238E27FC236}">
              <a16:creationId xmlns:a16="http://schemas.microsoft.com/office/drawing/2014/main" id="{91EFF052-F785-4ECD-BF59-FF038FC63FFE}"/>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75" name="Text Box 83" hidden="1">
          <a:extLst>
            <a:ext uri="{FF2B5EF4-FFF2-40B4-BE49-F238E27FC236}">
              <a16:creationId xmlns:a16="http://schemas.microsoft.com/office/drawing/2014/main" id="{9B110E89-0755-4BD6-B4E0-17BC53ECB89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6" name="Text Box 82" hidden="1">
          <a:extLst>
            <a:ext uri="{FF2B5EF4-FFF2-40B4-BE49-F238E27FC236}">
              <a16:creationId xmlns:a16="http://schemas.microsoft.com/office/drawing/2014/main" id="{C82BBD84-CEEB-448A-B204-C464ACF4A97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77" name="Text Box 81" hidden="1">
          <a:extLst>
            <a:ext uri="{FF2B5EF4-FFF2-40B4-BE49-F238E27FC236}">
              <a16:creationId xmlns:a16="http://schemas.microsoft.com/office/drawing/2014/main" id="{7E1FCECD-58A6-4365-AE10-4ED921A6A8F0}"/>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8" name="Text Box 80" hidden="1">
          <a:extLst>
            <a:ext uri="{FF2B5EF4-FFF2-40B4-BE49-F238E27FC236}">
              <a16:creationId xmlns:a16="http://schemas.microsoft.com/office/drawing/2014/main" id="{AF5FB31C-263D-4D5E-B8F1-B35AF9791013}"/>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9" name="Text Box 79" hidden="1">
          <a:extLst>
            <a:ext uri="{FF2B5EF4-FFF2-40B4-BE49-F238E27FC236}">
              <a16:creationId xmlns:a16="http://schemas.microsoft.com/office/drawing/2014/main" id="{6A90470A-FE37-417E-B47B-3CB3A4099BE1}"/>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0" name="Text Box 78" hidden="1">
          <a:extLst>
            <a:ext uri="{FF2B5EF4-FFF2-40B4-BE49-F238E27FC236}">
              <a16:creationId xmlns:a16="http://schemas.microsoft.com/office/drawing/2014/main" id="{C129D15A-4835-46BF-BE3E-E2F61EF76400}"/>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1" name="Text Box 77" hidden="1">
          <a:extLst>
            <a:ext uri="{FF2B5EF4-FFF2-40B4-BE49-F238E27FC236}">
              <a16:creationId xmlns:a16="http://schemas.microsoft.com/office/drawing/2014/main" id="{D8E2B37A-1C9A-4BAD-8310-2D78FAE559F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2" name="Text Box 76" hidden="1">
          <a:extLst>
            <a:ext uri="{FF2B5EF4-FFF2-40B4-BE49-F238E27FC236}">
              <a16:creationId xmlns:a16="http://schemas.microsoft.com/office/drawing/2014/main" id="{04DA3957-565C-4F19-B812-4B910374205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3" name="Text Box 75" hidden="1">
          <a:extLst>
            <a:ext uri="{FF2B5EF4-FFF2-40B4-BE49-F238E27FC236}">
              <a16:creationId xmlns:a16="http://schemas.microsoft.com/office/drawing/2014/main" id="{F48C2320-0703-476E-8505-3E795B6B92D1}"/>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84" name="Text Box 74" hidden="1">
          <a:extLst>
            <a:ext uri="{FF2B5EF4-FFF2-40B4-BE49-F238E27FC236}">
              <a16:creationId xmlns:a16="http://schemas.microsoft.com/office/drawing/2014/main" id="{27CCDA49-B5F4-4569-B068-B9A8DE0E371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85" name="Text Box 73" hidden="1">
          <a:extLst>
            <a:ext uri="{FF2B5EF4-FFF2-40B4-BE49-F238E27FC236}">
              <a16:creationId xmlns:a16="http://schemas.microsoft.com/office/drawing/2014/main" id="{DC0E5855-B6F0-4629-8194-6229891B990C}"/>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6" name="Text Box 72" hidden="1">
          <a:extLst>
            <a:ext uri="{FF2B5EF4-FFF2-40B4-BE49-F238E27FC236}">
              <a16:creationId xmlns:a16="http://schemas.microsoft.com/office/drawing/2014/main" id="{20A705E3-93C8-451F-AE71-2F1F7D4C91D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7" name="Text Box 71" hidden="1">
          <a:extLst>
            <a:ext uri="{FF2B5EF4-FFF2-40B4-BE49-F238E27FC236}">
              <a16:creationId xmlns:a16="http://schemas.microsoft.com/office/drawing/2014/main" id="{D989AA20-0A69-4EDE-AAA8-F9C6940AA83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8" name="Text Box 70" hidden="1">
          <a:extLst>
            <a:ext uri="{FF2B5EF4-FFF2-40B4-BE49-F238E27FC236}">
              <a16:creationId xmlns:a16="http://schemas.microsoft.com/office/drawing/2014/main" id="{06CFADB1-8A78-42EB-B9AA-3722F1E9CE6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9" name="Text Box 69" hidden="1">
          <a:extLst>
            <a:ext uri="{FF2B5EF4-FFF2-40B4-BE49-F238E27FC236}">
              <a16:creationId xmlns:a16="http://schemas.microsoft.com/office/drawing/2014/main" id="{627F20CE-A3C1-4A97-8DF7-B059389C4842}"/>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0" name="Text Box 104" hidden="1">
          <a:extLst>
            <a:ext uri="{FF2B5EF4-FFF2-40B4-BE49-F238E27FC236}">
              <a16:creationId xmlns:a16="http://schemas.microsoft.com/office/drawing/2014/main" id="{E9E84B01-29C2-4A62-A670-38DD4222331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1" name="Text Box 103" hidden="1">
          <a:extLst>
            <a:ext uri="{FF2B5EF4-FFF2-40B4-BE49-F238E27FC236}">
              <a16:creationId xmlns:a16="http://schemas.microsoft.com/office/drawing/2014/main" id="{88BEBD20-4FBA-4A89-8DD5-39FAD111D4A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2" name="Text Box 102" hidden="1">
          <a:extLst>
            <a:ext uri="{FF2B5EF4-FFF2-40B4-BE49-F238E27FC236}">
              <a16:creationId xmlns:a16="http://schemas.microsoft.com/office/drawing/2014/main" id="{F14918DF-6AEB-42E6-863D-8C594B15D16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3" name="Text Box 101" hidden="1">
          <a:extLst>
            <a:ext uri="{FF2B5EF4-FFF2-40B4-BE49-F238E27FC236}">
              <a16:creationId xmlns:a16="http://schemas.microsoft.com/office/drawing/2014/main" id="{39F26558-3152-471F-91BA-153D86F3775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94" name="Text Box 100" hidden="1">
          <a:extLst>
            <a:ext uri="{FF2B5EF4-FFF2-40B4-BE49-F238E27FC236}">
              <a16:creationId xmlns:a16="http://schemas.microsoft.com/office/drawing/2014/main" id="{8A9D9558-DF33-4429-9617-D0E6DD2F48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95" name="Text Box 99" hidden="1">
          <a:extLst>
            <a:ext uri="{FF2B5EF4-FFF2-40B4-BE49-F238E27FC236}">
              <a16:creationId xmlns:a16="http://schemas.microsoft.com/office/drawing/2014/main" id="{657F6E6B-AF23-4BCD-B6A8-26AD805809A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6" name="Text Box 98" hidden="1">
          <a:extLst>
            <a:ext uri="{FF2B5EF4-FFF2-40B4-BE49-F238E27FC236}">
              <a16:creationId xmlns:a16="http://schemas.microsoft.com/office/drawing/2014/main" id="{EA439995-1E96-49D9-9AC1-952DE1521C7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7" name="Text Box 97" hidden="1">
          <a:extLst>
            <a:ext uri="{FF2B5EF4-FFF2-40B4-BE49-F238E27FC236}">
              <a16:creationId xmlns:a16="http://schemas.microsoft.com/office/drawing/2014/main" id="{BFF2C50D-1063-42DD-9060-7602A60AC580}"/>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8" name="Text Box 96" hidden="1">
          <a:extLst>
            <a:ext uri="{FF2B5EF4-FFF2-40B4-BE49-F238E27FC236}">
              <a16:creationId xmlns:a16="http://schemas.microsoft.com/office/drawing/2014/main" id="{B2689C0D-F18D-4E51-994E-25065883523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9" name="Text Box 95" hidden="1">
          <a:extLst>
            <a:ext uri="{FF2B5EF4-FFF2-40B4-BE49-F238E27FC236}">
              <a16:creationId xmlns:a16="http://schemas.microsoft.com/office/drawing/2014/main" id="{6A998CB4-E69F-4F81-B737-BEC530E644FB}"/>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0" name="Text Box 94" hidden="1">
          <a:extLst>
            <a:ext uri="{FF2B5EF4-FFF2-40B4-BE49-F238E27FC236}">
              <a16:creationId xmlns:a16="http://schemas.microsoft.com/office/drawing/2014/main" id="{1A20A847-4912-4134-A690-DEFD2E79149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1" name="Text Box 93" hidden="1">
          <a:extLst>
            <a:ext uri="{FF2B5EF4-FFF2-40B4-BE49-F238E27FC236}">
              <a16:creationId xmlns:a16="http://schemas.microsoft.com/office/drawing/2014/main" id="{DE4B78B4-1287-4A82-89AF-97DCC6ACF300}"/>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2" name="Text Box 92" hidden="1">
          <a:extLst>
            <a:ext uri="{FF2B5EF4-FFF2-40B4-BE49-F238E27FC236}">
              <a16:creationId xmlns:a16="http://schemas.microsoft.com/office/drawing/2014/main" id="{7A2237AF-FA2D-418B-B9C7-A9A4540D984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3" name="Text Box 91" hidden="1">
          <a:extLst>
            <a:ext uri="{FF2B5EF4-FFF2-40B4-BE49-F238E27FC236}">
              <a16:creationId xmlns:a16="http://schemas.microsoft.com/office/drawing/2014/main" id="{230E9036-348D-4186-BAC7-8A255B1C22B7}"/>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04" name="Text Box 90" hidden="1">
          <a:extLst>
            <a:ext uri="{FF2B5EF4-FFF2-40B4-BE49-F238E27FC236}">
              <a16:creationId xmlns:a16="http://schemas.microsoft.com/office/drawing/2014/main" id="{9A9CAF44-9132-419F-8EA9-1388CB24DFE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05" name="Text Box 89" hidden="1">
          <a:extLst>
            <a:ext uri="{FF2B5EF4-FFF2-40B4-BE49-F238E27FC236}">
              <a16:creationId xmlns:a16="http://schemas.microsoft.com/office/drawing/2014/main" id="{06A1C27B-1E87-4A32-99D1-72230C1A01B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6" name="Text Box 88" hidden="1">
          <a:extLst>
            <a:ext uri="{FF2B5EF4-FFF2-40B4-BE49-F238E27FC236}">
              <a16:creationId xmlns:a16="http://schemas.microsoft.com/office/drawing/2014/main" id="{2D9F1411-3F13-4237-BAB1-44E444C28B5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7" name="Text Box 87" hidden="1">
          <a:extLst>
            <a:ext uri="{FF2B5EF4-FFF2-40B4-BE49-F238E27FC236}">
              <a16:creationId xmlns:a16="http://schemas.microsoft.com/office/drawing/2014/main" id="{3C205AC5-23E9-48CE-8129-69C4A9126529}"/>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8" name="Text Box 110" hidden="1">
          <a:extLst>
            <a:ext uri="{FF2B5EF4-FFF2-40B4-BE49-F238E27FC236}">
              <a16:creationId xmlns:a16="http://schemas.microsoft.com/office/drawing/2014/main" id="{CB7D790E-1F99-4283-805B-94A077F30715}"/>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9" name="Text Box 109" hidden="1">
          <a:extLst>
            <a:ext uri="{FF2B5EF4-FFF2-40B4-BE49-F238E27FC236}">
              <a16:creationId xmlns:a16="http://schemas.microsoft.com/office/drawing/2014/main" id="{DDABB981-AF01-4699-BB64-42C289DFA26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0" name="Text Box 108" hidden="1">
          <a:extLst>
            <a:ext uri="{FF2B5EF4-FFF2-40B4-BE49-F238E27FC236}">
              <a16:creationId xmlns:a16="http://schemas.microsoft.com/office/drawing/2014/main" id="{99DFC96A-66D2-40B0-893D-0D305212C81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1" name="Text Box 107" hidden="1">
          <a:extLst>
            <a:ext uri="{FF2B5EF4-FFF2-40B4-BE49-F238E27FC236}">
              <a16:creationId xmlns:a16="http://schemas.microsoft.com/office/drawing/2014/main" id="{1B8212ED-F562-4870-90DF-5AB7BD7BD8C4}"/>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2" name="Text Box 106" hidden="1">
          <a:extLst>
            <a:ext uri="{FF2B5EF4-FFF2-40B4-BE49-F238E27FC236}">
              <a16:creationId xmlns:a16="http://schemas.microsoft.com/office/drawing/2014/main" id="{B81D8F48-8510-4CF9-9006-5091CD59DF1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3" name="Text Box 105" hidden="1">
          <a:extLst>
            <a:ext uri="{FF2B5EF4-FFF2-40B4-BE49-F238E27FC236}">
              <a16:creationId xmlns:a16="http://schemas.microsoft.com/office/drawing/2014/main" id="{741AFE87-71BC-42A5-A699-7323407F8104}"/>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14" name="Text Box 116" hidden="1">
          <a:extLst>
            <a:ext uri="{FF2B5EF4-FFF2-40B4-BE49-F238E27FC236}">
              <a16:creationId xmlns:a16="http://schemas.microsoft.com/office/drawing/2014/main" id="{46720586-45AF-4F0E-A4B5-38C894A902CB}"/>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15" name="Text Box 115" hidden="1">
          <a:extLst>
            <a:ext uri="{FF2B5EF4-FFF2-40B4-BE49-F238E27FC236}">
              <a16:creationId xmlns:a16="http://schemas.microsoft.com/office/drawing/2014/main" id="{70808BFA-85E3-4E75-9684-03F428667D3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6" name="Text Box 114" hidden="1">
          <a:extLst>
            <a:ext uri="{FF2B5EF4-FFF2-40B4-BE49-F238E27FC236}">
              <a16:creationId xmlns:a16="http://schemas.microsoft.com/office/drawing/2014/main" id="{D4104070-560B-4C0D-B542-D1D9F21AB3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7" name="Text Box 113" hidden="1">
          <a:extLst>
            <a:ext uri="{FF2B5EF4-FFF2-40B4-BE49-F238E27FC236}">
              <a16:creationId xmlns:a16="http://schemas.microsoft.com/office/drawing/2014/main" id="{28C4EBA9-F93D-49D4-AAE9-0BE2E1C5854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8" name="Text Box 112" hidden="1">
          <a:extLst>
            <a:ext uri="{FF2B5EF4-FFF2-40B4-BE49-F238E27FC236}">
              <a16:creationId xmlns:a16="http://schemas.microsoft.com/office/drawing/2014/main" id="{5D90D618-C800-4571-9F2D-FC2389FBA20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9" name="Text Box 111" hidden="1">
          <a:extLst>
            <a:ext uri="{FF2B5EF4-FFF2-40B4-BE49-F238E27FC236}">
              <a16:creationId xmlns:a16="http://schemas.microsoft.com/office/drawing/2014/main" id="{6D403D7D-0335-4684-AC3F-737FF86B3E2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0" name="Text Box 122" hidden="1">
          <a:extLst>
            <a:ext uri="{FF2B5EF4-FFF2-40B4-BE49-F238E27FC236}">
              <a16:creationId xmlns:a16="http://schemas.microsoft.com/office/drawing/2014/main" id="{D92B1F6D-3BB6-4BE6-9968-C7D2C7EB703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1" name="Text Box 121" hidden="1">
          <a:extLst>
            <a:ext uri="{FF2B5EF4-FFF2-40B4-BE49-F238E27FC236}">
              <a16:creationId xmlns:a16="http://schemas.microsoft.com/office/drawing/2014/main" id="{6D12F573-2094-4FB4-89D2-D547451EC212}"/>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2" name="Text Box 120" hidden="1">
          <a:extLst>
            <a:ext uri="{FF2B5EF4-FFF2-40B4-BE49-F238E27FC236}">
              <a16:creationId xmlns:a16="http://schemas.microsoft.com/office/drawing/2014/main" id="{AD72E19A-83F0-4595-A1F5-2863915AC469}"/>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3" name="Text Box 119" hidden="1">
          <a:extLst>
            <a:ext uri="{FF2B5EF4-FFF2-40B4-BE49-F238E27FC236}">
              <a16:creationId xmlns:a16="http://schemas.microsoft.com/office/drawing/2014/main" id="{0579671D-2EF8-4A0B-87FC-C4731E56F7A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24" name="Text Box 118" hidden="1">
          <a:extLst>
            <a:ext uri="{FF2B5EF4-FFF2-40B4-BE49-F238E27FC236}">
              <a16:creationId xmlns:a16="http://schemas.microsoft.com/office/drawing/2014/main" id="{B6CFA056-A3F1-4B77-81BC-F6BE44907C7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25" name="Text Box 117" hidden="1">
          <a:extLst>
            <a:ext uri="{FF2B5EF4-FFF2-40B4-BE49-F238E27FC236}">
              <a16:creationId xmlns:a16="http://schemas.microsoft.com/office/drawing/2014/main" id="{6B1D4D1D-6D1B-4DC9-9E07-0A675682A08D}"/>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6" name="Text Box 128" hidden="1">
          <a:extLst>
            <a:ext uri="{FF2B5EF4-FFF2-40B4-BE49-F238E27FC236}">
              <a16:creationId xmlns:a16="http://schemas.microsoft.com/office/drawing/2014/main" id="{94A714CC-5E78-480B-804C-B48D007B2DA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7" name="Text Box 127" hidden="1">
          <a:extLst>
            <a:ext uri="{FF2B5EF4-FFF2-40B4-BE49-F238E27FC236}">
              <a16:creationId xmlns:a16="http://schemas.microsoft.com/office/drawing/2014/main" id="{D436D0A3-1F76-489C-B80B-8DCF7DF09D76}"/>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8" name="Text Box 126" hidden="1">
          <a:extLst>
            <a:ext uri="{FF2B5EF4-FFF2-40B4-BE49-F238E27FC236}">
              <a16:creationId xmlns:a16="http://schemas.microsoft.com/office/drawing/2014/main" id="{282B7E0F-5863-4DF2-BE9E-1EE428003B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9" name="Text Box 125" hidden="1">
          <a:extLst>
            <a:ext uri="{FF2B5EF4-FFF2-40B4-BE49-F238E27FC236}">
              <a16:creationId xmlns:a16="http://schemas.microsoft.com/office/drawing/2014/main" id="{2EEF4852-E46E-4823-9545-00851D115AE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0" name="Text Box 124" hidden="1">
          <a:extLst>
            <a:ext uri="{FF2B5EF4-FFF2-40B4-BE49-F238E27FC236}">
              <a16:creationId xmlns:a16="http://schemas.microsoft.com/office/drawing/2014/main" id="{96C33DEB-3691-4AFE-997A-678F836CE605}"/>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1" name="Text Box 123" hidden="1">
          <a:extLst>
            <a:ext uri="{FF2B5EF4-FFF2-40B4-BE49-F238E27FC236}">
              <a16:creationId xmlns:a16="http://schemas.microsoft.com/office/drawing/2014/main" id="{2F2076EE-3D1A-42B5-A860-74B170ECC55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32" name="Text Box 134" hidden="1">
          <a:extLst>
            <a:ext uri="{FF2B5EF4-FFF2-40B4-BE49-F238E27FC236}">
              <a16:creationId xmlns:a16="http://schemas.microsoft.com/office/drawing/2014/main" id="{60A400AE-D34B-4914-A86B-C57A90EF7FA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33" name="Text Box 133" hidden="1">
          <a:extLst>
            <a:ext uri="{FF2B5EF4-FFF2-40B4-BE49-F238E27FC236}">
              <a16:creationId xmlns:a16="http://schemas.microsoft.com/office/drawing/2014/main" id="{1D3E26AD-E9B1-4581-A4E9-83CC6DF1218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34" name="Text Box 132" hidden="1">
          <a:extLst>
            <a:ext uri="{FF2B5EF4-FFF2-40B4-BE49-F238E27FC236}">
              <a16:creationId xmlns:a16="http://schemas.microsoft.com/office/drawing/2014/main" id="{54AE923D-0A7C-4B71-B6F0-9A576EFFDB7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35" name="Text Box 131" hidden="1">
          <a:extLst>
            <a:ext uri="{FF2B5EF4-FFF2-40B4-BE49-F238E27FC236}">
              <a16:creationId xmlns:a16="http://schemas.microsoft.com/office/drawing/2014/main" id="{2860915D-1648-49B0-A3BF-4723E04D664A}"/>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6" name="Text Box 130" hidden="1">
          <a:extLst>
            <a:ext uri="{FF2B5EF4-FFF2-40B4-BE49-F238E27FC236}">
              <a16:creationId xmlns:a16="http://schemas.microsoft.com/office/drawing/2014/main" id="{5A2F794F-E0E0-450F-9E8A-A80D90EA02A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7" name="Text Box 129" hidden="1">
          <a:extLst>
            <a:ext uri="{FF2B5EF4-FFF2-40B4-BE49-F238E27FC236}">
              <a16:creationId xmlns:a16="http://schemas.microsoft.com/office/drawing/2014/main" id="{5F7B6042-A339-4B64-9AA1-909212B4B5E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38" name="Text Box 140" hidden="1">
          <a:extLst>
            <a:ext uri="{FF2B5EF4-FFF2-40B4-BE49-F238E27FC236}">
              <a16:creationId xmlns:a16="http://schemas.microsoft.com/office/drawing/2014/main" id="{DEDF39B6-1FE4-4D85-88D5-5647B7575FB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39" name="Text Box 139" hidden="1">
          <a:extLst>
            <a:ext uri="{FF2B5EF4-FFF2-40B4-BE49-F238E27FC236}">
              <a16:creationId xmlns:a16="http://schemas.microsoft.com/office/drawing/2014/main" id="{D35D6C79-4041-4424-A11E-933CBF4E2D1A}"/>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0" name="Text Box 137" hidden="1">
          <a:extLst>
            <a:ext uri="{FF2B5EF4-FFF2-40B4-BE49-F238E27FC236}">
              <a16:creationId xmlns:a16="http://schemas.microsoft.com/office/drawing/2014/main" id="{3129022D-2902-445B-8D19-F54376034BD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1" name="Text Box 136" hidden="1">
          <a:extLst>
            <a:ext uri="{FF2B5EF4-FFF2-40B4-BE49-F238E27FC236}">
              <a16:creationId xmlns:a16="http://schemas.microsoft.com/office/drawing/2014/main" id="{B3A50CD5-BCEB-442E-9BCF-5057BF582B1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2" name="Text Box 135" hidden="1">
          <a:extLst>
            <a:ext uri="{FF2B5EF4-FFF2-40B4-BE49-F238E27FC236}">
              <a16:creationId xmlns:a16="http://schemas.microsoft.com/office/drawing/2014/main" id="{3A499909-BB3C-46ED-ABC3-C6AE4C0A5971}"/>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43" name="Text Box 141" hidden="1">
          <a:extLst>
            <a:ext uri="{FF2B5EF4-FFF2-40B4-BE49-F238E27FC236}">
              <a16:creationId xmlns:a16="http://schemas.microsoft.com/office/drawing/2014/main" id="{15295C4A-A305-4C39-976D-00D1E6CB71DB}"/>
            </a:ext>
          </a:extLst>
        </xdr:cNvPr>
        <xdr:cNvSpPr txBox="1">
          <a:spLocks noChangeArrowheads="1"/>
        </xdr:cNvSpPr>
      </xdr:nvSpPr>
      <xdr:spPr bwMode="auto">
        <a:xfrm>
          <a:off x="18066492" y="3333750"/>
          <a:ext cx="1289050" cy="75303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44" name="Text Box 142" hidden="1">
          <a:extLst>
            <a:ext uri="{FF2B5EF4-FFF2-40B4-BE49-F238E27FC236}">
              <a16:creationId xmlns:a16="http://schemas.microsoft.com/office/drawing/2014/main" id="{E467389B-1AF0-46E3-9232-D50BCFE116E0}"/>
            </a:ext>
          </a:extLst>
        </xdr:cNvPr>
        <xdr:cNvSpPr txBox="1">
          <a:spLocks noChangeArrowheads="1"/>
        </xdr:cNvSpPr>
      </xdr:nvSpPr>
      <xdr:spPr bwMode="auto">
        <a:xfrm>
          <a:off x="4225471" y="6137088"/>
          <a:ext cx="1256558" cy="80607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45" name="Text Box 7" hidden="1">
          <a:extLst>
            <a:ext uri="{FF2B5EF4-FFF2-40B4-BE49-F238E27FC236}">
              <a16:creationId xmlns:a16="http://schemas.microsoft.com/office/drawing/2014/main" id="{1B9F6CEB-AEEE-4E2F-8196-9F7F4D15F00A}"/>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46" name="Text Box 6" hidden="1">
          <a:extLst>
            <a:ext uri="{FF2B5EF4-FFF2-40B4-BE49-F238E27FC236}">
              <a16:creationId xmlns:a16="http://schemas.microsoft.com/office/drawing/2014/main" id="{08DC28C8-A284-4E77-BE3F-682EC806DF81}"/>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7" name="Text Box 5" hidden="1">
          <a:extLst>
            <a:ext uri="{FF2B5EF4-FFF2-40B4-BE49-F238E27FC236}">
              <a16:creationId xmlns:a16="http://schemas.microsoft.com/office/drawing/2014/main" id="{B940D84A-80A6-4CB5-B8D3-138107E4CBFC}"/>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8" name="Text Box 4" hidden="1">
          <a:extLst>
            <a:ext uri="{FF2B5EF4-FFF2-40B4-BE49-F238E27FC236}">
              <a16:creationId xmlns:a16="http://schemas.microsoft.com/office/drawing/2014/main" id="{3560799F-6F96-4BA1-9721-FE6CD61BDD2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9" name="Text Box 3" hidden="1">
          <a:extLst>
            <a:ext uri="{FF2B5EF4-FFF2-40B4-BE49-F238E27FC236}">
              <a16:creationId xmlns:a16="http://schemas.microsoft.com/office/drawing/2014/main" id="{7EF8C29F-3905-4789-BE5C-FBDF7AD929CB}"/>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0" name="Text Box 2" hidden="1">
          <a:extLst>
            <a:ext uri="{FF2B5EF4-FFF2-40B4-BE49-F238E27FC236}">
              <a16:creationId xmlns:a16="http://schemas.microsoft.com/office/drawing/2014/main" id="{462EC419-FF8C-4765-B03B-841BF3A66508}"/>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1" name="Text Box 1" hidden="1">
          <a:extLst>
            <a:ext uri="{FF2B5EF4-FFF2-40B4-BE49-F238E27FC236}">
              <a16:creationId xmlns:a16="http://schemas.microsoft.com/office/drawing/2014/main" id="{73BE6DCD-38B0-4301-BF92-CB6DE85C45FD}"/>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2" name="Text Box 14" hidden="1">
          <a:extLst>
            <a:ext uri="{FF2B5EF4-FFF2-40B4-BE49-F238E27FC236}">
              <a16:creationId xmlns:a16="http://schemas.microsoft.com/office/drawing/2014/main" id="{C356011A-5E44-44FC-88B5-72FE1B3B3AE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53" name="Text Box 13" hidden="1">
          <a:extLst>
            <a:ext uri="{FF2B5EF4-FFF2-40B4-BE49-F238E27FC236}">
              <a16:creationId xmlns:a16="http://schemas.microsoft.com/office/drawing/2014/main" id="{913490E5-9E7A-4E2B-BC44-F5E805647F10}"/>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54" name="Text Box 12" hidden="1">
          <a:extLst>
            <a:ext uri="{FF2B5EF4-FFF2-40B4-BE49-F238E27FC236}">
              <a16:creationId xmlns:a16="http://schemas.microsoft.com/office/drawing/2014/main" id="{462CF0FF-9894-4A70-9DD7-5DBF0ABDF80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55" name="Text Box 11" hidden="1">
          <a:extLst>
            <a:ext uri="{FF2B5EF4-FFF2-40B4-BE49-F238E27FC236}">
              <a16:creationId xmlns:a16="http://schemas.microsoft.com/office/drawing/2014/main" id="{67072118-2E93-49F6-9827-DE47E422385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56" name="Text Box 10" hidden="1">
          <a:extLst>
            <a:ext uri="{FF2B5EF4-FFF2-40B4-BE49-F238E27FC236}">
              <a16:creationId xmlns:a16="http://schemas.microsoft.com/office/drawing/2014/main" id="{C37B8B9D-24A5-41EB-AF03-204BA893B8A3}"/>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7" name="Text Box 9" hidden="1">
          <a:extLst>
            <a:ext uri="{FF2B5EF4-FFF2-40B4-BE49-F238E27FC236}">
              <a16:creationId xmlns:a16="http://schemas.microsoft.com/office/drawing/2014/main" id="{811E5EE5-C73E-466D-B85F-93C85B6424A3}"/>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8" name="Text Box 8" hidden="1">
          <a:extLst>
            <a:ext uri="{FF2B5EF4-FFF2-40B4-BE49-F238E27FC236}">
              <a16:creationId xmlns:a16="http://schemas.microsoft.com/office/drawing/2014/main" id="{7102F625-4BA0-4501-82AB-995863A46CF8}"/>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9" name="Text Box 21" hidden="1">
          <a:extLst>
            <a:ext uri="{FF2B5EF4-FFF2-40B4-BE49-F238E27FC236}">
              <a16:creationId xmlns:a16="http://schemas.microsoft.com/office/drawing/2014/main" id="{F064D310-CFE2-4EFF-B953-413B0697FFF7}"/>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60" name="Text Box 20" hidden="1">
          <a:extLst>
            <a:ext uri="{FF2B5EF4-FFF2-40B4-BE49-F238E27FC236}">
              <a16:creationId xmlns:a16="http://schemas.microsoft.com/office/drawing/2014/main" id="{6DCF086E-C16C-4A10-A8C5-9DC23C59E242}"/>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61" name="Text Box 19" hidden="1">
          <a:extLst>
            <a:ext uri="{FF2B5EF4-FFF2-40B4-BE49-F238E27FC236}">
              <a16:creationId xmlns:a16="http://schemas.microsoft.com/office/drawing/2014/main" id="{8DECFEBB-D1D9-46F8-BC85-54017049BE8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62" name="Text Box 18" hidden="1">
          <a:extLst>
            <a:ext uri="{FF2B5EF4-FFF2-40B4-BE49-F238E27FC236}">
              <a16:creationId xmlns:a16="http://schemas.microsoft.com/office/drawing/2014/main" id="{FA42CBF2-E4E8-4DEA-8AF5-CBC3D24ABF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63" name="Text Box 17" hidden="1">
          <a:extLst>
            <a:ext uri="{FF2B5EF4-FFF2-40B4-BE49-F238E27FC236}">
              <a16:creationId xmlns:a16="http://schemas.microsoft.com/office/drawing/2014/main" id="{3FD3D4B0-A152-40FD-96FE-9B830252EDD0}"/>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64" name="Text Box 16" hidden="1">
          <a:extLst>
            <a:ext uri="{FF2B5EF4-FFF2-40B4-BE49-F238E27FC236}">
              <a16:creationId xmlns:a16="http://schemas.microsoft.com/office/drawing/2014/main" id="{397BBE25-18E9-40AE-98B3-6ED150C327E6}"/>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65" name="Text Box 15" hidden="1">
          <a:extLst>
            <a:ext uri="{FF2B5EF4-FFF2-40B4-BE49-F238E27FC236}">
              <a16:creationId xmlns:a16="http://schemas.microsoft.com/office/drawing/2014/main" id="{D932F572-994B-4D82-A4F7-9E3CAD42FFC9}"/>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66" name="Text Box 28" hidden="1">
          <a:extLst>
            <a:ext uri="{FF2B5EF4-FFF2-40B4-BE49-F238E27FC236}">
              <a16:creationId xmlns:a16="http://schemas.microsoft.com/office/drawing/2014/main" id="{68A6C076-5447-4A90-9C21-9856C88B3FB3}"/>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67" name="Text Box 27" hidden="1">
          <a:extLst>
            <a:ext uri="{FF2B5EF4-FFF2-40B4-BE49-F238E27FC236}">
              <a16:creationId xmlns:a16="http://schemas.microsoft.com/office/drawing/2014/main" id="{2760D67D-A256-4CB0-8F71-522381AD55AD}"/>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68" name="Text Box 26" hidden="1">
          <a:extLst>
            <a:ext uri="{FF2B5EF4-FFF2-40B4-BE49-F238E27FC236}">
              <a16:creationId xmlns:a16="http://schemas.microsoft.com/office/drawing/2014/main" id="{7EA378B0-1CA1-4C72-B444-69542F028400}"/>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69" name="Text Box 25" hidden="1">
          <a:extLst>
            <a:ext uri="{FF2B5EF4-FFF2-40B4-BE49-F238E27FC236}">
              <a16:creationId xmlns:a16="http://schemas.microsoft.com/office/drawing/2014/main" id="{F83A08D2-D4CD-4DD1-BC74-A9DEA0E73A05}"/>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70" name="Text Box 23" hidden="1">
          <a:extLst>
            <a:ext uri="{FF2B5EF4-FFF2-40B4-BE49-F238E27FC236}">
              <a16:creationId xmlns:a16="http://schemas.microsoft.com/office/drawing/2014/main" id="{2143026F-D481-4B0F-92F2-6615B238F847}"/>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71" name="Text Box 22" hidden="1">
          <a:extLst>
            <a:ext uri="{FF2B5EF4-FFF2-40B4-BE49-F238E27FC236}">
              <a16:creationId xmlns:a16="http://schemas.microsoft.com/office/drawing/2014/main" id="{049CA03D-1327-40DE-9092-7CCFE5A590C2}"/>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72" name="Text Box 37" hidden="1">
          <a:extLst>
            <a:ext uri="{FF2B5EF4-FFF2-40B4-BE49-F238E27FC236}">
              <a16:creationId xmlns:a16="http://schemas.microsoft.com/office/drawing/2014/main" id="{D7153C76-AE1E-4D6A-B816-F8FB760C6471}"/>
            </a:ext>
          </a:extLst>
        </xdr:cNvPr>
        <xdr:cNvSpPr txBox="1">
          <a:spLocks noChangeArrowheads="1"/>
        </xdr:cNvSpPr>
      </xdr:nvSpPr>
      <xdr:spPr bwMode="auto">
        <a:xfrm>
          <a:off x="4241800" y="20230796"/>
          <a:ext cx="149299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73" name="Text Box 38" hidden="1">
          <a:extLst>
            <a:ext uri="{FF2B5EF4-FFF2-40B4-BE49-F238E27FC236}">
              <a16:creationId xmlns:a16="http://schemas.microsoft.com/office/drawing/2014/main" id="{B7562AFE-2D7B-4C4B-A03B-852772ACCCD7}"/>
            </a:ext>
          </a:extLst>
        </xdr:cNvPr>
        <xdr:cNvSpPr txBox="1">
          <a:spLocks noChangeArrowheads="1"/>
        </xdr:cNvSpPr>
      </xdr:nvSpPr>
      <xdr:spPr bwMode="auto">
        <a:xfrm>
          <a:off x="188501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74" name="Text Box 39" hidden="1">
          <a:extLst>
            <a:ext uri="{FF2B5EF4-FFF2-40B4-BE49-F238E27FC236}">
              <a16:creationId xmlns:a16="http://schemas.microsoft.com/office/drawing/2014/main" id="{E560B32E-EDEB-4044-825F-7CDAB8B1F291}"/>
            </a:ext>
          </a:extLst>
        </xdr:cNvPr>
        <xdr:cNvSpPr txBox="1">
          <a:spLocks noChangeArrowheads="1"/>
        </xdr:cNvSpPr>
      </xdr:nvSpPr>
      <xdr:spPr bwMode="auto">
        <a:xfrm>
          <a:off x="218727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75" name="Text Box 40" hidden="1">
          <a:extLst>
            <a:ext uri="{FF2B5EF4-FFF2-40B4-BE49-F238E27FC236}">
              <a16:creationId xmlns:a16="http://schemas.microsoft.com/office/drawing/2014/main" id="{5186A126-FB94-4C56-B086-6DED7AB0E2EB}"/>
            </a:ext>
          </a:extLst>
        </xdr:cNvPr>
        <xdr:cNvSpPr txBox="1">
          <a:spLocks noChangeArrowheads="1"/>
        </xdr:cNvSpPr>
      </xdr:nvSpPr>
      <xdr:spPr bwMode="auto">
        <a:xfrm>
          <a:off x="248953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76" name="Text Box 50" hidden="1">
          <a:extLst>
            <a:ext uri="{FF2B5EF4-FFF2-40B4-BE49-F238E27FC236}">
              <a16:creationId xmlns:a16="http://schemas.microsoft.com/office/drawing/2014/main" id="{28C16050-1E2C-484C-A452-F51FA93AC809}"/>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77" name="Text Box 49" hidden="1">
          <a:extLst>
            <a:ext uri="{FF2B5EF4-FFF2-40B4-BE49-F238E27FC236}">
              <a16:creationId xmlns:a16="http://schemas.microsoft.com/office/drawing/2014/main" id="{B73F4AEA-FAEF-4A06-B16E-E73CFA35EF5E}"/>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78" name="Text Box 48" hidden="1">
          <a:extLst>
            <a:ext uri="{FF2B5EF4-FFF2-40B4-BE49-F238E27FC236}">
              <a16:creationId xmlns:a16="http://schemas.microsoft.com/office/drawing/2014/main" id="{9D76AD83-17E6-4B10-9A7B-524931879C91}"/>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79" name="Text Box 47" hidden="1">
          <a:extLst>
            <a:ext uri="{FF2B5EF4-FFF2-40B4-BE49-F238E27FC236}">
              <a16:creationId xmlns:a16="http://schemas.microsoft.com/office/drawing/2014/main" id="{8B9EF6C7-9EF8-4596-90F9-D385120E45C7}"/>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80" name="Text Box 46" hidden="1">
          <a:extLst>
            <a:ext uri="{FF2B5EF4-FFF2-40B4-BE49-F238E27FC236}">
              <a16:creationId xmlns:a16="http://schemas.microsoft.com/office/drawing/2014/main" id="{B33A40B2-908D-4A86-A1F2-EFE964450AA3}"/>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81" name="Text Box 45" hidden="1">
          <a:extLst>
            <a:ext uri="{FF2B5EF4-FFF2-40B4-BE49-F238E27FC236}">
              <a16:creationId xmlns:a16="http://schemas.microsoft.com/office/drawing/2014/main" id="{34D7EAD1-6BFF-4A9A-9A1C-459267E21A1D}"/>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82" name="Text Box 44" hidden="1">
          <a:extLst>
            <a:ext uri="{FF2B5EF4-FFF2-40B4-BE49-F238E27FC236}">
              <a16:creationId xmlns:a16="http://schemas.microsoft.com/office/drawing/2014/main" id="{239E9272-6975-4243-9137-3EA508FD04EF}"/>
            </a:ext>
          </a:extLst>
        </xdr:cNvPr>
        <xdr:cNvSpPr txBox="1">
          <a:spLocks noChangeArrowheads="1"/>
        </xdr:cNvSpPr>
      </xdr:nvSpPr>
      <xdr:spPr bwMode="auto">
        <a:xfrm>
          <a:off x="4241800" y="20230796"/>
          <a:ext cx="1492993"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83" name="Text Box 43" hidden="1">
          <a:extLst>
            <a:ext uri="{FF2B5EF4-FFF2-40B4-BE49-F238E27FC236}">
              <a16:creationId xmlns:a16="http://schemas.microsoft.com/office/drawing/2014/main" id="{30725E94-B03D-4BCC-A915-43303086878C}"/>
            </a:ext>
          </a:extLst>
        </xdr:cNvPr>
        <xdr:cNvSpPr txBox="1">
          <a:spLocks noChangeArrowheads="1"/>
        </xdr:cNvSpPr>
      </xdr:nvSpPr>
      <xdr:spPr bwMode="auto">
        <a:xfrm>
          <a:off x="188501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84" name="Text Box 42" hidden="1">
          <a:extLst>
            <a:ext uri="{FF2B5EF4-FFF2-40B4-BE49-F238E27FC236}">
              <a16:creationId xmlns:a16="http://schemas.microsoft.com/office/drawing/2014/main" id="{FFC70C03-6667-4DDE-9527-78B47AC3D2D2}"/>
            </a:ext>
          </a:extLst>
        </xdr:cNvPr>
        <xdr:cNvSpPr txBox="1">
          <a:spLocks noChangeArrowheads="1"/>
        </xdr:cNvSpPr>
      </xdr:nvSpPr>
      <xdr:spPr bwMode="auto">
        <a:xfrm>
          <a:off x="218727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85" name="Text Box 41" hidden="1">
          <a:extLst>
            <a:ext uri="{FF2B5EF4-FFF2-40B4-BE49-F238E27FC236}">
              <a16:creationId xmlns:a16="http://schemas.microsoft.com/office/drawing/2014/main" id="{728F141E-8167-449D-97A8-70DAD1D0205E}"/>
            </a:ext>
          </a:extLst>
        </xdr:cNvPr>
        <xdr:cNvSpPr txBox="1">
          <a:spLocks noChangeArrowheads="1"/>
        </xdr:cNvSpPr>
      </xdr:nvSpPr>
      <xdr:spPr bwMode="auto">
        <a:xfrm>
          <a:off x="248953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629375</xdr:colOff>
      <xdr:row>15</xdr:row>
      <xdr:rowOff>98238</xdr:rowOff>
    </xdr:from>
    <xdr:to>
      <xdr:col>20</xdr:col>
      <xdr:colOff>67774</xdr:colOff>
      <xdr:row>19</xdr:row>
      <xdr:rowOff>31563</xdr:rowOff>
    </xdr:to>
    <xdr:sp macro="" textlink="">
      <xdr:nvSpPr>
        <xdr:cNvPr id="186" name="Text Box 51" hidden="1">
          <a:extLst>
            <a:ext uri="{FF2B5EF4-FFF2-40B4-BE49-F238E27FC236}">
              <a16:creationId xmlns:a16="http://schemas.microsoft.com/office/drawing/2014/main" id="{0408B566-513D-41CB-BC7A-06723D05D61C}"/>
            </a:ext>
          </a:extLst>
        </xdr:cNvPr>
        <xdr:cNvSpPr txBox="1">
          <a:spLocks noChangeArrowheads="1"/>
        </xdr:cNvSpPr>
      </xdr:nvSpPr>
      <xdr:spPr bwMode="auto">
        <a:xfrm>
          <a:off x="20418590" y="2038350"/>
          <a:ext cx="12954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187" name="Text Box 11" hidden="1">
          <a:extLst>
            <a:ext uri="{FF2B5EF4-FFF2-40B4-BE49-F238E27FC236}">
              <a16:creationId xmlns:a16="http://schemas.microsoft.com/office/drawing/2014/main" id="{315C7795-E6C1-472B-B7FF-FBDACBAFA72A}"/>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188" name="Text Box 10" hidden="1">
          <a:extLst>
            <a:ext uri="{FF2B5EF4-FFF2-40B4-BE49-F238E27FC236}">
              <a16:creationId xmlns:a16="http://schemas.microsoft.com/office/drawing/2014/main" id="{60DB76B6-10EC-4883-B17C-9CA325F81BEB}"/>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189" name="Text Box 9" hidden="1">
          <a:extLst>
            <a:ext uri="{FF2B5EF4-FFF2-40B4-BE49-F238E27FC236}">
              <a16:creationId xmlns:a16="http://schemas.microsoft.com/office/drawing/2014/main" id="{330119AF-D21B-41E1-903E-D2B5643DAEC8}"/>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190" name="Text Box 8" hidden="1">
          <a:extLst>
            <a:ext uri="{FF2B5EF4-FFF2-40B4-BE49-F238E27FC236}">
              <a16:creationId xmlns:a16="http://schemas.microsoft.com/office/drawing/2014/main" id="{F8080779-78C3-4CA4-A23E-1569D2EA0124}"/>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191" name="Text Box 7" hidden="1">
          <a:extLst>
            <a:ext uri="{FF2B5EF4-FFF2-40B4-BE49-F238E27FC236}">
              <a16:creationId xmlns:a16="http://schemas.microsoft.com/office/drawing/2014/main" id="{9B1F69C5-B1DC-4009-9BAE-47CA863D4C0E}"/>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192" name="Text Box 6" hidden="1">
          <a:extLst>
            <a:ext uri="{FF2B5EF4-FFF2-40B4-BE49-F238E27FC236}">
              <a16:creationId xmlns:a16="http://schemas.microsoft.com/office/drawing/2014/main" id="{D338E343-083A-4126-91E9-D9858D4C0A22}"/>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193" name="Text Box 5" hidden="1">
          <a:extLst>
            <a:ext uri="{FF2B5EF4-FFF2-40B4-BE49-F238E27FC236}">
              <a16:creationId xmlns:a16="http://schemas.microsoft.com/office/drawing/2014/main" id="{F48F2BBF-6FFC-48A4-95C8-48D2A30E4DBC}"/>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194" name="Text Box 4" hidden="1">
          <a:extLst>
            <a:ext uri="{FF2B5EF4-FFF2-40B4-BE49-F238E27FC236}">
              <a16:creationId xmlns:a16="http://schemas.microsoft.com/office/drawing/2014/main" id="{4739DDF3-B867-498A-99C4-F3FF6F52107D}"/>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195" name="Text Box 3" hidden="1">
          <a:extLst>
            <a:ext uri="{FF2B5EF4-FFF2-40B4-BE49-F238E27FC236}">
              <a16:creationId xmlns:a16="http://schemas.microsoft.com/office/drawing/2014/main" id="{3DA9007A-AC5B-4CB7-B345-C93B45D8835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196" name="Text Box 2" hidden="1">
          <a:extLst>
            <a:ext uri="{FF2B5EF4-FFF2-40B4-BE49-F238E27FC236}">
              <a16:creationId xmlns:a16="http://schemas.microsoft.com/office/drawing/2014/main" id="{D0BF4F1A-C285-4281-B5E9-0AC2B6E995B7}"/>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197" name="Text Box 1" hidden="1">
          <a:extLst>
            <a:ext uri="{FF2B5EF4-FFF2-40B4-BE49-F238E27FC236}">
              <a16:creationId xmlns:a16="http://schemas.microsoft.com/office/drawing/2014/main" id="{670875FA-265B-4BBB-9E69-8EDA4D454061}"/>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198" name="Text Box 12" hidden="1">
          <a:extLst>
            <a:ext uri="{FF2B5EF4-FFF2-40B4-BE49-F238E27FC236}">
              <a16:creationId xmlns:a16="http://schemas.microsoft.com/office/drawing/2014/main" id="{2DBE2BAC-AE05-42B6-8DE4-E0A11C706E43}"/>
            </a:ext>
          </a:extLst>
        </xdr:cNvPr>
        <xdr:cNvSpPr txBox="1">
          <a:spLocks noChangeArrowheads="1"/>
        </xdr:cNvSpPr>
      </xdr:nvSpPr>
      <xdr:spPr bwMode="auto">
        <a:xfrm>
          <a:off x="4984750" y="11734800"/>
          <a:ext cx="1428750" cy="77955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199" name="Text Box 25" hidden="1">
          <a:extLst>
            <a:ext uri="{FF2B5EF4-FFF2-40B4-BE49-F238E27FC236}">
              <a16:creationId xmlns:a16="http://schemas.microsoft.com/office/drawing/2014/main" id="{5F155865-369F-4A2D-A73A-98843D4F898E}"/>
            </a:ext>
          </a:extLst>
        </xdr:cNvPr>
        <xdr:cNvSpPr txBox="1">
          <a:spLocks noChangeArrowheads="1"/>
        </xdr:cNvSpPr>
      </xdr:nvSpPr>
      <xdr:spPr bwMode="auto">
        <a:xfrm>
          <a:off x="196342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00" name="Text Box 26" hidden="1">
          <a:extLst>
            <a:ext uri="{FF2B5EF4-FFF2-40B4-BE49-F238E27FC236}">
              <a16:creationId xmlns:a16="http://schemas.microsoft.com/office/drawing/2014/main" id="{3A7A2A9F-80DB-4ABB-81D9-28AEF0921206}"/>
            </a:ext>
          </a:extLst>
        </xdr:cNvPr>
        <xdr:cNvSpPr txBox="1">
          <a:spLocks noChangeArrowheads="1"/>
        </xdr:cNvSpPr>
      </xdr:nvSpPr>
      <xdr:spPr bwMode="auto">
        <a:xfrm>
          <a:off x="226568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01" name="Text Box 27" hidden="1">
          <a:extLst>
            <a:ext uri="{FF2B5EF4-FFF2-40B4-BE49-F238E27FC236}">
              <a16:creationId xmlns:a16="http://schemas.microsoft.com/office/drawing/2014/main" id="{DACBADAF-A16C-4251-8C9E-98DB0FAB5093}"/>
            </a:ext>
          </a:extLst>
        </xdr:cNvPr>
        <xdr:cNvSpPr txBox="1">
          <a:spLocks noChangeArrowheads="1"/>
        </xdr:cNvSpPr>
      </xdr:nvSpPr>
      <xdr:spPr bwMode="auto">
        <a:xfrm>
          <a:off x="256794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48372</xdr:rowOff>
    </xdr:to>
    <xdr:sp macro="" textlink="">
      <xdr:nvSpPr>
        <xdr:cNvPr id="202" name="Text Box 28" hidden="1">
          <a:extLst>
            <a:ext uri="{FF2B5EF4-FFF2-40B4-BE49-F238E27FC236}">
              <a16:creationId xmlns:a16="http://schemas.microsoft.com/office/drawing/2014/main" id="{7255F18B-E981-47AD-BA15-33E591767ABD}"/>
            </a:ext>
          </a:extLst>
        </xdr:cNvPr>
        <xdr:cNvSpPr txBox="1">
          <a:spLocks noChangeArrowheads="1"/>
        </xdr:cNvSpPr>
      </xdr:nvSpPr>
      <xdr:spPr bwMode="auto">
        <a:xfrm>
          <a:off x="20351750" y="4563036"/>
          <a:ext cx="1250950" cy="7705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03" name="Text Box 44" hidden="1">
          <a:extLst>
            <a:ext uri="{FF2B5EF4-FFF2-40B4-BE49-F238E27FC236}">
              <a16:creationId xmlns:a16="http://schemas.microsoft.com/office/drawing/2014/main" id="{D0626D30-E301-4495-ABB6-192080689A17}"/>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04" name="Text Box 43" hidden="1">
          <a:extLst>
            <a:ext uri="{FF2B5EF4-FFF2-40B4-BE49-F238E27FC236}">
              <a16:creationId xmlns:a16="http://schemas.microsoft.com/office/drawing/2014/main" id="{944672EB-32D9-453F-9834-E13327DEF535}"/>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05" name="Text Box 42" hidden="1">
          <a:extLst>
            <a:ext uri="{FF2B5EF4-FFF2-40B4-BE49-F238E27FC236}">
              <a16:creationId xmlns:a16="http://schemas.microsoft.com/office/drawing/2014/main" id="{1816ED6A-F2DB-4054-A3BF-491E7DD8C2CD}"/>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06" name="Text Box 41" hidden="1">
          <a:extLst>
            <a:ext uri="{FF2B5EF4-FFF2-40B4-BE49-F238E27FC236}">
              <a16:creationId xmlns:a16="http://schemas.microsoft.com/office/drawing/2014/main" id="{B1BC53A6-212D-4F4B-BC52-DDD55697EE9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07" name="Text Box 40" hidden="1">
          <a:extLst>
            <a:ext uri="{FF2B5EF4-FFF2-40B4-BE49-F238E27FC236}">
              <a16:creationId xmlns:a16="http://schemas.microsoft.com/office/drawing/2014/main" id="{D329CA19-9458-4AF6-9AAC-C789A5E2E61F}"/>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08" name="Text Box 39" hidden="1">
          <a:extLst>
            <a:ext uri="{FF2B5EF4-FFF2-40B4-BE49-F238E27FC236}">
              <a16:creationId xmlns:a16="http://schemas.microsoft.com/office/drawing/2014/main" id="{89250C48-EE30-4134-A4DA-6B7649173D40}"/>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09" name="Text Box 38" hidden="1">
          <a:extLst>
            <a:ext uri="{FF2B5EF4-FFF2-40B4-BE49-F238E27FC236}">
              <a16:creationId xmlns:a16="http://schemas.microsoft.com/office/drawing/2014/main" id="{B5593585-E86F-44F1-A866-5692CE3548BD}"/>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10" name="Text Box 37" hidden="1">
          <a:extLst>
            <a:ext uri="{FF2B5EF4-FFF2-40B4-BE49-F238E27FC236}">
              <a16:creationId xmlns:a16="http://schemas.microsoft.com/office/drawing/2014/main" id="{B4862B6F-0BFF-4522-816C-2E00AFF137FA}"/>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11" name="Text Box 36" hidden="1">
          <a:extLst>
            <a:ext uri="{FF2B5EF4-FFF2-40B4-BE49-F238E27FC236}">
              <a16:creationId xmlns:a16="http://schemas.microsoft.com/office/drawing/2014/main" id="{1A626188-3053-488D-B402-6381B1BAB19B}"/>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12" name="Text Box 35" hidden="1">
          <a:extLst>
            <a:ext uri="{FF2B5EF4-FFF2-40B4-BE49-F238E27FC236}">
              <a16:creationId xmlns:a16="http://schemas.microsoft.com/office/drawing/2014/main" id="{7BC7A37F-74AD-4930-8CBE-0A9E105A5FED}"/>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13" name="Text Box 34" hidden="1">
          <a:extLst>
            <a:ext uri="{FF2B5EF4-FFF2-40B4-BE49-F238E27FC236}">
              <a16:creationId xmlns:a16="http://schemas.microsoft.com/office/drawing/2014/main" id="{D288E8B2-17F1-41AA-B3B3-374C2616AB6B}"/>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14" name="Text Box 33" hidden="1">
          <a:extLst>
            <a:ext uri="{FF2B5EF4-FFF2-40B4-BE49-F238E27FC236}">
              <a16:creationId xmlns:a16="http://schemas.microsoft.com/office/drawing/2014/main" id="{BC13EF71-F402-4D26-8187-8F539D195E7F}"/>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15" name="Text Box 32" hidden="1">
          <a:extLst>
            <a:ext uri="{FF2B5EF4-FFF2-40B4-BE49-F238E27FC236}">
              <a16:creationId xmlns:a16="http://schemas.microsoft.com/office/drawing/2014/main" id="{A16D102F-551E-4C11-A790-9638EA3FF6A2}"/>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16" name="Text Box 31" hidden="1">
          <a:extLst>
            <a:ext uri="{FF2B5EF4-FFF2-40B4-BE49-F238E27FC236}">
              <a16:creationId xmlns:a16="http://schemas.microsoft.com/office/drawing/2014/main" id="{80BBEC1B-6DA8-4470-9928-54E481068EC1}"/>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17" name="Text Box 30" hidden="1">
          <a:extLst>
            <a:ext uri="{FF2B5EF4-FFF2-40B4-BE49-F238E27FC236}">
              <a16:creationId xmlns:a16="http://schemas.microsoft.com/office/drawing/2014/main" id="{80C0C5D3-CD75-4226-95E4-E5A93F14FE69}"/>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18" name="Text Box 29" hidden="1">
          <a:extLst>
            <a:ext uri="{FF2B5EF4-FFF2-40B4-BE49-F238E27FC236}">
              <a16:creationId xmlns:a16="http://schemas.microsoft.com/office/drawing/2014/main" id="{6C2E1603-A2AC-42D9-A5D9-2D141DF7D298}"/>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19" name="Text Box 60" hidden="1">
          <a:extLst>
            <a:ext uri="{FF2B5EF4-FFF2-40B4-BE49-F238E27FC236}">
              <a16:creationId xmlns:a16="http://schemas.microsoft.com/office/drawing/2014/main" id="{6A980248-1D12-467A-9265-6E3C01AA2285}"/>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20" name="Text Box 59" hidden="1">
          <a:extLst>
            <a:ext uri="{FF2B5EF4-FFF2-40B4-BE49-F238E27FC236}">
              <a16:creationId xmlns:a16="http://schemas.microsoft.com/office/drawing/2014/main" id="{F1EA1CC1-4867-451D-BA6B-999D26EA6426}"/>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21" name="Text Box 58" hidden="1">
          <a:extLst>
            <a:ext uri="{FF2B5EF4-FFF2-40B4-BE49-F238E27FC236}">
              <a16:creationId xmlns:a16="http://schemas.microsoft.com/office/drawing/2014/main" id="{7DB3C464-14A9-4A2D-AC66-88C7C2BBC559}"/>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22" name="Text Box 57" hidden="1">
          <a:extLst>
            <a:ext uri="{FF2B5EF4-FFF2-40B4-BE49-F238E27FC236}">
              <a16:creationId xmlns:a16="http://schemas.microsoft.com/office/drawing/2014/main" id="{820D90C3-39A7-4D43-8E16-B6F93602662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23" name="Text Box 56" hidden="1">
          <a:extLst>
            <a:ext uri="{FF2B5EF4-FFF2-40B4-BE49-F238E27FC236}">
              <a16:creationId xmlns:a16="http://schemas.microsoft.com/office/drawing/2014/main" id="{AA584057-DC5D-44F3-ADF1-26D0772000C5}"/>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24" name="Text Box 55" hidden="1">
          <a:extLst>
            <a:ext uri="{FF2B5EF4-FFF2-40B4-BE49-F238E27FC236}">
              <a16:creationId xmlns:a16="http://schemas.microsoft.com/office/drawing/2014/main" id="{FAC049E7-B18E-4705-AFBB-F025E00A64C4}"/>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25" name="Text Box 54" hidden="1">
          <a:extLst>
            <a:ext uri="{FF2B5EF4-FFF2-40B4-BE49-F238E27FC236}">
              <a16:creationId xmlns:a16="http://schemas.microsoft.com/office/drawing/2014/main" id="{DFF73731-3E3B-4B17-BF6F-FC8E7C052338}"/>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26" name="Text Box 53" hidden="1">
          <a:extLst>
            <a:ext uri="{FF2B5EF4-FFF2-40B4-BE49-F238E27FC236}">
              <a16:creationId xmlns:a16="http://schemas.microsoft.com/office/drawing/2014/main" id="{3B14A920-A4D1-4082-9959-E9C37CE7A62B}"/>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27" name="Text Box 52" hidden="1">
          <a:extLst>
            <a:ext uri="{FF2B5EF4-FFF2-40B4-BE49-F238E27FC236}">
              <a16:creationId xmlns:a16="http://schemas.microsoft.com/office/drawing/2014/main" id="{B3486FAA-A258-48FC-8611-2B6E93DAF1C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28" name="Text Box 51" hidden="1">
          <a:extLst>
            <a:ext uri="{FF2B5EF4-FFF2-40B4-BE49-F238E27FC236}">
              <a16:creationId xmlns:a16="http://schemas.microsoft.com/office/drawing/2014/main" id="{DF976546-8629-4BEE-BC8E-A829410092CA}"/>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29" name="Text Box 50" hidden="1">
          <a:extLst>
            <a:ext uri="{FF2B5EF4-FFF2-40B4-BE49-F238E27FC236}">
              <a16:creationId xmlns:a16="http://schemas.microsoft.com/office/drawing/2014/main" id="{D69A9207-9428-475A-90C5-75C27D94AD04}"/>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30" name="Text Box 49" hidden="1">
          <a:extLst>
            <a:ext uri="{FF2B5EF4-FFF2-40B4-BE49-F238E27FC236}">
              <a16:creationId xmlns:a16="http://schemas.microsoft.com/office/drawing/2014/main" id="{F6DB6BA8-9DAF-49E8-AFD6-848032BF089D}"/>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31" name="Text Box 48" hidden="1">
          <a:extLst>
            <a:ext uri="{FF2B5EF4-FFF2-40B4-BE49-F238E27FC236}">
              <a16:creationId xmlns:a16="http://schemas.microsoft.com/office/drawing/2014/main" id="{9CA5EEC1-D9FF-49CC-AFD7-F9B21E401185}"/>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32" name="Text Box 47" hidden="1">
          <a:extLst>
            <a:ext uri="{FF2B5EF4-FFF2-40B4-BE49-F238E27FC236}">
              <a16:creationId xmlns:a16="http://schemas.microsoft.com/office/drawing/2014/main" id="{3F28E797-EEDC-4D4D-9107-80BC6E8A4A28}"/>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33" name="Text Box 46" hidden="1">
          <a:extLst>
            <a:ext uri="{FF2B5EF4-FFF2-40B4-BE49-F238E27FC236}">
              <a16:creationId xmlns:a16="http://schemas.microsoft.com/office/drawing/2014/main" id="{92258867-CE14-4AA9-8901-00163741241A}"/>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34" name="Text Box 45" hidden="1">
          <a:extLst>
            <a:ext uri="{FF2B5EF4-FFF2-40B4-BE49-F238E27FC236}">
              <a16:creationId xmlns:a16="http://schemas.microsoft.com/office/drawing/2014/main" id="{A6D2E36A-E0CD-47CB-A071-902F423E8190}"/>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xdr:from>
      <xdr:col>4</xdr:col>
      <xdr:colOff>59765</xdr:colOff>
      <xdr:row>96</xdr:row>
      <xdr:rowOff>2989</xdr:rowOff>
    </xdr:from>
    <xdr:to>
      <xdr:col>9</xdr:col>
      <xdr:colOff>702236</xdr:colOff>
      <xdr:row>104</xdr:row>
      <xdr:rowOff>191247</xdr:rowOff>
    </xdr:to>
    <xdr:graphicFrame macro="">
      <xdr:nvGraphicFramePr>
        <xdr:cNvPr id="235" name="Chart 234">
          <a:extLst>
            <a:ext uri="{FF2B5EF4-FFF2-40B4-BE49-F238E27FC236}">
              <a16:creationId xmlns:a16="http://schemas.microsoft.com/office/drawing/2014/main" id="{FA25A0F1-D784-4750-9714-6FD725E88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57377" name="Text Box 1" hidden="1">
          <a:extLst>
            <a:ext uri="{FF2B5EF4-FFF2-40B4-BE49-F238E27FC236}">
              <a16:creationId xmlns:a16="http://schemas.microsoft.com/office/drawing/2014/main" id="{7CFD5789-12FA-20A1-A45F-BA1265054393}"/>
            </a:ext>
          </a:extLst>
        </xdr:cNvPr>
        <xdr:cNvSpPr txBox="1">
          <a:spLocks noChangeArrowheads="1"/>
        </xdr:cNvSpPr>
      </xdr:nvSpPr>
      <xdr:spPr bwMode="auto">
        <a:xfrm>
          <a:off x="2110105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57378" name="Text Box 2" hidden="1">
          <a:extLst>
            <a:ext uri="{FF2B5EF4-FFF2-40B4-BE49-F238E27FC236}">
              <a16:creationId xmlns:a16="http://schemas.microsoft.com/office/drawing/2014/main" id="{0EBCD07A-6269-F838-7BC2-52EC748E7E52}"/>
            </a:ext>
          </a:extLst>
        </xdr:cNvPr>
        <xdr:cNvSpPr txBox="1">
          <a:spLocks noChangeArrowheads="1"/>
        </xdr:cNvSpPr>
      </xdr:nvSpPr>
      <xdr:spPr bwMode="auto">
        <a:xfrm>
          <a:off x="1958975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57379" name="Text Box 3" hidden="1">
          <a:extLst>
            <a:ext uri="{FF2B5EF4-FFF2-40B4-BE49-F238E27FC236}">
              <a16:creationId xmlns:a16="http://schemas.microsoft.com/office/drawing/2014/main" id="{AB071B14-7C33-AB72-2CF7-B2D463FA7DAF}"/>
            </a:ext>
          </a:extLst>
        </xdr:cNvPr>
        <xdr:cNvSpPr txBox="1">
          <a:spLocks noChangeArrowheads="1"/>
        </xdr:cNvSpPr>
      </xdr:nvSpPr>
      <xdr:spPr bwMode="auto">
        <a:xfrm>
          <a:off x="2185670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57380" name="Text Box 4" hidden="1">
          <a:extLst>
            <a:ext uri="{FF2B5EF4-FFF2-40B4-BE49-F238E27FC236}">
              <a16:creationId xmlns:a16="http://schemas.microsoft.com/office/drawing/2014/main" id="{736C8763-E866-20F5-C6F9-EC59E3AFF830}"/>
            </a:ext>
          </a:extLst>
        </xdr:cNvPr>
        <xdr:cNvSpPr txBox="1">
          <a:spLocks noChangeArrowheads="1"/>
        </xdr:cNvSpPr>
      </xdr:nvSpPr>
      <xdr:spPr bwMode="auto">
        <a:xfrm>
          <a:off x="188341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57381" name="Text Box 5" hidden="1">
          <a:extLst>
            <a:ext uri="{FF2B5EF4-FFF2-40B4-BE49-F238E27FC236}">
              <a16:creationId xmlns:a16="http://schemas.microsoft.com/office/drawing/2014/main" id="{5126F1D3-4566-96CB-8E5A-7AC14968BC81}"/>
            </a:ext>
          </a:extLst>
        </xdr:cNvPr>
        <xdr:cNvSpPr txBox="1">
          <a:spLocks noChangeArrowheads="1"/>
        </xdr:cNvSpPr>
      </xdr:nvSpPr>
      <xdr:spPr bwMode="auto">
        <a:xfrm>
          <a:off x="203454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57382" name="Text Box 6" hidden="1">
          <a:extLst>
            <a:ext uri="{FF2B5EF4-FFF2-40B4-BE49-F238E27FC236}">
              <a16:creationId xmlns:a16="http://schemas.microsoft.com/office/drawing/2014/main" id="{4E4EEA33-A300-5815-BB77-A915F4AD2B70}"/>
            </a:ext>
          </a:extLst>
        </xdr:cNvPr>
        <xdr:cNvSpPr txBox="1">
          <a:spLocks noChangeArrowheads="1"/>
        </xdr:cNvSpPr>
      </xdr:nvSpPr>
      <xdr:spPr bwMode="auto">
        <a:xfrm>
          <a:off x="1883410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57383" name="Text Box 7" hidden="1">
          <a:extLst>
            <a:ext uri="{FF2B5EF4-FFF2-40B4-BE49-F238E27FC236}">
              <a16:creationId xmlns:a16="http://schemas.microsoft.com/office/drawing/2014/main" id="{FA8DA20D-2F15-D224-4E87-2631F627C58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57384" name="Text Box 8" hidden="1">
          <a:extLst>
            <a:ext uri="{FF2B5EF4-FFF2-40B4-BE49-F238E27FC236}">
              <a16:creationId xmlns:a16="http://schemas.microsoft.com/office/drawing/2014/main" id="{499732DE-8457-24E0-1F3F-699888B4DB8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57385" name="Text Box 9" hidden="1">
          <a:extLst>
            <a:ext uri="{FF2B5EF4-FFF2-40B4-BE49-F238E27FC236}">
              <a16:creationId xmlns:a16="http://schemas.microsoft.com/office/drawing/2014/main" id="{1826EC43-CCF9-3438-E2C9-FF6505EA4DE6}"/>
            </a:ext>
          </a:extLst>
        </xdr:cNvPr>
        <xdr:cNvSpPr txBox="1">
          <a:spLocks noChangeArrowheads="1"/>
        </xdr:cNvSpPr>
      </xdr:nvSpPr>
      <xdr:spPr bwMode="auto">
        <a:xfrm>
          <a:off x="2185670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57386" name="Text Box 10" hidden="1">
          <a:extLst>
            <a:ext uri="{FF2B5EF4-FFF2-40B4-BE49-F238E27FC236}">
              <a16:creationId xmlns:a16="http://schemas.microsoft.com/office/drawing/2014/main" id="{C133CD44-5602-A2EC-3924-6895BD7DE8F5}"/>
            </a:ext>
          </a:extLst>
        </xdr:cNvPr>
        <xdr:cNvSpPr txBox="1">
          <a:spLocks noChangeArrowheads="1"/>
        </xdr:cNvSpPr>
      </xdr:nvSpPr>
      <xdr:spPr bwMode="auto">
        <a:xfrm>
          <a:off x="120205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57387" name="Text Box 11" hidden="1">
          <a:extLst>
            <a:ext uri="{FF2B5EF4-FFF2-40B4-BE49-F238E27FC236}">
              <a16:creationId xmlns:a16="http://schemas.microsoft.com/office/drawing/2014/main" id="{6CD70F4F-69D0-D73D-E506-4B95499F8613}"/>
            </a:ext>
          </a:extLst>
        </xdr:cNvPr>
        <xdr:cNvSpPr txBox="1">
          <a:spLocks noChangeArrowheads="1"/>
        </xdr:cNvSpPr>
      </xdr:nvSpPr>
      <xdr:spPr bwMode="auto">
        <a:xfrm>
          <a:off x="142875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57388" name="Text Box 12" hidden="1">
          <a:extLst>
            <a:ext uri="{FF2B5EF4-FFF2-40B4-BE49-F238E27FC236}">
              <a16:creationId xmlns:a16="http://schemas.microsoft.com/office/drawing/2014/main" id="{9C6B8F93-E4E6-2A97-5067-EBAF49D98AF1}"/>
            </a:ext>
          </a:extLst>
        </xdr:cNvPr>
        <xdr:cNvSpPr txBox="1">
          <a:spLocks noChangeArrowheads="1"/>
        </xdr:cNvSpPr>
      </xdr:nvSpPr>
      <xdr:spPr bwMode="auto">
        <a:xfrm>
          <a:off x="2034540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57389" name="Text Box 13" hidden="1">
          <a:extLst>
            <a:ext uri="{FF2B5EF4-FFF2-40B4-BE49-F238E27FC236}">
              <a16:creationId xmlns:a16="http://schemas.microsoft.com/office/drawing/2014/main" id="{801F3F4F-CE48-0D69-404F-C09FA1FCE20E}"/>
            </a:ext>
          </a:extLst>
        </xdr:cNvPr>
        <xdr:cNvSpPr txBox="1">
          <a:spLocks noChangeArrowheads="1"/>
        </xdr:cNvSpPr>
      </xdr:nvSpPr>
      <xdr:spPr bwMode="auto">
        <a:xfrm>
          <a:off x="233553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57390" name="Text Box 14" hidden="1">
          <a:extLst>
            <a:ext uri="{FF2B5EF4-FFF2-40B4-BE49-F238E27FC236}">
              <a16:creationId xmlns:a16="http://schemas.microsoft.com/office/drawing/2014/main" id="{6A27B001-7E28-22AF-AB0F-68D95BA160E1}"/>
            </a:ext>
          </a:extLst>
        </xdr:cNvPr>
        <xdr:cNvSpPr txBox="1">
          <a:spLocks noChangeArrowheads="1"/>
        </xdr:cNvSpPr>
      </xdr:nvSpPr>
      <xdr:spPr bwMode="auto">
        <a:xfrm>
          <a:off x="263779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57391" name="Text Box 15" hidden="1">
          <a:extLst>
            <a:ext uri="{FF2B5EF4-FFF2-40B4-BE49-F238E27FC236}">
              <a16:creationId xmlns:a16="http://schemas.microsoft.com/office/drawing/2014/main" id="{DDB3D6FB-F00B-3CBA-BF2C-040A2768F341}"/>
            </a:ext>
          </a:extLst>
        </xdr:cNvPr>
        <xdr:cNvSpPr txBox="1">
          <a:spLocks noChangeArrowheads="1"/>
        </xdr:cNvSpPr>
      </xdr:nvSpPr>
      <xdr:spPr bwMode="auto">
        <a:xfrm>
          <a:off x="2034540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57392" name="Text Box 16" hidden="1">
          <a:extLst>
            <a:ext uri="{FF2B5EF4-FFF2-40B4-BE49-F238E27FC236}">
              <a16:creationId xmlns:a16="http://schemas.microsoft.com/office/drawing/2014/main" id="{B33FDCFE-0DAB-0237-966A-B8CFB9EF5DCB}"/>
            </a:ext>
          </a:extLst>
        </xdr:cNvPr>
        <xdr:cNvSpPr txBox="1">
          <a:spLocks noChangeArrowheads="1"/>
        </xdr:cNvSpPr>
      </xdr:nvSpPr>
      <xdr:spPr bwMode="auto">
        <a:xfrm>
          <a:off x="2335530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57393" name="Text Box 17" hidden="1">
          <a:extLst>
            <a:ext uri="{FF2B5EF4-FFF2-40B4-BE49-F238E27FC236}">
              <a16:creationId xmlns:a16="http://schemas.microsoft.com/office/drawing/2014/main" id="{0C26B681-F8F8-3910-2C3F-861D2095EA58}"/>
            </a:ext>
          </a:extLst>
        </xdr:cNvPr>
        <xdr:cNvSpPr txBox="1">
          <a:spLocks noChangeArrowheads="1"/>
        </xdr:cNvSpPr>
      </xdr:nvSpPr>
      <xdr:spPr bwMode="auto">
        <a:xfrm>
          <a:off x="2637790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57394" name="Text Box 18" hidden="1">
          <a:extLst>
            <a:ext uri="{FF2B5EF4-FFF2-40B4-BE49-F238E27FC236}">
              <a16:creationId xmlns:a16="http://schemas.microsoft.com/office/drawing/2014/main" id="{7614FBC5-B03C-3063-B865-30BC172D213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57395" name="Text Box 19" hidden="1">
          <a:extLst>
            <a:ext uri="{FF2B5EF4-FFF2-40B4-BE49-F238E27FC236}">
              <a16:creationId xmlns:a16="http://schemas.microsoft.com/office/drawing/2014/main" id="{76AAC99C-9E1A-4EFB-FDDC-CEA6996D7088}"/>
            </a:ext>
          </a:extLst>
        </xdr:cNvPr>
        <xdr:cNvSpPr txBox="1">
          <a:spLocks noChangeArrowheads="1"/>
        </xdr:cNvSpPr>
      </xdr:nvSpPr>
      <xdr:spPr bwMode="auto">
        <a:xfrm>
          <a:off x="2110105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57396" name="Text Box 20" hidden="1">
          <a:extLst>
            <a:ext uri="{FF2B5EF4-FFF2-40B4-BE49-F238E27FC236}">
              <a16:creationId xmlns:a16="http://schemas.microsoft.com/office/drawing/2014/main" id="{486CE879-BBF9-0C07-6E2A-29B946FCB94E}"/>
            </a:ext>
          </a:extLst>
        </xdr:cNvPr>
        <xdr:cNvSpPr txBox="1">
          <a:spLocks noChangeArrowheads="1"/>
        </xdr:cNvSpPr>
      </xdr:nvSpPr>
      <xdr:spPr bwMode="auto">
        <a:xfrm>
          <a:off x="188341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57397" name="Text Box 21" hidden="1">
          <a:extLst>
            <a:ext uri="{FF2B5EF4-FFF2-40B4-BE49-F238E27FC236}">
              <a16:creationId xmlns:a16="http://schemas.microsoft.com/office/drawing/2014/main" id="{AAEA89EE-B4F4-36ED-5916-A61B0F1FCDB8}"/>
            </a:ext>
          </a:extLst>
        </xdr:cNvPr>
        <xdr:cNvSpPr txBox="1">
          <a:spLocks noChangeArrowheads="1"/>
        </xdr:cNvSpPr>
      </xdr:nvSpPr>
      <xdr:spPr bwMode="auto">
        <a:xfrm>
          <a:off x="203454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57398" name="Text Box 22" hidden="1">
          <a:extLst>
            <a:ext uri="{FF2B5EF4-FFF2-40B4-BE49-F238E27FC236}">
              <a16:creationId xmlns:a16="http://schemas.microsoft.com/office/drawing/2014/main" id="{D90D6721-103E-60F7-ECF2-862F5D613214}"/>
            </a:ext>
          </a:extLst>
        </xdr:cNvPr>
        <xdr:cNvSpPr txBox="1">
          <a:spLocks noChangeArrowheads="1"/>
        </xdr:cNvSpPr>
      </xdr:nvSpPr>
      <xdr:spPr bwMode="auto">
        <a:xfrm>
          <a:off x="2185670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28" name="Text Box 44" hidden="1">
          <a:extLst>
            <a:ext uri="{FF2B5EF4-FFF2-40B4-BE49-F238E27FC236}">
              <a16:creationId xmlns:a16="http://schemas.microsoft.com/office/drawing/2014/main" id="{73E59521-47E4-8BBC-9166-C84FAEB519DD}"/>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27" name="Text Box 43" hidden="1">
          <a:extLst>
            <a:ext uri="{FF2B5EF4-FFF2-40B4-BE49-F238E27FC236}">
              <a16:creationId xmlns:a16="http://schemas.microsoft.com/office/drawing/2014/main" id="{898A5B89-7F2C-DE08-EAB2-7CB545BDAC5C}"/>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26" name="Text Box 42" hidden="1">
          <a:extLst>
            <a:ext uri="{FF2B5EF4-FFF2-40B4-BE49-F238E27FC236}">
              <a16:creationId xmlns:a16="http://schemas.microsoft.com/office/drawing/2014/main" id="{444B58B9-407F-A97E-D3C5-FF1B4271CB2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25" name="Text Box 41" hidden="1">
          <a:extLst>
            <a:ext uri="{FF2B5EF4-FFF2-40B4-BE49-F238E27FC236}">
              <a16:creationId xmlns:a16="http://schemas.microsoft.com/office/drawing/2014/main" id="{9293FA13-5AF1-86D4-53C4-F8430538A3F8}"/>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24" name="Text Box 40" hidden="1">
          <a:extLst>
            <a:ext uri="{FF2B5EF4-FFF2-40B4-BE49-F238E27FC236}">
              <a16:creationId xmlns:a16="http://schemas.microsoft.com/office/drawing/2014/main" id="{44DF28E2-CF8A-0F97-AAB2-2583BC05C443}"/>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23" name="Text Box 39" hidden="1">
          <a:extLst>
            <a:ext uri="{FF2B5EF4-FFF2-40B4-BE49-F238E27FC236}">
              <a16:creationId xmlns:a16="http://schemas.microsoft.com/office/drawing/2014/main" id="{8B64B797-1E35-C205-4909-321036FDBA2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22" name="Text Box 38" hidden="1">
          <a:extLst>
            <a:ext uri="{FF2B5EF4-FFF2-40B4-BE49-F238E27FC236}">
              <a16:creationId xmlns:a16="http://schemas.microsoft.com/office/drawing/2014/main" id="{7966490A-EFCE-5F02-6B3B-885AF24A1A24}"/>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21" name="Text Box 37" hidden="1">
          <a:extLst>
            <a:ext uri="{FF2B5EF4-FFF2-40B4-BE49-F238E27FC236}">
              <a16:creationId xmlns:a16="http://schemas.microsoft.com/office/drawing/2014/main" id="{2A8CBA35-A112-8D49-F5C3-D6C9FC9F8231}"/>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20" name="Text Box 36" hidden="1">
          <a:extLst>
            <a:ext uri="{FF2B5EF4-FFF2-40B4-BE49-F238E27FC236}">
              <a16:creationId xmlns:a16="http://schemas.microsoft.com/office/drawing/2014/main" id="{22484497-4A68-1E42-12E7-10E83B64AD32}"/>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19" name="Text Box 35" hidden="1">
          <a:extLst>
            <a:ext uri="{FF2B5EF4-FFF2-40B4-BE49-F238E27FC236}">
              <a16:creationId xmlns:a16="http://schemas.microsoft.com/office/drawing/2014/main" id="{5CB9870B-D060-2E3B-6CD5-717F9C8B9EC8}"/>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18" name="Text Box 34" hidden="1">
          <a:extLst>
            <a:ext uri="{FF2B5EF4-FFF2-40B4-BE49-F238E27FC236}">
              <a16:creationId xmlns:a16="http://schemas.microsoft.com/office/drawing/2014/main" id="{883B630C-EDDD-00EA-E865-81E08F579EA1}"/>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17" name="Text Box 33" hidden="1">
          <a:extLst>
            <a:ext uri="{FF2B5EF4-FFF2-40B4-BE49-F238E27FC236}">
              <a16:creationId xmlns:a16="http://schemas.microsoft.com/office/drawing/2014/main" id="{331B63C2-0A51-8D65-B4D1-E48041AA70F2}"/>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16" name="Text Box 32" hidden="1">
          <a:extLst>
            <a:ext uri="{FF2B5EF4-FFF2-40B4-BE49-F238E27FC236}">
              <a16:creationId xmlns:a16="http://schemas.microsoft.com/office/drawing/2014/main" id="{2F012BDD-85C6-2B70-9346-5D3939D00BBE}"/>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15" name="Text Box 31" hidden="1">
          <a:extLst>
            <a:ext uri="{FF2B5EF4-FFF2-40B4-BE49-F238E27FC236}">
              <a16:creationId xmlns:a16="http://schemas.microsoft.com/office/drawing/2014/main" id="{7AD7FC98-288A-2482-7D02-847A5587BA39}"/>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14" name="Text Box 30" hidden="1">
          <a:extLst>
            <a:ext uri="{FF2B5EF4-FFF2-40B4-BE49-F238E27FC236}">
              <a16:creationId xmlns:a16="http://schemas.microsoft.com/office/drawing/2014/main" id="{76E167FC-0AC5-B988-A090-C30D0C51B3FF}"/>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13" name="Text Box 29" hidden="1">
          <a:extLst>
            <a:ext uri="{FF2B5EF4-FFF2-40B4-BE49-F238E27FC236}">
              <a16:creationId xmlns:a16="http://schemas.microsoft.com/office/drawing/2014/main" id="{0BBAABD9-3D2F-4B9F-0539-6F1EC5166096}"/>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12" name="Text Box 28" hidden="1">
          <a:extLst>
            <a:ext uri="{FF2B5EF4-FFF2-40B4-BE49-F238E27FC236}">
              <a16:creationId xmlns:a16="http://schemas.microsoft.com/office/drawing/2014/main" id="{89592A0A-2FC5-C15F-7AB9-C67821504B85}"/>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11" name="Text Box 27" hidden="1">
          <a:extLst>
            <a:ext uri="{FF2B5EF4-FFF2-40B4-BE49-F238E27FC236}">
              <a16:creationId xmlns:a16="http://schemas.microsoft.com/office/drawing/2014/main" id="{59A728CE-286C-8A29-3792-2157BB076805}"/>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10" name="Text Box 26" hidden="1">
          <a:extLst>
            <a:ext uri="{FF2B5EF4-FFF2-40B4-BE49-F238E27FC236}">
              <a16:creationId xmlns:a16="http://schemas.microsoft.com/office/drawing/2014/main" id="{12880D43-9A17-8528-8900-D9BE356A8152}"/>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09" name="Text Box 25" hidden="1">
          <a:extLst>
            <a:ext uri="{FF2B5EF4-FFF2-40B4-BE49-F238E27FC236}">
              <a16:creationId xmlns:a16="http://schemas.microsoft.com/office/drawing/2014/main" id="{A4F803CC-E6A2-CE67-DD08-3FC5B9D5FD63}"/>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08" name="Text Box 24" hidden="1">
          <a:extLst>
            <a:ext uri="{FF2B5EF4-FFF2-40B4-BE49-F238E27FC236}">
              <a16:creationId xmlns:a16="http://schemas.microsoft.com/office/drawing/2014/main" id="{F2DCC30D-6C99-FF9D-1817-80CB687DAE6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07" name="Text Box 23" hidden="1">
          <a:extLst>
            <a:ext uri="{FF2B5EF4-FFF2-40B4-BE49-F238E27FC236}">
              <a16:creationId xmlns:a16="http://schemas.microsoft.com/office/drawing/2014/main" id="{DFC3924C-543C-DFE6-D12E-DA9D78AD7692}"/>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06" name="Text Box 22" hidden="1">
          <a:extLst>
            <a:ext uri="{FF2B5EF4-FFF2-40B4-BE49-F238E27FC236}">
              <a16:creationId xmlns:a16="http://schemas.microsoft.com/office/drawing/2014/main" id="{CC3BC435-FF3F-6AA1-2939-4B68422DC308}"/>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05" name="Text Box 21" hidden="1">
          <a:extLst>
            <a:ext uri="{FF2B5EF4-FFF2-40B4-BE49-F238E27FC236}">
              <a16:creationId xmlns:a16="http://schemas.microsoft.com/office/drawing/2014/main" id="{272B7225-6B2D-4D9F-A838-C8D1DA58308A}"/>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04" name="Text Box 20" hidden="1">
          <a:extLst>
            <a:ext uri="{FF2B5EF4-FFF2-40B4-BE49-F238E27FC236}">
              <a16:creationId xmlns:a16="http://schemas.microsoft.com/office/drawing/2014/main" id="{F6A1BC15-E03C-ADA4-70F1-8759CFFC5120}"/>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03" name="Text Box 19" hidden="1">
          <a:extLst>
            <a:ext uri="{FF2B5EF4-FFF2-40B4-BE49-F238E27FC236}">
              <a16:creationId xmlns:a16="http://schemas.microsoft.com/office/drawing/2014/main" id="{C870F326-687C-94ED-FAE2-0D44EE491FDA}"/>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02" name="Text Box 18" hidden="1">
          <a:extLst>
            <a:ext uri="{FF2B5EF4-FFF2-40B4-BE49-F238E27FC236}">
              <a16:creationId xmlns:a16="http://schemas.microsoft.com/office/drawing/2014/main" id="{18F427B0-C5DF-4445-E399-3670E767E4C4}"/>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01" name="Text Box 17" hidden="1">
          <a:extLst>
            <a:ext uri="{FF2B5EF4-FFF2-40B4-BE49-F238E27FC236}">
              <a16:creationId xmlns:a16="http://schemas.microsoft.com/office/drawing/2014/main" id="{9060A08F-374B-5B50-9CC6-66DB511053B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00" name="Text Box 16" hidden="1">
          <a:extLst>
            <a:ext uri="{FF2B5EF4-FFF2-40B4-BE49-F238E27FC236}">
              <a16:creationId xmlns:a16="http://schemas.microsoft.com/office/drawing/2014/main" id="{24B7349C-2BD0-A087-C78A-A9CC94E4F450}"/>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799" name="Text Box 15" hidden="1">
          <a:extLst>
            <a:ext uri="{FF2B5EF4-FFF2-40B4-BE49-F238E27FC236}">
              <a16:creationId xmlns:a16="http://schemas.microsoft.com/office/drawing/2014/main" id="{5DDD761A-13C1-2BC6-3447-3747C9E32C6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798" name="Text Box 14" hidden="1">
          <a:extLst>
            <a:ext uri="{FF2B5EF4-FFF2-40B4-BE49-F238E27FC236}">
              <a16:creationId xmlns:a16="http://schemas.microsoft.com/office/drawing/2014/main" id="{F53EC694-F16E-5A10-322A-CA7FF0340567}"/>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797" name="Text Box 13" hidden="1">
          <a:extLst>
            <a:ext uri="{FF2B5EF4-FFF2-40B4-BE49-F238E27FC236}">
              <a16:creationId xmlns:a16="http://schemas.microsoft.com/office/drawing/2014/main" id="{F543D351-8DBC-F50B-1062-2F9154B8B8ED}"/>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796" name="Text Box 12" hidden="1">
          <a:extLst>
            <a:ext uri="{FF2B5EF4-FFF2-40B4-BE49-F238E27FC236}">
              <a16:creationId xmlns:a16="http://schemas.microsoft.com/office/drawing/2014/main" id="{C0A05457-7600-16BB-893B-CF6C120EBE8F}"/>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795" name="Text Box 11" hidden="1">
          <a:extLst>
            <a:ext uri="{FF2B5EF4-FFF2-40B4-BE49-F238E27FC236}">
              <a16:creationId xmlns:a16="http://schemas.microsoft.com/office/drawing/2014/main" id="{B2C67A36-10AD-885F-DDCC-1E3B6617A2EF}"/>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794" name="Text Box 10" hidden="1">
          <a:extLst>
            <a:ext uri="{FF2B5EF4-FFF2-40B4-BE49-F238E27FC236}">
              <a16:creationId xmlns:a16="http://schemas.microsoft.com/office/drawing/2014/main" id="{67D9ECF6-36A2-B24C-CB2B-19AF4E65DE22}"/>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793" name="Text Box 9" hidden="1">
          <a:extLst>
            <a:ext uri="{FF2B5EF4-FFF2-40B4-BE49-F238E27FC236}">
              <a16:creationId xmlns:a16="http://schemas.microsoft.com/office/drawing/2014/main" id="{6499AFD0-0D3C-9626-77E0-163B00E0C5A8}"/>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792" name="Text Box 8" hidden="1">
          <a:extLst>
            <a:ext uri="{FF2B5EF4-FFF2-40B4-BE49-F238E27FC236}">
              <a16:creationId xmlns:a16="http://schemas.microsoft.com/office/drawing/2014/main" id="{8323A68D-C652-1CB0-83AD-2C533213EA66}"/>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791" name="Text Box 7" hidden="1">
          <a:extLst>
            <a:ext uri="{FF2B5EF4-FFF2-40B4-BE49-F238E27FC236}">
              <a16:creationId xmlns:a16="http://schemas.microsoft.com/office/drawing/2014/main" id="{95C09B52-68C8-0F41-659B-823A23339DE1}"/>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790" name="Text Box 6" hidden="1">
          <a:extLst>
            <a:ext uri="{FF2B5EF4-FFF2-40B4-BE49-F238E27FC236}">
              <a16:creationId xmlns:a16="http://schemas.microsoft.com/office/drawing/2014/main" id="{8CB1AAAF-58D9-9031-9789-2AC182EA9A72}"/>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789" name="Text Box 5" hidden="1">
          <a:extLst>
            <a:ext uri="{FF2B5EF4-FFF2-40B4-BE49-F238E27FC236}">
              <a16:creationId xmlns:a16="http://schemas.microsoft.com/office/drawing/2014/main" id="{FF18EBFC-7F38-6B20-BD49-0160F06B309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788" name="Text Box 4" hidden="1">
          <a:extLst>
            <a:ext uri="{FF2B5EF4-FFF2-40B4-BE49-F238E27FC236}">
              <a16:creationId xmlns:a16="http://schemas.microsoft.com/office/drawing/2014/main" id="{9D61376E-C2CF-1CB9-590B-710CD4D51A27}"/>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787" name="Text Box 3" hidden="1">
          <a:extLst>
            <a:ext uri="{FF2B5EF4-FFF2-40B4-BE49-F238E27FC236}">
              <a16:creationId xmlns:a16="http://schemas.microsoft.com/office/drawing/2014/main" id="{51BC98D4-A2F3-372A-3290-601916FEC46D}"/>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786" name="Text Box 2" hidden="1">
          <a:extLst>
            <a:ext uri="{FF2B5EF4-FFF2-40B4-BE49-F238E27FC236}">
              <a16:creationId xmlns:a16="http://schemas.microsoft.com/office/drawing/2014/main" id="{10A233C3-8A75-CFE0-A6D6-3D975BFE6960}"/>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785" name="Text Box 1" hidden="1">
          <a:extLst>
            <a:ext uri="{FF2B5EF4-FFF2-40B4-BE49-F238E27FC236}">
              <a16:creationId xmlns:a16="http://schemas.microsoft.com/office/drawing/2014/main" id="{0F349C63-4ECF-5776-6CFB-8F7B7F73F96C}"/>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50" name="Text Box 66" hidden="1">
          <a:extLst>
            <a:ext uri="{FF2B5EF4-FFF2-40B4-BE49-F238E27FC236}">
              <a16:creationId xmlns:a16="http://schemas.microsoft.com/office/drawing/2014/main" id="{99640061-894F-95E7-1020-749D48C6CB0F}"/>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49" name="Text Box 65" hidden="1">
          <a:extLst>
            <a:ext uri="{FF2B5EF4-FFF2-40B4-BE49-F238E27FC236}">
              <a16:creationId xmlns:a16="http://schemas.microsoft.com/office/drawing/2014/main" id="{F0705C3F-82EE-8576-A345-6FDBF6095DAF}"/>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48" name="Text Box 64" hidden="1">
          <a:extLst>
            <a:ext uri="{FF2B5EF4-FFF2-40B4-BE49-F238E27FC236}">
              <a16:creationId xmlns:a16="http://schemas.microsoft.com/office/drawing/2014/main" id="{AE5E62E2-989E-1E44-F8C7-3546FE8C674D}"/>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47" name="Text Box 63" hidden="1">
          <a:extLst>
            <a:ext uri="{FF2B5EF4-FFF2-40B4-BE49-F238E27FC236}">
              <a16:creationId xmlns:a16="http://schemas.microsoft.com/office/drawing/2014/main" id="{B289B906-00DA-2B28-8819-AA028B14CC01}"/>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46" name="Text Box 62" hidden="1">
          <a:extLst>
            <a:ext uri="{FF2B5EF4-FFF2-40B4-BE49-F238E27FC236}">
              <a16:creationId xmlns:a16="http://schemas.microsoft.com/office/drawing/2014/main" id="{CBCBF812-4BFA-5A9F-C09D-4FB6987A5870}"/>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45" name="Text Box 61" hidden="1">
          <a:extLst>
            <a:ext uri="{FF2B5EF4-FFF2-40B4-BE49-F238E27FC236}">
              <a16:creationId xmlns:a16="http://schemas.microsoft.com/office/drawing/2014/main" id="{71981D4B-BC9B-E0AB-7FDE-325ADC4D630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44" name="Text Box 60" hidden="1">
          <a:extLst>
            <a:ext uri="{FF2B5EF4-FFF2-40B4-BE49-F238E27FC236}">
              <a16:creationId xmlns:a16="http://schemas.microsoft.com/office/drawing/2014/main" id="{0E891BA3-7D65-C766-F2A4-AADFDC9A8AF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43" name="Text Box 59" hidden="1">
          <a:extLst>
            <a:ext uri="{FF2B5EF4-FFF2-40B4-BE49-F238E27FC236}">
              <a16:creationId xmlns:a16="http://schemas.microsoft.com/office/drawing/2014/main" id="{D1E3070C-99B5-A70D-7D02-C02044B3DAB9}"/>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42" name="Text Box 58" hidden="1">
          <a:extLst>
            <a:ext uri="{FF2B5EF4-FFF2-40B4-BE49-F238E27FC236}">
              <a16:creationId xmlns:a16="http://schemas.microsoft.com/office/drawing/2014/main" id="{016EE477-7142-C5AC-5E4A-DB6CB6849D31}"/>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41" name="Text Box 57" hidden="1">
          <a:extLst>
            <a:ext uri="{FF2B5EF4-FFF2-40B4-BE49-F238E27FC236}">
              <a16:creationId xmlns:a16="http://schemas.microsoft.com/office/drawing/2014/main" id="{90D653DB-50BD-6ADE-A80B-3F3ECCB4E741}"/>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40" name="Text Box 56" hidden="1">
          <a:extLst>
            <a:ext uri="{FF2B5EF4-FFF2-40B4-BE49-F238E27FC236}">
              <a16:creationId xmlns:a16="http://schemas.microsoft.com/office/drawing/2014/main" id="{805D8F2B-F76D-57BF-C4AC-FFF2A6A03DDA}"/>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39" name="Text Box 55" hidden="1">
          <a:extLst>
            <a:ext uri="{FF2B5EF4-FFF2-40B4-BE49-F238E27FC236}">
              <a16:creationId xmlns:a16="http://schemas.microsoft.com/office/drawing/2014/main" id="{27241CC6-0220-5396-4E32-7C49A659D570}"/>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38" name="Text Box 54" hidden="1">
          <a:extLst>
            <a:ext uri="{FF2B5EF4-FFF2-40B4-BE49-F238E27FC236}">
              <a16:creationId xmlns:a16="http://schemas.microsoft.com/office/drawing/2014/main" id="{BA29C60B-4330-33F3-7BF4-2BFAFCC2EA75}"/>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37" name="Text Box 53" hidden="1">
          <a:extLst>
            <a:ext uri="{FF2B5EF4-FFF2-40B4-BE49-F238E27FC236}">
              <a16:creationId xmlns:a16="http://schemas.microsoft.com/office/drawing/2014/main" id="{FFA6B635-DF6E-A97E-0BF6-CE6BE320FFE5}"/>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36" name="Text Box 52" hidden="1">
          <a:extLst>
            <a:ext uri="{FF2B5EF4-FFF2-40B4-BE49-F238E27FC236}">
              <a16:creationId xmlns:a16="http://schemas.microsoft.com/office/drawing/2014/main" id="{A7653E6D-827D-82D6-FAC7-A423EF80E3C2}"/>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35" name="Text Box 51" hidden="1">
          <a:extLst>
            <a:ext uri="{FF2B5EF4-FFF2-40B4-BE49-F238E27FC236}">
              <a16:creationId xmlns:a16="http://schemas.microsoft.com/office/drawing/2014/main" id="{48BFD2B7-4F6E-0261-C57C-AE34B0229C08}"/>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34" name="Text Box 50" hidden="1">
          <a:extLst>
            <a:ext uri="{FF2B5EF4-FFF2-40B4-BE49-F238E27FC236}">
              <a16:creationId xmlns:a16="http://schemas.microsoft.com/office/drawing/2014/main" id="{F6241024-671F-41EE-558D-4CCDF5A4B0C4}"/>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33" name="Text Box 49" hidden="1">
          <a:extLst>
            <a:ext uri="{FF2B5EF4-FFF2-40B4-BE49-F238E27FC236}">
              <a16:creationId xmlns:a16="http://schemas.microsoft.com/office/drawing/2014/main" id="{9D31A86F-CAFD-41BA-39AC-36300E4D4BC4}"/>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32" name="Text Box 48" hidden="1">
          <a:extLst>
            <a:ext uri="{FF2B5EF4-FFF2-40B4-BE49-F238E27FC236}">
              <a16:creationId xmlns:a16="http://schemas.microsoft.com/office/drawing/2014/main" id="{E9F40E56-3167-D8F7-70ED-AEFA47D02106}"/>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31" name="Text Box 47" hidden="1">
          <a:extLst>
            <a:ext uri="{FF2B5EF4-FFF2-40B4-BE49-F238E27FC236}">
              <a16:creationId xmlns:a16="http://schemas.microsoft.com/office/drawing/2014/main" id="{438A0AA6-3419-A854-CF4E-62113C787745}"/>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30" name="Text Box 46" hidden="1">
          <a:extLst>
            <a:ext uri="{FF2B5EF4-FFF2-40B4-BE49-F238E27FC236}">
              <a16:creationId xmlns:a16="http://schemas.microsoft.com/office/drawing/2014/main" id="{0BE35A8E-D55E-43E0-707E-D1AD086C3032}"/>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29" name="Text Box 45" hidden="1">
          <a:extLst>
            <a:ext uri="{FF2B5EF4-FFF2-40B4-BE49-F238E27FC236}">
              <a16:creationId xmlns:a16="http://schemas.microsoft.com/office/drawing/2014/main" id="{7575D9DB-E972-6250-4981-B5503FB221CF}"/>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72" name="Text Box 88" hidden="1">
          <a:extLst>
            <a:ext uri="{FF2B5EF4-FFF2-40B4-BE49-F238E27FC236}">
              <a16:creationId xmlns:a16="http://schemas.microsoft.com/office/drawing/2014/main" id="{7AF91232-8281-6785-7ADC-4F3D69AC7E53}"/>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71" name="Text Box 87" hidden="1">
          <a:extLst>
            <a:ext uri="{FF2B5EF4-FFF2-40B4-BE49-F238E27FC236}">
              <a16:creationId xmlns:a16="http://schemas.microsoft.com/office/drawing/2014/main" id="{E4F7059B-2534-AE74-4B50-D8DCAB434741}"/>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70" name="Text Box 86" hidden="1">
          <a:extLst>
            <a:ext uri="{FF2B5EF4-FFF2-40B4-BE49-F238E27FC236}">
              <a16:creationId xmlns:a16="http://schemas.microsoft.com/office/drawing/2014/main" id="{F9BA2D91-B171-D2EF-77C0-04285C0718F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69" name="Text Box 85" hidden="1">
          <a:extLst>
            <a:ext uri="{FF2B5EF4-FFF2-40B4-BE49-F238E27FC236}">
              <a16:creationId xmlns:a16="http://schemas.microsoft.com/office/drawing/2014/main" id="{A0F6F90C-D882-86A4-45FA-F41D5996E595}"/>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68" name="Text Box 84" hidden="1">
          <a:extLst>
            <a:ext uri="{FF2B5EF4-FFF2-40B4-BE49-F238E27FC236}">
              <a16:creationId xmlns:a16="http://schemas.microsoft.com/office/drawing/2014/main" id="{6A469C6C-AA4D-7A1E-7EC5-F1CFFFD7E507}"/>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67" name="Text Box 83" hidden="1">
          <a:extLst>
            <a:ext uri="{FF2B5EF4-FFF2-40B4-BE49-F238E27FC236}">
              <a16:creationId xmlns:a16="http://schemas.microsoft.com/office/drawing/2014/main" id="{1F3B3CCA-C9A9-708A-8B17-596D12A3250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66" name="Text Box 82" hidden="1">
          <a:extLst>
            <a:ext uri="{FF2B5EF4-FFF2-40B4-BE49-F238E27FC236}">
              <a16:creationId xmlns:a16="http://schemas.microsoft.com/office/drawing/2014/main" id="{7B74789C-79E3-F9F0-D3DF-17558EE46C26}"/>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65" name="Text Box 81" hidden="1">
          <a:extLst>
            <a:ext uri="{FF2B5EF4-FFF2-40B4-BE49-F238E27FC236}">
              <a16:creationId xmlns:a16="http://schemas.microsoft.com/office/drawing/2014/main" id="{12AC4C36-F398-BA2E-4199-B90887F6021C}"/>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64" name="Text Box 80" hidden="1">
          <a:extLst>
            <a:ext uri="{FF2B5EF4-FFF2-40B4-BE49-F238E27FC236}">
              <a16:creationId xmlns:a16="http://schemas.microsoft.com/office/drawing/2014/main" id="{5341A950-D91D-7AC6-8A85-2B36285D5589}"/>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63" name="Text Box 79" hidden="1">
          <a:extLst>
            <a:ext uri="{FF2B5EF4-FFF2-40B4-BE49-F238E27FC236}">
              <a16:creationId xmlns:a16="http://schemas.microsoft.com/office/drawing/2014/main" id="{D5993588-39DB-4F37-6696-25C073A466D0}"/>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62" name="Text Box 78" hidden="1">
          <a:extLst>
            <a:ext uri="{FF2B5EF4-FFF2-40B4-BE49-F238E27FC236}">
              <a16:creationId xmlns:a16="http://schemas.microsoft.com/office/drawing/2014/main" id="{2A1A90C0-9F55-BE35-F10B-A89D8D30A8B0}"/>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61" name="Text Box 77" hidden="1">
          <a:extLst>
            <a:ext uri="{FF2B5EF4-FFF2-40B4-BE49-F238E27FC236}">
              <a16:creationId xmlns:a16="http://schemas.microsoft.com/office/drawing/2014/main" id="{64EA3E40-834D-CEBF-C660-FBCB51A29E98}"/>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60" name="Text Box 76" hidden="1">
          <a:extLst>
            <a:ext uri="{FF2B5EF4-FFF2-40B4-BE49-F238E27FC236}">
              <a16:creationId xmlns:a16="http://schemas.microsoft.com/office/drawing/2014/main" id="{2BB8A40B-3FFE-52B4-4CEF-72FAE5BAFC56}"/>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59" name="Text Box 75" hidden="1">
          <a:extLst>
            <a:ext uri="{FF2B5EF4-FFF2-40B4-BE49-F238E27FC236}">
              <a16:creationId xmlns:a16="http://schemas.microsoft.com/office/drawing/2014/main" id="{9260CD24-44E2-F5C3-2066-BB8BCB37CF33}"/>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58" name="Text Box 74" hidden="1">
          <a:extLst>
            <a:ext uri="{FF2B5EF4-FFF2-40B4-BE49-F238E27FC236}">
              <a16:creationId xmlns:a16="http://schemas.microsoft.com/office/drawing/2014/main" id="{1EB2E648-5F14-258F-2FEB-1D3469BE027E}"/>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57" name="Text Box 73" hidden="1">
          <a:extLst>
            <a:ext uri="{FF2B5EF4-FFF2-40B4-BE49-F238E27FC236}">
              <a16:creationId xmlns:a16="http://schemas.microsoft.com/office/drawing/2014/main" id="{94C6C7A5-FFFE-18B6-7C44-1B714188AD7D}"/>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56" name="Text Box 72" hidden="1">
          <a:extLst>
            <a:ext uri="{FF2B5EF4-FFF2-40B4-BE49-F238E27FC236}">
              <a16:creationId xmlns:a16="http://schemas.microsoft.com/office/drawing/2014/main" id="{B3D97B66-4672-EB2A-9776-F5C61C6654BC}"/>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55" name="Text Box 71" hidden="1">
          <a:extLst>
            <a:ext uri="{FF2B5EF4-FFF2-40B4-BE49-F238E27FC236}">
              <a16:creationId xmlns:a16="http://schemas.microsoft.com/office/drawing/2014/main" id="{87BE496F-6C86-0A90-C7B8-FD640790D816}"/>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54" name="Text Box 70" hidden="1">
          <a:extLst>
            <a:ext uri="{FF2B5EF4-FFF2-40B4-BE49-F238E27FC236}">
              <a16:creationId xmlns:a16="http://schemas.microsoft.com/office/drawing/2014/main" id="{71FF8AEC-610D-F4A5-D692-EAF96D6BE45E}"/>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53" name="Text Box 69" hidden="1">
          <a:extLst>
            <a:ext uri="{FF2B5EF4-FFF2-40B4-BE49-F238E27FC236}">
              <a16:creationId xmlns:a16="http://schemas.microsoft.com/office/drawing/2014/main" id="{30DFF70A-C6F5-E18B-D007-AE747151E6E2}"/>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52" name="Text Box 68" hidden="1">
          <a:extLst>
            <a:ext uri="{FF2B5EF4-FFF2-40B4-BE49-F238E27FC236}">
              <a16:creationId xmlns:a16="http://schemas.microsoft.com/office/drawing/2014/main" id="{B15F50AA-CF08-D8E8-97F2-3360AC321FF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51" name="Text Box 67" hidden="1">
          <a:extLst>
            <a:ext uri="{FF2B5EF4-FFF2-40B4-BE49-F238E27FC236}">
              <a16:creationId xmlns:a16="http://schemas.microsoft.com/office/drawing/2014/main" id="{8EE795C3-8C65-CD4C-4A8C-3BA97381E917}"/>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94" name="Text Box 110" hidden="1">
          <a:extLst>
            <a:ext uri="{FF2B5EF4-FFF2-40B4-BE49-F238E27FC236}">
              <a16:creationId xmlns:a16="http://schemas.microsoft.com/office/drawing/2014/main" id="{25256130-E880-A47D-82C5-08B5A99AEFD2}"/>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93" name="Text Box 109" hidden="1">
          <a:extLst>
            <a:ext uri="{FF2B5EF4-FFF2-40B4-BE49-F238E27FC236}">
              <a16:creationId xmlns:a16="http://schemas.microsoft.com/office/drawing/2014/main" id="{1CCBAA83-BC2C-595C-1E39-ADD863B1BC8B}"/>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92" name="Text Box 108" hidden="1">
          <a:extLst>
            <a:ext uri="{FF2B5EF4-FFF2-40B4-BE49-F238E27FC236}">
              <a16:creationId xmlns:a16="http://schemas.microsoft.com/office/drawing/2014/main" id="{CFF7E405-F6F7-C9BF-0FAC-950A9A3D3B1D}"/>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91" name="Text Box 107" hidden="1">
          <a:extLst>
            <a:ext uri="{FF2B5EF4-FFF2-40B4-BE49-F238E27FC236}">
              <a16:creationId xmlns:a16="http://schemas.microsoft.com/office/drawing/2014/main" id="{90A7D46F-C880-775B-CB81-0D99C0A0D95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90" name="Text Box 106" hidden="1">
          <a:extLst>
            <a:ext uri="{FF2B5EF4-FFF2-40B4-BE49-F238E27FC236}">
              <a16:creationId xmlns:a16="http://schemas.microsoft.com/office/drawing/2014/main" id="{B188E858-BA5A-B740-51A5-FF851A99877D}"/>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89" name="Text Box 105" hidden="1">
          <a:extLst>
            <a:ext uri="{FF2B5EF4-FFF2-40B4-BE49-F238E27FC236}">
              <a16:creationId xmlns:a16="http://schemas.microsoft.com/office/drawing/2014/main" id="{F0B62279-91EF-0E6F-F35A-50B6357DF33B}"/>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88" name="Text Box 104" hidden="1">
          <a:extLst>
            <a:ext uri="{FF2B5EF4-FFF2-40B4-BE49-F238E27FC236}">
              <a16:creationId xmlns:a16="http://schemas.microsoft.com/office/drawing/2014/main" id="{CFB98FD6-0CB4-91AD-7A63-21FFDF1B83FF}"/>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87" name="Text Box 103" hidden="1">
          <a:extLst>
            <a:ext uri="{FF2B5EF4-FFF2-40B4-BE49-F238E27FC236}">
              <a16:creationId xmlns:a16="http://schemas.microsoft.com/office/drawing/2014/main" id="{A2C3E25A-4D37-FADF-E0B6-C088FDAD2C7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86" name="Text Box 102" hidden="1">
          <a:extLst>
            <a:ext uri="{FF2B5EF4-FFF2-40B4-BE49-F238E27FC236}">
              <a16:creationId xmlns:a16="http://schemas.microsoft.com/office/drawing/2014/main" id="{D29B5CDF-6F39-8EFA-89BC-88B13BA8E2D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85" name="Text Box 101" hidden="1">
          <a:extLst>
            <a:ext uri="{FF2B5EF4-FFF2-40B4-BE49-F238E27FC236}">
              <a16:creationId xmlns:a16="http://schemas.microsoft.com/office/drawing/2014/main" id="{C00933AE-39FB-7ECE-E4A1-F86A263BA6AE}"/>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84" name="Text Box 100" hidden="1">
          <a:extLst>
            <a:ext uri="{FF2B5EF4-FFF2-40B4-BE49-F238E27FC236}">
              <a16:creationId xmlns:a16="http://schemas.microsoft.com/office/drawing/2014/main" id="{60291502-FFCF-D628-B423-80271B78114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83" name="Text Box 99" hidden="1">
          <a:extLst>
            <a:ext uri="{FF2B5EF4-FFF2-40B4-BE49-F238E27FC236}">
              <a16:creationId xmlns:a16="http://schemas.microsoft.com/office/drawing/2014/main" id="{3DCD7691-D6E1-668F-FE13-79F69057AC57}"/>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82" name="Text Box 98" hidden="1">
          <a:extLst>
            <a:ext uri="{FF2B5EF4-FFF2-40B4-BE49-F238E27FC236}">
              <a16:creationId xmlns:a16="http://schemas.microsoft.com/office/drawing/2014/main" id="{0D212C12-AC6D-9779-D628-4EB83D70B92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81" name="Text Box 97" hidden="1">
          <a:extLst>
            <a:ext uri="{FF2B5EF4-FFF2-40B4-BE49-F238E27FC236}">
              <a16:creationId xmlns:a16="http://schemas.microsoft.com/office/drawing/2014/main" id="{194272D9-CBAF-ACF7-DBCD-B52E65F58DE5}"/>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80" name="Text Box 96" hidden="1">
          <a:extLst>
            <a:ext uri="{FF2B5EF4-FFF2-40B4-BE49-F238E27FC236}">
              <a16:creationId xmlns:a16="http://schemas.microsoft.com/office/drawing/2014/main" id="{E2D54384-02E0-0302-4735-379EB36B878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79" name="Text Box 95" hidden="1">
          <a:extLst>
            <a:ext uri="{FF2B5EF4-FFF2-40B4-BE49-F238E27FC236}">
              <a16:creationId xmlns:a16="http://schemas.microsoft.com/office/drawing/2014/main" id="{2D72BFA8-C0F0-B699-46E7-E2DB707D997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78" name="Text Box 94" hidden="1">
          <a:extLst>
            <a:ext uri="{FF2B5EF4-FFF2-40B4-BE49-F238E27FC236}">
              <a16:creationId xmlns:a16="http://schemas.microsoft.com/office/drawing/2014/main" id="{1804D1E9-F634-3B79-C16E-1CE1C679353A}"/>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77" name="Text Box 93" hidden="1">
          <a:extLst>
            <a:ext uri="{FF2B5EF4-FFF2-40B4-BE49-F238E27FC236}">
              <a16:creationId xmlns:a16="http://schemas.microsoft.com/office/drawing/2014/main" id="{E8F36882-1846-5B86-0EAB-2E659038672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76" name="Text Box 92" hidden="1">
          <a:extLst>
            <a:ext uri="{FF2B5EF4-FFF2-40B4-BE49-F238E27FC236}">
              <a16:creationId xmlns:a16="http://schemas.microsoft.com/office/drawing/2014/main" id="{74B758DE-0508-00CD-6789-4D9C3FD51A1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75" name="Text Box 91" hidden="1">
          <a:extLst>
            <a:ext uri="{FF2B5EF4-FFF2-40B4-BE49-F238E27FC236}">
              <a16:creationId xmlns:a16="http://schemas.microsoft.com/office/drawing/2014/main" id="{52A7E333-B261-790F-4952-A411D7A5B2D3}"/>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74" name="Text Box 90" hidden="1">
          <a:extLst>
            <a:ext uri="{FF2B5EF4-FFF2-40B4-BE49-F238E27FC236}">
              <a16:creationId xmlns:a16="http://schemas.microsoft.com/office/drawing/2014/main" id="{A34CF741-B2A6-E77C-A3AE-6F25997135DE}"/>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73" name="Text Box 89" hidden="1">
          <a:extLst>
            <a:ext uri="{FF2B5EF4-FFF2-40B4-BE49-F238E27FC236}">
              <a16:creationId xmlns:a16="http://schemas.microsoft.com/office/drawing/2014/main" id="{A21C6280-7F95-67DB-3DD8-4951E5CF6A1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16" name="Text Box 132" hidden="1">
          <a:extLst>
            <a:ext uri="{FF2B5EF4-FFF2-40B4-BE49-F238E27FC236}">
              <a16:creationId xmlns:a16="http://schemas.microsoft.com/office/drawing/2014/main" id="{0A221E32-BE23-E809-05DA-D6D169D613D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15" name="Text Box 131" hidden="1">
          <a:extLst>
            <a:ext uri="{FF2B5EF4-FFF2-40B4-BE49-F238E27FC236}">
              <a16:creationId xmlns:a16="http://schemas.microsoft.com/office/drawing/2014/main" id="{B02DD45E-7C11-2175-08B1-BE8397BD534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14" name="Text Box 130" hidden="1">
          <a:extLst>
            <a:ext uri="{FF2B5EF4-FFF2-40B4-BE49-F238E27FC236}">
              <a16:creationId xmlns:a16="http://schemas.microsoft.com/office/drawing/2014/main" id="{FA260A94-443E-B1F4-004D-986D34C65598}"/>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13" name="Text Box 129" hidden="1">
          <a:extLst>
            <a:ext uri="{FF2B5EF4-FFF2-40B4-BE49-F238E27FC236}">
              <a16:creationId xmlns:a16="http://schemas.microsoft.com/office/drawing/2014/main" id="{9BC31091-3980-BD5B-1994-B44A8C8C0351}"/>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12" name="Text Box 128" hidden="1">
          <a:extLst>
            <a:ext uri="{FF2B5EF4-FFF2-40B4-BE49-F238E27FC236}">
              <a16:creationId xmlns:a16="http://schemas.microsoft.com/office/drawing/2014/main" id="{7252387C-3FEB-7B88-89C9-6FF40315CDD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11" name="Text Box 127" hidden="1">
          <a:extLst>
            <a:ext uri="{FF2B5EF4-FFF2-40B4-BE49-F238E27FC236}">
              <a16:creationId xmlns:a16="http://schemas.microsoft.com/office/drawing/2014/main" id="{4F8E13B4-9921-5B4F-A040-4FAE479CCB4A}"/>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10" name="Text Box 126" hidden="1">
          <a:extLst>
            <a:ext uri="{FF2B5EF4-FFF2-40B4-BE49-F238E27FC236}">
              <a16:creationId xmlns:a16="http://schemas.microsoft.com/office/drawing/2014/main" id="{102E055F-7D9C-26BD-90F3-8C4FD8398CCE}"/>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09" name="Text Box 125" hidden="1">
          <a:extLst>
            <a:ext uri="{FF2B5EF4-FFF2-40B4-BE49-F238E27FC236}">
              <a16:creationId xmlns:a16="http://schemas.microsoft.com/office/drawing/2014/main" id="{3E1C61F4-8B56-525B-47ED-5384AFBC96D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08" name="Text Box 124" hidden="1">
          <a:extLst>
            <a:ext uri="{FF2B5EF4-FFF2-40B4-BE49-F238E27FC236}">
              <a16:creationId xmlns:a16="http://schemas.microsoft.com/office/drawing/2014/main" id="{01FC1866-F113-FF12-4823-666EF0231F5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07" name="Text Box 123" hidden="1">
          <a:extLst>
            <a:ext uri="{FF2B5EF4-FFF2-40B4-BE49-F238E27FC236}">
              <a16:creationId xmlns:a16="http://schemas.microsoft.com/office/drawing/2014/main" id="{81AE6A70-3ED4-D4AD-5987-4518A22EC21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06" name="Text Box 122" hidden="1">
          <a:extLst>
            <a:ext uri="{FF2B5EF4-FFF2-40B4-BE49-F238E27FC236}">
              <a16:creationId xmlns:a16="http://schemas.microsoft.com/office/drawing/2014/main" id="{1875F95E-BEEA-12C7-76F9-E6B13F5B4B1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05" name="Text Box 121" hidden="1">
          <a:extLst>
            <a:ext uri="{FF2B5EF4-FFF2-40B4-BE49-F238E27FC236}">
              <a16:creationId xmlns:a16="http://schemas.microsoft.com/office/drawing/2014/main" id="{F65D3EA8-8AAA-8BAD-170C-8276218E978A}"/>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04" name="Text Box 120" hidden="1">
          <a:extLst>
            <a:ext uri="{FF2B5EF4-FFF2-40B4-BE49-F238E27FC236}">
              <a16:creationId xmlns:a16="http://schemas.microsoft.com/office/drawing/2014/main" id="{A2E5B693-0632-710B-49A8-5DC8504EB2C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03" name="Text Box 119" hidden="1">
          <a:extLst>
            <a:ext uri="{FF2B5EF4-FFF2-40B4-BE49-F238E27FC236}">
              <a16:creationId xmlns:a16="http://schemas.microsoft.com/office/drawing/2014/main" id="{163F81B9-D678-685F-196A-9447D479B117}"/>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02" name="Text Box 118" hidden="1">
          <a:extLst>
            <a:ext uri="{FF2B5EF4-FFF2-40B4-BE49-F238E27FC236}">
              <a16:creationId xmlns:a16="http://schemas.microsoft.com/office/drawing/2014/main" id="{F0BDF787-76F2-AD6B-89EF-AE16B0CA335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01" name="Text Box 117" hidden="1">
          <a:extLst>
            <a:ext uri="{FF2B5EF4-FFF2-40B4-BE49-F238E27FC236}">
              <a16:creationId xmlns:a16="http://schemas.microsoft.com/office/drawing/2014/main" id="{1F0A853F-BD49-C482-A3A3-DD74860C7731}"/>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00" name="Text Box 116" hidden="1">
          <a:extLst>
            <a:ext uri="{FF2B5EF4-FFF2-40B4-BE49-F238E27FC236}">
              <a16:creationId xmlns:a16="http://schemas.microsoft.com/office/drawing/2014/main" id="{54E639DF-D850-CC7C-E2F0-3B784D47180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99" name="Text Box 115" hidden="1">
          <a:extLst>
            <a:ext uri="{FF2B5EF4-FFF2-40B4-BE49-F238E27FC236}">
              <a16:creationId xmlns:a16="http://schemas.microsoft.com/office/drawing/2014/main" id="{602C2BAF-031C-B283-5B24-8EB103D4BC7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98" name="Text Box 114" hidden="1">
          <a:extLst>
            <a:ext uri="{FF2B5EF4-FFF2-40B4-BE49-F238E27FC236}">
              <a16:creationId xmlns:a16="http://schemas.microsoft.com/office/drawing/2014/main" id="{55191122-C950-CE5C-CC2D-50879D9DA1F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97" name="Text Box 113" hidden="1">
          <a:extLst>
            <a:ext uri="{FF2B5EF4-FFF2-40B4-BE49-F238E27FC236}">
              <a16:creationId xmlns:a16="http://schemas.microsoft.com/office/drawing/2014/main" id="{CF1BA278-C5FA-D1A2-7D97-301275074399}"/>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96" name="Text Box 112" hidden="1">
          <a:extLst>
            <a:ext uri="{FF2B5EF4-FFF2-40B4-BE49-F238E27FC236}">
              <a16:creationId xmlns:a16="http://schemas.microsoft.com/office/drawing/2014/main" id="{2A24F6E1-97FE-40BF-96A0-2EEE1DB94D6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95" name="Text Box 111" hidden="1">
          <a:extLst>
            <a:ext uri="{FF2B5EF4-FFF2-40B4-BE49-F238E27FC236}">
              <a16:creationId xmlns:a16="http://schemas.microsoft.com/office/drawing/2014/main" id="{57DDF94C-20EF-A458-1395-D495F26E51ED}"/>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60" name="Text Box 176" hidden="1">
          <a:extLst>
            <a:ext uri="{FF2B5EF4-FFF2-40B4-BE49-F238E27FC236}">
              <a16:creationId xmlns:a16="http://schemas.microsoft.com/office/drawing/2014/main" id="{3E3313D9-BDB2-EC61-09D0-183805E0B8FE}"/>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59" name="Text Box 175" hidden="1">
          <a:extLst>
            <a:ext uri="{FF2B5EF4-FFF2-40B4-BE49-F238E27FC236}">
              <a16:creationId xmlns:a16="http://schemas.microsoft.com/office/drawing/2014/main" id="{6A6D2E87-DB96-C3F3-8C54-9207C7F8954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58" name="Text Box 174" hidden="1">
          <a:extLst>
            <a:ext uri="{FF2B5EF4-FFF2-40B4-BE49-F238E27FC236}">
              <a16:creationId xmlns:a16="http://schemas.microsoft.com/office/drawing/2014/main" id="{5DA4CE58-E148-AA23-6FF4-1E391AC66C1E}"/>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57" name="Text Box 173" hidden="1">
          <a:extLst>
            <a:ext uri="{FF2B5EF4-FFF2-40B4-BE49-F238E27FC236}">
              <a16:creationId xmlns:a16="http://schemas.microsoft.com/office/drawing/2014/main" id="{2A646F4C-5D22-C6AF-05EE-31C3A0AFD77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56" name="Text Box 172" hidden="1">
          <a:extLst>
            <a:ext uri="{FF2B5EF4-FFF2-40B4-BE49-F238E27FC236}">
              <a16:creationId xmlns:a16="http://schemas.microsoft.com/office/drawing/2014/main" id="{6235E126-2106-1B6A-3042-18A56A5DC1D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55" name="Text Box 171" hidden="1">
          <a:extLst>
            <a:ext uri="{FF2B5EF4-FFF2-40B4-BE49-F238E27FC236}">
              <a16:creationId xmlns:a16="http://schemas.microsoft.com/office/drawing/2014/main" id="{F549100D-DEBC-A93D-8AF2-991E08A6533C}"/>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54" name="Text Box 170" hidden="1">
          <a:extLst>
            <a:ext uri="{FF2B5EF4-FFF2-40B4-BE49-F238E27FC236}">
              <a16:creationId xmlns:a16="http://schemas.microsoft.com/office/drawing/2014/main" id="{9D1C03AC-2F36-182C-64C1-4AFE77120B02}"/>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53" name="Text Box 169" hidden="1">
          <a:extLst>
            <a:ext uri="{FF2B5EF4-FFF2-40B4-BE49-F238E27FC236}">
              <a16:creationId xmlns:a16="http://schemas.microsoft.com/office/drawing/2014/main" id="{67B2AE80-5948-C6C4-C0D9-D414B27A4A3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52" name="Text Box 168" hidden="1">
          <a:extLst>
            <a:ext uri="{FF2B5EF4-FFF2-40B4-BE49-F238E27FC236}">
              <a16:creationId xmlns:a16="http://schemas.microsoft.com/office/drawing/2014/main" id="{C08AEF15-86F9-D266-7199-1FA804323466}"/>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51" name="Text Box 167" hidden="1">
          <a:extLst>
            <a:ext uri="{FF2B5EF4-FFF2-40B4-BE49-F238E27FC236}">
              <a16:creationId xmlns:a16="http://schemas.microsoft.com/office/drawing/2014/main" id="{ECBE2DCE-FA78-F08E-10F6-C0633B92F597}"/>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50" name="Text Box 166" hidden="1">
          <a:extLst>
            <a:ext uri="{FF2B5EF4-FFF2-40B4-BE49-F238E27FC236}">
              <a16:creationId xmlns:a16="http://schemas.microsoft.com/office/drawing/2014/main" id="{7DD0053C-C812-56D7-509F-1890694D7055}"/>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49" name="Text Box 165" hidden="1">
          <a:extLst>
            <a:ext uri="{FF2B5EF4-FFF2-40B4-BE49-F238E27FC236}">
              <a16:creationId xmlns:a16="http://schemas.microsoft.com/office/drawing/2014/main" id="{45B6424F-E63A-356F-D13B-D5378266D77F}"/>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48" name="Text Box 164" hidden="1">
          <a:extLst>
            <a:ext uri="{FF2B5EF4-FFF2-40B4-BE49-F238E27FC236}">
              <a16:creationId xmlns:a16="http://schemas.microsoft.com/office/drawing/2014/main" id="{C7556EE7-B4C5-6126-3A2F-5F58F6BC9466}"/>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47" name="Text Box 163" hidden="1">
          <a:extLst>
            <a:ext uri="{FF2B5EF4-FFF2-40B4-BE49-F238E27FC236}">
              <a16:creationId xmlns:a16="http://schemas.microsoft.com/office/drawing/2014/main" id="{CCA7C250-3A75-FE5D-54A3-B8F777B401FF}"/>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46" name="Text Box 162" hidden="1">
          <a:extLst>
            <a:ext uri="{FF2B5EF4-FFF2-40B4-BE49-F238E27FC236}">
              <a16:creationId xmlns:a16="http://schemas.microsoft.com/office/drawing/2014/main" id="{37EEF064-7850-8B1F-2F26-37313C5BFCBC}"/>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45" name="Text Box 161" hidden="1">
          <a:extLst>
            <a:ext uri="{FF2B5EF4-FFF2-40B4-BE49-F238E27FC236}">
              <a16:creationId xmlns:a16="http://schemas.microsoft.com/office/drawing/2014/main" id="{357A817F-CF13-2BCF-D5FC-B87E90EDAA9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44" name="Text Box 160" hidden="1">
          <a:extLst>
            <a:ext uri="{FF2B5EF4-FFF2-40B4-BE49-F238E27FC236}">
              <a16:creationId xmlns:a16="http://schemas.microsoft.com/office/drawing/2014/main" id="{E20E53A6-7955-8CBA-5A6C-97B70B131722}"/>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43" name="Text Box 159" hidden="1">
          <a:extLst>
            <a:ext uri="{FF2B5EF4-FFF2-40B4-BE49-F238E27FC236}">
              <a16:creationId xmlns:a16="http://schemas.microsoft.com/office/drawing/2014/main" id="{ACE1EA6E-E087-7F3D-80A7-94535698860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42" name="Text Box 158" hidden="1">
          <a:extLst>
            <a:ext uri="{FF2B5EF4-FFF2-40B4-BE49-F238E27FC236}">
              <a16:creationId xmlns:a16="http://schemas.microsoft.com/office/drawing/2014/main" id="{C366C66E-FBF4-3F20-EA12-D584847F6ACE}"/>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41" name="Text Box 157" hidden="1">
          <a:extLst>
            <a:ext uri="{FF2B5EF4-FFF2-40B4-BE49-F238E27FC236}">
              <a16:creationId xmlns:a16="http://schemas.microsoft.com/office/drawing/2014/main" id="{996AE549-E406-1D74-1028-D720D40B9994}"/>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40" name="Text Box 156" hidden="1">
          <a:extLst>
            <a:ext uri="{FF2B5EF4-FFF2-40B4-BE49-F238E27FC236}">
              <a16:creationId xmlns:a16="http://schemas.microsoft.com/office/drawing/2014/main" id="{123E9179-1A44-E056-20CC-BB8A471B6F70}"/>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39" name="Text Box 155" hidden="1">
          <a:extLst>
            <a:ext uri="{FF2B5EF4-FFF2-40B4-BE49-F238E27FC236}">
              <a16:creationId xmlns:a16="http://schemas.microsoft.com/office/drawing/2014/main" id="{465EDC81-A63B-476B-91D8-772EC718645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38" name="Text Box 154" hidden="1">
          <a:extLst>
            <a:ext uri="{FF2B5EF4-FFF2-40B4-BE49-F238E27FC236}">
              <a16:creationId xmlns:a16="http://schemas.microsoft.com/office/drawing/2014/main" id="{168554AA-784B-8626-9959-2251CD7A196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37" name="Text Box 153" hidden="1">
          <a:extLst>
            <a:ext uri="{FF2B5EF4-FFF2-40B4-BE49-F238E27FC236}">
              <a16:creationId xmlns:a16="http://schemas.microsoft.com/office/drawing/2014/main" id="{74735856-8E5C-E555-DBA2-43763EB0273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36" name="Text Box 152" hidden="1">
          <a:extLst>
            <a:ext uri="{FF2B5EF4-FFF2-40B4-BE49-F238E27FC236}">
              <a16:creationId xmlns:a16="http://schemas.microsoft.com/office/drawing/2014/main" id="{F6B16625-F18C-E504-E669-FE5421929B8F}"/>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35" name="Text Box 151" hidden="1">
          <a:extLst>
            <a:ext uri="{FF2B5EF4-FFF2-40B4-BE49-F238E27FC236}">
              <a16:creationId xmlns:a16="http://schemas.microsoft.com/office/drawing/2014/main" id="{C6A714E4-016E-8B47-E71D-CB00A89B915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34" name="Text Box 150" hidden="1">
          <a:extLst>
            <a:ext uri="{FF2B5EF4-FFF2-40B4-BE49-F238E27FC236}">
              <a16:creationId xmlns:a16="http://schemas.microsoft.com/office/drawing/2014/main" id="{FAF8111D-E987-7668-771D-54C5F8A6425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33" name="Text Box 149" hidden="1">
          <a:extLst>
            <a:ext uri="{FF2B5EF4-FFF2-40B4-BE49-F238E27FC236}">
              <a16:creationId xmlns:a16="http://schemas.microsoft.com/office/drawing/2014/main" id="{F379D76C-3E50-B653-0999-4ADAA25925C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32" name="Text Box 148" hidden="1">
          <a:extLst>
            <a:ext uri="{FF2B5EF4-FFF2-40B4-BE49-F238E27FC236}">
              <a16:creationId xmlns:a16="http://schemas.microsoft.com/office/drawing/2014/main" id="{A9AC013C-6B48-8902-247E-88D15F7A3EC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31" name="Text Box 147" hidden="1">
          <a:extLst>
            <a:ext uri="{FF2B5EF4-FFF2-40B4-BE49-F238E27FC236}">
              <a16:creationId xmlns:a16="http://schemas.microsoft.com/office/drawing/2014/main" id="{7E2BD28F-803C-6FE7-81F0-25A1EE622A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30" name="Text Box 146" hidden="1">
          <a:extLst>
            <a:ext uri="{FF2B5EF4-FFF2-40B4-BE49-F238E27FC236}">
              <a16:creationId xmlns:a16="http://schemas.microsoft.com/office/drawing/2014/main" id="{111E2831-4C32-20D5-3280-B57A91628F8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29" name="Text Box 145" hidden="1">
          <a:extLst>
            <a:ext uri="{FF2B5EF4-FFF2-40B4-BE49-F238E27FC236}">
              <a16:creationId xmlns:a16="http://schemas.microsoft.com/office/drawing/2014/main" id="{A503F966-8ECB-A0AD-C8DB-1F798F009C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28" name="Text Box 144" hidden="1">
          <a:extLst>
            <a:ext uri="{FF2B5EF4-FFF2-40B4-BE49-F238E27FC236}">
              <a16:creationId xmlns:a16="http://schemas.microsoft.com/office/drawing/2014/main" id="{BDD02D13-9168-A308-FB09-0DB6753DFA1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27" name="Text Box 143" hidden="1">
          <a:extLst>
            <a:ext uri="{FF2B5EF4-FFF2-40B4-BE49-F238E27FC236}">
              <a16:creationId xmlns:a16="http://schemas.microsoft.com/office/drawing/2014/main" id="{EF626C9C-299A-C7BE-7F9D-CC7CC490BE4F}"/>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26" name="Text Box 142" hidden="1">
          <a:extLst>
            <a:ext uri="{FF2B5EF4-FFF2-40B4-BE49-F238E27FC236}">
              <a16:creationId xmlns:a16="http://schemas.microsoft.com/office/drawing/2014/main" id="{EF33B2F0-0816-5FD1-DC2F-7360C3A5CA7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25" name="Text Box 141" hidden="1">
          <a:extLst>
            <a:ext uri="{FF2B5EF4-FFF2-40B4-BE49-F238E27FC236}">
              <a16:creationId xmlns:a16="http://schemas.microsoft.com/office/drawing/2014/main" id="{D3AE8064-A549-14F0-3196-77BF47D52D4D}"/>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24" name="Text Box 140" hidden="1">
          <a:extLst>
            <a:ext uri="{FF2B5EF4-FFF2-40B4-BE49-F238E27FC236}">
              <a16:creationId xmlns:a16="http://schemas.microsoft.com/office/drawing/2014/main" id="{03E33C4C-D805-3C2C-5BB3-2E5974C6CCD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23" name="Text Box 139" hidden="1">
          <a:extLst>
            <a:ext uri="{FF2B5EF4-FFF2-40B4-BE49-F238E27FC236}">
              <a16:creationId xmlns:a16="http://schemas.microsoft.com/office/drawing/2014/main" id="{7C96EA5D-BD7A-4095-19D6-53FB255CC837}"/>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22" name="Text Box 138" hidden="1">
          <a:extLst>
            <a:ext uri="{FF2B5EF4-FFF2-40B4-BE49-F238E27FC236}">
              <a16:creationId xmlns:a16="http://schemas.microsoft.com/office/drawing/2014/main" id="{664E4C36-59BD-BD29-9533-8DE808322108}"/>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21" name="Text Box 137" hidden="1">
          <a:extLst>
            <a:ext uri="{FF2B5EF4-FFF2-40B4-BE49-F238E27FC236}">
              <a16:creationId xmlns:a16="http://schemas.microsoft.com/office/drawing/2014/main" id="{353FD4B3-4821-A728-14B0-999131F3F784}"/>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20" name="Text Box 136" hidden="1">
          <a:extLst>
            <a:ext uri="{FF2B5EF4-FFF2-40B4-BE49-F238E27FC236}">
              <a16:creationId xmlns:a16="http://schemas.microsoft.com/office/drawing/2014/main" id="{3610237A-8B83-7346-2B3F-C443F0321E4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19" name="Text Box 135" hidden="1">
          <a:extLst>
            <a:ext uri="{FF2B5EF4-FFF2-40B4-BE49-F238E27FC236}">
              <a16:creationId xmlns:a16="http://schemas.microsoft.com/office/drawing/2014/main" id="{E3BFC6A4-6590-A5A9-E053-01C415C8EF50}"/>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18" name="Text Box 134" hidden="1">
          <a:extLst>
            <a:ext uri="{FF2B5EF4-FFF2-40B4-BE49-F238E27FC236}">
              <a16:creationId xmlns:a16="http://schemas.microsoft.com/office/drawing/2014/main" id="{C3707851-9C23-3EBB-282C-B1A8970E6BC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17" name="Text Box 133" hidden="1">
          <a:extLst>
            <a:ext uri="{FF2B5EF4-FFF2-40B4-BE49-F238E27FC236}">
              <a16:creationId xmlns:a16="http://schemas.microsoft.com/office/drawing/2014/main" id="{F4E50FFD-B8DB-7980-980D-5F80CA8D4D4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82" name="Text Box 198" hidden="1">
          <a:extLst>
            <a:ext uri="{FF2B5EF4-FFF2-40B4-BE49-F238E27FC236}">
              <a16:creationId xmlns:a16="http://schemas.microsoft.com/office/drawing/2014/main" id="{F2E645B3-A2A3-D186-34C9-B3FEB825EACB}"/>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81" name="Text Box 197" hidden="1">
          <a:extLst>
            <a:ext uri="{FF2B5EF4-FFF2-40B4-BE49-F238E27FC236}">
              <a16:creationId xmlns:a16="http://schemas.microsoft.com/office/drawing/2014/main" id="{467E8DEC-722B-6C58-0C68-98614DC92C12}"/>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80" name="Text Box 196" hidden="1">
          <a:extLst>
            <a:ext uri="{FF2B5EF4-FFF2-40B4-BE49-F238E27FC236}">
              <a16:creationId xmlns:a16="http://schemas.microsoft.com/office/drawing/2014/main" id="{90A2C3B4-73F2-AC21-64D5-4CBB5239941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79" name="Text Box 195" hidden="1">
          <a:extLst>
            <a:ext uri="{FF2B5EF4-FFF2-40B4-BE49-F238E27FC236}">
              <a16:creationId xmlns:a16="http://schemas.microsoft.com/office/drawing/2014/main" id="{336DACC3-DBC9-C868-F064-59D46C3D8D6E}"/>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78" name="Text Box 194" hidden="1">
          <a:extLst>
            <a:ext uri="{FF2B5EF4-FFF2-40B4-BE49-F238E27FC236}">
              <a16:creationId xmlns:a16="http://schemas.microsoft.com/office/drawing/2014/main" id="{885F6C78-9BB0-EF66-D428-BCC04B03BE4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77" name="Text Box 193" hidden="1">
          <a:extLst>
            <a:ext uri="{FF2B5EF4-FFF2-40B4-BE49-F238E27FC236}">
              <a16:creationId xmlns:a16="http://schemas.microsoft.com/office/drawing/2014/main" id="{0C8925E1-C6F0-76C9-C0C2-B3E653E1732F}"/>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76" name="Text Box 192" hidden="1">
          <a:extLst>
            <a:ext uri="{FF2B5EF4-FFF2-40B4-BE49-F238E27FC236}">
              <a16:creationId xmlns:a16="http://schemas.microsoft.com/office/drawing/2014/main" id="{F433C225-9244-D196-10DC-19C823225E7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75" name="Text Box 191" hidden="1">
          <a:extLst>
            <a:ext uri="{FF2B5EF4-FFF2-40B4-BE49-F238E27FC236}">
              <a16:creationId xmlns:a16="http://schemas.microsoft.com/office/drawing/2014/main" id="{B37AAED9-F5A5-2118-D597-2D913C067060}"/>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74" name="Text Box 190" hidden="1">
          <a:extLst>
            <a:ext uri="{FF2B5EF4-FFF2-40B4-BE49-F238E27FC236}">
              <a16:creationId xmlns:a16="http://schemas.microsoft.com/office/drawing/2014/main" id="{0D4B92DA-AB6A-4A6B-8A73-CE7FC39FAC35}"/>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73" name="Text Box 189" hidden="1">
          <a:extLst>
            <a:ext uri="{FF2B5EF4-FFF2-40B4-BE49-F238E27FC236}">
              <a16:creationId xmlns:a16="http://schemas.microsoft.com/office/drawing/2014/main" id="{30DA190E-1DA0-9964-5D9F-53F9B8716812}"/>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72" name="Text Box 188" hidden="1">
          <a:extLst>
            <a:ext uri="{FF2B5EF4-FFF2-40B4-BE49-F238E27FC236}">
              <a16:creationId xmlns:a16="http://schemas.microsoft.com/office/drawing/2014/main" id="{B5921755-D949-58EA-91FD-7D85D661907F}"/>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71" name="Text Box 187" hidden="1">
          <a:extLst>
            <a:ext uri="{FF2B5EF4-FFF2-40B4-BE49-F238E27FC236}">
              <a16:creationId xmlns:a16="http://schemas.microsoft.com/office/drawing/2014/main" id="{6115DBA2-5C09-7C5E-907D-CA33034AF8FE}"/>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70" name="Text Box 186" hidden="1">
          <a:extLst>
            <a:ext uri="{FF2B5EF4-FFF2-40B4-BE49-F238E27FC236}">
              <a16:creationId xmlns:a16="http://schemas.microsoft.com/office/drawing/2014/main" id="{0DBC72F0-6620-20D9-0E57-A32BEDD4255E}"/>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69" name="Text Box 185" hidden="1">
          <a:extLst>
            <a:ext uri="{FF2B5EF4-FFF2-40B4-BE49-F238E27FC236}">
              <a16:creationId xmlns:a16="http://schemas.microsoft.com/office/drawing/2014/main" id="{A21F5CF1-D950-DB24-F731-F3633B1B7283}"/>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68" name="Text Box 184" hidden="1">
          <a:extLst>
            <a:ext uri="{FF2B5EF4-FFF2-40B4-BE49-F238E27FC236}">
              <a16:creationId xmlns:a16="http://schemas.microsoft.com/office/drawing/2014/main" id="{1C476E20-4D11-2CDF-FF51-8E3C900348BA}"/>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67" name="Text Box 183" hidden="1">
          <a:extLst>
            <a:ext uri="{FF2B5EF4-FFF2-40B4-BE49-F238E27FC236}">
              <a16:creationId xmlns:a16="http://schemas.microsoft.com/office/drawing/2014/main" id="{90B70625-8A60-9B7E-6BFB-BC437179B4A3}"/>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66" name="Text Box 182" hidden="1">
          <a:extLst>
            <a:ext uri="{FF2B5EF4-FFF2-40B4-BE49-F238E27FC236}">
              <a16:creationId xmlns:a16="http://schemas.microsoft.com/office/drawing/2014/main" id="{F7B8401B-6154-74DD-CEAB-4210F37C2D31}"/>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65" name="Text Box 181" hidden="1">
          <a:extLst>
            <a:ext uri="{FF2B5EF4-FFF2-40B4-BE49-F238E27FC236}">
              <a16:creationId xmlns:a16="http://schemas.microsoft.com/office/drawing/2014/main" id="{77D86736-E5EC-28B3-69C0-039C39A3BA99}"/>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64" name="Text Box 180" hidden="1">
          <a:extLst>
            <a:ext uri="{FF2B5EF4-FFF2-40B4-BE49-F238E27FC236}">
              <a16:creationId xmlns:a16="http://schemas.microsoft.com/office/drawing/2014/main" id="{6CB9E73B-E58C-587C-883E-DA2896DA1E7F}"/>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63" name="Text Box 179" hidden="1">
          <a:extLst>
            <a:ext uri="{FF2B5EF4-FFF2-40B4-BE49-F238E27FC236}">
              <a16:creationId xmlns:a16="http://schemas.microsoft.com/office/drawing/2014/main" id="{4A057032-3F68-119F-C36E-445DA86B92CE}"/>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62" name="Text Box 178" hidden="1">
          <a:extLst>
            <a:ext uri="{FF2B5EF4-FFF2-40B4-BE49-F238E27FC236}">
              <a16:creationId xmlns:a16="http://schemas.microsoft.com/office/drawing/2014/main" id="{E3571492-68B4-171A-D7B0-8BF00DC528BD}"/>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61" name="Text Box 177" hidden="1">
          <a:extLst>
            <a:ext uri="{FF2B5EF4-FFF2-40B4-BE49-F238E27FC236}">
              <a16:creationId xmlns:a16="http://schemas.microsoft.com/office/drawing/2014/main" id="{832B0143-5781-AB4F-212C-C19EE1E9C8BC}"/>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04" name="Text Box 220" hidden="1">
          <a:extLst>
            <a:ext uri="{FF2B5EF4-FFF2-40B4-BE49-F238E27FC236}">
              <a16:creationId xmlns:a16="http://schemas.microsoft.com/office/drawing/2014/main" id="{E50A8CD5-BEC5-9C2A-2554-7AC7B812DB85}"/>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03" name="Text Box 219" hidden="1">
          <a:extLst>
            <a:ext uri="{FF2B5EF4-FFF2-40B4-BE49-F238E27FC236}">
              <a16:creationId xmlns:a16="http://schemas.microsoft.com/office/drawing/2014/main" id="{E75EFA7B-81A2-0724-4B1C-330D2D4F1AE6}"/>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02" name="Text Box 218" hidden="1">
          <a:extLst>
            <a:ext uri="{FF2B5EF4-FFF2-40B4-BE49-F238E27FC236}">
              <a16:creationId xmlns:a16="http://schemas.microsoft.com/office/drawing/2014/main" id="{1B18B05C-BC38-70F8-2AC6-E197B01CC869}"/>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01" name="Text Box 217" hidden="1">
          <a:extLst>
            <a:ext uri="{FF2B5EF4-FFF2-40B4-BE49-F238E27FC236}">
              <a16:creationId xmlns:a16="http://schemas.microsoft.com/office/drawing/2014/main" id="{5E9DC26A-F815-00E5-DA04-970AF5D8E0F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00" name="Text Box 216" hidden="1">
          <a:extLst>
            <a:ext uri="{FF2B5EF4-FFF2-40B4-BE49-F238E27FC236}">
              <a16:creationId xmlns:a16="http://schemas.microsoft.com/office/drawing/2014/main" id="{8291EDB2-DF17-D787-D4CF-86BB06DEBD2E}"/>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99" name="Text Box 215" hidden="1">
          <a:extLst>
            <a:ext uri="{FF2B5EF4-FFF2-40B4-BE49-F238E27FC236}">
              <a16:creationId xmlns:a16="http://schemas.microsoft.com/office/drawing/2014/main" id="{350B5473-34B9-4AD9-96C6-E3626D33BA4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98" name="Text Box 214" hidden="1">
          <a:extLst>
            <a:ext uri="{FF2B5EF4-FFF2-40B4-BE49-F238E27FC236}">
              <a16:creationId xmlns:a16="http://schemas.microsoft.com/office/drawing/2014/main" id="{00F21229-A1CD-C4B8-3A55-21AD06E7F78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97" name="Text Box 213" hidden="1">
          <a:extLst>
            <a:ext uri="{FF2B5EF4-FFF2-40B4-BE49-F238E27FC236}">
              <a16:creationId xmlns:a16="http://schemas.microsoft.com/office/drawing/2014/main" id="{DDDD674C-AB70-C2A4-3452-A838D7961FFA}"/>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96" name="Text Box 212" hidden="1">
          <a:extLst>
            <a:ext uri="{FF2B5EF4-FFF2-40B4-BE49-F238E27FC236}">
              <a16:creationId xmlns:a16="http://schemas.microsoft.com/office/drawing/2014/main" id="{556B852C-B55F-6143-8D10-FA020C7B835B}"/>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95" name="Text Box 211" hidden="1">
          <a:extLst>
            <a:ext uri="{FF2B5EF4-FFF2-40B4-BE49-F238E27FC236}">
              <a16:creationId xmlns:a16="http://schemas.microsoft.com/office/drawing/2014/main" id="{F8DF5D3E-3FB8-2A80-E163-9FCBB2C87C3B}"/>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94" name="Text Box 210" hidden="1">
          <a:extLst>
            <a:ext uri="{FF2B5EF4-FFF2-40B4-BE49-F238E27FC236}">
              <a16:creationId xmlns:a16="http://schemas.microsoft.com/office/drawing/2014/main" id="{60D7881C-F2A2-0FB2-CB4A-48056B803D19}"/>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93" name="Text Box 209" hidden="1">
          <a:extLst>
            <a:ext uri="{FF2B5EF4-FFF2-40B4-BE49-F238E27FC236}">
              <a16:creationId xmlns:a16="http://schemas.microsoft.com/office/drawing/2014/main" id="{A7490B50-E11F-8CB6-136F-EDC0F855551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92" name="Text Box 208" hidden="1">
          <a:extLst>
            <a:ext uri="{FF2B5EF4-FFF2-40B4-BE49-F238E27FC236}">
              <a16:creationId xmlns:a16="http://schemas.microsoft.com/office/drawing/2014/main" id="{BF81FC27-CF06-CE92-14C6-85302198488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91" name="Text Box 207" hidden="1">
          <a:extLst>
            <a:ext uri="{FF2B5EF4-FFF2-40B4-BE49-F238E27FC236}">
              <a16:creationId xmlns:a16="http://schemas.microsoft.com/office/drawing/2014/main" id="{647D4BF4-8752-FE3A-8C1B-FC594244DE1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90" name="Text Box 206" hidden="1">
          <a:extLst>
            <a:ext uri="{FF2B5EF4-FFF2-40B4-BE49-F238E27FC236}">
              <a16:creationId xmlns:a16="http://schemas.microsoft.com/office/drawing/2014/main" id="{51E486F8-69AB-EE6C-4720-0937EFEEAC8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89" name="Text Box 205" hidden="1">
          <a:extLst>
            <a:ext uri="{FF2B5EF4-FFF2-40B4-BE49-F238E27FC236}">
              <a16:creationId xmlns:a16="http://schemas.microsoft.com/office/drawing/2014/main" id="{958D9761-1CC4-54EE-A957-5E5E95BF2AA3}"/>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88" name="Text Box 204" hidden="1">
          <a:extLst>
            <a:ext uri="{FF2B5EF4-FFF2-40B4-BE49-F238E27FC236}">
              <a16:creationId xmlns:a16="http://schemas.microsoft.com/office/drawing/2014/main" id="{77777B49-0631-0734-8DA8-A3EE0E3679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87" name="Text Box 203" hidden="1">
          <a:extLst>
            <a:ext uri="{FF2B5EF4-FFF2-40B4-BE49-F238E27FC236}">
              <a16:creationId xmlns:a16="http://schemas.microsoft.com/office/drawing/2014/main" id="{4BE36D5D-2CF7-213C-CD42-ACF20D8F062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86" name="Text Box 202" hidden="1">
          <a:extLst>
            <a:ext uri="{FF2B5EF4-FFF2-40B4-BE49-F238E27FC236}">
              <a16:creationId xmlns:a16="http://schemas.microsoft.com/office/drawing/2014/main" id="{7131FCB1-61A4-8256-428B-EE32D8FA57EE}"/>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85" name="Text Box 201" hidden="1">
          <a:extLst>
            <a:ext uri="{FF2B5EF4-FFF2-40B4-BE49-F238E27FC236}">
              <a16:creationId xmlns:a16="http://schemas.microsoft.com/office/drawing/2014/main" id="{C043C0D2-E6B7-AD07-0593-B9CC403E83FB}"/>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84" name="Text Box 200" hidden="1">
          <a:extLst>
            <a:ext uri="{FF2B5EF4-FFF2-40B4-BE49-F238E27FC236}">
              <a16:creationId xmlns:a16="http://schemas.microsoft.com/office/drawing/2014/main" id="{F84A60DF-4D75-9CF4-246F-3A1AE816A2D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83" name="Text Box 199" hidden="1">
          <a:extLst>
            <a:ext uri="{FF2B5EF4-FFF2-40B4-BE49-F238E27FC236}">
              <a16:creationId xmlns:a16="http://schemas.microsoft.com/office/drawing/2014/main" id="{2BB34790-1941-C314-B725-74BA76B48EA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26" name="Text Box 242" hidden="1">
          <a:extLst>
            <a:ext uri="{FF2B5EF4-FFF2-40B4-BE49-F238E27FC236}">
              <a16:creationId xmlns:a16="http://schemas.microsoft.com/office/drawing/2014/main" id="{AD411E48-1E6A-5F2D-2613-64F8177D4894}"/>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25" name="Text Box 241" hidden="1">
          <a:extLst>
            <a:ext uri="{FF2B5EF4-FFF2-40B4-BE49-F238E27FC236}">
              <a16:creationId xmlns:a16="http://schemas.microsoft.com/office/drawing/2014/main" id="{F431DD7A-DC76-7AC4-2EA9-8EFB6AD6879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24" name="Text Box 240" hidden="1">
          <a:extLst>
            <a:ext uri="{FF2B5EF4-FFF2-40B4-BE49-F238E27FC236}">
              <a16:creationId xmlns:a16="http://schemas.microsoft.com/office/drawing/2014/main" id="{0BDFB392-4FC7-64DD-5405-F57A2767AD5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23" name="Text Box 239" hidden="1">
          <a:extLst>
            <a:ext uri="{FF2B5EF4-FFF2-40B4-BE49-F238E27FC236}">
              <a16:creationId xmlns:a16="http://schemas.microsoft.com/office/drawing/2014/main" id="{805ED89B-CAF0-4B64-E675-A4BF95E0EC80}"/>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22" name="Text Box 238" hidden="1">
          <a:extLst>
            <a:ext uri="{FF2B5EF4-FFF2-40B4-BE49-F238E27FC236}">
              <a16:creationId xmlns:a16="http://schemas.microsoft.com/office/drawing/2014/main" id="{B8DDAB4D-CA29-0F6B-A568-3AF60D20FBA3}"/>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21" name="Text Box 237" hidden="1">
          <a:extLst>
            <a:ext uri="{FF2B5EF4-FFF2-40B4-BE49-F238E27FC236}">
              <a16:creationId xmlns:a16="http://schemas.microsoft.com/office/drawing/2014/main" id="{05100AB9-6B05-408C-4D5F-BFB6A4CEECD7}"/>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20" name="Text Box 236" hidden="1">
          <a:extLst>
            <a:ext uri="{FF2B5EF4-FFF2-40B4-BE49-F238E27FC236}">
              <a16:creationId xmlns:a16="http://schemas.microsoft.com/office/drawing/2014/main" id="{6551FE15-6A2C-6842-44B7-955A6F30B29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19" name="Text Box 235" hidden="1">
          <a:extLst>
            <a:ext uri="{FF2B5EF4-FFF2-40B4-BE49-F238E27FC236}">
              <a16:creationId xmlns:a16="http://schemas.microsoft.com/office/drawing/2014/main" id="{1863EF02-3843-8017-3CF3-EA7815C7E697}"/>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18" name="Text Box 234" hidden="1">
          <a:extLst>
            <a:ext uri="{FF2B5EF4-FFF2-40B4-BE49-F238E27FC236}">
              <a16:creationId xmlns:a16="http://schemas.microsoft.com/office/drawing/2014/main" id="{D185D7B9-4AFC-05B1-BD5B-EB530CE2A46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17" name="Text Box 233" hidden="1">
          <a:extLst>
            <a:ext uri="{FF2B5EF4-FFF2-40B4-BE49-F238E27FC236}">
              <a16:creationId xmlns:a16="http://schemas.microsoft.com/office/drawing/2014/main" id="{BD9ABC0E-5856-F196-128D-355621CB0817}"/>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16" name="Text Box 232" hidden="1">
          <a:extLst>
            <a:ext uri="{FF2B5EF4-FFF2-40B4-BE49-F238E27FC236}">
              <a16:creationId xmlns:a16="http://schemas.microsoft.com/office/drawing/2014/main" id="{83931E2B-75D5-8122-9E83-279B8525740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15" name="Text Box 231" hidden="1">
          <a:extLst>
            <a:ext uri="{FF2B5EF4-FFF2-40B4-BE49-F238E27FC236}">
              <a16:creationId xmlns:a16="http://schemas.microsoft.com/office/drawing/2014/main" id="{9B2D2A95-83DD-FE06-8091-6707CD4DB38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14" name="Text Box 230" hidden="1">
          <a:extLst>
            <a:ext uri="{FF2B5EF4-FFF2-40B4-BE49-F238E27FC236}">
              <a16:creationId xmlns:a16="http://schemas.microsoft.com/office/drawing/2014/main" id="{132AD294-5D2A-0F7B-D599-EBE733ED47EE}"/>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13" name="Text Box 229" hidden="1">
          <a:extLst>
            <a:ext uri="{FF2B5EF4-FFF2-40B4-BE49-F238E27FC236}">
              <a16:creationId xmlns:a16="http://schemas.microsoft.com/office/drawing/2014/main" id="{52DC65B1-5D24-E2B8-DF1A-148DC0D86BAE}"/>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12" name="Text Box 228" hidden="1">
          <a:extLst>
            <a:ext uri="{FF2B5EF4-FFF2-40B4-BE49-F238E27FC236}">
              <a16:creationId xmlns:a16="http://schemas.microsoft.com/office/drawing/2014/main" id="{0F4F9281-EE37-7D5D-91C4-69630C149C9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11" name="Text Box 227" hidden="1">
          <a:extLst>
            <a:ext uri="{FF2B5EF4-FFF2-40B4-BE49-F238E27FC236}">
              <a16:creationId xmlns:a16="http://schemas.microsoft.com/office/drawing/2014/main" id="{A78D2A3E-E8C4-362D-BFF9-46438560AAFC}"/>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10" name="Text Box 226" hidden="1">
          <a:extLst>
            <a:ext uri="{FF2B5EF4-FFF2-40B4-BE49-F238E27FC236}">
              <a16:creationId xmlns:a16="http://schemas.microsoft.com/office/drawing/2014/main" id="{E267D7FA-AD8B-015A-D235-285F3DEBB63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09" name="Text Box 225" hidden="1">
          <a:extLst>
            <a:ext uri="{FF2B5EF4-FFF2-40B4-BE49-F238E27FC236}">
              <a16:creationId xmlns:a16="http://schemas.microsoft.com/office/drawing/2014/main" id="{433D9199-6E21-FD31-DEFA-05706EAB1FDA}"/>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08" name="Text Box 224" hidden="1">
          <a:extLst>
            <a:ext uri="{FF2B5EF4-FFF2-40B4-BE49-F238E27FC236}">
              <a16:creationId xmlns:a16="http://schemas.microsoft.com/office/drawing/2014/main" id="{5B7E02ED-AF8D-CA1F-6FA5-46665923FDC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07" name="Text Box 223" hidden="1">
          <a:extLst>
            <a:ext uri="{FF2B5EF4-FFF2-40B4-BE49-F238E27FC236}">
              <a16:creationId xmlns:a16="http://schemas.microsoft.com/office/drawing/2014/main" id="{F003D834-7690-7C24-C998-FA138158AEE2}"/>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06" name="Text Box 222" hidden="1">
          <a:extLst>
            <a:ext uri="{FF2B5EF4-FFF2-40B4-BE49-F238E27FC236}">
              <a16:creationId xmlns:a16="http://schemas.microsoft.com/office/drawing/2014/main" id="{77F4A224-FA10-93CD-8C74-02ACC008BF9D}"/>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05" name="Text Box 221" hidden="1">
          <a:extLst>
            <a:ext uri="{FF2B5EF4-FFF2-40B4-BE49-F238E27FC236}">
              <a16:creationId xmlns:a16="http://schemas.microsoft.com/office/drawing/2014/main" id="{84278BD3-4D9B-A74D-759E-7C1DA6395B7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48" name="Text Box 264" hidden="1">
          <a:extLst>
            <a:ext uri="{FF2B5EF4-FFF2-40B4-BE49-F238E27FC236}">
              <a16:creationId xmlns:a16="http://schemas.microsoft.com/office/drawing/2014/main" id="{BEDB2F40-5846-6134-42F0-D38505A98D07}"/>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47" name="Text Box 263" hidden="1">
          <a:extLst>
            <a:ext uri="{FF2B5EF4-FFF2-40B4-BE49-F238E27FC236}">
              <a16:creationId xmlns:a16="http://schemas.microsoft.com/office/drawing/2014/main" id="{890BAA60-B579-6B79-4798-0627C6F6855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46" name="Text Box 262" hidden="1">
          <a:extLst>
            <a:ext uri="{FF2B5EF4-FFF2-40B4-BE49-F238E27FC236}">
              <a16:creationId xmlns:a16="http://schemas.microsoft.com/office/drawing/2014/main" id="{E2796292-7AEE-3F79-7520-C6C522050B6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45" name="Text Box 261" hidden="1">
          <a:extLst>
            <a:ext uri="{FF2B5EF4-FFF2-40B4-BE49-F238E27FC236}">
              <a16:creationId xmlns:a16="http://schemas.microsoft.com/office/drawing/2014/main" id="{72FE3260-9E54-E7E1-35BE-360FF17F1EF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44" name="Text Box 260" hidden="1">
          <a:extLst>
            <a:ext uri="{FF2B5EF4-FFF2-40B4-BE49-F238E27FC236}">
              <a16:creationId xmlns:a16="http://schemas.microsoft.com/office/drawing/2014/main" id="{1EC3CD39-3BB9-8265-98EF-DEBCAFA2F32D}"/>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43" name="Text Box 259" hidden="1">
          <a:extLst>
            <a:ext uri="{FF2B5EF4-FFF2-40B4-BE49-F238E27FC236}">
              <a16:creationId xmlns:a16="http://schemas.microsoft.com/office/drawing/2014/main" id="{34F12B0E-A851-F654-C3D3-989D7C84A459}"/>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42" name="Text Box 258" hidden="1">
          <a:extLst>
            <a:ext uri="{FF2B5EF4-FFF2-40B4-BE49-F238E27FC236}">
              <a16:creationId xmlns:a16="http://schemas.microsoft.com/office/drawing/2014/main" id="{AB736C52-893F-CF9F-E6B9-5A21CEA4A823}"/>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41" name="Text Box 257" hidden="1">
          <a:extLst>
            <a:ext uri="{FF2B5EF4-FFF2-40B4-BE49-F238E27FC236}">
              <a16:creationId xmlns:a16="http://schemas.microsoft.com/office/drawing/2014/main" id="{936B2B94-2F25-C869-5C10-7CBB8388DD96}"/>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40" name="Text Box 256" hidden="1">
          <a:extLst>
            <a:ext uri="{FF2B5EF4-FFF2-40B4-BE49-F238E27FC236}">
              <a16:creationId xmlns:a16="http://schemas.microsoft.com/office/drawing/2014/main" id="{294C1609-8395-8439-BD9C-CFB86B78003F}"/>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39" name="Text Box 255" hidden="1">
          <a:extLst>
            <a:ext uri="{FF2B5EF4-FFF2-40B4-BE49-F238E27FC236}">
              <a16:creationId xmlns:a16="http://schemas.microsoft.com/office/drawing/2014/main" id="{C2C17F7F-247C-48EE-CD90-0BE7C76BB214}"/>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38" name="Text Box 254" hidden="1">
          <a:extLst>
            <a:ext uri="{FF2B5EF4-FFF2-40B4-BE49-F238E27FC236}">
              <a16:creationId xmlns:a16="http://schemas.microsoft.com/office/drawing/2014/main" id="{5A4BE614-07F2-5F12-CE64-01811E7C4E97}"/>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37" name="Text Box 253" hidden="1">
          <a:extLst>
            <a:ext uri="{FF2B5EF4-FFF2-40B4-BE49-F238E27FC236}">
              <a16:creationId xmlns:a16="http://schemas.microsoft.com/office/drawing/2014/main" id="{910ABDDC-5825-BB8E-2E02-CFC515FCB9E7}"/>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36" name="Text Box 252" hidden="1">
          <a:extLst>
            <a:ext uri="{FF2B5EF4-FFF2-40B4-BE49-F238E27FC236}">
              <a16:creationId xmlns:a16="http://schemas.microsoft.com/office/drawing/2014/main" id="{35AFEA2B-06BC-2823-7F23-37B726353510}"/>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35" name="Text Box 251" hidden="1">
          <a:extLst>
            <a:ext uri="{FF2B5EF4-FFF2-40B4-BE49-F238E27FC236}">
              <a16:creationId xmlns:a16="http://schemas.microsoft.com/office/drawing/2014/main" id="{F51E11B1-4F42-D06B-0E02-B8C9C88CD325}"/>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34" name="Text Box 250" hidden="1">
          <a:extLst>
            <a:ext uri="{FF2B5EF4-FFF2-40B4-BE49-F238E27FC236}">
              <a16:creationId xmlns:a16="http://schemas.microsoft.com/office/drawing/2014/main" id="{7522785E-35F7-DFA1-7EE6-236B33CB77D9}"/>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33" name="Text Box 249" hidden="1">
          <a:extLst>
            <a:ext uri="{FF2B5EF4-FFF2-40B4-BE49-F238E27FC236}">
              <a16:creationId xmlns:a16="http://schemas.microsoft.com/office/drawing/2014/main" id="{BB705AA0-35F2-7A86-44D6-8F80521B4DF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32" name="Text Box 248" hidden="1">
          <a:extLst>
            <a:ext uri="{FF2B5EF4-FFF2-40B4-BE49-F238E27FC236}">
              <a16:creationId xmlns:a16="http://schemas.microsoft.com/office/drawing/2014/main" id="{4C7C3F88-067C-9332-7410-862BED4D1F27}"/>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31" name="Text Box 247" hidden="1">
          <a:extLst>
            <a:ext uri="{FF2B5EF4-FFF2-40B4-BE49-F238E27FC236}">
              <a16:creationId xmlns:a16="http://schemas.microsoft.com/office/drawing/2014/main" id="{1860EA21-D5A1-B9B7-2922-000348C0456B}"/>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30" name="Text Box 246" hidden="1">
          <a:extLst>
            <a:ext uri="{FF2B5EF4-FFF2-40B4-BE49-F238E27FC236}">
              <a16:creationId xmlns:a16="http://schemas.microsoft.com/office/drawing/2014/main" id="{4BA9EE6F-CAEA-1B4D-E118-8D7B8F083427}"/>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29" name="Text Box 245" hidden="1">
          <a:extLst>
            <a:ext uri="{FF2B5EF4-FFF2-40B4-BE49-F238E27FC236}">
              <a16:creationId xmlns:a16="http://schemas.microsoft.com/office/drawing/2014/main" id="{1A7D4FF7-123A-180A-12EA-B58C26AF66C5}"/>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28" name="Text Box 244" hidden="1">
          <a:extLst>
            <a:ext uri="{FF2B5EF4-FFF2-40B4-BE49-F238E27FC236}">
              <a16:creationId xmlns:a16="http://schemas.microsoft.com/office/drawing/2014/main" id="{E7E2BF5A-22C2-528E-98EC-D8C40F3280D5}"/>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27" name="Text Box 243" hidden="1">
          <a:extLst>
            <a:ext uri="{FF2B5EF4-FFF2-40B4-BE49-F238E27FC236}">
              <a16:creationId xmlns:a16="http://schemas.microsoft.com/office/drawing/2014/main" id="{B15E279E-1626-A257-9EED-72258C6861F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30" name="Text Box 22" hidden="1">
          <a:extLst>
            <a:ext uri="{FF2B5EF4-FFF2-40B4-BE49-F238E27FC236}">
              <a16:creationId xmlns:a16="http://schemas.microsoft.com/office/drawing/2014/main" id="{DDF2C3BB-F079-7C6B-3D60-CA48735F91B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29" name="Text Box 21" hidden="1">
          <a:extLst>
            <a:ext uri="{FF2B5EF4-FFF2-40B4-BE49-F238E27FC236}">
              <a16:creationId xmlns:a16="http://schemas.microsoft.com/office/drawing/2014/main" id="{D9854A14-F0BF-E0D8-8740-531BC2F02CD4}"/>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28" name="Text Box 20" hidden="1">
          <a:extLst>
            <a:ext uri="{FF2B5EF4-FFF2-40B4-BE49-F238E27FC236}">
              <a16:creationId xmlns:a16="http://schemas.microsoft.com/office/drawing/2014/main" id="{6B99D88D-ADE5-E3C8-C14A-B168C957E6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27" name="Text Box 19" hidden="1">
          <a:extLst>
            <a:ext uri="{FF2B5EF4-FFF2-40B4-BE49-F238E27FC236}">
              <a16:creationId xmlns:a16="http://schemas.microsoft.com/office/drawing/2014/main" id="{FA529988-6894-FFFF-915D-4C46BC3E7C25}"/>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26" name="Text Box 18" hidden="1">
          <a:extLst>
            <a:ext uri="{FF2B5EF4-FFF2-40B4-BE49-F238E27FC236}">
              <a16:creationId xmlns:a16="http://schemas.microsoft.com/office/drawing/2014/main" id="{0F027792-2722-8B35-E922-CAE37DE10ED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25" name="Text Box 17" hidden="1">
          <a:extLst>
            <a:ext uri="{FF2B5EF4-FFF2-40B4-BE49-F238E27FC236}">
              <a16:creationId xmlns:a16="http://schemas.microsoft.com/office/drawing/2014/main" id="{17274D97-F302-4B7D-9E3C-BDB02150CDD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24" name="Text Box 16" hidden="1">
          <a:extLst>
            <a:ext uri="{FF2B5EF4-FFF2-40B4-BE49-F238E27FC236}">
              <a16:creationId xmlns:a16="http://schemas.microsoft.com/office/drawing/2014/main" id="{4C5A51D9-1AC0-3FD4-4665-4D8B332165A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23" name="Text Box 15" hidden="1">
          <a:extLst>
            <a:ext uri="{FF2B5EF4-FFF2-40B4-BE49-F238E27FC236}">
              <a16:creationId xmlns:a16="http://schemas.microsoft.com/office/drawing/2014/main" id="{44BF098D-E07B-5138-8459-E0220B6A78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22" name="Text Box 14" hidden="1">
          <a:extLst>
            <a:ext uri="{FF2B5EF4-FFF2-40B4-BE49-F238E27FC236}">
              <a16:creationId xmlns:a16="http://schemas.microsoft.com/office/drawing/2014/main" id="{4A79F58F-3966-29C9-D2D8-80A366A5B8E4}"/>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21" name="Text Box 13" hidden="1">
          <a:extLst>
            <a:ext uri="{FF2B5EF4-FFF2-40B4-BE49-F238E27FC236}">
              <a16:creationId xmlns:a16="http://schemas.microsoft.com/office/drawing/2014/main" id="{43EDDCB4-7E8E-86DC-5B1B-0086A838832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20" name="Text Box 12" hidden="1">
          <a:extLst>
            <a:ext uri="{FF2B5EF4-FFF2-40B4-BE49-F238E27FC236}">
              <a16:creationId xmlns:a16="http://schemas.microsoft.com/office/drawing/2014/main" id="{9971F63F-FD50-FFBE-E818-A12A9797C6C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19" name="Text Box 11" hidden="1">
          <a:extLst>
            <a:ext uri="{FF2B5EF4-FFF2-40B4-BE49-F238E27FC236}">
              <a16:creationId xmlns:a16="http://schemas.microsoft.com/office/drawing/2014/main" id="{F3093F65-4DA5-E00B-7534-D3A3BF93B1AE}"/>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18" name="Text Box 10" hidden="1">
          <a:extLst>
            <a:ext uri="{FF2B5EF4-FFF2-40B4-BE49-F238E27FC236}">
              <a16:creationId xmlns:a16="http://schemas.microsoft.com/office/drawing/2014/main" id="{6E551E8D-3EFC-F955-21F2-3C209D98D4A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17" name="Text Box 9" hidden="1">
          <a:extLst>
            <a:ext uri="{FF2B5EF4-FFF2-40B4-BE49-F238E27FC236}">
              <a16:creationId xmlns:a16="http://schemas.microsoft.com/office/drawing/2014/main" id="{56F0DA21-1F93-A189-51ED-2C4D8615453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16" name="Text Box 8" hidden="1">
          <a:extLst>
            <a:ext uri="{FF2B5EF4-FFF2-40B4-BE49-F238E27FC236}">
              <a16:creationId xmlns:a16="http://schemas.microsoft.com/office/drawing/2014/main" id="{57B7B84B-69FA-1FC9-103C-E937E96308C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15" name="Text Box 7" hidden="1">
          <a:extLst>
            <a:ext uri="{FF2B5EF4-FFF2-40B4-BE49-F238E27FC236}">
              <a16:creationId xmlns:a16="http://schemas.microsoft.com/office/drawing/2014/main" id="{432356AF-F459-7919-7D30-B6CE8C9CC4FD}"/>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14" name="Text Box 6" hidden="1">
          <a:extLst>
            <a:ext uri="{FF2B5EF4-FFF2-40B4-BE49-F238E27FC236}">
              <a16:creationId xmlns:a16="http://schemas.microsoft.com/office/drawing/2014/main" id="{6085EC97-8029-FCBE-D06B-B004B9FF5F7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13" name="Text Box 5" hidden="1">
          <a:extLst>
            <a:ext uri="{FF2B5EF4-FFF2-40B4-BE49-F238E27FC236}">
              <a16:creationId xmlns:a16="http://schemas.microsoft.com/office/drawing/2014/main" id="{F78ABF95-FA52-4AEE-8B88-3D24D87787A6}"/>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12" name="Text Box 4" hidden="1">
          <a:extLst>
            <a:ext uri="{FF2B5EF4-FFF2-40B4-BE49-F238E27FC236}">
              <a16:creationId xmlns:a16="http://schemas.microsoft.com/office/drawing/2014/main" id="{25FD94BD-952E-42D7-1CF7-31350B763C08}"/>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11" name="Text Box 3" hidden="1">
          <a:extLst>
            <a:ext uri="{FF2B5EF4-FFF2-40B4-BE49-F238E27FC236}">
              <a16:creationId xmlns:a16="http://schemas.microsoft.com/office/drawing/2014/main" id="{CEAAE164-44A2-E3E1-5DA8-5416B5DEA955}"/>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10" name="Text Box 2" hidden="1">
          <a:extLst>
            <a:ext uri="{FF2B5EF4-FFF2-40B4-BE49-F238E27FC236}">
              <a16:creationId xmlns:a16="http://schemas.microsoft.com/office/drawing/2014/main" id="{47A0C930-5189-2921-4CBB-3399499DE9A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09" name="Text Box 1" hidden="1">
          <a:extLst>
            <a:ext uri="{FF2B5EF4-FFF2-40B4-BE49-F238E27FC236}">
              <a16:creationId xmlns:a16="http://schemas.microsoft.com/office/drawing/2014/main" id="{38062E5F-FD8A-A936-58DF-5C649463FDF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absolute">
    <xdr:from>
      <xdr:col>3</xdr:col>
      <xdr:colOff>2781300</xdr:colOff>
      <xdr:row>74</xdr:row>
      <xdr:rowOff>50655</xdr:rowOff>
    </xdr:from>
    <xdr:to>
      <xdr:col>5</xdr:col>
      <xdr:colOff>190500</xdr:colOff>
      <xdr:row>79</xdr:row>
      <xdr:rowOff>75468</xdr:rowOff>
    </xdr:to>
    <xdr:sp macro="" textlink="">
      <xdr:nvSpPr>
        <xdr:cNvPr id="135177" name="Text Box 9" hidden="1">
          <a:extLst>
            <a:ext uri="{FF2B5EF4-FFF2-40B4-BE49-F238E27FC236}">
              <a16:creationId xmlns:a16="http://schemas.microsoft.com/office/drawing/2014/main" id="{4E89DBBC-FD72-4F27-B3EA-CC0C18F4A953}"/>
            </a:ext>
          </a:extLst>
        </xdr:cNvPr>
        <xdr:cNvSpPr txBox="1">
          <a:spLocks noChangeArrowheads="1"/>
        </xdr:cNvSpPr>
      </xdr:nvSpPr>
      <xdr:spPr bwMode="auto">
        <a:xfrm>
          <a:off x="3573780" y="15971520"/>
          <a:ext cx="1264920" cy="12039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75</xdr:row>
      <xdr:rowOff>126203</xdr:rowOff>
    </xdr:from>
    <xdr:to>
      <xdr:col>5</xdr:col>
      <xdr:colOff>190500</xdr:colOff>
      <xdr:row>80</xdr:row>
      <xdr:rowOff>76733</xdr:rowOff>
    </xdr:to>
    <xdr:sp macro="" textlink="">
      <xdr:nvSpPr>
        <xdr:cNvPr id="135178" name="Text Box 10" hidden="1">
          <a:extLst>
            <a:ext uri="{FF2B5EF4-FFF2-40B4-BE49-F238E27FC236}">
              <a16:creationId xmlns:a16="http://schemas.microsoft.com/office/drawing/2014/main" id="{AA6BD0B7-EB57-4D15-9BB8-CB90C55C6AF2}"/>
            </a:ext>
          </a:extLst>
        </xdr:cNvPr>
        <xdr:cNvSpPr txBox="1">
          <a:spLocks noChangeArrowheads="1"/>
        </xdr:cNvSpPr>
      </xdr:nvSpPr>
      <xdr:spPr bwMode="auto">
        <a:xfrm>
          <a:off x="3573780" y="16222980"/>
          <a:ext cx="1264920" cy="1135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76</xdr:row>
      <xdr:rowOff>178267</xdr:rowOff>
    </xdr:from>
    <xdr:to>
      <xdr:col>5</xdr:col>
      <xdr:colOff>190500</xdr:colOff>
      <xdr:row>81</xdr:row>
      <xdr:rowOff>54923</xdr:rowOff>
    </xdr:to>
    <xdr:sp macro="" textlink="">
      <xdr:nvSpPr>
        <xdr:cNvPr id="135179" name="Text Box 11" hidden="1">
          <a:extLst>
            <a:ext uri="{FF2B5EF4-FFF2-40B4-BE49-F238E27FC236}">
              <a16:creationId xmlns:a16="http://schemas.microsoft.com/office/drawing/2014/main" id="{9E83BF2A-F10E-4594-B5D4-30DD55D4EAE8}"/>
            </a:ext>
          </a:extLst>
        </xdr:cNvPr>
        <xdr:cNvSpPr txBox="1">
          <a:spLocks noChangeArrowheads="1"/>
        </xdr:cNvSpPr>
      </xdr:nvSpPr>
      <xdr:spPr bwMode="auto">
        <a:xfrm>
          <a:off x="3573780" y="16482060"/>
          <a:ext cx="1264920" cy="10591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77</xdr:row>
      <xdr:rowOff>29426</xdr:rowOff>
    </xdr:from>
    <xdr:to>
      <xdr:col>5</xdr:col>
      <xdr:colOff>190500</xdr:colOff>
      <xdr:row>82</xdr:row>
      <xdr:rowOff>178123</xdr:rowOff>
    </xdr:to>
    <xdr:sp macro="" textlink="">
      <xdr:nvSpPr>
        <xdr:cNvPr id="135180" name="Text Box 12" hidden="1">
          <a:extLst>
            <a:ext uri="{FF2B5EF4-FFF2-40B4-BE49-F238E27FC236}">
              <a16:creationId xmlns:a16="http://schemas.microsoft.com/office/drawing/2014/main" id="{8BBD204D-E57E-4D35-A59C-0F146D70F6BC}"/>
            </a:ext>
          </a:extLst>
        </xdr:cNvPr>
        <xdr:cNvSpPr txBox="1">
          <a:spLocks noChangeArrowheads="1"/>
        </xdr:cNvSpPr>
      </xdr:nvSpPr>
      <xdr:spPr bwMode="auto">
        <a:xfrm>
          <a:off x="3573780" y="16733520"/>
          <a:ext cx="126492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101</xdr:row>
      <xdr:rowOff>153704</xdr:rowOff>
    </xdr:from>
    <xdr:to>
      <xdr:col>5</xdr:col>
      <xdr:colOff>190500</xdr:colOff>
      <xdr:row>128</xdr:row>
      <xdr:rowOff>183999</xdr:rowOff>
    </xdr:to>
    <xdr:sp macro="" textlink="">
      <xdr:nvSpPr>
        <xdr:cNvPr id="135185" name="Text Box 17" hidden="1">
          <a:extLst>
            <a:ext uri="{FF2B5EF4-FFF2-40B4-BE49-F238E27FC236}">
              <a16:creationId xmlns:a16="http://schemas.microsoft.com/office/drawing/2014/main" id="{9948205F-CAC2-4169-BEBA-A4E3909BEDF4}"/>
            </a:ext>
          </a:extLst>
        </xdr:cNvPr>
        <xdr:cNvSpPr txBox="1">
          <a:spLocks noChangeArrowheads="1"/>
        </xdr:cNvSpPr>
      </xdr:nvSpPr>
      <xdr:spPr bwMode="auto">
        <a:xfrm>
          <a:off x="3573780" y="21671280"/>
          <a:ext cx="1264920" cy="4968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102</xdr:row>
      <xdr:rowOff>75133</xdr:rowOff>
    </xdr:from>
    <xdr:to>
      <xdr:col>5</xdr:col>
      <xdr:colOff>190500</xdr:colOff>
      <xdr:row>113</xdr:row>
      <xdr:rowOff>72577</xdr:rowOff>
    </xdr:to>
    <xdr:sp macro="" textlink="">
      <xdr:nvSpPr>
        <xdr:cNvPr id="135186" name="Text Box 18" hidden="1">
          <a:extLst>
            <a:ext uri="{FF2B5EF4-FFF2-40B4-BE49-F238E27FC236}">
              <a16:creationId xmlns:a16="http://schemas.microsoft.com/office/drawing/2014/main" id="{07E22E2F-E99E-4150-B71E-5619FC718346}"/>
            </a:ext>
          </a:extLst>
        </xdr:cNvPr>
        <xdr:cNvSpPr txBox="1">
          <a:spLocks noChangeArrowheads="1"/>
        </xdr:cNvSpPr>
      </xdr:nvSpPr>
      <xdr:spPr bwMode="auto">
        <a:xfrm>
          <a:off x="3573780" y="21793200"/>
          <a:ext cx="1264920" cy="19964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63974</xdr:rowOff>
    </xdr:from>
    <xdr:to>
      <xdr:col>5</xdr:col>
      <xdr:colOff>190500</xdr:colOff>
      <xdr:row>74</xdr:row>
      <xdr:rowOff>68707</xdr:rowOff>
    </xdr:to>
    <xdr:sp macro="" textlink="">
      <xdr:nvSpPr>
        <xdr:cNvPr id="135189" name="Text Box 21" hidden="1">
          <a:extLst>
            <a:ext uri="{FF2B5EF4-FFF2-40B4-BE49-F238E27FC236}">
              <a16:creationId xmlns:a16="http://schemas.microsoft.com/office/drawing/2014/main" id="{32BFD649-70BE-4C7D-A92E-CA8B83F81214}"/>
            </a:ext>
          </a:extLst>
        </xdr:cNvPr>
        <xdr:cNvSpPr txBox="1">
          <a:spLocks noChangeArrowheads="1"/>
        </xdr:cNvSpPr>
      </xdr:nvSpPr>
      <xdr:spPr bwMode="auto">
        <a:xfrm>
          <a:off x="3573780" y="12298680"/>
          <a:ext cx="1264920" cy="37033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63974</xdr:rowOff>
    </xdr:from>
    <xdr:to>
      <xdr:col>5</xdr:col>
      <xdr:colOff>190500</xdr:colOff>
      <xdr:row>69</xdr:row>
      <xdr:rowOff>163</xdr:rowOff>
    </xdr:to>
    <xdr:sp macro="" textlink="">
      <xdr:nvSpPr>
        <xdr:cNvPr id="135190" name="Text Box 22" hidden="1">
          <a:extLst>
            <a:ext uri="{FF2B5EF4-FFF2-40B4-BE49-F238E27FC236}">
              <a16:creationId xmlns:a16="http://schemas.microsoft.com/office/drawing/2014/main" id="{E1683EA9-70BC-4864-B77C-DEE618FAD1FA}"/>
            </a:ext>
          </a:extLst>
        </xdr:cNvPr>
        <xdr:cNvSpPr txBox="1">
          <a:spLocks noChangeArrowheads="1"/>
        </xdr:cNvSpPr>
      </xdr:nvSpPr>
      <xdr:spPr bwMode="auto">
        <a:xfrm>
          <a:off x="3573780" y="12336780"/>
          <a:ext cx="1264920" cy="2682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63974</xdr:rowOff>
    </xdr:from>
    <xdr:to>
      <xdr:col>5</xdr:col>
      <xdr:colOff>190500</xdr:colOff>
      <xdr:row>62</xdr:row>
      <xdr:rowOff>173921</xdr:rowOff>
    </xdr:to>
    <xdr:sp macro="" textlink="">
      <xdr:nvSpPr>
        <xdr:cNvPr id="135191" name="Text Box 23" hidden="1">
          <a:extLst>
            <a:ext uri="{FF2B5EF4-FFF2-40B4-BE49-F238E27FC236}">
              <a16:creationId xmlns:a16="http://schemas.microsoft.com/office/drawing/2014/main" id="{501D2FFC-B1EF-489A-B89E-B525EA86933B}"/>
            </a:ext>
          </a:extLst>
        </xdr:cNvPr>
        <xdr:cNvSpPr txBox="1">
          <a:spLocks noChangeArrowheads="1"/>
        </xdr:cNvSpPr>
      </xdr:nvSpPr>
      <xdr:spPr bwMode="auto">
        <a:xfrm>
          <a:off x="3573780" y="12336780"/>
          <a:ext cx="1264920" cy="13639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37981</xdr:rowOff>
    </xdr:from>
    <xdr:to>
      <xdr:col>5</xdr:col>
      <xdr:colOff>190500</xdr:colOff>
      <xdr:row>62</xdr:row>
      <xdr:rowOff>78855</xdr:rowOff>
    </xdr:to>
    <xdr:sp macro="" textlink="">
      <xdr:nvSpPr>
        <xdr:cNvPr id="135192" name="Text Box 24" hidden="1">
          <a:extLst>
            <a:ext uri="{FF2B5EF4-FFF2-40B4-BE49-F238E27FC236}">
              <a16:creationId xmlns:a16="http://schemas.microsoft.com/office/drawing/2014/main" id="{AF8678F1-642B-4F78-81EA-180B22BE33EB}"/>
            </a:ext>
          </a:extLst>
        </xdr:cNvPr>
        <xdr:cNvSpPr txBox="1">
          <a:spLocks noChangeArrowheads="1"/>
        </xdr:cNvSpPr>
      </xdr:nvSpPr>
      <xdr:spPr bwMode="auto">
        <a:xfrm>
          <a:off x="3573780" y="12854940"/>
          <a:ext cx="126492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139722</xdr:rowOff>
    </xdr:from>
    <xdr:to>
      <xdr:col>5</xdr:col>
      <xdr:colOff>190500</xdr:colOff>
      <xdr:row>61</xdr:row>
      <xdr:rowOff>48679</xdr:rowOff>
    </xdr:to>
    <xdr:sp macro="" textlink="">
      <xdr:nvSpPr>
        <xdr:cNvPr id="135193" name="Text Box 25" hidden="1">
          <a:extLst>
            <a:ext uri="{FF2B5EF4-FFF2-40B4-BE49-F238E27FC236}">
              <a16:creationId xmlns:a16="http://schemas.microsoft.com/office/drawing/2014/main" id="{80A7DE2E-442D-4453-A0AF-17DBB5C3F1E9}"/>
            </a:ext>
          </a:extLst>
        </xdr:cNvPr>
        <xdr:cNvSpPr txBox="1">
          <a:spLocks noChangeArrowheads="1"/>
        </xdr:cNvSpPr>
      </xdr:nvSpPr>
      <xdr:spPr bwMode="auto">
        <a:xfrm>
          <a:off x="3573780" y="13007340"/>
          <a:ext cx="1264920" cy="373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102</xdr:row>
      <xdr:rowOff>100954</xdr:rowOff>
    </xdr:from>
    <xdr:to>
      <xdr:col>6</xdr:col>
      <xdr:colOff>38100</xdr:colOff>
      <xdr:row>111</xdr:row>
      <xdr:rowOff>20583</xdr:rowOff>
    </xdr:to>
    <xdr:sp macro="" textlink="">
      <xdr:nvSpPr>
        <xdr:cNvPr id="135194" name="Text Box 26" hidden="1">
          <a:extLst>
            <a:ext uri="{FF2B5EF4-FFF2-40B4-BE49-F238E27FC236}">
              <a16:creationId xmlns:a16="http://schemas.microsoft.com/office/drawing/2014/main" id="{50B0E3E0-585F-45A7-A05E-1189E14DDA74}"/>
            </a:ext>
          </a:extLst>
        </xdr:cNvPr>
        <xdr:cNvSpPr txBox="1">
          <a:spLocks noChangeArrowheads="1"/>
        </xdr:cNvSpPr>
      </xdr:nvSpPr>
      <xdr:spPr bwMode="auto">
        <a:xfrm>
          <a:off x="4038600" y="21831300"/>
          <a:ext cx="1440180" cy="1516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694531</xdr:colOff>
      <xdr:row>7</xdr:row>
      <xdr:rowOff>103505</xdr:rowOff>
    </xdr:from>
    <xdr:to>
      <xdr:col>17</xdr:col>
      <xdr:colOff>445294</xdr:colOff>
      <xdr:row>12</xdr:row>
      <xdr:rowOff>28786</xdr:rowOff>
    </xdr:to>
    <xdr:sp macro="" textlink="">
      <xdr:nvSpPr>
        <xdr:cNvPr id="135195" name="Text Box 27" hidden="1">
          <a:extLst>
            <a:ext uri="{FF2B5EF4-FFF2-40B4-BE49-F238E27FC236}">
              <a16:creationId xmlns:a16="http://schemas.microsoft.com/office/drawing/2014/main" id="{B8E5AFDB-2585-41CD-8956-85E412E09D63}"/>
            </a:ext>
          </a:extLst>
        </xdr:cNvPr>
        <xdr:cNvSpPr txBox="1">
          <a:spLocks noChangeArrowheads="1"/>
        </xdr:cNvSpPr>
      </xdr:nvSpPr>
      <xdr:spPr bwMode="auto">
        <a:xfrm>
          <a:off x="14561820" y="2255520"/>
          <a:ext cx="132588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11</xdr:row>
      <xdr:rowOff>161714</xdr:rowOff>
    </xdr:from>
    <xdr:to>
      <xdr:col>18</xdr:col>
      <xdr:colOff>502973</xdr:colOff>
      <xdr:row>15</xdr:row>
      <xdr:rowOff>162348</xdr:rowOff>
    </xdr:to>
    <xdr:sp macro="" textlink="">
      <xdr:nvSpPr>
        <xdr:cNvPr id="135197" name="Text Box 29" hidden="1">
          <a:extLst>
            <a:ext uri="{FF2B5EF4-FFF2-40B4-BE49-F238E27FC236}">
              <a16:creationId xmlns:a16="http://schemas.microsoft.com/office/drawing/2014/main" id="{5EF0D5F2-E95B-495D-B62C-4F68705782A6}"/>
            </a:ext>
          </a:extLst>
        </xdr:cNvPr>
        <xdr:cNvSpPr txBox="1">
          <a:spLocks noChangeArrowheads="1"/>
        </xdr:cNvSpPr>
      </xdr:nvSpPr>
      <xdr:spPr bwMode="auto">
        <a:xfrm>
          <a:off x="15354300" y="3002280"/>
          <a:ext cx="134112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55</xdr:row>
      <xdr:rowOff>133094</xdr:rowOff>
    </xdr:from>
    <xdr:to>
      <xdr:col>5</xdr:col>
      <xdr:colOff>190500</xdr:colOff>
      <xdr:row>61</xdr:row>
      <xdr:rowOff>46533</xdr:rowOff>
    </xdr:to>
    <xdr:sp macro="" textlink="">
      <xdr:nvSpPr>
        <xdr:cNvPr id="258062" name="Text Box 14" hidden="1">
          <a:extLst>
            <a:ext uri="{FF2B5EF4-FFF2-40B4-BE49-F238E27FC236}">
              <a16:creationId xmlns:a16="http://schemas.microsoft.com/office/drawing/2014/main" id="{9D2F127A-BDCA-4434-BB52-75C5F0DB1340}"/>
            </a:ext>
          </a:extLst>
        </xdr:cNvPr>
        <xdr:cNvSpPr txBox="1">
          <a:spLocks noChangeArrowheads="1"/>
        </xdr:cNvSpPr>
      </xdr:nvSpPr>
      <xdr:spPr bwMode="auto">
        <a:xfrm>
          <a:off x="3543300" y="12382500"/>
          <a:ext cx="11620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122447</xdr:rowOff>
    </xdr:from>
    <xdr:to>
      <xdr:col>5</xdr:col>
      <xdr:colOff>190500</xdr:colOff>
      <xdr:row>61</xdr:row>
      <xdr:rowOff>140365</xdr:rowOff>
    </xdr:to>
    <xdr:sp macro="" textlink="">
      <xdr:nvSpPr>
        <xdr:cNvPr id="258061" name="Text Box 13" hidden="1">
          <a:extLst>
            <a:ext uri="{FF2B5EF4-FFF2-40B4-BE49-F238E27FC236}">
              <a16:creationId xmlns:a16="http://schemas.microsoft.com/office/drawing/2014/main" id="{8A73CEE0-BE37-4AB1-9771-4293B42CE074}"/>
            </a:ext>
          </a:extLst>
        </xdr:cNvPr>
        <xdr:cNvSpPr txBox="1">
          <a:spLocks noChangeArrowheads="1"/>
        </xdr:cNvSpPr>
      </xdr:nvSpPr>
      <xdr:spPr bwMode="auto">
        <a:xfrm>
          <a:off x="3543300" y="12582525"/>
          <a:ext cx="1162050" cy="1171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179875</xdr:rowOff>
    </xdr:from>
    <xdr:to>
      <xdr:col>5</xdr:col>
      <xdr:colOff>190500</xdr:colOff>
      <xdr:row>62</xdr:row>
      <xdr:rowOff>162038</xdr:rowOff>
    </xdr:to>
    <xdr:sp macro="" textlink="">
      <xdr:nvSpPr>
        <xdr:cNvPr id="258060" name="Text Box 12" hidden="1">
          <a:extLst>
            <a:ext uri="{FF2B5EF4-FFF2-40B4-BE49-F238E27FC236}">
              <a16:creationId xmlns:a16="http://schemas.microsoft.com/office/drawing/2014/main" id="{98A7459B-79DF-4C83-A8F8-FFB45B06939A}"/>
            </a:ext>
          </a:extLst>
        </xdr:cNvPr>
        <xdr:cNvSpPr txBox="1">
          <a:spLocks noChangeArrowheads="1"/>
        </xdr:cNvSpPr>
      </xdr:nvSpPr>
      <xdr:spPr bwMode="auto">
        <a:xfrm>
          <a:off x="3543300" y="12792075"/>
          <a:ext cx="11620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58</xdr:row>
      <xdr:rowOff>197420</xdr:rowOff>
    </xdr:from>
    <xdr:to>
      <xdr:col>5</xdr:col>
      <xdr:colOff>190500</xdr:colOff>
      <xdr:row>64</xdr:row>
      <xdr:rowOff>63</xdr:rowOff>
    </xdr:to>
    <xdr:sp macro="" textlink="">
      <xdr:nvSpPr>
        <xdr:cNvPr id="258059" name="Text Box 11" hidden="1">
          <a:extLst>
            <a:ext uri="{FF2B5EF4-FFF2-40B4-BE49-F238E27FC236}">
              <a16:creationId xmlns:a16="http://schemas.microsoft.com/office/drawing/2014/main" id="{05A7FC6C-325C-440A-BC9A-83EE23270CB9}"/>
            </a:ext>
          </a:extLst>
        </xdr:cNvPr>
        <xdr:cNvSpPr txBox="1">
          <a:spLocks noChangeArrowheads="1"/>
        </xdr:cNvSpPr>
      </xdr:nvSpPr>
      <xdr:spPr bwMode="auto">
        <a:xfrm>
          <a:off x="3543300" y="13049250"/>
          <a:ext cx="11620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83</xdr:row>
      <xdr:rowOff>35891</xdr:rowOff>
    </xdr:from>
    <xdr:to>
      <xdr:col>5</xdr:col>
      <xdr:colOff>190500</xdr:colOff>
      <xdr:row>108</xdr:row>
      <xdr:rowOff>38923</xdr:rowOff>
    </xdr:to>
    <xdr:sp macro="" textlink="">
      <xdr:nvSpPr>
        <xdr:cNvPr id="258058" name="Text Box 10" hidden="1">
          <a:extLst>
            <a:ext uri="{FF2B5EF4-FFF2-40B4-BE49-F238E27FC236}">
              <a16:creationId xmlns:a16="http://schemas.microsoft.com/office/drawing/2014/main" id="{8E80E55F-CD54-4113-B117-A00F724455CF}"/>
            </a:ext>
          </a:extLst>
        </xdr:cNvPr>
        <xdr:cNvSpPr txBox="1">
          <a:spLocks noChangeArrowheads="1"/>
        </xdr:cNvSpPr>
      </xdr:nvSpPr>
      <xdr:spPr bwMode="auto">
        <a:xfrm>
          <a:off x="3543300" y="18192750"/>
          <a:ext cx="1162050" cy="5153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84</xdr:row>
      <xdr:rowOff>14842</xdr:rowOff>
    </xdr:from>
    <xdr:to>
      <xdr:col>5</xdr:col>
      <xdr:colOff>190500</xdr:colOff>
      <xdr:row>94</xdr:row>
      <xdr:rowOff>103851</xdr:rowOff>
    </xdr:to>
    <xdr:sp macro="" textlink="">
      <xdr:nvSpPr>
        <xdr:cNvPr id="258057" name="Text Box 9" hidden="1">
          <a:extLst>
            <a:ext uri="{FF2B5EF4-FFF2-40B4-BE49-F238E27FC236}">
              <a16:creationId xmlns:a16="http://schemas.microsoft.com/office/drawing/2014/main" id="{C74434EC-C772-4FBD-A719-1EC6D7152854}"/>
            </a:ext>
          </a:extLst>
        </xdr:cNvPr>
        <xdr:cNvSpPr txBox="1">
          <a:spLocks noChangeArrowheads="1"/>
        </xdr:cNvSpPr>
      </xdr:nvSpPr>
      <xdr:spPr bwMode="auto">
        <a:xfrm>
          <a:off x="3543300" y="18478500"/>
          <a:ext cx="1162050" cy="207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19569</xdr:rowOff>
    </xdr:from>
    <xdr:to>
      <xdr:col>5</xdr:col>
      <xdr:colOff>190500</xdr:colOff>
      <xdr:row>55</xdr:row>
      <xdr:rowOff>178336</xdr:rowOff>
    </xdr:to>
    <xdr:sp macro="" textlink="">
      <xdr:nvSpPr>
        <xdr:cNvPr id="258056" name="Text Box 8" hidden="1">
          <a:extLst>
            <a:ext uri="{FF2B5EF4-FFF2-40B4-BE49-F238E27FC236}">
              <a16:creationId xmlns:a16="http://schemas.microsoft.com/office/drawing/2014/main" id="{832EB958-313B-4F52-B181-37102F7BEDBE}"/>
            </a:ext>
          </a:extLst>
        </xdr:cNvPr>
        <xdr:cNvSpPr txBox="1">
          <a:spLocks noChangeArrowheads="1"/>
        </xdr:cNvSpPr>
      </xdr:nvSpPr>
      <xdr:spPr bwMode="auto">
        <a:xfrm>
          <a:off x="3543300" y="8601075"/>
          <a:ext cx="1162050"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53</xdr:row>
      <xdr:rowOff>121646</xdr:rowOff>
    </xdr:to>
    <xdr:sp macro="" textlink="">
      <xdr:nvSpPr>
        <xdr:cNvPr id="258055" name="Text Box 7" hidden="1">
          <a:extLst>
            <a:ext uri="{FF2B5EF4-FFF2-40B4-BE49-F238E27FC236}">
              <a16:creationId xmlns:a16="http://schemas.microsoft.com/office/drawing/2014/main" id="{01C0CDA7-EADB-40CD-BD97-5CE36BE15775}"/>
            </a:ext>
          </a:extLst>
        </xdr:cNvPr>
        <xdr:cNvSpPr txBox="1">
          <a:spLocks noChangeArrowheads="1"/>
        </xdr:cNvSpPr>
      </xdr:nvSpPr>
      <xdr:spPr bwMode="auto">
        <a:xfrm>
          <a:off x="3543300" y="8639175"/>
          <a:ext cx="116205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48</xdr:row>
      <xdr:rowOff>18925</xdr:rowOff>
    </xdr:to>
    <xdr:sp macro="" textlink="">
      <xdr:nvSpPr>
        <xdr:cNvPr id="258054" name="Text Box 6" hidden="1">
          <a:extLst>
            <a:ext uri="{FF2B5EF4-FFF2-40B4-BE49-F238E27FC236}">
              <a16:creationId xmlns:a16="http://schemas.microsoft.com/office/drawing/2014/main" id="{CBE989F5-AA1A-4D52-A4FA-096ADCDA9DD0}"/>
            </a:ext>
          </a:extLst>
        </xdr:cNvPr>
        <xdr:cNvSpPr txBox="1">
          <a:spLocks noChangeArrowheads="1"/>
        </xdr:cNvSpPr>
      </xdr:nvSpPr>
      <xdr:spPr bwMode="auto">
        <a:xfrm>
          <a:off x="3543300" y="8639175"/>
          <a:ext cx="116205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43</xdr:row>
      <xdr:rowOff>77222</xdr:rowOff>
    </xdr:from>
    <xdr:to>
      <xdr:col>5</xdr:col>
      <xdr:colOff>190500</xdr:colOff>
      <xdr:row>47</xdr:row>
      <xdr:rowOff>44580</xdr:rowOff>
    </xdr:to>
    <xdr:sp macro="" textlink="">
      <xdr:nvSpPr>
        <xdr:cNvPr id="258053" name="Text Box 5" hidden="1">
          <a:extLst>
            <a:ext uri="{FF2B5EF4-FFF2-40B4-BE49-F238E27FC236}">
              <a16:creationId xmlns:a16="http://schemas.microsoft.com/office/drawing/2014/main" id="{066E2B34-3FA0-4CDA-A1E9-D7DEF4B43A27}"/>
            </a:ext>
          </a:extLst>
        </xdr:cNvPr>
        <xdr:cNvSpPr txBox="1">
          <a:spLocks noChangeArrowheads="1"/>
        </xdr:cNvSpPr>
      </xdr:nvSpPr>
      <xdr:spPr bwMode="auto">
        <a:xfrm>
          <a:off x="3543300" y="9210675"/>
          <a:ext cx="11620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44</xdr:row>
      <xdr:rowOff>40232</xdr:rowOff>
    </xdr:from>
    <xdr:to>
      <xdr:col>5</xdr:col>
      <xdr:colOff>190500</xdr:colOff>
      <xdr:row>46</xdr:row>
      <xdr:rowOff>50258</xdr:rowOff>
    </xdr:to>
    <xdr:sp macro="" textlink="">
      <xdr:nvSpPr>
        <xdr:cNvPr id="258052" name="Text Box 4" hidden="1">
          <a:extLst>
            <a:ext uri="{FF2B5EF4-FFF2-40B4-BE49-F238E27FC236}">
              <a16:creationId xmlns:a16="http://schemas.microsoft.com/office/drawing/2014/main" id="{52A6946E-1C0E-44B7-9F5C-789287BB2E64}"/>
            </a:ext>
          </a:extLst>
        </xdr:cNvPr>
        <xdr:cNvSpPr txBox="1">
          <a:spLocks noChangeArrowheads="1"/>
        </xdr:cNvSpPr>
      </xdr:nvSpPr>
      <xdr:spPr bwMode="auto">
        <a:xfrm>
          <a:off x="3543300" y="9401175"/>
          <a:ext cx="1162050" cy="37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106072</xdr:rowOff>
    </xdr:from>
    <xdr:to>
      <xdr:col>6</xdr:col>
      <xdr:colOff>38100</xdr:colOff>
      <xdr:row>92</xdr:row>
      <xdr:rowOff>237100</xdr:rowOff>
    </xdr:to>
    <xdr:sp macro="" textlink="">
      <xdr:nvSpPr>
        <xdr:cNvPr id="258051" name="Text Box 3" hidden="1">
          <a:extLst>
            <a:ext uri="{FF2B5EF4-FFF2-40B4-BE49-F238E27FC236}">
              <a16:creationId xmlns:a16="http://schemas.microsoft.com/office/drawing/2014/main" id="{A029E077-0050-46A8-B029-BB00C3D60348}"/>
            </a:ext>
          </a:extLst>
        </xdr:cNvPr>
        <xdr:cNvSpPr txBox="1">
          <a:spLocks noChangeArrowheads="1"/>
        </xdr:cNvSpPr>
      </xdr:nvSpPr>
      <xdr:spPr bwMode="auto">
        <a:xfrm>
          <a:off x="3924300" y="18516600"/>
          <a:ext cx="1390650"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694531</xdr:colOff>
      <xdr:row>7</xdr:row>
      <xdr:rowOff>103505</xdr:rowOff>
    </xdr:from>
    <xdr:to>
      <xdr:col>17</xdr:col>
      <xdr:colOff>445294</xdr:colOff>
      <xdr:row>12</xdr:row>
      <xdr:rowOff>28786</xdr:rowOff>
    </xdr:to>
    <xdr:sp macro="" textlink="">
      <xdr:nvSpPr>
        <xdr:cNvPr id="258050" name="Text Box 2" hidden="1">
          <a:extLst>
            <a:ext uri="{FF2B5EF4-FFF2-40B4-BE49-F238E27FC236}">
              <a16:creationId xmlns:a16="http://schemas.microsoft.com/office/drawing/2014/main" id="{E02C23BF-148C-4DCD-9671-BDCC8B779A2B}"/>
            </a:ext>
          </a:extLst>
        </xdr:cNvPr>
        <xdr:cNvSpPr txBox="1">
          <a:spLocks noChangeArrowheads="1"/>
        </xdr:cNvSpPr>
      </xdr:nvSpPr>
      <xdr:spPr bwMode="auto">
        <a:xfrm>
          <a:off x="14087475" y="2324100"/>
          <a:ext cx="1295400"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11</xdr:row>
      <xdr:rowOff>123614</xdr:rowOff>
    </xdr:from>
    <xdr:to>
      <xdr:col>18</xdr:col>
      <xdr:colOff>464873</xdr:colOff>
      <xdr:row>15</xdr:row>
      <xdr:rowOff>162348</xdr:rowOff>
    </xdr:to>
    <xdr:sp macro="" textlink="">
      <xdr:nvSpPr>
        <xdr:cNvPr id="258049" name="Text Box 1" hidden="1">
          <a:extLst>
            <a:ext uri="{FF2B5EF4-FFF2-40B4-BE49-F238E27FC236}">
              <a16:creationId xmlns:a16="http://schemas.microsoft.com/office/drawing/2014/main" id="{B82E974F-13A9-4EE3-815D-34E884A9E743}"/>
            </a:ext>
          </a:extLst>
        </xdr:cNvPr>
        <xdr:cNvSpPr txBox="1">
          <a:spLocks noChangeArrowheads="1"/>
        </xdr:cNvSpPr>
      </xdr:nvSpPr>
      <xdr:spPr bwMode="auto">
        <a:xfrm>
          <a:off x="14849475" y="3076575"/>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76</xdr:row>
      <xdr:rowOff>330907</xdr:rowOff>
    </xdr:from>
    <xdr:to>
      <xdr:col>5</xdr:col>
      <xdr:colOff>190500</xdr:colOff>
      <xdr:row>82</xdr:row>
      <xdr:rowOff>57138</xdr:rowOff>
    </xdr:to>
    <xdr:sp macro="" textlink="">
      <xdr:nvSpPr>
        <xdr:cNvPr id="258076" name="Text Box 28" hidden="1">
          <a:extLst>
            <a:ext uri="{FF2B5EF4-FFF2-40B4-BE49-F238E27FC236}">
              <a16:creationId xmlns:a16="http://schemas.microsoft.com/office/drawing/2014/main" id="{36EDE8AE-ACC1-4546-981A-57E008174118}"/>
            </a:ext>
          </a:extLst>
        </xdr:cNvPr>
        <xdr:cNvSpPr txBox="1">
          <a:spLocks noChangeArrowheads="1"/>
        </xdr:cNvSpPr>
      </xdr:nvSpPr>
      <xdr:spPr bwMode="auto">
        <a:xfrm>
          <a:off x="3533775" y="1714500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77</xdr:row>
      <xdr:rowOff>113294</xdr:rowOff>
    </xdr:from>
    <xdr:to>
      <xdr:col>5</xdr:col>
      <xdr:colOff>190500</xdr:colOff>
      <xdr:row>83</xdr:row>
      <xdr:rowOff>36041</xdr:rowOff>
    </xdr:to>
    <xdr:sp macro="" textlink="">
      <xdr:nvSpPr>
        <xdr:cNvPr id="258075" name="Text Box 27" hidden="1">
          <a:extLst>
            <a:ext uri="{FF2B5EF4-FFF2-40B4-BE49-F238E27FC236}">
              <a16:creationId xmlns:a16="http://schemas.microsoft.com/office/drawing/2014/main" id="{FA7E400C-8689-4238-BBF5-3E4DC71B4816}"/>
            </a:ext>
          </a:extLst>
        </xdr:cNvPr>
        <xdr:cNvSpPr txBox="1">
          <a:spLocks noChangeArrowheads="1"/>
        </xdr:cNvSpPr>
      </xdr:nvSpPr>
      <xdr:spPr bwMode="auto">
        <a:xfrm>
          <a:off x="3533775" y="17345025"/>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78</xdr:row>
      <xdr:rowOff>114786</xdr:rowOff>
    </xdr:from>
    <xdr:to>
      <xdr:col>5</xdr:col>
      <xdr:colOff>190500</xdr:colOff>
      <xdr:row>83</xdr:row>
      <xdr:rowOff>177046</xdr:rowOff>
    </xdr:to>
    <xdr:sp macro="" textlink="">
      <xdr:nvSpPr>
        <xdr:cNvPr id="258074" name="Text Box 26" hidden="1">
          <a:extLst>
            <a:ext uri="{FF2B5EF4-FFF2-40B4-BE49-F238E27FC236}">
              <a16:creationId xmlns:a16="http://schemas.microsoft.com/office/drawing/2014/main" id="{2BE5A798-EB63-4DB5-B33B-40C91C09403A}"/>
            </a:ext>
          </a:extLst>
        </xdr:cNvPr>
        <xdr:cNvSpPr txBox="1">
          <a:spLocks noChangeArrowheads="1"/>
        </xdr:cNvSpPr>
      </xdr:nvSpPr>
      <xdr:spPr bwMode="auto">
        <a:xfrm>
          <a:off x="3533775" y="17564100"/>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80</xdr:row>
      <xdr:rowOff>18968</xdr:rowOff>
    </xdr:from>
    <xdr:to>
      <xdr:col>5</xdr:col>
      <xdr:colOff>190500</xdr:colOff>
      <xdr:row>84</xdr:row>
      <xdr:rowOff>112331</xdr:rowOff>
    </xdr:to>
    <xdr:sp macro="" textlink="">
      <xdr:nvSpPr>
        <xdr:cNvPr id="258073" name="Text Box 25" hidden="1">
          <a:extLst>
            <a:ext uri="{FF2B5EF4-FFF2-40B4-BE49-F238E27FC236}">
              <a16:creationId xmlns:a16="http://schemas.microsoft.com/office/drawing/2014/main" id="{F0C474FA-BFA5-469D-AD6C-88B093815628}"/>
            </a:ext>
          </a:extLst>
        </xdr:cNvPr>
        <xdr:cNvSpPr txBox="1">
          <a:spLocks noChangeArrowheads="1"/>
        </xdr:cNvSpPr>
      </xdr:nvSpPr>
      <xdr:spPr bwMode="auto">
        <a:xfrm>
          <a:off x="3533775" y="17811750"/>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105</xdr:row>
      <xdr:rowOff>41123</xdr:rowOff>
    </xdr:from>
    <xdr:to>
      <xdr:col>5</xdr:col>
      <xdr:colOff>190500</xdr:colOff>
      <xdr:row>120</xdr:row>
      <xdr:rowOff>52750</xdr:rowOff>
    </xdr:to>
    <xdr:sp macro="" textlink="">
      <xdr:nvSpPr>
        <xdr:cNvPr id="258071" name="Text Box 23" hidden="1">
          <a:extLst>
            <a:ext uri="{FF2B5EF4-FFF2-40B4-BE49-F238E27FC236}">
              <a16:creationId xmlns:a16="http://schemas.microsoft.com/office/drawing/2014/main" id="{86B58ABC-174E-4DF8-87AF-D20AAB9BE56B}"/>
            </a:ext>
          </a:extLst>
        </xdr:cNvPr>
        <xdr:cNvSpPr txBox="1">
          <a:spLocks noChangeArrowheads="1"/>
        </xdr:cNvSpPr>
      </xdr:nvSpPr>
      <xdr:spPr bwMode="auto">
        <a:xfrm>
          <a:off x="3533775" y="22898100"/>
          <a:ext cx="1171575" cy="295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61</xdr:row>
      <xdr:rowOff>86229</xdr:rowOff>
    </xdr:from>
    <xdr:to>
      <xdr:col>5</xdr:col>
      <xdr:colOff>190500</xdr:colOff>
      <xdr:row>79</xdr:row>
      <xdr:rowOff>10554</xdr:rowOff>
    </xdr:to>
    <xdr:sp macro="" textlink="">
      <xdr:nvSpPr>
        <xdr:cNvPr id="258070" name="Text Box 22" hidden="1">
          <a:extLst>
            <a:ext uri="{FF2B5EF4-FFF2-40B4-BE49-F238E27FC236}">
              <a16:creationId xmlns:a16="http://schemas.microsoft.com/office/drawing/2014/main" id="{B8230EAA-E08C-409A-8C20-BE42463839FE}"/>
            </a:ext>
          </a:extLst>
        </xdr:cNvPr>
        <xdr:cNvSpPr txBox="1">
          <a:spLocks noChangeArrowheads="1"/>
        </xdr:cNvSpPr>
      </xdr:nvSpPr>
      <xdr:spPr bwMode="auto">
        <a:xfrm>
          <a:off x="3533775" y="13782675"/>
          <a:ext cx="1171575" cy="3810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61</xdr:row>
      <xdr:rowOff>28329</xdr:rowOff>
    </xdr:from>
    <xdr:to>
      <xdr:col>5</xdr:col>
      <xdr:colOff>190500</xdr:colOff>
      <xdr:row>74</xdr:row>
      <xdr:rowOff>25859</xdr:rowOff>
    </xdr:to>
    <xdr:sp macro="" textlink="">
      <xdr:nvSpPr>
        <xdr:cNvPr id="258069" name="Text Box 21" hidden="1">
          <a:extLst>
            <a:ext uri="{FF2B5EF4-FFF2-40B4-BE49-F238E27FC236}">
              <a16:creationId xmlns:a16="http://schemas.microsoft.com/office/drawing/2014/main" id="{613C0E78-3C5C-4401-B084-741E1236C70B}"/>
            </a:ext>
          </a:extLst>
        </xdr:cNvPr>
        <xdr:cNvSpPr txBox="1">
          <a:spLocks noChangeArrowheads="1"/>
        </xdr:cNvSpPr>
      </xdr:nvSpPr>
      <xdr:spPr bwMode="auto">
        <a:xfrm>
          <a:off x="3533775" y="13649325"/>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60</xdr:row>
      <xdr:rowOff>85820</xdr:rowOff>
    </xdr:from>
    <xdr:to>
      <xdr:col>5</xdr:col>
      <xdr:colOff>190500</xdr:colOff>
      <xdr:row>68</xdr:row>
      <xdr:rowOff>12551</xdr:rowOff>
    </xdr:to>
    <xdr:sp macro="" textlink="">
      <xdr:nvSpPr>
        <xdr:cNvPr id="258068" name="Text Box 20" hidden="1">
          <a:extLst>
            <a:ext uri="{FF2B5EF4-FFF2-40B4-BE49-F238E27FC236}">
              <a16:creationId xmlns:a16="http://schemas.microsoft.com/office/drawing/2014/main" id="{6BFD9422-D044-49C1-9D14-F00BF15067B4}"/>
            </a:ext>
          </a:extLst>
        </xdr:cNvPr>
        <xdr:cNvSpPr txBox="1">
          <a:spLocks noChangeArrowheads="1"/>
        </xdr:cNvSpPr>
      </xdr:nvSpPr>
      <xdr:spPr bwMode="auto">
        <a:xfrm>
          <a:off x="3533775" y="13515975"/>
          <a:ext cx="1171575"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65</xdr:row>
      <xdr:rowOff>73252</xdr:rowOff>
    </xdr:from>
    <xdr:to>
      <xdr:col>5</xdr:col>
      <xdr:colOff>190500</xdr:colOff>
      <xdr:row>67</xdr:row>
      <xdr:rowOff>95139</xdr:rowOff>
    </xdr:to>
    <xdr:sp macro="" textlink="">
      <xdr:nvSpPr>
        <xdr:cNvPr id="258067" name="Text Box 19" hidden="1">
          <a:extLst>
            <a:ext uri="{FF2B5EF4-FFF2-40B4-BE49-F238E27FC236}">
              <a16:creationId xmlns:a16="http://schemas.microsoft.com/office/drawing/2014/main" id="{C81CA0C2-C574-461F-AACB-8A97714CBEAB}"/>
            </a:ext>
          </a:extLst>
        </xdr:cNvPr>
        <xdr:cNvSpPr txBox="1">
          <a:spLocks noChangeArrowheads="1"/>
        </xdr:cNvSpPr>
      </xdr:nvSpPr>
      <xdr:spPr bwMode="auto">
        <a:xfrm>
          <a:off x="3533775" y="14439900"/>
          <a:ext cx="117157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66</xdr:row>
      <xdr:rowOff>57535</xdr:rowOff>
    </xdr:from>
    <xdr:to>
      <xdr:col>5</xdr:col>
      <xdr:colOff>190500</xdr:colOff>
      <xdr:row>66</xdr:row>
      <xdr:rowOff>57535</xdr:rowOff>
    </xdr:to>
    <xdr:sp macro="" textlink="">
      <xdr:nvSpPr>
        <xdr:cNvPr id="258066" name="Text Box 18" hidden="1">
          <a:extLst>
            <a:ext uri="{FF2B5EF4-FFF2-40B4-BE49-F238E27FC236}">
              <a16:creationId xmlns:a16="http://schemas.microsoft.com/office/drawing/2014/main" id="{61C76F55-F289-4E44-9FE6-18354C001698}"/>
            </a:ext>
          </a:extLst>
        </xdr:cNvPr>
        <xdr:cNvSpPr txBox="1">
          <a:spLocks noChangeArrowheads="1"/>
        </xdr:cNvSpPr>
      </xdr:nvSpPr>
      <xdr:spPr bwMode="auto">
        <a:xfrm>
          <a:off x="3533775" y="14611350"/>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105</xdr:row>
      <xdr:rowOff>41123</xdr:rowOff>
    </xdr:from>
    <xdr:to>
      <xdr:col>6</xdr:col>
      <xdr:colOff>38100</xdr:colOff>
      <xdr:row>118</xdr:row>
      <xdr:rowOff>100275</xdr:rowOff>
    </xdr:to>
    <xdr:sp macro="" textlink="">
      <xdr:nvSpPr>
        <xdr:cNvPr id="258065" name="Text Box 17" hidden="1">
          <a:extLst>
            <a:ext uri="{FF2B5EF4-FFF2-40B4-BE49-F238E27FC236}">
              <a16:creationId xmlns:a16="http://schemas.microsoft.com/office/drawing/2014/main" id="{05B44202-1DCF-42CD-AFE9-46D60D851D27}"/>
            </a:ext>
          </a:extLst>
        </xdr:cNvPr>
        <xdr:cNvSpPr txBox="1">
          <a:spLocks noChangeArrowheads="1"/>
        </xdr:cNvSpPr>
      </xdr:nvSpPr>
      <xdr:spPr bwMode="auto">
        <a:xfrm>
          <a:off x="3924300" y="22907625"/>
          <a:ext cx="1390650" cy="2466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732631</xdr:colOff>
      <xdr:row>27</xdr:row>
      <xdr:rowOff>48609</xdr:rowOff>
    </xdr:from>
    <xdr:to>
      <xdr:col>17</xdr:col>
      <xdr:colOff>559594</xdr:colOff>
      <xdr:row>31</xdr:row>
      <xdr:rowOff>130427</xdr:rowOff>
    </xdr:to>
    <xdr:sp macro="" textlink="">
      <xdr:nvSpPr>
        <xdr:cNvPr id="258089" name="Text Box 41" hidden="1">
          <a:extLst>
            <a:ext uri="{FF2B5EF4-FFF2-40B4-BE49-F238E27FC236}">
              <a16:creationId xmlns:a16="http://schemas.microsoft.com/office/drawing/2014/main" id="{FD543B27-C383-4FA1-8552-F48937766A39}"/>
            </a:ext>
          </a:extLst>
        </xdr:cNvPr>
        <xdr:cNvSpPr txBox="1">
          <a:spLocks noChangeArrowheads="1"/>
        </xdr:cNvSpPr>
      </xdr:nvSpPr>
      <xdr:spPr bwMode="auto">
        <a:xfrm>
          <a:off x="14125575" y="63627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715169</xdr:colOff>
      <xdr:row>31</xdr:row>
      <xdr:rowOff>92327</xdr:rowOff>
    </xdr:from>
    <xdr:to>
      <xdr:col>18</xdr:col>
      <xdr:colOff>579173</xdr:colOff>
      <xdr:row>35</xdr:row>
      <xdr:rowOff>154238</xdr:rowOff>
    </xdr:to>
    <xdr:sp macro="" textlink="">
      <xdr:nvSpPr>
        <xdr:cNvPr id="258090" name="Text Box 42" hidden="1">
          <a:extLst>
            <a:ext uri="{FF2B5EF4-FFF2-40B4-BE49-F238E27FC236}">
              <a16:creationId xmlns:a16="http://schemas.microsoft.com/office/drawing/2014/main" id="{DFAC6A35-765E-4631-9B7A-9039E6028948}"/>
            </a:ext>
          </a:extLst>
        </xdr:cNvPr>
        <xdr:cNvSpPr txBox="1">
          <a:spLocks noChangeArrowheads="1"/>
        </xdr:cNvSpPr>
      </xdr:nvSpPr>
      <xdr:spPr bwMode="auto">
        <a:xfrm>
          <a:off x="14887575" y="70866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117367</xdr:rowOff>
    </xdr:from>
    <xdr:to>
      <xdr:col>5</xdr:col>
      <xdr:colOff>190500</xdr:colOff>
      <xdr:row>58</xdr:row>
      <xdr:rowOff>179599</xdr:rowOff>
    </xdr:to>
    <xdr:sp macro="" textlink="">
      <xdr:nvSpPr>
        <xdr:cNvPr id="258103" name="Text Box 55" hidden="1">
          <a:extLst>
            <a:ext uri="{FF2B5EF4-FFF2-40B4-BE49-F238E27FC236}">
              <a16:creationId xmlns:a16="http://schemas.microsoft.com/office/drawing/2014/main" id="{9269ECB8-7F59-4E93-B2E0-2A0DF0DC1187}"/>
            </a:ext>
          </a:extLst>
        </xdr:cNvPr>
        <xdr:cNvSpPr txBox="1">
          <a:spLocks noChangeArrowheads="1"/>
        </xdr:cNvSpPr>
      </xdr:nvSpPr>
      <xdr:spPr bwMode="auto">
        <a:xfrm>
          <a:off x="3533775" y="1198245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336365</xdr:rowOff>
    </xdr:from>
    <xdr:to>
      <xdr:col>5</xdr:col>
      <xdr:colOff>190500</xdr:colOff>
      <xdr:row>59</xdr:row>
      <xdr:rowOff>123031</xdr:rowOff>
    </xdr:to>
    <xdr:sp macro="" textlink="">
      <xdr:nvSpPr>
        <xdr:cNvPr id="258102" name="Text Box 54" hidden="1">
          <a:extLst>
            <a:ext uri="{FF2B5EF4-FFF2-40B4-BE49-F238E27FC236}">
              <a16:creationId xmlns:a16="http://schemas.microsoft.com/office/drawing/2014/main" id="{34CE8E6A-3F01-4884-8C62-A1595C056EA9}"/>
            </a:ext>
          </a:extLst>
        </xdr:cNvPr>
        <xdr:cNvSpPr txBox="1">
          <a:spLocks noChangeArrowheads="1"/>
        </xdr:cNvSpPr>
      </xdr:nvSpPr>
      <xdr:spPr bwMode="auto">
        <a:xfrm>
          <a:off x="3533775" y="12192000"/>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55</xdr:row>
      <xdr:rowOff>178154</xdr:rowOff>
    </xdr:from>
    <xdr:to>
      <xdr:col>5</xdr:col>
      <xdr:colOff>190500</xdr:colOff>
      <xdr:row>60</xdr:row>
      <xdr:rowOff>20009</xdr:rowOff>
    </xdr:to>
    <xdr:sp macro="" textlink="">
      <xdr:nvSpPr>
        <xdr:cNvPr id="258101" name="Text Box 53" hidden="1">
          <a:extLst>
            <a:ext uri="{FF2B5EF4-FFF2-40B4-BE49-F238E27FC236}">
              <a16:creationId xmlns:a16="http://schemas.microsoft.com/office/drawing/2014/main" id="{24A5B055-92DB-4321-BF45-4A4889656431}"/>
            </a:ext>
          </a:extLst>
        </xdr:cNvPr>
        <xdr:cNvSpPr txBox="1">
          <a:spLocks noChangeArrowheads="1"/>
        </xdr:cNvSpPr>
      </xdr:nvSpPr>
      <xdr:spPr bwMode="auto">
        <a:xfrm>
          <a:off x="3533775" y="12411075"/>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56</xdr:row>
      <xdr:rowOff>122326</xdr:rowOff>
    </xdr:from>
    <xdr:to>
      <xdr:col>5</xdr:col>
      <xdr:colOff>190500</xdr:colOff>
      <xdr:row>60</xdr:row>
      <xdr:rowOff>104240</xdr:rowOff>
    </xdr:to>
    <xdr:sp macro="" textlink="">
      <xdr:nvSpPr>
        <xdr:cNvPr id="258100" name="Text Box 52" hidden="1">
          <a:extLst>
            <a:ext uri="{FF2B5EF4-FFF2-40B4-BE49-F238E27FC236}">
              <a16:creationId xmlns:a16="http://schemas.microsoft.com/office/drawing/2014/main" id="{70ADDC3D-A346-45F6-9BCC-186156765BD3}"/>
            </a:ext>
          </a:extLst>
        </xdr:cNvPr>
        <xdr:cNvSpPr txBox="1">
          <a:spLocks noChangeArrowheads="1"/>
        </xdr:cNvSpPr>
      </xdr:nvSpPr>
      <xdr:spPr bwMode="auto">
        <a:xfrm>
          <a:off x="3533775" y="12601575"/>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79</xdr:row>
      <xdr:rowOff>92438</xdr:rowOff>
    </xdr:from>
    <xdr:to>
      <xdr:col>5</xdr:col>
      <xdr:colOff>190500</xdr:colOff>
      <xdr:row>94</xdr:row>
      <xdr:rowOff>101778</xdr:rowOff>
    </xdr:to>
    <xdr:sp macro="" textlink="">
      <xdr:nvSpPr>
        <xdr:cNvPr id="258099" name="Text Box 51" hidden="1">
          <a:extLst>
            <a:ext uri="{FF2B5EF4-FFF2-40B4-BE49-F238E27FC236}">
              <a16:creationId xmlns:a16="http://schemas.microsoft.com/office/drawing/2014/main" id="{F25B63A3-646E-44C6-B865-6BAC5DC0E6FF}"/>
            </a:ext>
          </a:extLst>
        </xdr:cNvPr>
        <xdr:cNvSpPr txBox="1">
          <a:spLocks noChangeArrowheads="1"/>
        </xdr:cNvSpPr>
      </xdr:nvSpPr>
      <xdr:spPr bwMode="auto">
        <a:xfrm>
          <a:off x="3533775" y="17649825"/>
          <a:ext cx="117157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55</xdr:row>
      <xdr:rowOff>132912</xdr:rowOff>
    </xdr:to>
    <xdr:sp macro="" textlink="">
      <xdr:nvSpPr>
        <xdr:cNvPr id="258098" name="Text Box 50" hidden="1">
          <a:extLst>
            <a:ext uri="{FF2B5EF4-FFF2-40B4-BE49-F238E27FC236}">
              <a16:creationId xmlns:a16="http://schemas.microsoft.com/office/drawing/2014/main" id="{AB383947-B240-4997-B365-6707705B36BE}"/>
            </a:ext>
          </a:extLst>
        </xdr:cNvPr>
        <xdr:cNvSpPr txBox="1">
          <a:spLocks noChangeArrowheads="1"/>
        </xdr:cNvSpPr>
      </xdr:nvSpPr>
      <xdr:spPr bwMode="auto">
        <a:xfrm>
          <a:off x="3533775" y="8553450"/>
          <a:ext cx="117157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52</xdr:row>
      <xdr:rowOff>437089</xdr:rowOff>
    </xdr:to>
    <xdr:sp macro="" textlink="">
      <xdr:nvSpPr>
        <xdr:cNvPr id="258097" name="Text Box 49" hidden="1">
          <a:extLst>
            <a:ext uri="{FF2B5EF4-FFF2-40B4-BE49-F238E27FC236}">
              <a16:creationId xmlns:a16="http://schemas.microsoft.com/office/drawing/2014/main" id="{8201CDFC-90EA-4575-85AD-61DA7E38B5D9}"/>
            </a:ext>
          </a:extLst>
        </xdr:cNvPr>
        <xdr:cNvSpPr txBox="1">
          <a:spLocks noChangeArrowheads="1"/>
        </xdr:cNvSpPr>
      </xdr:nvSpPr>
      <xdr:spPr bwMode="auto">
        <a:xfrm>
          <a:off x="3533775" y="8401050"/>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096" name="Text Box 48" hidden="1">
          <a:extLst>
            <a:ext uri="{FF2B5EF4-FFF2-40B4-BE49-F238E27FC236}">
              <a16:creationId xmlns:a16="http://schemas.microsoft.com/office/drawing/2014/main" id="{C1EB6411-6CFD-4914-959D-7DBCA083F0B5}"/>
            </a:ext>
          </a:extLst>
        </xdr:cNvPr>
        <xdr:cNvSpPr txBox="1">
          <a:spLocks noChangeArrowheads="1"/>
        </xdr:cNvSpPr>
      </xdr:nvSpPr>
      <xdr:spPr bwMode="auto">
        <a:xfrm>
          <a:off x="3533775" y="8248650"/>
          <a:ext cx="11715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095" name="Text Box 47" hidden="1">
          <a:extLst>
            <a:ext uri="{FF2B5EF4-FFF2-40B4-BE49-F238E27FC236}">
              <a16:creationId xmlns:a16="http://schemas.microsoft.com/office/drawing/2014/main" id="{7E0231E7-1EFB-4B47-8705-BC4AA4A91D53}"/>
            </a:ext>
          </a:extLst>
        </xdr:cNvPr>
        <xdr:cNvSpPr txBox="1">
          <a:spLocks noChangeArrowheads="1"/>
        </xdr:cNvSpPr>
      </xdr:nvSpPr>
      <xdr:spPr bwMode="auto">
        <a:xfrm>
          <a:off x="3533775" y="9248775"/>
          <a:ext cx="1171575" cy="409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115434</xdr:rowOff>
    </xdr:to>
    <xdr:sp macro="" textlink="">
      <xdr:nvSpPr>
        <xdr:cNvPr id="258094" name="Text Box 46" hidden="1">
          <a:extLst>
            <a:ext uri="{FF2B5EF4-FFF2-40B4-BE49-F238E27FC236}">
              <a16:creationId xmlns:a16="http://schemas.microsoft.com/office/drawing/2014/main" id="{5BC640C0-4B43-4B24-ACF0-31AAE133D1A7}"/>
            </a:ext>
          </a:extLst>
        </xdr:cNvPr>
        <xdr:cNvSpPr txBox="1">
          <a:spLocks noChangeArrowheads="1"/>
        </xdr:cNvSpPr>
      </xdr:nvSpPr>
      <xdr:spPr bwMode="auto">
        <a:xfrm>
          <a:off x="3533775" y="9439275"/>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92438</xdr:rowOff>
    </xdr:from>
    <xdr:to>
      <xdr:col>6</xdr:col>
      <xdr:colOff>38100</xdr:colOff>
      <xdr:row>92</xdr:row>
      <xdr:rowOff>187093</xdr:rowOff>
    </xdr:to>
    <xdr:sp macro="" textlink="">
      <xdr:nvSpPr>
        <xdr:cNvPr id="258093" name="Text Box 45" hidden="1">
          <a:extLst>
            <a:ext uri="{FF2B5EF4-FFF2-40B4-BE49-F238E27FC236}">
              <a16:creationId xmlns:a16="http://schemas.microsoft.com/office/drawing/2014/main" id="{47A8656E-928D-4A31-B27A-F45EAF1A6E38}"/>
            </a:ext>
          </a:extLst>
        </xdr:cNvPr>
        <xdr:cNvSpPr txBox="1">
          <a:spLocks noChangeArrowheads="1"/>
        </xdr:cNvSpPr>
      </xdr:nvSpPr>
      <xdr:spPr bwMode="auto">
        <a:xfrm>
          <a:off x="3924300" y="1765935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117367</xdr:rowOff>
    </xdr:from>
    <xdr:to>
      <xdr:col>5</xdr:col>
      <xdr:colOff>190500</xdr:colOff>
      <xdr:row>58</xdr:row>
      <xdr:rowOff>179599</xdr:rowOff>
    </xdr:to>
    <xdr:sp macro="" textlink="">
      <xdr:nvSpPr>
        <xdr:cNvPr id="258114" name="Text Box 66" hidden="1">
          <a:extLst>
            <a:ext uri="{FF2B5EF4-FFF2-40B4-BE49-F238E27FC236}">
              <a16:creationId xmlns:a16="http://schemas.microsoft.com/office/drawing/2014/main" id="{CAFDFE3F-D780-4DB4-B276-F912247E4668}"/>
            </a:ext>
          </a:extLst>
        </xdr:cNvPr>
        <xdr:cNvSpPr txBox="1">
          <a:spLocks noChangeArrowheads="1"/>
        </xdr:cNvSpPr>
      </xdr:nvSpPr>
      <xdr:spPr bwMode="auto">
        <a:xfrm>
          <a:off x="3558540" y="11811000"/>
          <a:ext cx="128016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336365</xdr:rowOff>
    </xdr:from>
    <xdr:to>
      <xdr:col>5</xdr:col>
      <xdr:colOff>190500</xdr:colOff>
      <xdr:row>59</xdr:row>
      <xdr:rowOff>123031</xdr:rowOff>
    </xdr:to>
    <xdr:sp macro="" textlink="">
      <xdr:nvSpPr>
        <xdr:cNvPr id="258113" name="Text Box 65" hidden="1">
          <a:extLst>
            <a:ext uri="{FF2B5EF4-FFF2-40B4-BE49-F238E27FC236}">
              <a16:creationId xmlns:a16="http://schemas.microsoft.com/office/drawing/2014/main" id="{AF7E2CE7-4914-4570-9018-C0CE0B965862}"/>
            </a:ext>
          </a:extLst>
        </xdr:cNvPr>
        <xdr:cNvSpPr txBox="1">
          <a:spLocks noChangeArrowheads="1"/>
        </xdr:cNvSpPr>
      </xdr:nvSpPr>
      <xdr:spPr bwMode="auto">
        <a:xfrm>
          <a:off x="3558540" y="12016740"/>
          <a:ext cx="128016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55</xdr:row>
      <xdr:rowOff>178154</xdr:rowOff>
    </xdr:from>
    <xdr:to>
      <xdr:col>5</xdr:col>
      <xdr:colOff>190500</xdr:colOff>
      <xdr:row>60</xdr:row>
      <xdr:rowOff>20009</xdr:rowOff>
    </xdr:to>
    <xdr:sp macro="" textlink="">
      <xdr:nvSpPr>
        <xdr:cNvPr id="258112" name="Text Box 64" hidden="1">
          <a:extLst>
            <a:ext uri="{FF2B5EF4-FFF2-40B4-BE49-F238E27FC236}">
              <a16:creationId xmlns:a16="http://schemas.microsoft.com/office/drawing/2014/main" id="{1A1ECB9B-5204-482D-876F-2F32DC21B24F}"/>
            </a:ext>
          </a:extLst>
        </xdr:cNvPr>
        <xdr:cNvSpPr txBox="1">
          <a:spLocks noChangeArrowheads="1"/>
        </xdr:cNvSpPr>
      </xdr:nvSpPr>
      <xdr:spPr bwMode="auto">
        <a:xfrm>
          <a:off x="3558540" y="12222480"/>
          <a:ext cx="1280160" cy="89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56</xdr:row>
      <xdr:rowOff>122326</xdr:rowOff>
    </xdr:from>
    <xdr:to>
      <xdr:col>5</xdr:col>
      <xdr:colOff>190500</xdr:colOff>
      <xdr:row>60</xdr:row>
      <xdr:rowOff>104240</xdr:rowOff>
    </xdr:to>
    <xdr:sp macro="" textlink="">
      <xdr:nvSpPr>
        <xdr:cNvPr id="258111" name="Text Box 63" hidden="1">
          <a:extLst>
            <a:ext uri="{FF2B5EF4-FFF2-40B4-BE49-F238E27FC236}">
              <a16:creationId xmlns:a16="http://schemas.microsoft.com/office/drawing/2014/main" id="{794FC50B-FD02-4EEE-A0A9-F54E124D7615}"/>
            </a:ext>
          </a:extLst>
        </xdr:cNvPr>
        <xdr:cNvSpPr txBox="1">
          <a:spLocks noChangeArrowheads="1"/>
        </xdr:cNvSpPr>
      </xdr:nvSpPr>
      <xdr:spPr bwMode="auto">
        <a:xfrm>
          <a:off x="3558540" y="12405360"/>
          <a:ext cx="1280160" cy="830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79</xdr:row>
      <xdr:rowOff>92438</xdr:rowOff>
    </xdr:from>
    <xdr:to>
      <xdr:col>5</xdr:col>
      <xdr:colOff>190500</xdr:colOff>
      <xdr:row>94</xdr:row>
      <xdr:rowOff>101778</xdr:rowOff>
    </xdr:to>
    <xdr:sp macro="" textlink="">
      <xdr:nvSpPr>
        <xdr:cNvPr id="258110" name="Text Box 62" hidden="1">
          <a:extLst>
            <a:ext uri="{FF2B5EF4-FFF2-40B4-BE49-F238E27FC236}">
              <a16:creationId xmlns:a16="http://schemas.microsoft.com/office/drawing/2014/main" id="{3621830E-E520-498D-B988-B9FBCBE42875}"/>
            </a:ext>
          </a:extLst>
        </xdr:cNvPr>
        <xdr:cNvSpPr txBox="1">
          <a:spLocks noChangeArrowheads="1"/>
        </xdr:cNvSpPr>
      </xdr:nvSpPr>
      <xdr:spPr bwMode="auto">
        <a:xfrm>
          <a:off x="3558540" y="17305020"/>
          <a:ext cx="128016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55</xdr:row>
      <xdr:rowOff>132912</xdr:rowOff>
    </xdr:to>
    <xdr:sp macro="" textlink="">
      <xdr:nvSpPr>
        <xdr:cNvPr id="258109" name="Text Box 61" hidden="1">
          <a:extLst>
            <a:ext uri="{FF2B5EF4-FFF2-40B4-BE49-F238E27FC236}">
              <a16:creationId xmlns:a16="http://schemas.microsoft.com/office/drawing/2014/main" id="{171B6E72-F46A-43FE-858D-2E30B232B65A}"/>
            </a:ext>
          </a:extLst>
        </xdr:cNvPr>
        <xdr:cNvSpPr txBox="1">
          <a:spLocks noChangeArrowheads="1"/>
        </xdr:cNvSpPr>
      </xdr:nvSpPr>
      <xdr:spPr bwMode="auto">
        <a:xfrm>
          <a:off x="3558540" y="8465820"/>
          <a:ext cx="128016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52</xdr:row>
      <xdr:rowOff>437089</xdr:rowOff>
    </xdr:to>
    <xdr:sp macro="" textlink="">
      <xdr:nvSpPr>
        <xdr:cNvPr id="258108" name="Text Box 60" hidden="1">
          <a:extLst>
            <a:ext uri="{FF2B5EF4-FFF2-40B4-BE49-F238E27FC236}">
              <a16:creationId xmlns:a16="http://schemas.microsoft.com/office/drawing/2014/main" id="{841C9086-A662-4ABB-9F56-B9F8DA2CC4A9}"/>
            </a:ext>
          </a:extLst>
        </xdr:cNvPr>
        <xdr:cNvSpPr txBox="1">
          <a:spLocks noChangeArrowheads="1"/>
        </xdr:cNvSpPr>
      </xdr:nvSpPr>
      <xdr:spPr bwMode="auto">
        <a:xfrm>
          <a:off x="3558540" y="8313420"/>
          <a:ext cx="128016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107" name="Text Box 59" hidden="1">
          <a:extLst>
            <a:ext uri="{FF2B5EF4-FFF2-40B4-BE49-F238E27FC236}">
              <a16:creationId xmlns:a16="http://schemas.microsoft.com/office/drawing/2014/main" id="{EAD50EEB-EC09-4047-BDE9-8F1E9560BEEE}"/>
            </a:ext>
          </a:extLst>
        </xdr:cNvPr>
        <xdr:cNvSpPr txBox="1">
          <a:spLocks noChangeArrowheads="1"/>
        </xdr:cNvSpPr>
      </xdr:nvSpPr>
      <xdr:spPr bwMode="auto">
        <a:xfrm>
          <a:off x="3558540" y="8168640"/>
          <a:ext cx="128016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106" name="Text Box 58" hidden="1">
          <a:extLst>
            <a:ext uri="{FF2B5EF4-FFF2-40B4-BE49-F238E27FC236}">
              <a16:creationId xmlns:a16="http://schemas.microsoft.com/office/drawing/2014/main" id="{B7413031-0564-4413-89F7-A872F268F378}"/>
            </a:ext>
          </a:extLst>
        </xdr:cNvPr>
        <xdr:cNvSpPr txBox="1">
          <a:spLocks noChangeArrowheads="1"/>
        </xdr:cNvSpPr>
      </xdr:nvSpPr>
      <xdr:spPr bwMode="auto">
        <a:xfrm>
          <a:off x="3558540" y="9144000"/>
          <a:ext cx="1280160" cy="403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77334</xdr:rowOff>
    </xdr:to>
    <xdr:sp macro="" textlink="">
      <xdr:nvSpPr>
        <xdr:cNvPr id="258105" name="Text Box 57" hidden="1">
          <a:extLst>
            <a:ext uri="{FF2B5EF4-FFF2-40B4-BE49-F238E27FC236}">
              <a16:creationId xmlns:a16="http://schemas.microsoft.com/office/drawing/2014/main" id="{FD4E4E38-D662-4863-ACB4-C13D77101FB7}"/>
            </a:ext>
          </a:extLst>
        </xdr:cNvPr>
        <xdr:cNvSpPr txBox="1">
          <a:spLocks noChangeArrowheads="1"/>
        </xdr:cNvSpPr>
      </xdr:nvSpPr>
      <xdr:spPr bwMode="auto">
        <a:xfrm>
          <a:off x="3558540" y="9326880"/>
          <a:ext cx="1280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92438</xdr:rowOff>
    </xdr:from>
    <xdr:to>
      <xdr:col>6</xdr:col>
      <xdr:colOff>38100</xdr:colOff>
      <xdr:row>92</xdr:row>
      <xdr:rowOff>187093</xdr:rowOff>
    </xdr:to>
    <xdr:sp macro="" textlink="">
      <xdr:nvSpPr>
        <xdr:cNvPr id="258104" name="Text Box 56" hidden="1">
          <a:extLst>
            <a:ext uri="{FF2B5EF4-FFF2-40B4-BE49-F238E27FC236}">
              <a16:creationId xmlns:a16="http://schemas.microsoft.com/office/drawing/2014/main" id="{CE358658-5AE9-4D78-A896-9DDB830B9BF2}"/>
            </a:ext>
          </a:extLst>
        </xdr:cNvPr>
        <xdr:cNvSpPr txBox="1">
          <a:spLocks noChangeArrowheads="1"/>
        </xdr:cNvSpPr>
      </xdr:nvSpPr>
      <xdr:spPr bwMode="auto">
        <a:xfrm>
          <a:off x="4038600" y="1731264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117367</xdr:rowOff>
    </xdr:from>
    <xdr:to>
      <xdr:col>5</xdr:col>
      <xdr:colOff>190500</xdr:colOff>
      <xdr:row>58</xdr:row>
      <xdr:rowOff>179599</xdr:rowOff>
    </xdr:to>
    <xdr:sp macro="" textlink="">
      <xdr:nvSpPr>
        <xdr:cNvPr id="258125" name="Text Box 77" hidden="1">
          <a:extLst>
            <a:ext uri="{FF2B5EF4-FFF2-40B4-BE49-F238E27FC236}">
              <a16:creationId xmlns:a16="http://schemas.microsoft.com/office/drawing/2014/main" id="{AF2E8ED6-351A-4C42-BB05-E231F2D8B56A}"/>
            </a:ext>
          </a:extLst>
        </xdr:cNvPr>
        <xdr:cNvSpPr txBox="1">
          <a:spLocks noChangeArrowheads="1"/>
        </xdr:cNvSpPr>
      </xdr:nvSpPr>
      <xdr:spPr bwMode="auto">
        <a:xfrm>
          <a:off x="3550920" y="11803380"/>
          <a:ext cx="128778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336365</xdr:rowOff>
    </xdr:from>
    <xdr:to>
      <xdr:col>5</xdr:col>
      <xdr:colOff>190500</xdr:colOff>
      <xdr:row>59</xdr:row>
      <xdr:rowOff>123031</xdr:rowOff>
    </xdr:to>
    <xdr:sp macro="" textlink="">
      <xdr:nvSpPr>
        <xdr:cNvPr id="258124" name="Text Box 76" hidden="1">
          <a:extLst>
            <a:ext uri="{FF2B5EF4-FFF2-40B4-BE49-F238E27FC236}">
              <a16:creationId xmlns:a16="http://schemas.microsoft.com/office/drawing/2014/main" id="{F3DE07D3-EA8A-423C-94A4-246F34B79ED1}"/>
            </a:ext>
          </a:extLst>
        </xdr:cNvPr>
        <xdr:cNvSpPr txBox="1">
          <a:spLocks noChangeArrowheads="1"/>
        </xdr:cNvSpPr>
      </xdr:nvSpPr>
      <xdr:spPr bwMode="auto">
        <a:xfrm>
          <a:off x="3550920" y="12009120"/>
          <a:ext cx="128778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55</xdr:row>
      <xdr:rowOff>178154</xdr:rowOff>
    </xdr:from>
    <xdr:to>
      <xdr:col>5</xdr:col>
      <xdr:colOff>190500</xdr:colOff>
      <xdr:row>60</xdr:row>
      <xdr:rowOff>20009</xdr:rowOff>
    </xdr:to>
    <xdr:sp macro="" textlink="">
      <xdr:nvSpPr>
        <xdr:cNvPr id="258123" name="Text Box 75" hidden="1">
          <a:extLst>
            <a:ext uri="{FF2B5EF4-FFF2-40B4-BE49-F238E27FC236}">
              <a16:creationId xmlns:a16="http://schemas.microsoft.com/office/drawing/2014/main" id="{65697809-1D4A-4D81-9F2B-6C5A065C28BB}"/>
            </a:ext>
          </a:extLst>
        </xdr:cNvPr>
        <xdr:cNvSpPr txBox="1">
          <a:spLocks noChangeArrowheads="1"/>
        </xdr:cNvSpPr>
      </xdr:nvSpPr>
      <xdr:spPr bwMode="auto">
        <a:xfrm>
          <a:off x="3550920" y="12222480"/>
          <a:ext cx="128778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56</xdr:row>
      <xdr:rowOff>122326</xdr:rowOff>
    </xdr:from>
    <xdr:to>
      <xdr:col>5</xdr:col>
      <xdr:colOff>190500</xdr:colOff>
      <xdr:row>60</xdr:row>
      <xdr:rowOff>104240</xdr:rowOff>
    </xdr:to>
    <xdr:sp macro="" textlink="">
      <xdr:nvSpPr>
        <xdr:cNvPr id="258122" name="Text Box 74" hidden="1">
          <a:extLst>
            <a:ext uri="{FF2B5EF4-FFF2-40B4-BE49-F238E27FC236}">
              <a16:creationId xmlns:a16="http://schemas.microsoft.com/office/drawing/2014/main" id="{1E1C8B04-4DDA-4A9D-84CC-77774D06FF39}"/>
            </a:ext>
          </a:extLst>
        </xdr:cNvPr>
        <xdr:cNvSpPr txBox="1">
          <a:spLocks noChangeArrowheads="1"/>
        </xdr:cNvSpPr>
      </xdr:nvSpPr>
      <xdr:spPr bwMode="auto">
        <a:xfrm>
          <a:off x="3550920" y="12405360"/>
          <a:ext cx="128778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79</xdr:row>
      <xdr:rowOff>72594</xdr:rowOff>
    </xdr:from>
    <xdr:to>
      <xdr:col>5</xdr:col>
      <xdr:colOff>190500</xdr:colOff>
      <xdr:row>94</xdr:row>
      <xdr:rowOff>101778</xdr:rowOff>
    </xdr:to>
    <xdr:sp macro="" textlink="">
      <xdr:nvSpPr>
        <xdr:cNvPr id="258121" name="Text Box 73" hidden="1">
          <a:extLst>
            <a:ext uri="{FF2B5EF4-FFF2-40B4-BE49-F238E27FC236}">
              <a16:creationId xmlns:a16="http://schemas.microsoft.com/office/drawing/2014/main" id="{C009E776-9176-46D3-B121-5EE6FE7BEDFA}"/>
            </a:ext>
          </a:extLst>
        </xdr:cNvPr>
        <xdr:cNvSpPr txBox="1">
          <a:spLocks noChangeArrowheads="1"/>
        </xdr:cNvSpPr>
      </xdr:nvSpPr>
      <xdr:spPr bwMode="auto">
        <a:xfrm>
          <a:off x="3550920" y="17297400"/>
          <a:ext cx="128778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55</xdr:row>
      <xdr:rowOff>132912</xdr:rowOff>
    </xdr:to>
    <xdr:sp macro="" textlink="">
      <xdr:nvSpPr>
        <xdr:cNvPr id="258120" name="Text Box 72" hidden="1">
          <a:extLst>
            <a:ext uri="{FF2B5EF4-FFF2-40B4-BE49-F238E27FC236}">
              <a16:creationId xmlns:a16="http://schemas.microsoft.com/office/drawing/2014/main" id="{D0B5F2FD-C533-4570-BBEE-08F3EBCE2B08}"/>
            </a:ext>
          </a:extLst>
        </xdr:cNvPr>
        <xdr:cNvSpPr txBox="1">
          <a:spLocks noChangeArrowheads="1"/>
        </xdr:cNvSpPr>
      </xdr:nvSpPr>
      <xdr:spPr bwMode="auto">
        <a:xfrm>
          <a:off x="3550920" y="8465820"/>
          <a:ext cx="128778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52</xdr:row>
      <xdr:rowOff>437089</xdr:rowOff>
    </xdr:to>
    <xdr:sp macro="" textlink="">
      <xdr:nvSpPr>
        <xdr:cNvPr id="258119" name="Text Box 71" hidden="1">
          <a:extLst>
            <a:ext uri="{FF2B5EF4-FFF2-40B4-BE49-F238E27FC236}">
              <a16:creationId xmlns:a16="http://schemas.microsoft.com/office/drawing/2014/main" id="{AE741AA8-E487-4932-B315-A805BA2F6794}"/>
            </a:ext>
          </a:extLst>
        </xdr:cNvPr>
        <xdr:cNvSpPr txBox="1">
          <a:spLocks noChangeArrowheads="1"/>
        </xdr:cNvSpPr>
      </xdr:nvSpPr>
      <xdr:spPr bwMode="auto">
        <a:xfrm>
          <a:off x="3550920" y="8305800"/>
          <a:ext cx="128778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118" name="Text Box 70" hidden="1">
          <a:extLst>
            <a:ext uri="{FF2B5EF4-FFF2-40B4-BE49-F238E27FC236}">
              <a16:creationId xmlns:a16="http://schemas.microsoft.com/office/drawing/2014/main" id="{F1D86B32-85B1-4183-9204-66C932175407}"/>
            </a:ext>
          </a:extLst>
        </xdr:cNvPr>
        <xdr:cNvSpPr txBox="1">
          <a:spLocks noChangeArrowheads="1"/>
        </xdr:cNvSpPr>
      </xdr:nvSpPr>
      <xdr:spPr bwMode="auto">
        <a:xfrm>
          <a:off x="3550920" y="8168640"/>
          <a:ext cx="12877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117" name="Text Box 69" hidden="1">
          <a:extLst>
            <a:ext uri="{FF2B5EF4-FFF2-40B4-BE49-F238E27FC236}">
              <a16:creationId xmlns:a16="http://schemas.microsoft.com/office/drawing/2014/main" id="{9A9EAE49-4926-4FFC-A235-4330B20DF8B8}"/>
            </a:ext>
          </a:extLst>
        </xdr:cNvPr>
        <xdr:cNvSpPr txBox="1">
          <a:spLocks noChangeArrowheads="1"/>
        </xdr:cNvSpPr>
      </xdr:nvSpPr>
      <xdr:spPr bwMode="auto">
        <a:xfrm>
          <a:off x="3550920" y="9136380"/>
          <a:ext cx="1287780" cy="411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77334</xdr:rowOff>
    </xdr:to>
    <xdr:sp macro="" textlink="">
      <xdr:nvSpPr>
        <xdr:cNvPr id="258116" name="Text Box 68" hidden="1">
          <a:extLst>
            <a:ext uri="{FF2B5EF4-FFF2-40B4-BE49-F238E27FC236}">
              <a16:creationId xmlns:a16="http://schemas.microsoft.com/office/drawing/2014/main" id="{7CC03DAB-A3D6-4398-94F5-3252A853574D}"/>
            </a:ext>
          </a:extLst>
        </xdr:cNvPr>
        <xdr:cNvSpPr txBox="1">
          <a:spLocks noChangeArrowheads="1"/>
        </xdr:cNvSpPr>
      </xdr:nvSpPr>
      <xdr:spPr bwMode="auto">
        <a:xfrm>
          <a:off x="3550920" y="9319260"/>
          <a:ext cx="12877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92438</xdr:rowOff>
    </xdr:from>
    <xdr:to>
      <xdr:col>6</xdr:col>
      <xdr:colOff>38100</xdr:colOff>
      <xdr:row>92</xdr:row>
      <xdr:rowOff>187093</xdr:rowOff>
    </xdr:to>
    <xdr:sp macro="" textlink="">
      <xdr:nvSpPr>
        <xdr:cNvPr id="258115" name="Text Box 67" hidden="1">
          <a:extLst>
            <a:ext uri="{FF2B5EF4-FFF2-40B4-BE49-F238E27FC236}">
              <a16:creationId xmlns:a16="http://schemas.microsoft.com/office/drawing/2014/main" id="{0F89E18A-8BE0-427D-9F86-6B354084A203}"/>
            </a:ext>
          </a:extLst>
        </xdr:cNvPr>
        <xdr:cNvSpPr txBox="1">
          <a:spLocks noChangeArrowheads="1"/>
        </xdr:cNvSpPr>
      </xdr:nvSpPr>
      <xdr:spPr bwMode="auto">
        <a:xfrm>
          <a:off x="4038600" y="1730502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117367</xdr:rowOff>
    </xdr:from>
    <xdr:to>
      <xdr:col>5</xdr:col>
      <xdr:colOff>190500</xdr:colOff>
      <xdr:row>58</xdr:row>
      <xdr:rowOff>179599</xdr:rowOff>
    </xdr:to>
    <xdr:sp macro="" textlink="">
      <xdr:nvSpPr>
        <xdr:cNvPr id="258136" name="Text Box 88" hidden="1">
          <a:extLst>
            <a:ext uri="{FF2B5EF4-FFF2-40B4-BE49-F238E27FC236}">
              <a16:creationId xmlns:a16="http://schemas.microsoft.com/office/drawing/2014/main" id="{CDB79FE7-D27E-4382-B0AC-F88F2D19A641}"/>
            </a:ext>
          </a:extLst>
        </xdr:cNvPr>
        <xdr:cNvSpPr txBox="1">
          <a:spLocks noChangeArrowheads="1"/>
        </xdr:cNvSpPr>
      </xdr:nvSpPr>
      <xdr:spPr bwMode="auto">
        <a:xfrm>
          <a:off x="3514725" y="11963400"/>
          <a:ext cx="119062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336365</xdr:rowOff>
    </xdr:from>
    <xdr:to>
      <xdr:col>5</xdr:col>
      <xdr:colOff>190500</xdr:colOff>
      <xdr:row>59</xdr:row>
      <xdr:rowOff>123031</xdr:rowOff>
    </xdr:to>
    <xdr:sp macro="" textlink="">
      <xdr:nvSpPr>
        <xdr:cNvPr id="258135" name="Text Box 87" hidden="1">
          <a:extLst>
            <a:ext uri="{FF2B5EF4-FFF2-40B4-BE49-F238E27FC236}">
              <a16:creationId xmlns:a16="http://schemas.microsoft.com/office/drawing/2014/main" id="{C7D2E695-9E38-4BA9-B8C6-372D169722AE}"/>
            </a:ext>
          </a:extLst>
        </xdr:cNvPr>
        <xdr:cNvSpPr txBox="1">
          <a:spLocks noChangeArrowheads="1"/>
        </xdr:cNvSpPr>
      </xdr:nvSpPr>
      <xdr:spPr bwMode="auto">
        <a:xfrm>
          <a:off x="3514725" y="12182475"/>
          <a:ext cx="11906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55</xdr:row>
      <xdr:rowOff>178154</xdr:rowOff>
    </xdr:from>
    <xdr:to>
      <xdr:col>5</xdr:col>
      <xdr:colOff>190500</xdr:colOff>
      <xdr:row>60</xdr:row>
      <xdr:rowOff>20009</xdr:rowOff>
    </xdr:to>
    <xdr:sp macro="" textlink="">
      <xdr:nvSpPr>
        <xdr:cNvPr id="258134" name="Text Box 86" hidden="1">
          <a:extLst>
            <a:ext uri="{FF2B5EF4-FFF2-40B4-BE49-F238E27FC236}">
              <a16:creationId xmlns:a16="http://schemas.microsoft.com/office/drawing/2014/main" id="{53CDEEB9-36BE-404B-9570-5F0953725CDE}"/>
            </a:ext>
          </a:extLst>
        </xdr:cNvPr>
        <xdr:cNvSpPr txBox="1">
          <a:spLocks noChangeArrowheads="1"/>
        </xdr:cNvSpPr>
      </xdr:nvSpPr>
      <xdr:spPr bwMode="auto">
        <a:xfrm>
          <a:off x="3514725" y="12411075"/>
          <a:ext cx="1190625"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56</xdr:row>
      <xdr:rowOff>122326</xdr:rowOff>
    </xdr:from>
    <xdr:to>
      <xdr:col>5</xdr:col>
      <xdr:colOff>190500</xdr:colOff>
      <xdr:row>60</xdr:row>
      <xdr:rowOff>104240</xdr:rowOff>
    </xdr:to>
    <xdr:sp macro="" textlink="">
      <xdr:nvSpPr>
        <xdr:cNvPr id="258133" name="Text Box 85" hidden="1">
          <a:extLst>
            <a:ext uri="{FF2B5EF4-FFF2-40B4-BE49-F238E27FC236}">
              <a16:creationId xmlns:a16="http://schemas.microsoft.com/office/drawing/2014/main" id="{BD1CC641-2C5F-4420-9713-8BE5274CE99D}"/>
            </a:ext>
          </a:extLst>
        </xdr:cNvPr>
        <xdr:cNvSpPr txBox="1">
          <a:spLocks noChangeArrowheads="1"/>
        </xdr:cNvSpPr>
      </xdr:nvSpPr>
      <xdr:spPr bwMode="auto">
        <a:xfrm>
          <a:off x="3514725" y="12601575"/>
          <a:ext cx="1190625"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79</xdr:row>
      <xdr:rowOff>72594</xdr:rowOff>
    </xdr:from>
    <xdr:to>
      <xdr:col>5</xdr:col>
      <xdr:colOff>190500</xdr:colOff>
      <xdr:row>94</xdr:row>
      <xdr:rowOff>101778</xdr:rowOff>
    </xdr:to>
    <xdr:sp macro="" textlink="">
      <xdr:nvSpPr>
        <xdr:cNvPr id="258132" name="Text Box 84" hidden="1">
          <a:extLst>
            <a:ext uri="{FF2B5EF4-FFF2-40B4-BE49-F238E27FC236}">
              <a16:creationId xmlns:a16="http://schemas.microsoft.com/office/drawing/2014/main" id="{2DC7A7F3-B148-43DF-9173-1C3B376C3D9F}"/>
            </a:ext>
          </a:extLst>
        </xdr:cNvPr>
        <xdr:cNvSpPr txBox="1">
          <a:spLocks noChangeArrowheads="1"/>
        </xdr:cNvSpPr>
      </xdr:nvSpPr>
      <xdr:spPr bwMode="auto">
        <a:xfrm>
          <a:off x="3514725" y="17640300"/>
          <a:ext cx="119062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55</xdr:row>
      <xdr:rowOff>132912</xdr:rowOff>
    </xdr:to>
    <xdr:sp macro="" textlink="">
      <xdr:nvSpPr>
        <xdr:cNvPr id="258131" name="Text Box 83" hidden="1">
          <a:extLst>
            <a:ext uri="{FF2B5EF4-FFF2-40B4-BE49-F238E27FC236}">
              <a16:creationId xmlns:a16="http://schemas.microsoft.com/office/drawing/2014/main" id="{F54DA020-13C9-4D02-BC75-6F2F65E96630}"/>
            </a:ext>
          </a:extLst>
        </xdr:cNvPr>
        <xdr:cNvSpPr txBox="1">
          <a:spLocks noChangeArrowheads="1"/>
        </xdr:cNvSpPr>
      </xdr:nvSpPr>
      <xdr:spPr bwMode="auto">
        <a:xfrm>
          <a:off x="3514725" y="8553450"/>
          <a:ext cx="119062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52</xdr:row>
      <xdr:rowOff>437089</xdr:rowOff>
    </xdr:to>
    <xdr:sp macro="" textlink="">
      <xdr:nvSpPr>
        <xdr:cNvPr id="258130" name="Text Box 82" hidden="1">
          <a:extLst>
            <a:ext uri="{FF2B5EF4-FFF2-40B4-BE49-F238E27FC236}">
              <a16:creationId xmlns:a16="http://schemas.microsoft.com/office/drawing/2014/main" id="{F35FCBE6-42C0-4995-BC30-3B584A3FC639}"/>
            </a:ext>
          </a:extLst>
        </xdr:cNvPr>
        <xdr:cNvSpPr txBox="1">
          <a:spLocks noChangeArrowheads="1"/>
        </xdr:cNvSpPr>
      </xdr:nvSpPr>
      <xdr:spPr bwMode="auto">
        <a:xfrm>
          <a:off x="3514725" y="8382000"/>
          <a:ext cx="1190625" cy="2771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129" name="Text Box 81" hidden="1">
          <a:extLst>
            <a:ext uri="{FF2B5EF4-FFF2-40B4-BE49-F238E27FC236}">
              <a16:creationId xmlns:a16="http://schemas.microsoft.com/office/drawing/2014/main" id="{65DD4C78-3341-497E-A858-345BA13BF7BB}"/>
            </a:ext>
          </a:extLst>
        </xdr:cNvPr>
        <xdr:cNvSpPr txBox="1">
          <a:spLocks noChangeArrowheads="1"/>
        </xdr:cNvSpPr>
      </xdr:nvSpPr>
      <xdr:spPr bwMode="auto">
        <a:xfrm>
          <a:off x="3514725" y="8248650"/>
          <a:ext cx="119062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128" name="Text Box 80" hidden="1">
          <a:extLst>
            <a:ext uri="{FF2B5EF4-FFF2-40B4-BE49-F238E27FC236}">
              <a16:creationId xmlns:a16="http://schemas.microsoft.com/office/drawing/2014/main" id="{8ADFCC48-D9D9-4989-998A-A2437E3C1EE3}"/>
            </a:ext>
          </a:extLst>
        </xdr:cNvPr>
        <xdr:cNvSpPr txBox="1">
          <a:spLocks noChangeArrowheads="1"/>
        </xdr:cNvSpPr>
      </xdr:nvSpPr>
      <xdr:spPr bwMode="auto">
        <a:xfrm>
          <a:off x="3514725" y="9239250"/>
          <a:ext cx="119062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77334</xdr:rowOff>
    </xdr:to>
    <xdr:sp macro="" textlink="">
      <xdr:nvSpPr>
        <xdr:cNvPr id="258127" name="Text Box 79" hidden="1">
          <a:extLst>
            <a:ext uri="{FF2B5EF4-FFF2-40B4-BE49-F238E27FC236}">
              <a16:creationId xmlns:a16="http://schemas.microsoft.com/office/drawing/2014/main" id="{5E6F14DA-0985-4197-8622-20F77A5AFAA5}"/>
            </a:ext>
          </a:extLst>
        </xdr:cNvPr>
        <xdr:cNvSpPr txBox="1">
          <a:spLocks noChangeArrowheads="1"/>
        </xdr:cNvSpPr>
      </xdr:nvSpPr>
      <xdr:spPr bwMode="auto">
        <a:xfrm>
          <a:off x="3514725" y="9420225"/>
          <a:ext cx="11906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72594</xdr:rowOff>
    </xdr:from>
    <xdr:to>
      <xdr:col>6</xdr:col>
      <xdr:colOff>38100</xdr:colOff>
      <xdr:row>92</xdr:row>
      <xdr:rowOff>187093</xdr:rowOff>
    </xdr:to>
    <xdr:sp macro="" textlink="">
      <xdr:nvSpPr>
        <xdr:cNvPr id="258126" name="Text Box 78" hidden="1">
          <a:extLst>
            <a:ext uri="{FF2B5EF4-FFF2-40B4-BE49-F238E27FC236}">
              <a16:creationId xmlns:a16="http://schemas.microsoft.com/office/drawing/2014/main" id="{BF290713-97E1-4A13-BF1C-37F6023DB01A}"/>
            </a:ext>
          </a:extLst>
        </xdr:cNvPr>
        <xdr:cNvSpPr txBox="1">
          <a:spLocks noChangeArrowheads="1"/>
        </xdr:cNvSpPr>
      </xdr:nvSpPr>
      <xdr:spPr bwMode="auto">
        <a:xfrm>
          <a:off x="3924300" y="1764030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74023</xdr:rowOff>
    </xdr:from>
    <xdr:to>
      <xdr:col>6</xdr:col>
      <xdr:colOff>38100</xdr:colOff>
      <xdr:row>92</xdr:row>
      <xdr:rowOff>133936</xdr:rowOff>
    </xdr:to>
    <xdr:sp macro="" textlink="">
      <xdr:nvSpPr>
        <xdr:cNvPr id="258137" name="Text Box 89" hidden="1">
          <a:extLst>
            <a:ext uri="{FF2B5EF4-FFF2-40B4-BE49-F238E27FC236}">
              <a16:creationId xmlns:a16="http://schemas.microsoft.com/office/drawing/2014/main" id="{1C85DC9F-9C98-450F-9E19-1D065C923B68}"/>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637540</xdr:colOff>
      <xdr:row>44</xdr:row>
      <xdr:rowOff>116280</xdr:rowOff>
    </xdr:to>
    <xdr:sp macro="" textlink="">
      <xdr:nvSpPr>
        <xdr:cNvPr id="258149" name="Text Box 101" hidden="1">
          <a:extLst>
            <a:ext uri="{FF2B5EF4-FFF2-40B4-BE49-F238E27FC236}">
              <a16:creationId xmlns:a16="http://schemas.microsoft.com/office/drawing/2014/main" id="{E7B8629A-07A3-49FB-A2C7-D131B22AA69A}"/>
            </a:ext>
          </a:extLst>
        </xdr:cNvPr>
        <xdr:cNvSpPr txBox="1">
          <a:spLocks noChangeArrowheads="1"/>
        </xdr:cNvSpPr>
      </xdr:nvSpPr>
      <xdr:spPr bwMode="auto">
        <a:xfrm>
          <a:off x="3886200" y="8724900"/>
          <a:ext cx="125730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637540</xdr:colOff>
      <xdr:row>45</xdr:row>
      <xdr:rowOff>152077</xdr:rowOff>
    </xdr:to>
    <xdr:sp macro="" textlink="">
      <xdr:nvSpPr>
        <xdr:cNvPr id="258150" name="Text Box 102" hidden="1">
          <a:extLst>
            <a:ext uri="{FF2B5EF4-FFF2-40B4-BE49-F238E27FC236}">
              <a16:creationId xmlns:a16="http://schemas.microsoft.com/office/drawing/2014/main" id="{D70B7199-DB6A-4B5C-80E9-BFCA5534ED4E}"/>
            </a:ext>
          </a:extLst>
        </xdr:cNvPr>
        <xdr:cNvSpPr txBox="1">
          <a:spLocks noChangeArrowheads="1"/>
        </xdr:cNvSpPr>
      </xdr:nvSpPr>
      <xdr:spPr bwMode="auto">
        <a:xfrm>
          <a:off x="3886200" y="89249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27250</xdr:rowOff>
    </xdr:from>
    <xdr:to>
      <xdr:col>5</xdr:col>
      <xdr:colOff>637540</xdr:colOff>
      <xdr:row>48</xdr:row>
      <xdr:rowOff>57418</xdr:rowOff>
    </xdr:to>
    <xdr:sp macro="" textlink="">
      <xdr:nvSpPr>
        <xdr:cNvPr id="258151" name="Text Box 103" hidden="1">
          <a:extLst>
            <a:ext uri="{FF2B5EF4-FFF2-40B4-BE49-F238E27FC236}">
              <a16:creationId xmlns:a16="http://schemas.microsoft.com/office/drawing/2014/main" id="{5C72487A-284C-4AC5-93AB-EDEE3931B3AE}"/>
            </a:ext>
          </a:extLst>
        </xdr:cNvPr>
        <xdr:cNvSpPr txBox="1">
          <a:spLocks noChangeArrowheads="1"/>
        </xdr:cNvSpPr>
      </xdr:nvSpPr>
      <xdr:spPr bwMode="auto">
        <a:xfrm>
          <a:off x="3886200" y="93249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637540</xdr:colOff>
      <xdr:row>49</xdr:row>
      <xdr:rowOff>84701</xdr:rowOff>
    </xdr:to>
    <xdr:sp macro="" textlink="">
      <xdr:nvSpPr>
        <xdr:cNvPr id="258152" name="Text Box 104" hidden="1">
          <a:extLst>
            <a:ext uri="{FF2B5EF4-FFF2-40B4-BE49-F238E27FC236}">
              <a16:creationId xmlns:a16="http://schemas.microsoft.com/office/drawing/2014/main" id="{35617988-37FC-4EDC-97B6-51576FC4021A}"/>
            </a:ext>
          </a:extLst>
        </xdr:cNvPr>
        <xdr:cNvSpPr txBox="1">
          <a:spLocks noChangeArrowheads="1"/>
        </xdr:cNvSpPr>
      </xdr:nvSpPr>
      <xdr:spPr bwMode="auto">
        <a:xfrm>
          <a:off x="3886200" y="95345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637540</xdr:colOff>
      <xdr:row>50</xdr:row>
      <xdr:rowOff>133572</xdr:rowOff>
    </xdr:to>
    <xdr:sp macro="" textlink="">
      <xdr:nvSpPr>
        <xdr:cNvPr id="258153" name="Text Box 105" hidden="1">
          <a:extLst>
            <a:ext uri="{FF2B5EF4-FFF2-40B4-BE49-F238E27FC236}">
              <a16:creationId xmlns:a16="http://schemas.microsoft.com/office/drawing/2014/main" id="{FAFE7F69-9567-4B2A-976C-5795DFCD9423}"/>
            </a:ext>
          </a:extLst>
        </xdr:cNvPr>
        <xdr:cNvSpPr txBox="1">
          <a:spLocks noChangeArrowheads="1"/>
        </xdr:cNvSpPr>
      </xdr:nvSpPr>
      <xdr:spPr bwMode="auto">
        <a:xfrm>
          <a:off x="3886200" y="97440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77548</xdr:rowOff>
    </xdr:from>
    <xdr:to>
      <xdr:col>5</xdr:col>
      <xdr:colOff>637540</xdr:colOff>
      <xdr:row>64</xdr:row>
      <xdr:rowOff>107666</xdr:rowOff>
    </xdr:to>
    <xdr:sp macro="" textlink="">
      <xdr:nvSpPr>
        <xdr:cNvPr id="258154" name="Text Box 106" hidden="1">
          <a:extLst>
            <a:ext uri="{FF2B5EF4-FFF2-40B4-BE49-F238E27FC236}">
              <a16:creationId xmlns:a16="http://schemas.microsoft.com/office/drawing/2014/main" id="{C1E5109B-B99F-4A34-A64B-1D5A0647B55D}"/>
            </a:ext>
          </a:extLst>
        </xdr:cNvPr>
        <xdr:cNvSpPr txBox="1">
          <a:spLocks noChangeArrowheads="1"/>
        </xdr:cNvSpPr>
      </xdr:nvSpPr>
      <xdr:spPr bwMode="auto">
        <a:xfrm>
          <a:off x="3886200" y="13411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28540</xdr:rowOff>
    </xdr:from>
    <xdr:to>
      <xdr:col>5</xdr:col>
      <xdr:colOff>637540</xdr:colOff>
      <xdr:row>65</xdr:row>
      <xdr:rowOff>66478</xdr:rowOff>
    </xdr:to>
    <xdr:sp macro="" textlink="">
      <xdr:nvSpPr>
        <xdr:cNvPr id="258155" name="Text Box 107" hidden="1">
          <a:extLst>
            <a:ext uri="{FF2B5EF4-FFF2-40B4-BE49-F238E27FC236}">
              <a16:creationId xmlns:a16="http://schemas.microsoft.com/office/drawing/2014/main" id="{6934292F-6827-4F61-9359-E4BC126CAA17}"/>
            </a:ext>
          </a:extLst>
        </xdr:cNvPr>
        <xdr:cNvSpPr txBox="1">
          <a:spLocks noChangeArrowheads="1"/>
        </xdr:cNvSpPr>
      </xdr:nvSpPr>
      <xdr:spPr bwMode="auto">
        <a:xfrm>
          <a:off x="3886200" y="13601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101962</xdr:rowOff>
    </xdr:from>
    <xdr:to>
      <xdr:col>5</xdr:col>
      <xdr:colOff>637540</xdr:colOff>
      <xdr:row>66</xdr:row>
      <xdr:rowOff>95210</xdr:rowOff>
    </xdr:to>
    <xdr:sp macro="" textlink="">
      <xdr:nvSpPr>
        <xdr:cNvPr id="258156" name="Text Box 108" hidden="1">
          <a:extLst>
            <a:ext uri="{FF2B5EF4-FFF2-40B4-BE49-F238E27FC236}">
              <a16:creationId xmlns:a16="http://schemas.microsoft.com/office/drawing/2014/main" id="{885944F1-8E4A-456B-B2F5-8DFABDC7EBD4}"/>
            </a:ext>
          </a:extLst>
        </xdr:cNvPr>
        <xdr:cNvSpPr txBox="1">
          <a:spLocks noChangeArrowheads="1"/>
        </xdr:cNvSpPr>
      </xdr:nvSpPr>
      <xdr:spPr bwMode="auto">
        <a:xfrm>
          <a:off x="3886200" y="13792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180845</xdr:rowOff>
    </xdr:from>
    <xdr:to>
      <xdr:col>5</xdr:col>
      <xdr:colOff>637540</xdr:colOff>
      <xdr:row>67</xdr:row>
      <xdr:rowOff>94833</xdr:rowOff>
    </xdr:to>
    <xdr:sp macro="" textlink="">
      <xdr:nvSpPr>
        <xdr:cNvPr id="258157" name="Text Box 109" hidden="1">
          <a:extLst>
            <a:ext uri="{FF2B5EF4-FFF2-40B4-BE49-F238E27FC236}">
              <a16:creationId xmlns:a16="http://schemas.microsoft.com/office/drawing/2014/main" id="{E6C6E50F-AAFC-4DBA-B8D0-102ECF36057A}"/>
            </a:ext>
          </a:extLst>
        </xdr:cNvPr>
        <xdr:cNvSpPr txBox="1">
          <a:spLocks noChangeArrowheads="1"/>
        </xdr:cNvSpPr>
      </xdr:nvSpPr>
      <xdr:spPr bwMode="auto">
        <a:xfrm>
          <a:off x="3886200" y="13982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178001</xdr:rowOff>
    </xdr:from>
    <xdr:to>
      <xdr:col>5</xdr:col>
      <xdr:colOff>637540</xdr:colOff>
      <xdr:row>86</xdr:row>
      <xdr:rowOff>119344</xdr:rowOff>
    </xdr:to>
    <xdr:sp macro="" textlink="">
      <xdr:nvSpPr>
        <xdr:cNvPr id="258158" name="Text Box 110" hidden="1">
          <a:extLst>
            <a:ext uri="{FF2B5EF4-FFF2-40B4-BE49-F238E27FC236}">
              <a16:creationId xmlns:a16="http://schemas.microsoft.com/office/drawing/2014/main" id="{C9BBA7A6-102B-4C36-9522-3443CB9F6C7F}"/>
            </a:ext>
          </a:extLst>
        </xdr:cNvPr>
        <xdr:cNvSpPr txBox="1">
          <a:spLocks noChangeArrowheads="1"/>
        </xdr:cNvSpPr>
      </xdr:nvSpPr>
      <xdr:spPr bwMode="auto">
        <a:xfrm>
          <a:off x="3886200" y="18183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25334</xdr:rowOff>
    </xdr:from>
    <xdr:to>
      <xdr:col>5</xdr:col>
      <xdr:colOff>637540</xdr:colOff>
      <xdr:row>88</xdr:row>
      <xdr:rowOff>77203</xdr:rowOff>
    </xdr:to>
    <xdr:sp macro="" textlink="">
      <xdr:nvSpPr>
        <xdr:cNvPr id="258159" name="Text Box 111" hidden="1">
          <a:extLst>
            <a:ext uri="{FF2B5EF4-FFF2-40B4-BE49-F238E27FC236}">
              <a16:creationId xmlns:a16="http://schemas.microsoft.com/office/drawing/2014/main" id="{BA9807FE-F55B-419F-9EF9-C7EFEB5E47C1}"/>
            </a:ext>
          </a:extLst>
        </xdr:cNvPr>
        <xdr:cNvSpPr txBox="1">
          <a:spLocks noChangeArrowheads="1"/>
        </xdr:cNvSpPr>
      </xdr:nvSpPr>
      <xdr:spPr bwMode="auto">
        <a:xfrm>
          <a:off x="3886200" y="18545175"/>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178101</xdr:rowOff>
    </xdr:from>
    <xdr:to>
      <xdr:col>5</xdr:col>
      <xdr:colOff>637540</xdr:colOff>
      <xdr:row>90</xdr:row>
      <xdr:rowOff>105390</xdr:rowOff>
    </xdr:to>
    <xdr:sp macro="" textlink="">
      <xdr:nvSpPr>
        <xdr:cNvPr id="258160" name="Text Box 112" hidden="1">
          <a:extLst>
            <a:ext uri="{FF2B5EF4-FFF2-40B4-BE49-F238E27FC236}">
              <a16:creationId xmlns:a16="http://schemas.microsoft.com/office/drawing/2014/main" id="{D0C41837-0A4C-44E8-ABCE-FDC54AB36B3B}"/>
            </a:ext>
          </a:extLst>
        </xdr:cNvPr>
        <xdr:cNvSpPr txBox="1">
          <a:spLocks noChangeArrowheads="1"/>
        </xdr:cNvSpPr>
      </xdr:nvSpPr>
      <xdr:spPr bwMode="auto">
        <a:xfrm>
          <a:off x="3886200" y="1888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74023</xdr:rowOff>
    </xdr:from>
    <xdr:to>
      <xdr:col>6</xdr:col>
      <xdr:colOff>38100</xdr:colOff>
      <xdr:row>92</xdr:row>
      <xdr:rowOff>133936</xdr:rowOff>
    </xdr:to>
    <xdr:sp macro="" textlink="">
      <xdr:nvSpPr>
        <xdr:cNvPr id="258173" name="Text Box 125" hidden="1">
          <a:extLst>
            <a:ext uri="{FF2B5EF4-FFF2-40B4-BE49-F238E27FC236}">
              <a16:creationId xmlns:a16="http://schemas.microsoft.com/office/drawing/2014/main" id="{646D364A-6B63-41E8-B8F9-8FBEA2548FC7}"/>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637540</xdr:colOff>
      <xdr:row>44</xdr:row>
      <xdr:rowOff>116280</xdr:rowOff>
    </xdr:to>
    <xdr:sp macro="" textlink="">
      <xdr:nvSpPr>
        <xdr:cNvPr id="258172" name="Text Box 124" hidden="1">
          <a:extLst>
            <a:ext uri="{FF2B5EF4-FFF2-40B4-BE49-F238E27FC236}">
              <a16:creationId xmlns:a16="http://schemas.microsoft.com/office/drawing/2014/main" id="{989AF1E0-0392-4FCF-93A4-C4435A14BD39}"/>
            </a:ext>
          </a:extLst>
        </xdr:cNvPr>
        <xdr:cNvSpPr txBox="1">
          <a:spLocks noChangeArrowheads="1"/>
        </xdr:cNvSpPr>
      </xdr:nvSpPr>
      <xdr:spPr bwMode="auto">
        <a:xfrm>
          <a:off x="3886200" y="8724900"/>
          <a:ext cx="125730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637540</xdr:colOff>
      <xdr:row>45</xdr:row>
      <xdr:rowOff>152077</xdr:rowOff>
    </xdr:to>
    <xdr:sp macro="" textlink="">
      <xdr:nvSpPr>
        <xdr:cNvPr id="258171" name="Text Box 123" hidden="1">
          <a:extLst>
            <a:ext uri="{FF2B5EF4-FFF2-40B4-BE49-F238E27FC236}">
              <a16:creationId xmlns:a16="http://schemas.microsoft.com/office/drawing/2014/main" id="{EDDB947C-589A-416D-9635-6DFCA5C9CA98}"/>
            </a:ext>
          </a:extLst>
        </xdr:cNvPr>
        <xdr:cNvSpPr txBox="1">
          <a:spLocks noChangeArrowheads="1"/>
        </xdr:cNvSpPr>
      </xdr:nvSpPr>
      <xdr:spPr bwMode="auto">
        <a:xfrm>
          <a:off x="3886200" y="89249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27250</xdr:rowOff>
    </xdr:from>
    <xdr:to>
      <xdr:col>5</xdr:col>
      <xdr:colOff>637540</xdr:colOff>
      <xdr:row>48</xdr:row>
      <xdr:rowOff>57418</xdr:rowOff>
    </xdr:to>
    <xdr:sp macro="" textlink="">
      <xdr:nvSpPr>
        <xdr:cNvPr id="258170" name="Text Box 122" hidden="1">
          <a:extLst>
            <a:ext uri="{FF2B5EF4-FFF2-40B4-BE49-F238E27FC236}">
              <a16:creationId xmlns:a16="http://schemas.microsoft.com/office/drawing/2014/main" id="{41521D7B-0FB5-4D68-B391-4F8E898C7BA8}"/>
            </a:ext>
          </a:extLst>
        </xdr:cNvPr>
        <xdr:cNvSpPr txBox="1">
          <a:spLocks noChangeArrowheads="1"/>
        </xdr:cNvSpPr>
      </xdr:nvSpPr>
      <xdr:spPr bwMode="auto">
        <a:xfrm>
          <a:off x="3886200" y="93249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637540</xdr:colOff>
      <xdr:row>49</xdr:row>
      <xdr:rowOff>84701</xdr:rowOff>
    </xdr:to>
    <xdr:sp macro="" textlink="">
      <xdr:nvSpPr>
        <xdr:cNvPr id="258169" name="Text Box 121" hidden="1">
          <a:extLst>
            <a:ext uri="{FF2B5EF4-FFF2-40B4-BE49-F238E27FC236}">
              <a16:creationId xmlns:a16="http://schemas.microsoft.com/office/drawing/2014/main" id="{DAAAAB86-718F-4996-BB04-E84428379A52}"/>
            </a:ext>
          </a:extLst>
        </xdr:cNvPr>
        <xdr:cNvSpPr txBox="1">
          <a:spLocks noChangeArrowheads="1"/>
        </xdr:cNvSpPr>
      </xdr:nvSpPr>
      <xdr:spPr bwMode="auto">
        <a:xfrm>
          <a:off x="3886200" y="95345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637540</xdr:colOff>
      <xdr:row>50</xdr:row>
      <xdr:rowOff>133572</xdr:rowOff>
    </xdr:to>
    <xdr:sp macro="" textlink="">
      <xdr:nvSpPr>
        <xdr:cNvPr id="258168" name="Text Box 120" hidden="1">
          <a:extLst>
            <a:ext uri="{FF2B5EF4-FFF2-40B4-BE49-F238E27FC236}">
              <a16:creationId xmlns:a16="http://schemas.microsoft.com/office/drawing/2014/main" id="{B723D271-1A14-433E-9B1B-5F055073ACC0}"/>
            </a:ext>
          </a:extLst>
        </xdr:cNvPr>
        <xdr:cNvSpPr txBox="1">
          <a:spLocks noChangeArrowheads="1"/>
        </xdr:cNvSpPr>
      </xdr:nvSpPr>
      <xdr:spPr bwMode="auto">
        <a:xfrm>
          <a:off x="3886200" y="97440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77548</xdr:rowOff>
    </xdr:from>
    <xdr:to>
      <xdr:col>5</xdr:col>
      <xdr:colOff>637540</xdr:colOff>
      <xdr:row>64</xdr:row>
      <xdr:rowOff>107666</xdr:rowOff>
    </xdr:to>
    <xdr:sp macro="" textlink="">
      <xdr:nvSpPr>
        <xdr:cNvPr id="258167" name="Text Box 119" hidden="1">
          <a:extLst>
            <a:ext uri="{FF2B5EF4-FFF2-40B4-BE49-F238E27FC236}">
              <a16:creationId xmlns:a16="http://schemas.microsoft.com/office/drawing/2014/main" id="{6A326EE1-1C08-4078-8605-020A2F8E31F7}"/>
            </a:ext>
          </a:extLst>
        </xdr:cNvPr>
        <xdr:cNvSpPr txBox="1">
          <a:spLocks noChangeArrowheads="1"/>
        </xdr:cNvSpPr>
      </xdr:nvSpPr>
      <xdr:spPr bwMode="auto">
        <a:xfrm>
          <a:off x="3886200" y="13411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28540</xdr:rowOff>
    </xdr:from>
    <xdr:to>
      <xdr:col>5</xdr:col>
      <xdr:colOff>637540</xdr:colOff>
      <xdr:row>65</xdr:row>
      <xdr:rowOff>66478</xdr:rowOff>
    </xdr:to>
    <xdr:sp macro="" textlink="">
      <xdr:nvSpPr>
        <xdr:cNvPr id="258166" name="Text Box 118" hidden="1">
          <a:extLst>
            <a:ext uri="{FF2B5EF4-FFF2-40B4-BE49-F238E27FC236}">
              <a16:creationId xmlns:a16="http://schemas.microsoft.com/office/drawing/2014/main" id="{635CBE83-550A-4F94-8B69-56E10ABF546E}"/>
            </a:ext>
          </a:extLst>
        </xdr:cNvPr>
        <xdr:cNvSpPr txBox="1">
          <a:spLocks noChangeArrowheads="1"/>
        </xdr:cNvSpPr>
      </xdr:nvSpPr>
      <xdr:spPr bwMode="auto">
        <a:xfrm>
          <a:off x="3886200" y="13601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101962</xdr:rowOff>
    </xdr:from>
    <xdr:to>
      <xdr:col>5</xdr:col>
      <xdr:colOff>637540</xdr:colOff>
      <xdr:row>66</xdr:row>
      <xdr:rowOff>95210</xdr:rowOff>
    </xdr:to>
    <xdr:sp macro="" textlink="">
      <xdr:nvSpPr>
        <xdr:cNvPr id="258165" name="Text Box 117" hidden="1">
          <a:extLst>
            <a:ext uri="{FF2B5EF4-FFF2-40B4-BE49-F238E27FC236}">
              <a16:creationId xmlns:a16="http://schemas.microsoft.com/office/drawing/2014/main" id="{51AEC109-152B-4F5E-8414-3B1F71A990B2}"/>
            </a:ext>
          </a:extLst>
        </xdr:cNvPr>
        <xdr:cNvSpPr txBox="1">
          <a:spLocks noChangeArrowheads="1"/>
        </xdr:cNvSpPr>
      </xdr:nvSpPr>
      <xdr:spPr bwMode="auto">
        <a:xfrm>
          <a:off x="3886200" y="13792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180845</xdr:rowOff>
    </xdr:from>
    <xdr:to>
      <xdr:col>5</xdr:col>
      <xdr:colOff>637540</xdr:colOff>
      <xdr:row>67</xdr:row>
      <xdr:rowOff>94833</xdr:rowOff>
    </xdr:to>
    <xdr:sp macro="" textlink="">
      <xdr:nvSpPr>
        <xdr:cNvPr id="258164" name="Text Box 116" hidden="1">
          <a:extLst>
            <a:ext uri="{FF2B5EF4-FFF2-40B4-BE49-F238E27FC236}">
              <a16:creationId xmlns:a16="http://schemas.microsoft.com/office/drawing/2014/main" id="{2A43A914-A0B0-4BAD-B807-69A5E610831F}"/>
            </a:ext>
          </a:extLst>
        </xdr:cNvPr>
        <xdr:cNvSpPr txBox="1">
          <a:spLocks noChangeArrowheads="1"/>
        </xdr:cNvSpPr>
      </xdr:nvSpPr>
      <xdr:spPr bwMode="auto">
        <a:xfrm>
          <a:off x="3886200" y="13982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178001</xdr:rowOff>
    </xdr:from>
    <xdr:to>
      <xdr:col>5</xdr:col>
      <xdr:colOff>637540</xdr:colOff>
      <xdr:row>86</xdr:row>
      <xdr:rowOff>119344</xdr:rowOff>
    </xdr:to>
    <xdr:sp macro="" textlink="">
      <xdr:nvSpPr>
        <xdr:cNvPr id="258163" name="Text Box 115" hidden="1">
          <a:extLst>
            <a:ext uri="{FF2B5EF4-FFF2-40B4-BE49-F238E27FC236}">
              <a16:creationId xmlns:a16="http://schemas.microsoft.com/office/drawing/2014/main" id="{D1FB1822-FBE2-447A-B66B-7CAE6BB4E815}"/>
            </a:ext>
          </a:extLst>
        </xdr:cNvPr>
        <xdr:cNvSpPr txBox="1">
          <a:spLocks noChangeArrowheads="1"/>
        </xdr:cNvSpPr>
      </xdr:nvSpPr>
      <xdr:spPr bwMode="auto">
        <a:xfrm>
          <a:off x="3886200" y="18183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25334</xdr:rowOff>
    </xdr:from>
    <xdr:to>
      <xdr:col>5</xdr:col>
      <xdr:colOff>637540</xdr:colOff>
      <xdr:row>88</xdr:row>
      <xdr:rowOff>77203</xdr:rowOff>
    </xdr:to>
    <xdr:sp macro="" textlink="">
      <xdr:nvSpPr>
        <xdr:cNvPr id="258162" name="Text Box 114" hidden="1">
          <a:extLst>
            <a:ext uri="{FF2B5EF4-FFF2-40B4-BE49-F238E27FC236}">
              <a16:creationId xmlns:a16="http://schemas.microsoft.com/office/drawing/2014/main" id="{DB7E14AA-8DA2-4877-9A83-0ADEF26B16A4}"/>
            </a:ext>
          </a:extLst>
        </xdr:cNvPr>
        <xdr:cNvSpPr txBox="1">
          <a:spLocks noChangeArrowheads="1"/>
        </xdr:cNvSpPr>
      </xdr:nvSpPr>
      <xdr:spPr bwMode="auto">
        <a:xfrm>
          <a:off x="3886200" y="185451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178101</xdr:rowOff>
    </xdr:from>
    <xdr:to>
      <xdr:col>5</xdr:col>
      <xdr:colOff>637540</xdr:colOff>
      <xdr:row>90</xdr:row>
      <xdr:rowOff>105390</xdr:rowOff>
    </xdr:to>
    <xdr:sp macro="" textlink="">
      <xdr:nvSpPr>
        <xdr:cNvPr id="258161" name="Text Box 113" hidden="1">
          <a:extLst>
            <a:ext uri="{FF2B5EF4-FFF2-40B4-BE49-F238E27FC236}">
              <a16:creationId xmlns:a16="http://schemas.microsoft.com/office/drawing/2014/main" id="{18B6A1A1-E3FD-4047-8FA5-3FC5B8E05B80}"/>
            </a:ext>
          </a:extLst>
        </xdr:cNvPr>
        <xdr:cNvSpPr txBox="1">
          <a:spLocks noChangeArrowheads="1"/>
        </xdr:cNvSpPr>
      </xdr:nvSpPr>
      <xdr:spPr bwMode="auto">
        <a:xfrm>
          <a:off x="3886200" y="1888807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74023</xdr:rowOff>
    </xdr:from>
    <xdr:to>
      <xdr:col>6</xdr:col>
      <xdr:colOff>38100</xdr:colOff>
      <xdr:row>92</xdr:row>
      <xdr:rowOff>133936</xdr:rowOff>
    </xdr:to>
    <xdr:sp macro="" textlink="">
      <xdr:nvSpPr>
        <xdr:cNvPr id="258186" name="Text Box 138" hidden="1">
          <a:extLst>
            <a:ext uri="{FF2B5EF4-FFF2-40B4-BE49-F238E27FC236}">
              <a16:creationId xmlns:a16="http://schemas.microsoft.com/office/drawing/2014/main" id="{30509615-67FA-4BE1-A202-8152F5DB3C7E}"/>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637540</xdr:colOff>
      <xdr:row>44</xdr:row>
      <xdr:rowOff>116280</xdr:rowOff>
    </xdr:to>
    <xdr:sp macro="" textlink="">
      <xdr:nvSpPr>
        <xdr:cNvPr id="258185" name="Text Box 137" hidden="1">
          <a:extLst>
            <a:ext uri="{FF2B5EF4-FFF2-40B4-BE49-F238E27FC236}">
              <a16:creationId xmlns:a16="http://schemas.microsoft.com/office/drawing/2014/main" id="{1806C9A9-EDA3-4C4C-8D1F-DE3CB7AD93D8}"/>
            </a:ext>
          </a:extLst>
        </xdr:cNvPr>
        <xdr:cNvSpPr txBox="1">
          <a:spLocks noChangeArrowheads="1"/>
        </xdr:cNvSpPr>
      </xdr:nvSpPr>
      <xdr:spPr bwMode="auto">
        <a:xfrm>
          <a:off x="4000500" y="864870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637540</xdr:colOff>
      <xdr:row>45</xdr:row>
      <xdr:rowOff>152077</xdr:rowOff>
    </xdr:to>
    <xdr:sp macro="" textlink="">
      <xdr:nvSpPr>
        <xdr:cNvPr id="258184" name="Text Box 136" hidden="1">
          <a:extLst>
            <a:ext uri="{FF2B5EF4-FFF2-40B4-BE49-F238E27FC236}">
              <a16:creationId xmlns:a16="http://schemas.microsoft.com/office/drawing/2014/main" id="{9DB28CC2-DDED-4AFF-BE65-90966A1631C6}"/>
            </a:ext>
          </a:extLst>
        </xdr:cNvPr>
        <xdr:cNvSpPr txBox="1">
          <a:spLocks noChangeArrowheads="1"/>
        </xdr:cNvSpPr>
      </xdr:nvSpPr>
      <xdr:spPr bwMode="auto">
        <a:xfrm>
          <a:off x="4000500" y="8846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637540</xdr:colOff>
      <xdr:row>48</xdr:row>
      <xdr:rowOff>18622</xdr:rowOff>
    </xdr:to>
    <xdr:sp macro="" textlink="">
      <xdr:nvSpPr>
        <xdr:cNvPr id="258183" name="Text Box 135" hidden="1">
          <a:extLst>
            <a:ext uri="{FF2B5EF4-FFF2-40B4-BE49-F238E27FC236}">
              <a16:creationId xmlns:a16="http://schemas.microsoft.com/office/drawing/2014/main" id="{289EEA78-5087-4170-BC37-9C436FFA440D}"/>
            </a:ext>
          </a:extLst>
        </xdr:cNvPr>
        <xdr:cNvSpPr txBox="1">
          <a:spLocks noChangeArrowheads="1"/>
        </xdr:cNvSpPr>
      </xdr:nvSpPr>
      <xdr:spPr bwMode="auto">
        <a:xfrm>
          <a:off x="4000500" y="9227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637540</xdr:colOff>
      <xdr:row>49</xdr:row>
      <xdr:rowOff>64592</xdr:rowOff>
    </xdr:to>
    <xdr:sp macro="" textlink="">
      <xdr:nvSpPr>
        <xdr:cNvPr id="258182" name="Text Box 134" hidden="1">
          <a:extLst>
            <a:ext uri="{FF2B5EF4-FFF2-40B4-BE49-F238E27FC236}">
              <a16:creationId xmlns:a16="http://schemas.microsoft.com/office/drawing/2014/main" id="{C10CCC45-8420-411D-A833-64964DA6C417}"/>
            </a:ext>
          </a:extLst>
        </xdr:cNvPr>
        <xdr:cNvSpPr txBox="1">
          <a:spLocks noChangeArrowheads="1"/>
        </xdr:cNvSpPr>
      </xdr:nvSpPr>
      <xdr:spPr bwMode="auto">
        <a:xfrm>
          <a:off x="4000500" y="944118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637540</xdr:colOff>
      <xdr:row>50</xdr:row>
      <xdr:rowOff>133572</xdr:rowOff>
    </xdr:to>
    <xdr:sp macro="" textlink="">
      <xdr:nvSpPr>
        <xdr:cNvPr id="258181" name="Text Box 133" hidden="1">
          <a:extLst>
            <a:ext uri="{FF2B5EF4-FFF2-40B4-BE49-F238E27FC236}">
              <a16:creationId xmlns:a16="http://schemas.microsoft.com/office/drawing/2014/main" id="{A3A984B5-A63F-43B4-AE99-04FDFF119ED3}"/>
            </a:ext>
          </a:extLst>
        </xdr:cNvPr>
        <xdr:cNvSpPr txBox="1">
          <a:spLocks noChangeArrowheads="1"/>
        </xdr:cNvSpPr>
      </xdr:nvSpPr>
      <xdr:spPr bwMode="auto">
        <a:xfrm>
          <a:off x="4000500" y="96469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28281</xdr:rowOff>
    </xdr:from>
    <xdr:to>
      <xdr:col>5</xdr:col>
      <xdr:colOff>637540</xdr:colOff>
      <xdr:row>64</xdr:row>
      <xdr:rowOff>107666</xdr:rowOff>
    </xdr:to>
    <xdr:sp macro="" textlink="">
      <xdr:nvSpPr>
        <xdr:cNvPr id="258180" name="Text Box 132" hidden="1">
          <a:extLst>
            <a:ext uri="{FF2B5EF4-FFF2-40B4-BE49-F238E27FC236}">
              <a16:creationId xmlns:a16="http://schemas.microsoft.com/office/drawing/2014/main" id="{58385BF9-968F-40BB-9BBE-EDF9BA2E7762}"/>
            </a:ext>
          </a:extLst>
        </xdr:cNvPr>
        <xdr:cNvSpPr txBox="1">
          <a:spLocks noChangeArrowheads="1"/>
        </xdr:cNvSpPr>
      </xdr:nvSpPr>
      <xdr:spPr bwMode="auto">
        <a:xfrm>
          <a:off x="4000500" y="132054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202025</xdr:rowOff>
    </xdr:from>
    <xdr:to>
      <xdr:col>5</xdr:col>
      <xdr:colOff>637540</xdr:colOff>
      <xdr:row>65</xdr:row>
      <xdr:rowOff>66478</xdr:rowOff>
    </xdr:to>
    <xdr:sp macro="" textlink="">
      <xdr:nvSpPr>
        <xdr:cNvPr id="258179" name="Text Box 131" hidden="1">
          <a:extLst>
            <a:ext uri="{FF2B5EF4-FFF2-40B4-BE49-F238E27FC236}">
              <a16:creationId xmlns:a16="http://schemas.microsoft.com/office/drawing/2014/main" id="{69448090-4C86-49C8-9D34-2EB7F064D1DC}"/>
            </a:ext>
          </a:extLst>
        </xdr:cNvPr>
        <xdr:cNvSpPr txBox="1">
          <a:spLocks noChangeArrowheads="1"/>
        </xdr:cNvSpPr>
      </xdr:nvSpPr>
      <xdr:spPr bwMode="auto">
        <a:xfrm>
          <a:off x="4000500" y="1338834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141332</xdr:rowOff>
    </xdr:from>
    <xdr:to>
      <xdr:col>5</xdr:col>
      <xdr:colOff>637540</xdr:colOff>
      <xdr:row>66</xdr:row>
      <xdr:rowOff>95210</xdr:rowOff>
    </xdr:to>
    <xdr:sp macro="" textlink="">
      <xdr:nvSpPr>
        <xdr:cNvPr id="258178" name="Text Box 130" hidden="1">
          <a:extLst>
            <a:ext uri="{FF2B5EF4-FFF2-40B4-BE49-F238E27FC236}">
              <a16:creationId xmlns:a16="http://schemas.microsoft.com/office/drawing/2014/main" id="{2FD921E3-1AD1-418F-93EA-3AD770A5B3EB}"/>
            </a:ext>
          </a:extLst>
        </xdr:cNvPr>
        <xdr:cNvSpPr txBox="1">
          <a:spLocks noChangeArrowheads="1"/>
        </xdr:cNvSpPr>
      </xdr:nvSpPr>
      <xdr:spPr bwMode="auto">
        <a:xfrm>
          <a:off x="4000500" y="135712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161795</xdr:rowOff>
    </xdr:from>
    <xdr:to>
      <xdr:col>5</xdr:col>
      <xdr:colOff>637540</xdr:colOff>
      <xdr:row>67</xdr:row>
      <xdr:rowOff>94833</xdr:rowOff>
    </xdr:to>
    <xdr:sp macro="" textlink="">
      <xdr:nvSpPr>
        <xdr:cNvPr id="258177" name="Text Box 129" hidden="1">
          <a:extLst>
            <a:ext uri="{FF2B5EF4-FFF2-40B4-BE49-F238E27FC236}">
              <a16:creationId xmlns:a16="http://schemas.microsoft.com/office/drawing/2014/main" id="{69682EB3-5ACF-4B20-9D34-3E7CAD9B55C9}"/>
            </a:ext>
          </a:extLst>
        </xdr:cNvPr>
        <xdr:cNvSpPr txBox="1">
          <a:spLocks noChangeArrowheads="1"/>
        </xdr:cNvSpPr>
      </xdr:nvSpPr>
      <xdr:spPr bwMode="auto">
        <a:xfrm>
          <a:off x="4000500" y="137541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57138</xdr:rowOff>
    </xdr:from>
    <xdr:to>
      <xdr:col>5</xdr:col>
      <xdr:colOff>637540</xdr:colOff>
      <xdr:row>86</xdr:row>
      <xdr:rowOff>119344</xdr:rowOff>
    </xdr:to>
    <xdr:sp macro="" textlink="">
      <xdr:nvSpPr>
        <xdr:cNvPr id="258176" name="Text Box 128" hidden="1">
          <a:extLst>
            <a:ext uri="{FF2B5EF4-FFF2-40B4-BE49-F238E27FC236}">
              <a16:creationId xmlns:a16="http://schemas.microsoft.com/office/drawing/2014/main" id="{6DF67816-E8A1-4613-ABD3-5F51BC42A56C}"/>
            </a:ext>
          </a:extLst>
        </xdr:cNvPr>
        <xdr:cNvSpPr txBox="1">
          <a:spLocks noChangeArrowheads="1"/>
        </xdr:cNvSpPr>
      </xdr:nvSpPr>
      <xdr:spPr bwMode="auto">
        <a:xfrm>
          <a:off x="4000500" y="178384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25334</xdr:rowOff>
    </xdr:from>
    <xdr:to>
      <xdr:col>5</xdr:col>
      <xdr:colOff>637540</xdr:colOff>
      <xdr:row>88</xdr:row>
      <xdr:rowOff>77203</xdr:rowOff>
    </xdr:to>
    <xdr:sp macro="" textlink="">
      <xdr:nvSpPr>
        <xdr:cNvPr id="258175" name="Text Box 127" hidden="1">
          <a:extLst>
            <a:ext uri="{FF2B5EF4-FFF2-40B4-BE49-F238E27FC236}">
              <a16:creationId xmlns:a16="http://schemas.microsoft.com/office/drawing/2014/main" id="{B7BB1BEE-06C7-40E8-BED8-86422C7ECED9}"/>
            </a:ext>
          </a:extLst>
        </xdr:cNvPr>
        <xdr:cNvSpPr txBox="1">
          <a:spLocks noChangeArrowheads="1"/>
        </xdr:cNvSpPr>
      </xdr:nvSpPr>
      <xdr:spPr bwMode="auto">
        <a:xfrm>
          <a:off x="4000500" y="18204180"/>
          <a:ext cx="12649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178101</xdr:rowOff>
    </xdr:from>
    <xdr:to>
      <xdr:col>5</xdr:col>
      <xdr:colOff>637540</xdr:colOff>
      <xdr:row>90</xdr:row>
      <xdr:rowOff>105390</xdr:rowOff>
    </xdr:to>
    <xdr:sp macro="" textlink="">
      <xdr:nvSpPr>
        <xdr:cNvPr id="258174" name="Text Box 126" hidden="1">
          <a:extLst>
            <a:ext uri="{FF2B5EF4-FFF2-40B4-BE49-F238E27FC236}">
              <a16:creationId xmlns:a16="http://schemas.microsoft.com/office/drawing/2014/main" id="{E0707D8B-EE6E-4001-8BF7-3C9C757D9352}"/>
            </a:ext>
          </a:extLst>
        </xdr:cNvPr>
        <xdr:cNvSpPr txBox="1">
          <a:spLocks noChangeArrowheads="1"/>
        </xdr:cNvSpPr>
      </xdr:nvSpPr>
      <xdr:spPr bwMode="auto">
        <a:xfrm>
          <a:off x="4000500" y="18554700"/>
          <a:ext cx="126492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74023</xdr:rowOff>
    </xdr:from>
    <xdr:to>
      <xdr:col>6</xdr:col>
      <xdr:colOff>38100</xdr:colOff>
      <xdr:row>92</xdr:row>
      <xdr:rowOff>133936</xdr:rowOff>
    </xdr:to>
    <xdr:sp macro="" textlink="">
      <xdr:nvSpPr>
        <xdr:cNvPr id="258199" name="Text Box 151" hidden="1">
          <a:extLst>
            <a:ext uri="{FF2B5EF4-FFF2-40B4-BE49-F238E27FC236}">
              <a16:creationId xmlns:a16="http://schemas.microsoft.com/office/drawing/2014/main" id="{B80E63B9-1C66-4B71-9033-B34D7CA0CB03}"/>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198" name="Text Box 150" hidden="1">
          <a:extLst>
            <a:ext uri="{FF2B5EF4-FFF2-40B4-BE49-F238E27FC236}">
              <a16:creationId xmlns:a16="http://schemas.microsoft.com/office/drawing/2014/main" id="{931A2DF4-BD70-42F4-BFFD-C679DA344655}"/>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197" name="Text Box 149" hidden="1">
          <a:extLst>
            <a:ext uri="{FF2B5EF4-FFF2-40B4-BE49-F238E27FC236}">
              <a16:creationId xmlns:a16="http://schemas.microsoft.com/office/drawing/2014/main" id="{23C156C3-C589-4C6F-9C2A-491197AC578A}"/>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196" name="Text Box 148" hidden="1">
          <a:extLst>
            <a:ext uri="{FF2B5EF4-FFF2-40B4-BE49-F238E27FC236}">
              <a16:creationId xmlns:a16="http://schemas.microsoft.com/office/drawing/2014/main" id="{1E63EEE1-0D08-4FD2-986B-D13F34D78DFE}"/>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64592</xdr:rowOff>
    </xdr:to>
    <xdr:sp macro="" textlink="">
      <xdr:nvSpPr>
        <xdr:cNvPr id="258195" name="Text Box 147" hidden="1">
          <a:extLst>
            <a:ext uri="{FF2B5EF4-FFF2-40B4-BE49-F238E27FC236}">
              <a16:creationId xmlns:a16="http://schemas.microsoft.com/office/drawing/2014/main" id="{991B1544-D0CA-45CB-ABEF-8BCB1C1DCAD9}"/>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609600</xdr:colOff>
      <xdr:row>50</xdr:row>
      <xdr:rowOff>133572</xdr:rowOff>
    </xdr:to>
    <xdr:sp macro="" textlink="">
      <xdr:nvSpPr>
        <xdr:cNvPr id="258194" name="Text Box 146" hidden="1">
          <a:extLst>
            <a:ext uri="{FF2B5EF4-FFF2-40B4-BE49-F238E27FC236}">
              <a16:creationId xmlns:a16="http://schemas.microsoft.com/office/drawing/2014/main" id="{18B22ACD-D42A-4F22-901C-1BC9BBB2E0BF}"/>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28281</xdr:rowOff>
    </xdr:from>
    <xdr:to>
      <xdr:col>5</xdr:col>
      <xdr:colOff>609600</xdr:colOff>
      <xdr:row>64</xdr:row>
      <xdr:rowOff>107666</xdr:rowOff>
    </xdr:to>
    <xdr:sp macro="" textlink="">
      <xdr:nvSpPr>
        <xdr:cNvPr id="258193" name="Text Box 145" hidden="1">
          <a:extLst>
            <a:ext uri="{FF2B5EF4-FFF2-40B4-BE49-F238E27FC236}">
              <a16:creationId xmlns:a16="http://schemas.microsoft.com/office/drawing/2014/main" id="{21AE8088-1BD9-45D1-9BD5-1781B621DF3E}"/>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202025</xdr:rowOff>
    </xdr:from>
    <xdr:to>
      <xdr:col>5</xdr:col>
      <xdr:colOff>609600</xdr:colOff>
      <xdr:row>65</xdr:row>
      <xdr:rowOff>66478</xdr:rowOff>
    </xdr:to>
    <xdr:sp macro="" textlink="">
      <xdr:nvSpPr>
        <xdr:cNvPr id="258192" name="Text Box 144" hidden="1">
          <a:extLst>
            <a:ext uri="{FF2B5EF4-FFF2-40B4-BE49-F238E27FC236}">
              <a16:creationId xmlns:a16="http://schemas.microsoft.com/office/drawing/2014/main" id="{8DAFCC68-4D2E-4545-AB08-D932AD421BF2}"/>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141332</xdr:rowOff>
    </xdr:from>
    <xdr:to>
      <xdr:col>5</xdr:col>
      <xdr:colOff>609600</xdr:colOff>
      <xdr:row>66</xdr:row>
      <xdr:rowOff>95210</xdr:rowOff>
    </xdr:to>
    <xdr:sp macro="" textlink="">
      <xdr:nvSpPr>
        <xdr:cNvPr id="258191" name="Text Box 143" hidden="1">
          <a:extLst>
            <a:ext uri="{FF2B5EF4-FFF2-40B4-BE49-F238E27FC236}">
              <a16:creationId xmlns:a16="http://schemas.microsoft.com/office/drawing/2014/main" id="{C60D3818-8B42-45E9-9190-180375E040E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161795</xdr:rowOff>
    </xdr:from>
    <xdr:to>
      <xdr:col>5</xdr:col>
      <xdr:colOff>609600</xdr:colOff>
      <xdr:row>67</xdr:row>
      <xdr:rowOff>94833</xdr:rowOff>
    </xdr:to>
    <xdr:sp macro="" textlink="">
      <xdr:nvSpPr>
        <xdr:cNvPr id="258190" name="Text Box 142" hidden="1">
          <a:extLst>
            <a:ext uri="{FF2B5EF4-FFF2-40B4-BE49-F238E27FC236}">
              <a16:creationId xmlns:a16="http://schemas.microsoft.com/office/drawing/2014/main" id="{B5327802-C1AC-4776-90F8-71EC621E2901}"/>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57138</xdr:rowOff>
    </xdr:from>
    <xdr:to>
      <xdr:col>5</xdr:col>
      <xdr:colOff>609600</xdr:colOff>
      <xdr:row>86</xdr:row>
      <xdr:rowOff>119344</xdr:rowOff>
    </xdr:to>
    <xdr:sp macro="" textlink="">
      <xdr:nvSpPr>
        <xdr:cNvPr id="258189" name="Text Box 141" hidden="1">
          <a:extLst>
            <a:ext uri="{FF2B5EF4-FFF2-40B4-BE49-F238E27FC236}">
              <a16:creationId xmlns:a16="http://schemas.microsoft.com/office/drawing/2014/main" id="{DA5003AF-DA2C-40C8-8B5D-518B61F66DA5}"/>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25334</xdr:rowOff>
    </xdr:from>
    <xdr:to>
      <xdr:col>5</xdr:col>
      <xdr:colOff>609600</xdr:colOff>
      <xdr:row>88</xdr:row>
      <xdr:rowOff>77203</xdr:rowOff>
    </xdr:to>
    <xdr:sp macro="" textlink="">
      <xdr:nvSpPr>
        <xdr:cNvPr id="258188" name="Text Box 140" hidden="1">
          <a:extLst>
            <a:ext uri="{FF2B5EF4-FFF2-40B4-BE49-F238E27FC236}">
              <a16:creationId xmlns:a16="http://schemas.microsoft.com/office/drawing/2014/main" id="{6B321CC5-A672-4514-96A5-E7931AB6EE31}"/>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178101</xdr:rowOff>
    </xdr:from>
    <xdr:to>
      <xdr:col>5</xdr:col>
      <xdr:colOff>609600</xdr:colOff>
      <xdr:row>90</xdr:row>
      <xdr:rowOff>105390</xdr:rowOff>
    </xdr:to>
    <xdr:sp macro="" textlink="">
      <xdr:nvSpPr>
        <xdr:cNvPr id="258187" name="Text Box 139" hidden="1">
          <a:extLst>
            <a:ext uri="{FF2B5EF4-FFF2-40B4-BE49-F238E27FC236}">
              <a16:creationId xmlns:a16="http://schemas.microsoft.com/office/drawing/2014/main" id="{505BBBD2-3420-439D-A987-890981078B68}"/>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74023</xdr:rowOff>
    </xdr:from>
    <xdr:to>
      <xdr:col>6</xdr:col>
      <xdr:colOff>38100</xdr:colOff>
      <xdr:row>92</xdr:row>
      <xdr:rowOff>133936</xdr:rowOff>
    </xdr:to>
    <xdr:sp macro="" textlink="">
      <xdr:nvSpPr>
        <xdr:cNvPr id="258212" name="Text Box 164" hidden="1">
          <a:extLst>
            <a:ext uri="{FF2B5EF4-FFF2-40B4-BE49-F238E27FC236}">
              <a16:creationId xmlns:a16="http://schemas.microsoft.com/office/drawing/2014/main" id="{DA0FDEC6-AF7B-4FF9-9EC5-264C7208616D}"/>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11" name="Text Box 163" hidden="1">
          <a:extLst>
            <a:ext uri="{FF2B5EF4-FFF2-40B4-BE49-F238E27FC236}">
              <a16:creationId xmlns:a16="http://schemas.microsoft.com/office/drawing/2014/main" id="{61013165-FCD1-47D8-9D59-899DE139EF94}"/>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10" name="Text Box 162" hidden="1">
          <a:extLst>
            <a:ext uri="{FF2B5EF4-FFF2-40B4-BE49-F238E27FC236}">
              <a16:creationId xmlns:a16="http://schemas.microsoft.com/office/drawing/2014/main" id="{D939C523-085D-4608-B01A-3F99FD665D99}"/>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09" name="Text Box 161" hidden="1">
          <a:extLst>
            <a:ext uri="{FF2B5EF4-FFF2-40B4-BE49-F238E27FC236}">
              <a16:creationId xmlns:a16="http://schemas.microsoft.com/office/drawing/2014/main" id="{6C4A87AF-0A72-4CE3-AA77-8225FF17653B}"/>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64592</xdr:rowOff>
    </xdr:to>
    <xdr:sp macro="" textlink="">
      <xdr:nvSpPr>
        <xdr:cNvPr id="258208" name="Text Box 160" hidden="1">
          <a:extLst>
            <a:ext uri="{FF2B5EF4-FFF2-40B4-BE49-F238E27FC236}">
              <a16:creationId xmlns:a16="http://schemas.microsoft.com/office/drawing/2014/main" id="{46718102-FC4A-48D1-A0BE-94037EA0871C}"/>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609600</xdr:colOff>
      <xdr:row>50</xdr:row>
      <xdr:rowOff>133572</xdr:rowOff>
    </xdr:to>
    <xdr:sp macro="" textlink="">
      <xdr:nvSpPr>
        <xdr:cNvPr id="258207" name="Text Box 159" hidden="1">
          <a:extLst>
            <a:ext uri="{FF2B5EF4-FFF2-40B4-BE49-F238E27FC236}">
              <a16:creationId xmlns:a16="http://schemas.microsoft.com/office/drawing/2014/main" id="{1BB0AFC6-DDA3-4D64-87FB-484C183CBD0D}"/>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28281</xdr:rowOff>
    </xdr:from>
    <xdr:to>
      <xdr:col>5</xdr:col>
      <xdr:colOff>609600</xdr:colOff>
      <xdr:row>64</xdr:row>
      <xdr:rowOff>107666</xdr:rowOff>
    </xdr:to>
    <xdr:sp macro="" textlink="">
      <xdr:nvSpPr>
        <xdr:cNvPr id="258206" name="Text Box 158" hidden="1">
          <a:extLst>
            <a:ext uri="{FF2B5EF4-FFF2-40B4-BE49-F238E27FC236}">
              <a16:creationId xmlns:a16="http://schemas.microsoft.com/office/drawing/2014/main" id="{9213571F-E379-4851-9D5E-AB101250361A}"/>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202025</xdr:rowOff>
    </xdr:from>
    <xdr:to>
      <xdr:col>5</xdr:col>
      <xdr:colOff>609600</xdr:colOff>
      <xdr:row>65</xdr:row>
      <xdr:rowOff>66478</xdr:rowOff>
    </xdr:to>
    <xdr:sp macro="" textlink="">
      <xdr:nvSpPr>
        <xdr:cNvPr id="258205" name="Text Box 157" hidden="1">
          <a:extLst>
            <a:ext uri="{FF2B5EF4-FFF2-40B4-BE49-F238E27FC236}">
              <a16:creationId xmlns:a16="http://schemas.microsoft.com/office/drawing/2014/main" id="{38DBC8C8-A76B-4994-B885-0068D5044B57}"/>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141332</xdr:rowOff>
    </xdr:from>
    <xdr:to>
      <xdr:col>5</xdr:col>
      <xdr:colOff>609600</xdr:colOff>
      <xdr:row>66</xdr:row>
      <xdr:rowOff>95210</xdr:rowOff>
    </xdr:to>
    <xdr:sp macro="" textlink="">
      <xdr:nvSpPr>
        <xdr:cNvPr id="258204" name="Text Box 156" hidden="1">
          <a:extLst>
            <a:ext uri="{FF2B5EF4-FFF2-40B4-BE49-F238E27FC236}">
              <a16:creationId xmlns:a16="http://schemas.microsoft.com/office/drawing/2014/main" id="{4710B63F-FC9C-41F2-B542-27502722D10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161795</xdr:rowOff>
    </xdr:from>
    <xdr:to>
      <xdr:col>5</xdr:col>
      <xdr:colOff>609600</xdr:colOff>
      <xdr:row>67</xdr:row>
      <xdr:rowOff>94833</xdr:rowOff>
    </xdr:to>
    <xdr:sp macro="" textlink="">
      <xdr:nvSpPr>
        <xdr:cNvPr id="258203" name="Text Box 155" hidden="1">
          <a:extLst>
            <a:ext uri="{FF2B5EF4-FFF2-40B4-BE49-F238E27FC236}">
              <a16:creationId xmlns:a16="http://schemas.microsoft.com/office/drawing/2014/main" id="{676EFE17-D7EE-4004-AB64-21285E8D39B7}"/>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57138</xdr:rowOff>
    </xdr:from>
    <xdr:to>
      <xdr:col>5</xdr:col>
      <xdr:colOff>609600</xdr:colOff>
      <xdr:row>86</xdr:row>
      <xdr:rowOff>119344</xdr:rowOff>
    </xdr:to>
    <xdr:sp macro="" textlink="">
      <xdr:nvSpPr>
        <xdr:cNvPr id="258202" name="Text Box 154" hidden="1">
          <a:extLst>
            <a:ext uri="{FF2B5EF4-FFF2-40B4-BE49-F238E27FC236}">
              <a16:creationId xmlns:a16="http://schemas.microsoft.com/office/drawing/2014/main" id="{DCB05D0F-9E2D-44DE-B306-A7B8DFA22122}"/>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25334</xdr:rowOff>
    </xdr:from>
    <xdr:to>
      <xdr:col>5</xdr:col>
      <xdr:colOff>609600</xdr:colOff>
      <xdr:row>88</xdr:row>
      <xdr:rowOff>77203</xdr:rowOff>
    </xdr:to>
    <xdr:sp macro="" textlink="">
      <xdr:nvSpPr>
        <xdr:cNvPr id="258201" name="Text Box 153" hidden="1">
          <a:extLst>
            <a:ext uri="{FF2B5EF4-FFF2-40B4-BE49-F238E27FC236}">
              <a16:creationId xmlns:a16="http://schemas.microsoft.com/office/drawing/2014/main" id="{4021D309-17B6-4B6F-AF5D-AF883DF6D37A}"/>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178101</xdr:rowOff>
    </xdr:from>
    <xdr:to>
      <xdr:col>5</xdr:col>
      <xdr:colOff>609600</xdr:colOff>
      <xdr:row>90</xdr:row>
      <xdr:rowOff>105390</xdr:rowOff>
    </xdr:to>
    <xdr:sp macro="" textlink="">
      <xdr:nvSpPr>
        <xdr:cNvPr id="258200" name="Text Box 152" hidden="1">
          <a:extLst>
            <a:ext uri="{FF2B5EF4-FFF2-40B4-BE49-F238E27FC236}">
              <a16:creationId xmlns:a16="http://schemas.microsoft.com/office/drawing/2014/main" id="{60F6900B-A076-44B0-B9F6-9A9DA7B5BC56}"/>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74023</xdr:rowOff>
    </xdr:from>
    <xdr:to>
      <xdr:col>6</xdr:col>
      <xdr:colOff>38100</xdr:colOff>
      <xdr:row>92</xdr:row>
      <xdr:rowOff>133936</xdr:rowOff>
    </xdr:to>
    <xdr:sp macro="" textlink="">
      <xdr:nvSpPr>
        <xdr:cNvPr id="258225" name="Text Box 177" hidden="1">
          <a:extLst>
            <a:ext uri="{FF2B5EF4-FFF2-40B4-BE49-F238E27FC236}">
              <a16:creationId xmlns:a16="http://schemas.microsoft.com/office/drawing/2014/main" id="{DED80608-0C15-465F-AA91-D4AF41FDA1D5}"/>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24" name="Text Box 176" hidden="1">
          <a:extLst>
            <a:ext uri="{FF2B5EF4-FFF2-40B4-BE49-F238E27FC236}">
              <a16:creationId xmlns:a16="http://schemas.microsoft.com/office/drawing/2014/main" id="{950AB110-C7C9-46F2-B09D-6802CBE46BFC}"/>
            </a:ext>
          </a:extLst>
        </xdr:cNvPr>
        <xdr:cNvSpPr txBox="1">
          <a:spLocks noChangeArrowheads="1"/>
        </xdr:cNvSpPr>
      </xdr:nvSpPr>
      <xdr:spPr bwMode="auto">
        <a:xfrm>
          <a:off x="3886200" y="87249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23" name="Text Box 175" hidden="1">
          <a:extLst>
            <a:ext uri="{FF2B5EF4-FFF2-40B4-BE49-F238E27FC236}">
              <a16:creationId xmlns:a16="http://schemas.microsoft.com/office/drawing/2014/main" id="{C5ED9A8F-5F37-441D-B0E6-5B67E3F33FC3}"/>
            </a:ext>
          </a:extLst>
        </xdr:cNvPr>
        <xdr:cNvSpPr txBox="1">
          <a:spLocks noChangeArrowheads="1"/>
        </xdr:cNvSpPr>
      </xdr:nvSpPr>
      <xdr:spPr bwMode="auto">
        <a:xfrm>
          <a:off x="3886200" y="8924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22" name="Text Box 174" hidden="1">
          <a:extLst>
            <a:ext uri="{FF2B5EF4-FFF2-40B4-BE49-F238E27FC236}">
              <a16:creationId xmlns:a16="http://schemas.microsoft.com/office/drawing/2014/main" id="{00662BEC-9825-4274-AF47-AC9C4A479DDA}"/>
            </a:ext>
          </a:extLst>
        </xdr:cNvPr>
        <xdr:cNvSpPr txBox="1">
          <a:spLocks noChangeArrowheads="1"/>
        </xdr:cNvSpPr>
      </xdr:nvSpPr>
      <xdr:spPr bwMode="auto">
        <a:xfrm>
          <a:off x="3886200" y="9305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64592</xdr:rowOff>
    </xdr:to>
    <xdr:sp macro="" textlink="">
      <xdr:nvSpPr>
        <xdr:cNvPr id="258221" name="Text Box 173" hidden="1">
          <a:extLst>
            <a:ext uri="{FF2B5EF4-FFF2-40B4-BE49-F238E27FC236}">
              <a16:creationId xmlns:a16="http://schemas.microsoft.com/office/drawing/2014/main" id="{B1397697-2058-42F4-B9E8-17C224D65F8E}"/>
            </a:ext>
          </a:extLst>
        </xdr:cNvPr>
        <xdr:cNvSpPr txBox="1">
          <a:spLocks noChangeArrowheads="1"/>
        </xdr:cNvSpPr>
      </xdr:nvSpPr>
      <xdr:spPr bwMode="auto">
        <a:xfrm>
          <a:off x="3886200" y="953452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609600</xdr:colOff>
      <xdr:row>50</xdr:row>
      <xdr:rowOff>133572</xdr:rowOff>
    </xdr:to>
    <xdr:sp macro="" textlink="">
      <xdr:nvSpPr>
        <xdr:cNvPr id="258220" name="Text Box 172" hidden="1">
          <a:extLst>
            <a:ext uri="{FF2B5EF4-FFF2-40B4-BE49-F238E27FC236}">
              <a16:creationId xmlns:a16="http://schemas.microsoft.com/office/drawing/2014/main" id="{66264935-572B-44F4-93A7-9A4F4D56EF04}"/>
            </a:ext>
          </a:extLst>
        </xdr:cNvPr>
        <xdr:cNvSpPr txBox="1">
          <a:spLocks noChangeArrowheads="1"/>
        </xdr:cNvSpPr>
      </xdr:nvSpPr>
      <xdr:spPr bwMode="auto">
        <a:xfrm>
          <a:off x="3886200" y="974407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28281</xdr:rowOff>
    </xdr:from>
    <xdr:to>
      <xdr:col>5</xdr:col>
      <xdr:colOff>609600</xdr:colOff>
      <xdr:row>64</xdr:row>
      <xdr:rowOff>107666</xdr:rowOff>
    </xdr:to>
    <xdr:sp macro="" textlink="">
      <xdr:nvSpPr>
        <xdr:cNvPr id="258219" name="Text Box 171" hidden="1">
          <a:extLst>
            <a:ext uri="{FF2B5EF4-FFF2-40B4-BE49-F238E27FC236}">
              <a16:creationId xmlns:a16="http://schemas.microsoft.com/office/drawing/2014/main" id="{DC553F5F-242B-42AD-BE77-B4540BB0C7C3}"/>
            </a:ext>
          </a:extLst>
        </xdr:cNvPr>
        <xdr:cNvSpPr txBox="1">
          <a:spLocks noChangeArrowheads="1"/>
        </xdr:cNvSpPr>
      </xdr:nvSpPr>
      <xdr:spPr bwMode="auto">
        <a:xfrm>
          <a:off x="3886200" y="13392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202025</xdr:rowOff>
    </xdr:from>
    <xdr:to>
      <xdr:col>5</xdr:col>
      <xdr:colOff>609600</xdr:colOff>
      <xdr:row>65</xdr:row>
      <xdr:rowOff>66478</xdr:rowOff>
    </xdr:to>
    <xdr:sp macro="" textlink="">
      <xdr:nvSpPr>
        <xdr:cNvPr id="258218" name="Text Box 170" hidden="1">
          <a:extLst>
            <a:ext uri="{FF2B5EF4-FFF2-40B4-BE49-F238E27FC236}">
              <a16:creationId xmlns:a16="http://schemas.microsoft.com/office/drawing/2014/main" id="{4B29BE96-2C85-4C72-8B8B-64C2A6249CA6}"/>
            </a:ext>
          </a:extLst>
        </xdr:cNvPr>
        <xdr:cNvSpPr txBox="1">
          <a:spLocks noChangeArrowheads="1"/>
        </xdr:cNvSpPr>
      </xdr:nvSpPr>
      <xdr:spPr bwMode="auto">
        <a:xfrm>
          <a:off x="3886200" y="13582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141332</xdr:rowOff>
    </xdr:from>
    <xdr:to>
      <xdr:col>5</xdr:col>
      <xdr:colOff>609600</xdr:colOff>
      <xdr:row>66</xdr:row>
      <xdr:rowOff>95210</xdr:rowOff>
    </xdr:to>
    <xdr:sp macro="" textlink="">
      <xdr:nvSpPr>
        <xdr:cNvPr id="258217" name="Text Box 169" hidden="1">
          <a:extLst>
            <a:ext uri="{FF2B5EF4-FFF2-40B4-BE49-F238E27FC236}">
              <a16:creationId xmlns:a16="http://schemas.microsoft.com/office/drawing/2014/main" id="{1DEAA2B2-0F36-45C7-8577-27F9E4D38AF0}"/>
            </a:ext>
          </a:extLst>
        </xdr:cNvPr>
        <xdr:cNvSpPr txBox="1">
          <a:spLocks noChangeArrowheads="1"/>
        </xdr:cNvSpPr>
      </xdr:nvSpPr>
      <xdr:spPr bwMode="auto">
        <a:xfrm>
          <a:off x="3886200" y="13773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161795</xdr:rowOff>
    </xdr:from>
    <xdr:to>
      <xdr:col>5</xdr:col>
      <xdr:colOff>609600</xdr:colOff>
      <xdr:row>67</xdr:row>
      <xdr:rowOff>94833</xdr:rowOff>
    </xdr:to>
    <xdr:sp macro="" textlink="">
      <xdr:nvSpPr>
        <xdr:cNvPr id="258216" name="Text Box 168" hidden="1">
          <a:extLst>
            <a:ext uri="{FF2B5EF4-FFF2-40B4-BE49-F238E27FC236}">
              <a16:creationId xmlns:a16="http://schemas.microsoft.com/office/drawing/2014/main" id="{81452BE4-05B5-4F68-9066-3057A6D04796}"/>
            </a:ext>
          </a:extLst>
        </xdr:cNvPr>
        <xdr:cNvSpPr txBox="1">
          <a:spLocks noChangeArrowheads="1"/>
        </xdr:cNvSpPr>
      </xdr:nvSpPr>
      <xdr:spPr bwMode="auto">
        <a:xfrm>
          <a:off x="3886200" y="13963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57138</xdr:rowOff>
    </xdr:from>
    <xdr:to>
      <xdr:col>5</xdr:col>
      <xdr:colOff>609600</xdr:colOff>
      <xdr:row>86</xdr:row>
      <xdr:rowOff>119344</xdr:rowOff>
    </xdr:to>
    <xdr:sp macro="" textlink="">
      <xdr:nvSpPr>
        <xdr:cNvPr id="258215" name="Text Box 167" hidden="1">
          <a:extLst>
            <a:ext uri="{FF2B5EF4-FFF2-40B4-BE49-F238E27FC236}">
              <a16:creationId xmlns:a16="http://schemas.microsoft.com/office/drawing/2014/main" id="{3F47B15F-18C8-48B3-ADF3-E1E910D00798}"/>
            </a:ext>
          </a:extLst>
        </xdr:cNvPr>
        <xdr:cNvSpPr txBox="1">
          <a:spLocks noChangeArrowheads="1"/>
        </xdr:cNvSpPr>
      </xdr:nvSpPr>
      <xdr:spPr bwMode="auto">
        <a:xfrm>
          <a:off x="3886200" y="181641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25334</xdr:rowOff>
    </xdr:from>
    <xdr:to>
      <xdr:col>5</xdr:col>
      <xdr:colOff>609600</xdr:colOff>
      <xdr:row>88</xdr:row>
      <xdr:rowOff>77203</xdr:rowOff>
    </xdr:to>
    <xdr:sp macro="" textlink="">
      <xdr:nvSpPr>
        <xdr:cNvPr id="258214" name="Text Box 166" hidden="1">
          <a:extLst>
            <a:ext uri="{FF2B5EF4-FFF2-40B4-BE49-F238E27FC236}">
              <a16:creationId xmlns:a16="http://schemas.microsoft.com/office/drawing/2014/main" id="{87C5FE89-5596-4F3A-B689-29E0C076FC10}"/>
            </a:ext>
          </a:extLst>
        </xdr:cNvPr>
        <xdr:cNvSpPr txBox="1">
          <a:spLocks noChangeArrowheads="1"/>
        </xdr:cNvSpPr>
      </xdr:nvSpPr>
      <xdr:spPr bwMode="auto">
        <a:xfrm>
          <a:off x="3886200" y="1854517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178101</xdr:rowOff>
    </xdr:from>
    <xdr:to>
      <xdr:col>5</xdr:col>
      <xdr:colOff>609600</xdr:colOff>
      <xdr:row>90</xdr:row>
      <xdr:rowOff>105390</xdr:rowOff>
    </xdr:to>
    <xdr:sp macro="" textlink="">
      <xdr:nvSpPr>
        <xdr:cNvPr id="258213" name="Text Box 165" hidden="1">
          <a:extLst>
            <a:ext uri="{FF2B5EF4-FFF2-40B4-BE49-F238E27FC236}">
              <a16:creationId xmlns:a16="http://schemas.microsoft.com/office/drawing/2014/main" id="{60BAA05D-9FD6-40A1-9EB1-15079C7820A1}"/>
            </a:ext>
          </a:extLst>
        </xdr:cNvPr>
        <xdr:cNvSpPr txBox="1">
          <a:spLocks noChangeArrowheads="1"/>
        </xdr:cNvSpPr>
      </xdr:nvSpPr>
      <xdr:spPr bwMode="auto">
        <a:xfrm>
          <a:off x="3886200" y="188880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83</xdr:row>
      <xdr:rowOff>33689</xdr:rowOff>
    </xdr:from>
    <xdr:to>
      <xdr:col>6</xdr:col>
      <xdr:colOff>38100</xdr:colOff>
      <xdr:row>95</xdr:row>
      <xdr:rowOff>31553</xdr:rowOff>
    </xdr:to>
    <xdr:sp macro="" textlink="">
      <xdr:nvSpPr>
        <xdr:cNvPr id="258238" name="Text Box 190" hidden="1">
          <a:extLst>
            <a:ext uri="{FF2B5EF4-FFF2-40B4-BE49-F238E27FC236}">
              <a16:creationId xmlns:a16="http://schemas.microsoft.com/office/drawing/2014/main" id="{6D997D0C-E09D-4E13-92CA-3EDAC931FC97}"/>
            </a:ext>
          </a:extLst>
        </xdr:cNvPr>
        <xdr:cNvSpPr txBox="1">
          <a:spLocks noChangeArrowheads="1"/>
        </xdr:cNvSpPr>
      </xdr:nvSpPr>
      <xdr:spPr bwMode="auto">
        <a:xfrm>
          <a:off x="3924300" y="18373725"/>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88129</xdr:rowOff>
    </xdr:from>
    <xdr:to>
      <xdr:col>5</xdr:col>
      <xdr:colOff>609600</xdr:colOff>
      <xdr:row>52</xdr:row>
      <xdr:rowOff>436242</xdr:rowOff>
    </xdr:to>
    <xdr:sp macro="" textlink="">
      <xdr:nvSpPr>
        <xdr:cNvPr id="258237" name="Text Box 189" hidden="1">
          <a:extLst>
            <a:ext uri="{FF2B5EF4-FFF2-40B4-BE49-F238E27FC236}">
              <a16:creationId xmlns:a16="http://schemas.microsoft.com/office/drawing/2014/main" id="{85E81D92-E05B-4EAB-927C-B5AF1D5F4229}"/>
            </a:ext>
          </a:extLst>
        </xdr:cNvPr>
        <xdr:cNvSpPr txBox="1">
          <a:spLocks noChangeArrowheads="1"/>
        </xdr:cNvSpPr>
      </xdr:nvSpPr>
      <xdr:spPr bwMode="auto">
        <a:xfrm>
          <a:off x="3886200" y="9420225"/>
          <a:ext cx="1238250" cy="1762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45</xdr:row>
      <xdr:rowOff>27488</xdr:rowOff>
    </xdr:from>
    <xdr:to>
      <xdr:col>5</xdr:col>
      <xdr:colOff>609600</xdr:colOff>
      <xdr:row>52</xdr:row>
      <xdr:rowOff>505298</xdr:rowOff>
    </xdr:to>
    <xdr:sp macro="" textlink="">
      <xdr:nvSpPr>
        <xdr:cNvPr id="258236" name="Text Box 188" hidden="1">
          <a:extLst>
            <a:ext uri="{FF2B5EF4-FFF2-40B4-BE49-F238E27FC236}">
              <a16:creationId xmlns:a16="http://schemas.microsoft.com/office/drawing/2014/main" id="{1828B737-AE75-45D3-800B-315F59D11355}"/>
            </a:ext>
          </a:extLst>
        </xdr:cNvPr>
        <xdr:cNvSpPr txBox="1">
          <a:spLocks noChangeArrowheads="1"/>
        </xdr:cNvSpPr>
      </xdr:nvSpPr>
      <xdr:spPr bwMode="auto">
        <a:xfrm>
          <a:off x="3886200" y="9534525"/>
          <a:ext cx="1238250" cy="1724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153371</xdr:rowOff>
    </xdr:from>
    <xdr:to>
      <xdr:col>5</xdr:col>
      <xdr:colOff>609600</xdr:colOff>
      <xdr:row>52</xdr:row>
      <xdr:rowOff>2386</xdr:rowOff>
    </xdr:to>
    <xdr:sp macro="" textlink="">
      <xdr:nvSpPr>
        <xdr:cNvPr id="258235" name="Text Box 187" hidden="1">
          <a:extLst>
            <a:ext uri="{FF2B5EF4-FFF2-40B4-BE49-F238E27FC236}">
              <a16:creationId xmlns:a16="http://schemas.microsoft.com/office/drawing/2014/main" id="{0C449E70-9050-4528-8745-A72627AA23E4}"/>
            </a:ext>
          </a:extLst>
        </xdr:cNvPr>
        <xdr:cNvSpPr txBox="1">
          <a:spLocks noChangeArrowheads="1"/>
        </xdr:cNvSpPr>
      </xdr:nvSpPr>
      <xdr:spPr bwMode="auto">
        <a:xfrm>
          <a:off x="3886200" y="9867900"/>
          <a:ext cx="1238250"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125998</xdr:rowOff>
    </xdr:from>
    <xdr:to>
      <xdr:col>5</xdr:col>
      <xdr:colOff>609600</xdr:colOff>
      <xdr:row>52</xdr:row>
      <xdr:rowOff>48986</xdr:rowOff>
    </xdr:to>
    <xdr:sp macro="" textlink="">
      <xdr:nvSpPr>
        <xdr:cNvPr id="258234" name="Text Box 186" hidden="1">
          <a:extLst>
            <a:ext uri="{FF2B5EF4-FFF2-40B4-BE49-F238E27FC236}">
              <a16:creationId xmlns:a16="http://schemas.microsoft.com/office/drawing/2014/main" id="{161ECDA6-7364-4510-8B96-A40FB6D7C89A}"/>
            </a:ext>
          </a:extLst>
        </xdr:cNvPr>
        <xdr:cNvSpPr txBox="1">
          <a:spLocks noChangeArrowheads="1"/>
        </xdr:cNvSpPr>
      </xdr:nvSpPr>
      <xdr:spPr bwMode="auto">
        <a:xfrm>
          <a:off x="3886200" y="101727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126611</xdr:rowOff>
    </xdr:from>
    <xdr:to>
      <xdr:col>5</xdr:col>
      <xdr:colOff>609600</xdr:colOff>
      <xdr:row>52</xdr:row>
      <xdr:rowOff>292392</xdr:rowOff>
    </xdr:to>
    <xdr:sp macro="" textlink="">
      <xdr:nvSpPr>
        <xdr:cNvPr id="258233" name="Text Box 185" hidden="1">
          <a:extLst>
            <a:ext uri="{FF2B5EF4-FFF2-40B4-BE49-F238E27FC236}">
              <a16:creationId xmlns:a16="http://schemas.microsoft.com/office/drawing/2014/main" id="{DAAE195B-1FB3-4083-88FD-25D09917906C}"/>
            </a:ext>
          </a:extLst>
        </xdr:cNvPr>
        <xdr:cNvSpPr txBox="1">
          <a:spLocks noChangeArrowheads="1"/>
        </xdr:cNvSpPr>
      </xdr:nvSpPr>
      <xdr:spPr bwMode="auto">
        <a:xfrm>
          <a:off x="3886200" y="1034415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122726</xdr:rowOff>
    </xdr:from>
    <xdr:to>
      <xdr:col>5</xdr:col>
      <xdr:colOff>609600</xdr:colOff>
      <xdr:row>68</xdr:row>
      <xdr:rowOff>25674</xdr:rowOff>
    </xdr:to>
    <xdr:sp macro="" textlink="">
      <xdr:nvSpPr>
        <xdr:cNvPr id="258232" name="Text Box 184" hidden="1">
          <a:extLst>
            <a:ext uri="{FF2B5EF4-FFF2-40B4-BE49-F238E27FC236}">
              <a16:creationId xmlns:a16="http://schemas.microsoft.com/office/drawing/2014/main" id="{91E328F6-D0FD-427B-A185-36F15B226EB9}"/>
            </a:ext>
          </a:extLst>
        </xdr:cNvPr>
        <xdr:cNvSpPr txBox="1">
          <a:spLocks noChangeArrowheads="1"/>
        </xdr:cNvSpPr>
      </xdr:nvSpPr>
      <xdr:spPr bwMode="auto">
        <a:xfrm>
          <a:off x="3886200" y="14125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142284</xdr:rowOff>
    </xdr:from>
    <xdr:to>
      <xdr:col>5</xdr:col>
      <xdr:colOff>609600</xdr:colOff>
      <xdr:row>68</xdr:row>
      <xdr:rowOff>221579</xdr:rowOff>
    </xdr:to>
    <xdr:sp macro="" textlink="">
      <xdr:nvSpPr>
        <xdr:cNvPr id="258231" name="Text Box 183" hidden="1">
          <a:extLst>
            <a:ext uri="{FF2B5EF4-FFF2-40B4-BE49-F238E27FC236}">
              <a16:creationId xmlns:a16="http://schemas.microsoft.com/office/drawing/2014/main" id="{7041457D-B9C3-4341-836D-5AA7FCC58F56}"/>
            </a:ext>
          </a:extLst>
        </xdr:cNvPr>
        <xdr:cNvSpPr txBox="1">
          <a:spLocks noChangeArrowheads="1"/>
        </xdr:cNvSpPr>
      </xdr:nvSpPr>
      <xdr:spPr bwMode="auto">
        <a:xfrm>
          <a:off x="3886200" y="14316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178082</xdr:rowOff>
    </xdr:from>
    <xdr:to>
      <xdr:col>5</xdr:col>
      <xdr:colOff>609600</xdr:colOff>
      <xdr:row>68</xdr:row>
      <xdr:rowOff>324907</xdr:rowOff>
    </xdr:to>
    <xdr:sp macro="" textlink="">
      <xdr:nvSpPr>
        <xdr:cNvPr id="258230" name="Text Box 182" hidden="1">
          <a:extLst>
            <a:ext uri="{FF2B5EF4-FFF2-40B4-BE49-F238E27FC236}">
              <a16:creationId xmlns:a16="http://schemas.microsoft.com/office/drawing/2014/main" id="{0B026C8E-638D-47B8-8D89-0345BD52650A}"/>
            </a:ext>
          </a:extLst>
        </xdr:cNvPr>
        <xdr:cNvSpPr txBox="1">
          <a:spLocks noChangeArrowheads="1"/>
        </xdr:cNvSpPr>
      </xdr:nvSpPr>
      <xdr:spPr bwMode="auto">
        <a:xfrm>
          <a:off x="3886200" y="14506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1099</xdr:rowOff>
    </xdr:from>
    <xdr:to>
      <xdr:col>5</xdr:col>
      <xdr:colOff>609600</xdr:colOff>
      <xdr:row>69</xdr:row>
      <xdr:rowOff>145262</xdr:rowOff>
    </xdr:to>
    <xdr:sp macro="" textlink="">
      <xdr:nvSpPr>
        <xdr:cNvPr id="258229" name="Text Box 181" hidden="1">
          <a:extLst>
            <a:ext uri="{FF2B5EF4-FFF2-40B4-BE49-F238E27FC236}">
              <a16:creationId xmlns:a16="http://schemas.microsoft.com/office/drawing/2014/main" id="{18BF31F7-59C0-466C-98AF-43EE6C68482F}"/>
            </a:ext>
          </a:extLst>
        </xdr:cNvPr>
        <xdr:cNvSpPr txBox="1">
          <a:spLocks noChangeArrowheads="1"/>
        </xdr:cNvSpPr>
      </xdr:nvSpPr>
      <xdr:spPr bwMode="auto">
        <a:xfrm>
          <a:off x="3886200" y="14697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153164</xdr:rowOff>
    </xdr:from>
    <xdr:to>
      <xdr:col>5</xdr:col>
      <xdr:colOff>609600</xdr:colOff>
      <xdr:row>90</xdr:row>
      <xdr:rowOff>130714</xdr:rowOff>
    </xdr:to>
    <xdr:sp macro="" textlink="">
      <xdr:nvSpPr>
        <xdr:cNvPr id="258228" name="Text Box 180" hidden="1">
          <a:extLst>
            <a:ext uri="{FF2B5EF4-FFF2-40B4-BE49-F238E27FC236}">
              <a16:creationId xmlns:a16="http://schemas.microsoft.com/office/drawing/2014/main" id="{869A8211-A88D-485D-BC05-7F0E9144CC65}"/>
            </a:ext>
          </a:extLst>
        </xdr:cNvPr>
        <xdr:cNvSpPr txBox="1">
          <a:spLocks noChangeArrowheads="1"/>
        </xdr:cNvSpPr>
      </xdr:nvSpPr>
      <xdr:spPr bwMode="auto">
        <a:xfrm>
          <a:off x="3886200" y="1889760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130714</xdr:rowOff>
    </xdr:from>
    <xdr:to>
      <xdr:col>5</xdr:col>
      <xdr:colOff>609600</xdr:colOff>
      <xdr:row>96</xdr:row>
      <xdr:rowOff>142671</xdr:rowOff>
    </xdr:to>
    <xdr:sp macro="" textlink="">
      <xdr:nvSpPr>
        <xdr:cNvPr id="258227" name="Text Box 179" hidden="1">
          <a:extLst>
            <a:ext uri="{FF2B5EF4-FFF2-40B4-BE49-F238E27FC236}">
              <a16:creationId xmlns:a16="http://schemas.microsoft.com/office/drawing/2014/main" id="{6F6D7AEF-F90D-4E73-A55B-A85B8DC17DA9}"/>
            </a:ext>
          </a:extLst>
        </xdr:cNvPr>
        <xdr:cNvSpPr txBox="1">
          <a:spLocks noChangeArrowheads="1"/>
        </xdr:cNvSpPr>
      </xdr:nvSpPr>
      <xdr:spPr bwMode="auto">
        <a:xfrm>
          <a:off x="3886200" y="19735800"/>
          <a:ext cx="1238250" cy="1476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130714</xdr:rowOff>
    </xdr:from>
    <xdr:to>
      <xdr:col>5</xdr:col>
      <xdr:colOff>609600</xdr:colOff>
      <xdr:row>95</xdr:row>
      <xdr:rowOff>151161</xdr:rowOff>
    </xdr:to>
    <xdr:sp macro="" textlink="">
      <xdr:nvSpPr>
        <xdr:cNvPr id="258226" name="Text Box 178" hidden="1">
          <a:extLst>
            <a:ext uri="{FF2B5EF4-FFF2-40B4-BE49-F238E27FC236}">
              <a16:creationId xmlns:a16="http://schemas.microsoft.com/office/drawing/2014/main" id="{E0334D5E-255E-4284-BBE9-8FF578A73DA6}"/>
            </a:ext>
          </a:extLst>
        </xdr:cNvPr>
        <xdr:cNvSpPr txBox="1">
          <a:spLocks noChangeArrowheads="1"/>
        </xdr:cNvSpPr>
      </xdr:nvSpPr>
      <xdr:spPr bwMode="auto">
        <a:xfrm>
          <a:off x="3886200" y="19735800"/>
          <a:ext cx="1238250" cy="1209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105</xdr:row>
      <xdr:rowOff>239003</xdr:rowOff>
    </xdr:from>
    <xdr:to>
      <xdr:col>6</xdr:col>
      <xdr:colOff>66040</xdr:colOff>
      <xdr:row>119</xdr:row>
      <xdr:rowOff>75769</xdr:rowOff>
    </xdr:to>
    <xdr:sp macro="" textlink="">
      <xdr:nvSpPr>
        <xdr:cNvPr id="258251" name="Text Box 203" hidden="1">
          <a:extLst>
            <a:ext uri="{FF2B5EF4-FFF2-40B4-BE49-F238E27FC236}">
              <a16:creationId xmlns:a16="http://schemas.microsoft.com/office/drawing/2014/main" id="{F408F5C7-12C2-445E-8798-2101C065765D}"/>
            </a:ext>
          </a:extLst>
        </xdr:cNvPr>
        <xdr:cNvSpPr txBox="1">
          <a:spLocks noChangeArrowheads="1"/>
        </xdr:cNvSpPr>
      </xdr:nvSpPr>
      <xdr:spPr bwMode="auto">
        <a:xfrm>
          <a:off x="3924300" y="23021925"/>
          <a:ext cx="1409700" cy="2638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66</xdr:row>
      <xdr:rowOff>56477</xdr:rowOff>
    </xdr:from>
    <xdr:to>
      <xdr:col>5</xdr:col>
      <xdr:colOff>609600</xdr:colOff>
      <xdr:row>78</xdr:row>
      <xdr:rowOff>94588</xdr:rowOff>
    </xdr:to>
    <xdr:sp macro="" textlink="">
      <xdr:nvSpPr>
        <xdr:cNvPr id="258250" name="Text Box 202" hidden="1">
          <a:extLst>
            <a:ext uri="{FF2B5EF4-FFF2-40B4-BE49-F238E27FC236}">
              <a16:creationId xmlns:a16="http://schemas.microsoft.com/office/drawing/2014/main" id="{528CB3E0-180E-439C-BB2A-AB3D19CB7738}"/>
            </a:ext>
          </a:extLst>
        </xdr:cNvPr>
        <xdr:cNvSpPr txBox="1">
          <a:spLocks noChangeArrowheads="1"/>
        </xdr:cNvSpPr>
      </xdr:nvSpPr>
      <xdr:spPr bwMode="auto">
        <a:xfrm>
          <a:off x="3895725" y="14611350"/>
          <a:ext cx="1228725" cy="2867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64</xdr:row>
      <xdr:rowOff>36227</xdr:rowOff>
    </xdr:from>
    <xdr:to>
      <xdr:col>5</xdr:col>
      <xdr:colOff>637540</xdr:colOff>
      <xdr:row>76</xdr:row>
      <xdr:rowOff>251718</xdr:rowOff>
    </xdr:to>
    <xdr:sp macro="" textlink="">
      <xdr:nvSpPr>
        <xdr:cNvPr id="258249" name="Text Box 201" hidden="1">
          <a:extLst>
            <a:ext uri="{FF2B5EF4-FFF2-40B4-BE49-F238E27FC236}">
              <a16:creationId xmlns:a16="http://schemas.microsoft.com/office/drawing/2014/main" id="{8E1239BC-89AE-4D0E-A53A-F1AE812110A0}"/>
            </a:ext>
          </a:extLst>
        </xdr:cNvPr>
        <xdr:cNvSpPr txBox="1">
          <a:spLocks noChangeArrowheads="1"/>
        </xdr:cNvSpPr>
      </xdr:nvSpPr>
      <xdr:spPr bwMode="auto">
        <a:xfrm>
          <a:off x="3924300" y="14249400"/>
          <a:ext cx="1219200" cy="281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68</xdr:row>
      <xdr:rowOff>124387</xdr:rowOff>
    </xdr:from>
    <xdr:to>
      <xdr:col>5</xdr:col>
      <xdr:colOff>609600</xdr:colOff>
      <xdr:row>70</xdr:row>
      <xdr:rowOff>163331</xdr:rowOff>
    </xdr:to>
    <xdr:sp macro="" textlink="">
      <xdr:nvSpPr>
        <xdr:cNvPr id="258248" name="Text Box 200" hidden="1">
          <a:extLst>
            <a:ext uri="{FF2B5EF4-FFF2-40B4-BE49-F238E27FC236}">
              <a16:creationId xmlns:a16="http://schemas.microsoft.com/office/drawing/2014/main" id="{ED507346-25DF-430B-BC8D-4B8CF48A5846}"/>
            </a:ext>
          </a:extLst>
        </xdr:cNvPr>
        <xdr:cNvSpPr txBox="1">
          <a:spLocks noChangeArrowheads="1"/>
        </xdr:cNvSpPr>
      </xdr:nvSpPr>
      <xdr:spPr bwMode="auto">
        <a:xfrm>
          <a:off x="3895725" y="15087600"/>
          <a:ext cx="1228725"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69</xdr:row>
      <xdr:rowOff>142856</xdr:rowOff>
    </xdr:from>
    <xdr:to>
      <xdr:col>5</xdr:col>
      <xdr:colOff>609600</xdr:colOff>
      <xdr:row>71</xdr:row>
      <xdr:rowOff>79098</xdr:rowOff>
    </xdr:to>
    <xdr:sp macro="" textlink="">
      <xdr:nvSpPr>
        <xdr:cNvPr id="258247" name="Text Box 199" hidden="1">
          <a:extLst>
            <a:ext uri="{FF2B5EF4-FFF2-40B4-BE49-F238E27FC236}">
              <a16:creationId xmlns:a16="http://schemas.microsoft.com/office/drawing/2014/main" id="{5A0997F7-D40F-4DAC-97D7-9E05CEC6F874}"/>
            </a:ext>
          </a:extLst>
        </xdr:cNvPr>
        <xdr:cNvSpPr txBox="1">
          <a:spLocks noChangeArrowheads="1"/>
        </xdr:cNvSpPr>
      </xdr:nvSpPr>
      <xdr:spPr bwMode="auto">
        <a:xfrm>
          <a:off x="3895725" y="15630525"/>
          <a:ext cx="1228725" cy="295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70</xdr:row>
      <xdr:rowOff>126353</xdr:rowOff>
    </xdr:from>
    <xdr:to>
      <xdr:col>5</xdr:col>
      <xdr:colOff>609600</xdr:colOff>
      <xdr:row>72</xdr:row>
      <xdr:rowOff>44834</xdr:rowOff>
    </xdr:to>
    <xdr:sp macro="" textlink="">
      <xdr:nvSpPr>
        <xdr:cNvPr id="258246" name="Text Box 198" hidden="1">
          <a:extLst>
            <a:ext uri="{FF2B5EF4-FFF2-40B4-BE49-F238E27FC236}">
              <a16:creationId xmlns:a16="http://schemas.microsoft.com/office/drawing/2014/main" id="{08A79673-5B25-4496-A2E3-6902C90E132C}"/>
            </a:ext>
          </a:extLst>
        </xdr:cNvPr>
        <xdr:cNvSpPr txBox="1">
          <a:spLocks noChangeArrowheads="1"/>
        </xdr:cNvSpPr>
      </xdr:nvSpPr>
      <xdr:spPr bwMode="auto">
        <a:xfrm>
          <a:off x="3895725" y="15754350"/>
          <a:ext cx="1228725" cy="314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85</xdr:row>
      <xdr:rowOff>134132</xdr:rowOff>
    </xdr:from>
    <xdr:to>
      <xdr:col>5</xdr:col>
      <xdr:colOff>609600</xdr:colOff>
      <xdr:row>90</xdr:row>
      <xdr:rowOff>115613</xdr:rowOff>
    </xdr:to>
    <xdr:sp macro="" textlink="">
      <xdr:nvSpPr>
        <xdr:cNvPr id="258245" name="Text Box 197" hidden="1">
          <a:extLst>
            <a:ext uri="{FF2B5EF4-FFF2-40B4-BE49-F238E27FC236}">
              <a16:creationId xmlns:a16="http://schemas.microsoft.com/office/drawing/2014/main" id="{2C4F1FF0-EB87-4442-8098-99DE061C7E52}"/>
            </a:ext>
          </a:extLst>
        </xdr:cNvPr>
        <xdr:cNvSpPr txBox="1">
          <a:spLocks noChangeArrowheads="1"/>
        </xdr:cNvSpPr>
      </xdr:nvSpPr>
      <xdr:spPr bwMode="auto">
        <a:xfrm>
          <a:off x="3895725" y="18888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86</xdr:row>
      <xdr:rowOff>139768</xdr:rowOff>
    </xdr:from>
    <xdr:to>
      <xdr:col>5</xdr:col>
      <xdr:colOff>609600</xdr:colOff>
      <xdr:row>91</xdr:row>
      <xdr:rowOff>74388</xdr:rowOff>
    </xdr:to>
    <xdr:sp macro="" textlink="">
      <xdr:nvSpPr>
        <xdr:cNvPr id="258244" name="Text Box 196" hidden="1">
          <a:extLst>
            <a:ext uri="{FF2B5EF4-FFF2-40B4-BE49-F238E27FC236}">
              <a16:creationId xmlns:a16="http://schemas.microsoft.com/office/drawing/2014/main" id="{7C8DB0A3-6B58-4DB5-BAC0-C92465D60AB7}"/>
            </a:ext>
          </a:extLst>
        </xdr:cNvPr>
        <xdr:cNvSpPr txBox="1">
          <a:spLocks noChangeArrowheads="1"/>
        </xdr:cNvSpPr>
      </xdr:nvSpPr>
      <xdr:spPr bwMode="auto">
        <a:xfrm>
          <a:off x="3895725" y="19078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87</xdr:row>
      <xdr:rowOff>139027</xdr:rowOff>
    </xdr:from>
    <xdr:to>
      <xdr:col>5</xdr:col>
      <xdr:colOff>609600</xdr:colOff>
      <xdr:row>92</xdr:row>
      <xdr:rowOff>80503</xdr:rowOff>
    </xdr:to>
    <xdr:sp macro="" textlink="">
      <xdr:nvSpPr>
        <xdr:cNvPr id="258243" name="Text Box 195" hidden="1">
          <a:extLst>
            <a:ext uri="{FF2B5EF4-FFF2-40B4-BE49-F238E27FC236}">
              <a16:creationId xmlns:a16="http://schemas.microsoft.com/office/drawing/2014/main" id="{33A626EF-DD21-4A6D-8626-DF746C220FF1}"/>
            </a:ext>
          </a:extLst>
        </xdr:cNvPr>
        <xdr:cNvSpPr txBox="1">
          <a:spLocks noChangeArrowheads="1"/>
        </xdr:cNvSpPr>
      </xdr:nvSpPr>
      <xdr:spPr bwMode="auto">
        <a:xfrm>
          <a:off x="3895725" y="19269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89</xdr:row>
      <xdr:rowOff>26867</xdr:rowOff>
    </xdr:from>
    <xdr:to>
      <xdr:col>5</xdr:col>
      <xdr:colOff>609600</xdr:colOff>
      <xdr:row>93</xdr:row>
      <xdr:rowOff>3764</xdr:rowOff>
    </xdr:to>
    <xdr:sp macro="" textlink="">
      <xdr:nvSpPr>
        <xdr:cNvPr id="258242" name="Text Box 194" hidden="1">
          <a:extLst>
            <a:ext uri="{FF2B5EF4-FFF2-40B4-BE49-F238E27FC236}">
              <a16:creationId xmlns:a16="http://schemas.microsoft.com/office/drawing/2014/main" id="{ACF9B6C0-DA6C-429F-A775-F8A949C501CF}"/>
            </a:ext>
          </a:extLst>
        </xdr:cNvPr>
        <xdr:cNvSpPr txBox="1">
          <a:spLocks noChangeArrowheads="1"/>
        </xdr:cNvSpPr>
      </xdr:nvSpPr>
      <xdr:spPr bwMode="auto">
        <a:xfrm>
          <a:off x="3895725" y="19459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112</xdr:row>
      <xdr:rowOff>130748</xdr:rowOff>
    </xdr:from>
    <xdr:to>
      <xdr:col>5</xdr:col>
      <xdr:colOff>609600</xdr:colOff>
      <xdr:row>112</xdr:row>
      <xdr:rowOff>130832</xdr:rowOff>
    </xdr:to>
    <xdr:sp macro="" textlink="">
      <xdr:nvSpPr>
        <xdr:cNvPr id="258241" name="Text Box 193" hidden="1">
          <a:extLst>
            <a:ext uri="{FF2B5EF4-FFF2-40B4-BE49-F238E27FC236}">
              <a16:creationId xmlns:a16="http://schemas.microsoft.com/office/drawing/2014/main" id="{2448CB33-D312-47EE-AA89-6EEF17AFE723}"/>
            </a:ext>
          </a:extLst>
        </xdr:cNvPr>
        <xdr:cNvSpPr txBox="1">
          <a:spLocks noChangeArrowheads="1"/>
        </xdr:cNvSpPr>
      </xdr:nvSpPr>
      <xdr:spPr bwMode="auto">
        <a:xfrm>
          <a:off x="3895725" y="24307800"/>
          <a:ext cx="1228725"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113</xdr:row>
      <xdr:rowOff>122019</xdr:rowOff>
    </xdr:from>
    <xdr:to>
      <xdr:col>5</xdr:col>
      <xdr:colOff>609600</xdr:colOff>
      <xdr:row>136</xdr:row>
      <xdr:rowOff>153196</xdr:rowOff>
    </xdr:to>
    <xdr:sp macro="" textlink="">
      <xdr:nvSpPr>
        <xdr:cNvPr id="258240" name="Text Box 192" hidden="1">
          <a:extLst>
            <a:ext uri="{FF2B5EF4-FFF2-40B4-BE49-F238E27FC236}">
              <a16:creationId xmlns:a16="http://schemas.microsoft.com/office/drawing/2014/main" id="{27FACA8B-9AC9-492D-B9AE-1DE99877AC9F}"/>
            </a:ext>
          </a:extLst>
        </xdr:cNvPr>
        <xdr:cNvSpPr txBox="1">
          <a:spLocks noChangeArrowheads="1"/>
        </xdr:cNvSpPr>
      </xdr:nvSpPr>
      <xdr:spPr bwMode="auto">
        <a:xfrm>
          <a:off x="3895725" y="24498300"/>
          <a:ext cx="1228725"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113</xdr:row>
      <xdr:rowOff>122019</xdr:rowOff>
    </xdr:from>
    <xdr:to>
      <xdr:col>5</xdr:col>
      <xdr:colOff>609600</xdr:colOff>
      <xdr:row>135</xdr:row>
      <xdr:rowOff>47573</xdr:rowOff>
    </xdr:to>
    <xdr:sp macro="" textlink="">
      <xdr:nvSpPr>
        <xdr:cNvPr id="258239" name="Text Box 191" hidden="1">
          <a:extLst>
            <a:ext uri="{FF2B5EF4-FFF2-40B4-BE49-F238E27FC236}">
              <a16:creationId xmlns:a16="http://schemas.microsoft.com/office/drawing/2014/main" id="{12A75657-D1FD-48E7-B26A-E23F11EFFD6A}"/>
            </a:ext>
          </a:extLst>
        </xdr:cNvPr>
        <xdr:cNvSpPr txBox="1">
          <a:spLocks noChangeArrowheads="1"/>
        </xdr:cNvSpPr>
      </xdr:nvSpPr>
      <xdr:spPr bwMode="auto">
        <a:xfrm>
          <a:off x="3895725" y="24498300"/>
          <a:ext cx="1228725" cy="418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110</xdr:row>
      <xdr:rowOff>75463</xdr:rowOff>
    </xdr:from>
    <xdr:to>
      <xdr:col>6</xdr:col>
      <xdr:colOff>57150</xdr:colOff>
      <xdr:row>124</xdr:row>
      <xdr:rowOff>142795</xdr:rowOff>
    </xdr:to>
    <xdr:sp macro="" textlink="">
      <xdr:nvSpPr>
        <xdr:cNvPr id="258264" name="Text Box 216" hidden="1">
          <a:extLst>
            <a:ext uri="{FF2B5EF4-FFF2-40B4-BE49-F238E27FC236}">
              <a16:creationId xmlns:a16="http://schemas.microsoft.com/office/drawing/2014/main" id="{32D3F8EC-30B0-47ED-B68B-D2745D9FE719}"/>
            </a:ext>
          </a:extLst>
        </xdr:cNvPr>
        <xdr:cNvSpPr txBox="1">
          <a:spLocks noChangeArrowheads="1"/>
        </xdr:cNvSpPr>
      </xdr:nvSpPr>
      <xdr:spPr bwMode="auto">
        <a:xfrm>
          <a:off x="4070350" y="23774400"/>
          <a:ext cx="1447800" cy="266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68</xdr:row>
      <xdr:rowOff>44958</xdr:rowOff>
    </xdr:from>
    <xdr:to>
      <xdr:col>5</xdr:col>
      <xdr:colOff>628650</xdr:colOff>
      <xdr:row>82</xdr:row>
      <xdr:rowOff>24752</xdr:rowOff>
    </xdr:to>
    <xdr:sp macro="" textlink="">
      <xdr:nvSpPr>
        <xdr:cNvPr id="258263" name="Text Box 215" hidden="1">
          <a:extLst>
            <a:ext uri="{FF2B5EF4-FFF2-40B4-BE49-F238E27FC236}">
              <a16:creationId xmlns:a16="http://schemas.microsoft.com/office/drawing/2014/main" id="{B8ECEFF4-6ED8-40C8-A527-DADD8F88183E}"/>
            </a:ext>
          </a:extLst>
        </xdr:cNvPr>
        <xdr:cNvSpPr txBox="1">
          <a:spLocks noChangeArrowheads="1"/>
        </xdr:cNvSpPr>
      </xdr:nvSpPr>
      <xdr:spPr bwMode="auto">
        <a:xfrm>
          <a:off x="4057650" y="15093950"/>
          <a:ext cx="1270000" cy="310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68</xdr:row>
      <xdr:rowOff>130737</xdr:rowOff>
    </xdr:from>
    <xdr:to>
      <xdr:col>5</xdr:col>
      <xdr:colOff>628650</xdr:colOff>
      <xdr:row>82</xdr:row>
      <xdr:rowOff>11017</xdr:rowOff>
    </xdr:to>
    <xdr:sp macro="" textlink="">
      <xdr:nvSpPr>
        <xdr:cNvPr id="258262" name="Text Box 214" hidden="1">
          <a:extLst>
            <a:ext uri="{FF2B5EF4-FFF2-40B4-BE49-F238E27FC236}">
              <a16:creationId xmlns:a16="http://schemas.microsoft.com/office/drawing/2014/main" id="{1B07724C-74B2-44B2-95B2-591BFB7EDEF9}"/>
            </a:ext>
          </a:extLst>
        </xdr:cNvPr>
        <xdr:cNvSpPr txBox="1">
          <a:spLocks noChangeArrowheads="1"/>
        </xdr:cNvSpPr>
      </xdr:nvSpPr>
      <xdr:spPr bwMode="auto">
        <a:xfrm>
          <a:off x="4057650" y="15170150"/>
          <a:ext cx="1270000" cy="3016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69</xdr:row>
      <xdr:rowOff>117239</xdr:rowOff>
    </xdr:from>
    <xdr:to>
      <xdr:col>5</xdr:col>
      <xdr:colOff>628650</xdr:colOff>
      <xdr:row>73</xdr:row>
      <xdr:rowOff>126082</xdr:rowOff>
    </xdr:to>
    <xdr:sp macro="" textlink="">
      <xdr:nvSpPr>
        <xdr:cNvPr id="258261" name="Text Box 213" hidden="1">
          <a:extLst>
            <a:ext uri="{FF2B5EF4-FFF2-40B4-BE49-F238E27FC236}">
              <a16:creationId xmlns:a16="http://schemas.microsoft.com/office/drawing/2014/main" id="{CEE495F5-559D-4646-9C0A-93A0704C41BB}"/>
            </a:ext>
          </a:extLst>
        </xdr:cNvPr>
        <xdr:cNvSpPr txBox="1">
          <a:spLocks noChangeArrowheads="1"/>
        </xdr:cNvSpPr>
      </xdr:nvSpPr>
      <xdr:spPr bwMode="auto">
        <a:xfrm>
          <a:off x="4057650" y="15589250"/>
          <a:ext cx="12700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70</xdr:row>
      <xdr:rowOff>77222</xdr:rowOff>
    </xdr:from>
    <xdr:to>
      <xdr:col>5</xdr:col>
      <xdr:colOff>628650</xdr:colOff>
      <xdr:row>72</xdr:row>
      <xdr:rowOff>153310</xdr:rowOff>
    </xdr:to>
    <xdr:sp macro="" textlink="">
      <xdr:nvSpPr>
        <xdr:cNvPr id="258260" name="Text Box 212" hidden="1">
          <a:extLst>
            <a:ext uri="{FF2B5EF4-FFF2-40B4-BE49-F238E27FC236}">
              <a16:creationId xmlns:a16="http://schemas.microsoft.com/office/drawing/2014/main" id="{C1E386C8-3BD4-4BA5-B58A-CC03F761860C}"/>
            </a:ext>
          </a:extLst>
        </xdr:cNvPr>
        <xdr:cNvSpPr txBox="1">
          <a:spLocks noChangeArrowheads="1"/>
        </xdr:cNvSpPr>
      </xdr:nvSpPr>
      <xdr:spPr bwMode="auto">
        <a:xfrm>
          <a:off x="4057650" y="15773400"/>
          <a:ext cx="1270000" cy="43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75</xdr:row>
      <xdr:rowOff>101864</xdr:rowOff>
    </xdr:from>
    <xdr:to>
      <xdr:col>5</xdr:col>
      <xdr:colOff>609600</xdr:colOff>
      <xdr:row>76</xdr:row>
      <xdr:rowOff>271615</xdr:rowOff>
    </xdr:to>
    <xdr:sp macro="" textlink="">
      <xdr:nvSpPr>
        <xdr:cNvPr id="258259" name="Text Box 211" hidden="1">
          <a:extLst>
            <a:ext uri="{FF2B5EF4-FFF2-40B4-BE49-F238E27FC236}">
              <a16:creationId xmlns:a16="http://schemas.microsoft.com/office/drawing/2014/main" id="{FB973932-ED07-4252-8A9C-729FDDD09D07}"/>
            </a:ext>
          </a:extLst>
        </xdr:cNvPr>
        <xdr:cNvSpPr txBox="1">
          <a:spLocks noChangeArrowheads="1"/>
        </xdr:cNvSpPr>
      </xdr:nvSpPr>
      <xdr:spPr bwMode="auto">
        <a:xfrm>
          <a:off x="4038600" y="16681450"/>
          <a:ext cx="127000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91</xdr:row>
      <xdr:rowOff>18974</xdr:rowOff>
    </xdr:from>
    <xdr:to>
      <xdr:col>5</xdr:col>
      <xdr:colOff>609600</xdr:colOff>
      <xdr:row>94</xdr:row>
      <xdr:rowOff>122658</xdr:rowOff>
    </xdr:to>
    <xdr:sp macro="" textlink="">
      <xdr:nvSpPr>
        <xdr:cNvPr id="258258" name="Text Box 210" hidden="1">
          <a:extLst>
            <a:ext uri="{FF2B5EF4-FFF2-40B4-BE49-F238E27FC236}">
              <a16:creationId xmlns:a16="http://schemas.microsoft.com/office/drawing/2014/main" id="{CAB0220F-503E-4F53-B9B1-2AEA7D20AE6D}"/>
            </a:ext>
          </a:extLst>
        </xdr:cNvPr>
        <xdr:cNvSpPr txBox="1">
          <a:spLocks noChangeArrowheads="1"/>
        </xdr:cNvSpPr>
      </xdr:nvSpPr>
      <xdr:spPr bwMode="auto">
        <a:xfrm>
          <a:off x="4038600" y="197929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92</xdr:row>
      <xdr:rowOff>15176</xdr:rowOff>
    </xdr:from>
    <xdr:to>
      <xdr:col>5</xdr:col>
      <xdr:colOff>609600</xdr:colOff>
      <xdr:row>95</xdr:row>
      <xdr:rowOff>73091</xdr:rowOff>
    </xdr:to>
    <xdr:sp macro="" textlink="">
      <xdr:nvSpPr>
        <xdr:cNvPr id="258257" name="Text Box 209" hidden="1">
          <a:extLst>
            <a:ext uri="{FF2B5EF4-FFF2-40B4-BE49-F238E27FC236}">
              <a16:creationId xmlns:a16="http://schemas.microsoft.com/office/drawing/2014/main" id="{FF6E717C-A290-4A1B-A7C0-DACE87AF71D3}"/>
            </a:ext>
          </a:extLst>
        </xdr:cNvPr>
        <xdr:cNvSpPr txBox="1">
          <a:spLocks noChangeArrowheads="1"/>
        </xdr:cNvSpPr>
      </xdr:nvSpPr>
      <xdr:spPr bwMode="auto">
        <a:xfrm>
          <a:off x="4038600" y="199771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92</xdr:row>
      <xdr:rowOff>199378</xdr:rowOff>
    </xdr:from>
    <xdr:to>
      <xdr:col>5</xdr:col>
      <xdr:colOff>609600</xdr:colOff>
      <xdr:row>95</xdr:row>
      <xdr:rowOff>240700</xdr:rowOff>
    </xdr:to>
    <xdr:sp macro="" textlink="">
      <xdr:nvSpPr>
        <xdr:cNvPr id="258256" name="Text Box 208" hidden="1">
          <a:extLst>
            <a:ext uri="{FF2B5EF4-FFF2-40B4-BE49-F238E27FC236}">
              <a16:creationId xmlns:a16="http://schemas.microsoft.com/office/drawing/2014/main" id="{1A8BEE06-B210-4135-9CC9-DA455B18F1E1}"/>
            </a:ext>
          </a:extLst>
        </xdr:cNvPr>
        <xdr:cNvSpPr txBox="1">
          <a:spLocks noChangeArrowheads="1"/>
        </xdr:cNvSpPr>
      </xdr:nvSpPr>
      <xdr:spPr bwMode="auto">
        <a:xfrm>
          <a:off x="4038600" y="201612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93</xdr:row>
      <xdr:rowOff>120406</xdr:rowOff>
    </xdr:from>
    <xdr:to>
      <xdr:col>5</xdr:col>
      <xdr:colOff>609600</xdr:colOff>
      <xdr:row>96</xdr:row>
      <xdr:rowOff>153229</xdr:rowOff>
    </xdr:to>
    <xdr:sp macro="" textlink="">
      <xdr:nvSpPr>
        <xdr:cNvPr id="258255" name="Text Box 207" hidden="1">
          <a:extLst>
            <a:ext uri="{FF2B5EF4-FFF2-40B4-BE49-F238E27FC236}">
              <a16:creationId xmlns:a16="http://schemas.microsoft.com/office/drawing/2014/main" id="{953A1E13-DDAF-44FB-888D-DDF74B951FB1}"/>
            </a:ext>
          </a:extLst>
        </xdr:cNvPr>
        <xdr:cNvSpPr txBox="1">
          <a:spLocks noChangeArrowheads="1"/>
        </xdr:cNvSpPr>
      </xdr:nvSpPr>
      <xdr:spPr bwMode="auto">
        <a:xfrm>
          <a:off x="4038600" y="203454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117</xdr:row>
      <xdr:rowOff>162416</xdr:rowOff>
    </xdr:from>
    <xdr:to>
      <xdr:col>5</xdr:col>
      <xdr:colOff>609600</xdr:colOff>
      <xdr:row>117</xdr:row>
      <xdr:rowOff>175932</xdr:rowOff>
    </xdr:to>
    <xdr:sp macro="" textlink="">
      <xdr:nvSpPr>
        <xdr:cNvPr id="258254" name="Text Box 206" hidden="1">
          <a:extLst>
            <a:ext uri="{FF2B5EF4-FFF2-40B4-BE49-F238E27FC236}">
              <a16:creationId xmlns:a16="http://schemas.microsoft.com/office/drawing/2014/main" id="{D9DE189E-66BD-4688-ADDB-7CB148EACC8D}"/>
            </a:ext>
          </a:extLst>
        </xdr:cNvPr>
        <xdr:cNvSpPr txBox="1">
          <a:spLocks noChangeArrowheads="1"/>
        </xdr:cNvSpPr>
      </xdr:nvSpPr>
      <xdr:spPr bwMode="auto">
        <a:xfrm>
          <a:off x="4038600" y="251079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118</xdr:row>
      <xdr:rowOff>92020</xdr:rowOff>
    </xdr:from>
    <xdr:to>
      <xdr:col>5</xdr:col>
      <xdr:colOff>609600</xdr:colOff>
      <xdr:row>186</xdr:row>
      <xdr:rowOff>27000</xdr:rowOff>
    </xdr:to>
    <xdr:sp macro="" textlink="">
      <xdr:nvSpPr>
        <xdr:cNvPr id="258253" name="Text Box 205" hidden="1">
          <a:extLst>
            <a:ext uri="{FF2B5EF4-FFF2-40B4-BE49-F238E27FC236}">
              <a16:creationId xmlns:a16="http://schemas.microsoft.com/office/drawing/2014/main" id="{0D6A1F8B-E12A-4E13-9D60-38E8A4055AE0}"/>
            </a:ext>
          </a:extLst>
        </xdr:cNvPr>
        <xdr:cNvSpPr txBox="1">
          <a:spLocks noChangeArrowheads="1"/>
        </xdr:cNvSpPr>
      </xdr:nvSpPr>
      <xdr:spPr bwMode="auto">
        <a:xfrm>
          <a:off x="4038600" y="25292050"/>
          <a:ext cx="1270000" cy="431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118</xdr:row>
      <xdr:rowOff>92020</xdr:rowOff>
    </xdr:from>
    <xdr:to>
      <xdr:col>5</xdr:col>
      <xdr:colOff>609600</xdr:colOff>
      <xdr:row>184</xdr:row>
      <xdr:rowOff>113247</xdr:rowOff>
    </xdr:to>
    <xdr:sp macro="" textlink="">
      <xdr:nvSpPr>
        <xdr:cNvPr id="258252" name="Text Box 204" hidden="1">
          <a:extLst>
            <a:ext uri="{FF2B5EF4-FFF2-40B4-BE49-F238E27FC236}">
              <a16:creationId xmlns:a16="http://schemas.microsoft.com/office/drawing/2014/main" id="{47895715-5CDB-4AB6-B154-137AD3D1B846}"/>
            </a:ext>
          </a:extLst>
        </xdr:cNvPr>
        <xdr:cNvSpPr txBox="1">
          <a:spLocks noChangeArrowheads="1"/>
        </xdr:cNvSpPr>
      </xdr:nvSpPr>
      <xdr:spPr bwMode="auto">
        <a:xfrm>
          <a:off x="4038600" y="25292050"/>
          <a:ext cx="127000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134821</xdr:rowOff>
    </xdr:from>
    <xdr:to>
      <xdr:col>6</xdr:col>
      <xdr:colOff>57150</xdr:colOff>
      <xdr:row>101</xdr:row>
      <xdr:rowOff>54262</xdr:rowOff>
    </xdr:to>
    <xdr:sp macro="" textlink="">
      <xdr:nvSpPr>
        <xdr:cNvPr id="258277" name="Text Box 229" hidden="1">
          <a:extLst>
            <a:ext uri="{FF2B5EF4-FFF2-40B4-BE49-F238E27FC236}">
              <a16:creationId xmlns:a16="http://schemas.microsoft.com/office/drawing/2014/main" id="{95CC9B08-4CA0-4E0E-B9E6-6DFE2B2DB9FD}"/>
            </a:ext>
          </a:extLst>
        </xdr:cNvPr>
        <xdr:cNvSpPr txBox="1">
          <a:spLocks noChangeArrowheads="1"/>
        </xdr:cNvSpPr>
      </xdr:nvSpPr>
      <xdr:spPr bwMode="auto">
        <a:xfrm>
          <a:off x="4070350" y="19392900"/>
          <a:ext cx="1447800" cy="265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28843</xdr:rowOff>
    </xdr:from>
    <xdr:to>
      <xdr:col>5</xdr:col>
      <xdr:colOff>628650</xdr:colOff>
      <xdr:row>59</xdr:row>
      <xdr:rowOff>28243</xdr:rowOff>
    </xdr:to>
    <xdr:sp macro="" textlink="">
      <xdr:nvSpPr>
        <xdr:cNvPr id="258276" name="Text Box 228" hidden="1">
          <a:extLst>
            <a:ext uri="{FF2B5EF4-FFF2-40B4-BE49-F238E27FC236}">
              <a16:creationId xmlns:a16="http://schemas.microsoft.com/office/drawing/2014/main" id="{2CC8BC3A-3946-4F48-B15C-DA927D74508B}"/>
            </a:ext>
          </a:extLst>
        </xdr:cNvPr>
        <xdr:cNvSpPr txBox="1">
          <a:spLocks noChangeArrowheads="1"/>
        </xdr:cNvSpPr>
      </xdr:nvSpPr>
      <xdr:spPr bwMode="auto">
        <a:xfrm>
          <a:off x="4051300" y="10109200"/>
          <a:ext cx="1276350" cy="309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105043</xdr:rowOff>
    </xdr:from>
    <xdr:to>
      <xdr:col>5</xdr:col>
      <xdr:colOff>628650</xdr:colOff>
      <xdr:row>59</xdr:row>
      <xdr:rowOff>27891</xdr:rowOff>
    </xdr:to>
    <xdr:sp macro="" textlink="">
      <xdr:nvSpPr>
        <xdr:cNvPr id="258275" name="Text Box 227" hidden="1">
          <a:extLst>
            <a:ext uri="{FF2B5EF4-FFF2-40B4-BE49-F238E27FC236}">
              <a16:creationId xmlns:a16="http://schemas.microsoft.com/office/drawing/2014/main" id="{5DA4C422-0C43-4D25-97F6-DAE615713B9A}"/>
            </a:ext>
          </a:extLst>
        </xdr:cNvPr>
        <xdr:cNvSpPr txBox="1">
          <a:spLocks noChangeArrowheads="1"/>
        </xdr:cNvSpPr>
      </xdr:nvSpPr>
      <xdr:spPr bwMode="auto">
        <a:xfrm>
          <a:off x="4051300" y="10185400"/>
          <a:ext cx="1276350" cy="299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52</xdr:row>
      <xdr:rowOff>390617</xdr:rowOff>
    </xdr:from>
    <xdr:to>
      <xdr:col>5</xdr:col>
      <xdr:colOff>628650</xdr:colOff>
      <xdr:row>54</xdr:row>
      <xdr:rowOff>56522</xdr:rowOff>
    </xdr:to>
    <xdr:sp macro="" textlink="">
      <xdr:nvSpPr>
        <xdr:cNvPr id="258274" name="Text Box 226" hidden="1">
          <a:extLst>
            <a:ext uri="{FF2B5EF4-FFF2-40B4-BE49-F238E27FC236}">
              <a16:creationId xmlns:a16="http://schemas.microsoft.com/office/drawing/2014/main" id="{3A31F99C-A06C-43EB-AFB4-C282301D81A7}"/>
            </a:ext>
          </a:extLst>
        </xdr:cNvPr>
        <xdr:cNvSpPr txBox="1">
          <a:spLocks noChangeArrowheads="1"/>
        </xdr:cNvSpPr>
      </xdr:nvSpPr>
      <xdr:spPr bwMode="auto">
        <a:xfrm>
          <a:off x="4051300" y="11156950"/>
          <a:ext cx="1276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53</xdr:row>
      <xdr:rowOff>64931</xdr:rowOff>
    </xdr:from>
    <xdr:to>
      <xdr:col>5</xdr:col>
      <xdr:colOff>628650</xdr:colOff>
      <xdr:row>53</xdr:row>
      <xdr:rowOff>341469</xdr:rowOff>
    </xdr:to>
    <xdr:sp macro="" textlink="">
      <xdr:nvSpPr>
        <xdr:cNvPr id="258273" name="Text Box 225" hidden="1">
          <a:extLst>
            <a:ext uri="{FF2B5EF4-FFF2-40B4-BE49-F238E27FC236}">
              <a16:creationId xmlns:a16="http://schemas.microsoft.com/office/drawing/2014/main" id="{381C53F8-AFF3-45DB-8997-9B396D226184}"/>
            </a:ext>
          </a:extLst>
        </xdr:cNvPr>
        <xdr:cNvSpPr txBox="1">
          <a:spLocks noChangeArrowheads="1"/>
        </xdr:cNvSpPr>
      </xdr:nvSpPr>
      <xdr:spPr bwMode="auto">
        <a:xfrm>
          <a:off x="4051300" y="11366500"/>
          <a:ext cx="1276350" cy="43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54130</xdr:rowOff>
    </xdr:from>
    <xdr:to>
      <xdr:col>5</xdr:col>
      <xdr:colOff>609600</xdr:colOff>
      <xdr:row>57</xdr:row>
      <xdr:rowOff>45547</xdr:rowOff>
    </xdr:to>
    <xdr:sp macro="" textlink="">
      <xdr:nvSpPr>
        <xdr:cNvPr id="258272" name="Text Box 224" hidden="1">
          <a:extLst>
            <a:ext uri="{FF2B5EF4-FFF2-40B4-BE49-F238E27FC236}">
              <a16:creationId xmlns:a16="http://schemas.microsoft.com/office/drawing/2014/main" id="{32988064-F72C-4D53-839B-755EB0FA4F96}"/>
            </a:ext>
          </a:extLst>
        </xdr:cNvPr>
        <xdr:cNvSpPr txBox="1">
          <a:spLocks noChangeArrowheads="1"/>
        </xdr:cNvSpPr>
      </xdr:nvSpPr>
      <xdr:spPr bwMode="auto">
        <a:xfrm>
          <a:off x="4032250" y="12369800"/>
          <a:ext cx="127635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48014</xdr:rowOff>
    </xdr:from>
    <xdr:to>
      <xdr:col>5</xdr:col>
      <xdr:colOff>609600</xdr:colOff>
      <xdr:row>73</xdr:row>
      <xdr:rowOff>125849</xdr:rowOff>
    </xdr:to>
    <xdr:sp macro="" textlink="">
      <xdr:nvSpPr>
        <xdr:cNvPr id="258271" name="Text Box 223" hidden="1">
          <a:extLst>
            <a:ext uri="{FF2B5EF4-FFF2-40B4-BE49-F238E27FC236}">
              <a16:creationId xmlns:a16="http://schemas.microsoft.com/office/drawing/2014/main" id="{347C8171-92B9-4E95-8014-074746C475D5}"/>
            </a:ext>
          </a:extLst>
        </xdr:cNvPr>
        <xdr:cNvSpPr txBox="1">
          <a:spLocks noChangeArrowheads="1"/>
        </xdr:cNvSpPr>
      </xdr:nvSpPr>
      <xdr:spPr bwMode="auto">
        <a:xfrm>
          <a:off x="4032250" y="154940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27050</xdr:rowOff>
    </xdr:from>
    <xdr:to>
      <xdr:col>5</xdr:col>
      <xdr:colOff>609600</xdr:colOff>
      <xdr:row>74</xdr:row>
      <xdr:rowOff>106507</xdr:rowOff>
    </xdr:to>
    <xdr:sp macro="" textlink="">
      <xdr:nvSpPr>
        <xdr:cNvPr id="258270" name="Text Box 222" hidden="1">
          <a:extLst>
            <a:ext uri="{FF2B5EF4-FFF2-40B4-BE49-F238E27FC236}">
              <a16:creationId xmlns:a16="http://schemas.microsoft.com/office/drawing/2014/main" id="{AD6A47B9-BC84-4B1C-9739-D29295C0ECBB}"/>
            </a:ext>
          </a:extLst>
        </xdr:cNvPr>
        <xdr:cNvSpPr txBox="1">
          <a:spLocks noChangeArrowheads="1"/>
        </xdr:cNvSpPr>
      </xdr:nvSpPr>
      <xdr:spPr bwMode="auto">
        <a:xfrm>
          <a:off x="4032250" y="156781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182707</xdr:rowOff>
    </xdr:from>
    <xdr:to>
      <xdr:col>5</xdr:col>
      <xdr:colOff>609600</xdr:colOff>
      <xdr:row>75</xdr:row>
      <xdr:rowOff>126350</xdr:rowOff>
    </xdr:to>
    <xdr:sp macro="" textlink="">
      <xdr:nvSpPr>
        <xdr:cNvPr id="258269" name="Text Box 221" hidden="1">
          <a:extLst>
            <a:ext uri="{FF2B5EF4-FFF2-40B4-BE49-F238E27FC236}">
              <a16:creationId xmlns:a16="http://schemas.microsoft.com/office/drawing/2014/main" id="{D02085ED-1FBB-41D5-B678-7EB79F720B80}"/>
            </a:ext>
          </a:extLst>
        </xdr:cNvPr>
        <xdr:cNvSpPr txBox="1">
          <a:spLocks noChangeArrowheads="1"/>
        </xdr:cNvSpPr>
      </xdr:nvSpPr>
      <xdr:spPr bwMode="auto">
        <a:xfrm>
          <a:off x="4032250" y="158623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71</xdr:row>
      <xdr:rowOff>179273</xdr:rowOff>
    </xdr:from>
    <xdr:to>
      <xdr:col>5</xdr:col>
      <xdr:colOff>609600</xdr:colOff>
      <xdr:row>76</xdr:row>
      <xdr:rowOff>126351</xdr:rowOff>
    </xdr:to>
    <xdr:sp macro="" textlink="">
      <xdr:nvSpPr>
        <xdr:cNvPr id="258268" name="Text Box 220" hidden="1">
          <a:extLst>
            <a:ext uri="{FF2B5EF4-FFF2-40B4-BE49-F238E27FC236}">
              <a16:creationId xmlns:a16="http://schemas.microsoft.com/office/drawing/2014/main" id="{30FEB94E-615E-4F21-AD75-CEC1B7A11FAA}"/>
            </a:ext>
          </a:extLst>
        </xdr:cNvPr>
        <xdr:cNvSpPr txBox="1">
          <a:spLocks noChangeArrowheads="1"/>
        </xdr:cNvSpPr>
      </xdr:nvSpPr>
      <xdr:spPr bwMode="auto">
        <a:xfrm>
          <a:off x="4032250" y="160464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96</xdr:row>
      <xdr:rowOff>38517</xdr:rowOff>
    </xdr:from>
    <xdr:to>
      <xdr:col>5</xdr:col>
      <xdr:colOff>609600</xdr:colOff>
      <xdr:row>96</xdr:row>
      <xdr:rowOff>114444</xdr:rowOff>
    </xdr:to>
    <xdr:sp macro="" textlink="">
      <xdr:nvSpPr>
        <xdr:cNvPr id="258267" name="Text Box 219" hidden="1">
          <a:extLst>
            <a:ext uri="{FF2B5EF4-FFF2-40B4-BE49-F238E27FC236}">
              <a16:creationId xmlns:a16="http://schemas.microsoft.com/office/drawing/2014/main" id="{55D99C49-01EF-4BCD-AA72-045FA10CBAF5}"/>
            </a:ext>
          </a:extLst>
        </xdr:cNvPr>
        <xdr:cNvSpPr txBox="1">
          <a:spLocks noChangeArrowheads="1"/>
        </xdr:cNvSpPr>
      </xdr:nvSpPr>
      <xdr:spPr bwMode="auto">
        <a:xfrm>
          <a:off x="4032250" y="210502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20499</xdr:rowOff>
    </xdr:from>
    <xdr:to>
      <xdr:col>5</xdr:col>
      <xdr:colOff>609600</xdr:colOff>
      <xdr:row>119</xdr:row>
      <xdr:rowOff>149879</xdr:rowOff>
    </xdr:to>
    <xdr:sp macro="" textlink="">
      <xdr:nvSpPr>
        <xdr:cNvPr id="258266" name="Text Box 218" hidden="1">
          <a:extLst>
            <a:ext uri="{FF2B5EF4-FFF2-40B4-BE49-F238E27FC236}">
              <a16:creationId xmlns:a16="http://schemas.microsoft.com/office/drawing/2014/main" id="{7FE7C95E-9F89-47B6-BA2C-B7A3EA64D893}"/>
            </a:ext>
          </a:extLst>
        </xdr:cNvPr>
        <xdr:cNvSpPr txBox="1">
          <a:spLocks noChangeArrowheads="1"/>
        </xdr:cNvSpPr>
      </xdr:nvSpPr>
      <xdr:spPr bwMode="auto">
        <a:xfrm>
          <a:off x="4032250" y="21234400"/>
          <a:ext cx="1276350" cy="432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20499</xdr:rowOff>
    </xdr:from>
    <xdr:to>
      <xdr:col>5</xdr:col>
      <xdr:colOff>609600</xdr:colOff>
      <xdr:row>118</xdr:row>
      <xdr:rowOff>111463</xdr:rowOff>
    </xdr:to>
    <xdr:sp macro="" textlink="">
      <xdr:nvSpPr>
        <xdr:cNvPr id="258265" name="Text Box 217" hidden="1">
          <a:extLst>
            <a:ext uri="{FF2B5EF4-FFF2-40B4-BE49-F238E27FC236}">
              <a16:creationId xmlns:a16="http://schemas.microsoft.com/office/drawing/2014/main" id="{5EF53326-2A30-46EC-9F7B-B44361B63BE2}"/>
            </a:ext>
          </a:extLst>
        </xdr:cNvPr>
        <xdr:cNvSpPr txBox="1">
          <a:spLocks noChangeArrowheads="1"/>
        </xdr:cNvSpPr>
      </xdr:nvSpPr>
      <xdr:spPr bwMode="auto">
        <a:xfrm>
          <a:off x="4032250" y="21234400"/>
          <a:ext cx="127635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177502</xdr:rowOff>
    </xdr:from>
    <xdr:to>
      <xdr:col>6</xdr:col>
      <xdr:colOff>38100</xdr:colOff>
      <xdr:row>93</xdr:row>
      <xdr:rowOff>176787</xdr:rowOff>
    </xdr:to>
    <xdr:sp macro="" textlink="">
      <xdr:nvSpPr>
        <xdr:cNvPr id="258290" name="Text Box 242" hidden="1">
          <a:extLst>
            <a:ext uri="{FF2B5EF4-FFF2-40B4-BE49-F238E27FC236}">
              <a16:creationId xmlns:a16="http://schemas.microsoft.com/office/drawing/2014/main" id="{181F0DB9-F518-4F2B-930B-022E067A88A8}"/>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289" name="Text Box 241" hidden="1">
          <a:extLst>
            <a:ext uri="{FF2B5EF4-FFF2-40B4-BE49-F238E27FC236}">
              <a16:creationId xmlns:a16="http://schemas.microsoft.com/office/drawing/2014/main" id="{67079520-CC4E-4838-B7D6-08EF82026BE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288" name="Text Box 240" hidden="1">
          <a:extLst>
            <a:ext uri="{FF2B5EF4-FFF2-40B4-BE49-F238E27FC236}">
              <a16:creationId xmlns:a16="http://schemas.microsoft.com/office/drawing/2014/main" id="{43FDC40D-2D6F-4CB9-A386-16419CF73DD3}"/>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287" name="Text Box 239" hidden="1">
          <a:extLst>
            <a:ext uri="{FF2B5EF4-FFF2-40B4-BE49-F238E27FC236}">
              <a16:creationId xmlns:a16="http://schemas.microsoft.com/office/drawing/2014/main" id="{007FB241-44BD-48F3-A96E-4FD65754782D}"/>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107419</xdr:rowOff>
    </xdr:from>
    <xdr:to>
      <xdr:col>5</xdr:col>
      <xdr:colOff>609600</xdr:colOff>
      <xdr:row>52</xdr:row>
      <xdr:rowOff>400400</xdr:rowOff>
    </xdr:to>
    <xdr:sp macro="" textlink="">
      <xdr:nvSpPr>
        <xdr:cNvPr id="258286" name="Text Box 238" hidden="1">
          <a:extLst>
            <a:ext uri="{FF2B5EF4-FFF2-40B4-BE49-F238E27FC236}">
              <a16:creationId xmlns:a16="http://schemas.microsoft.com/office/drawing/2014/main" id="{7F328CD4-240B-48E8-8F9A-BD377D6CE763}"/>
            </a:ext>
          </a:extLst>
        </xdr:cNvPr>
        <xdr:cNvSpPr txBox="1">
          <a:spLocks noChangeArrowheads="1"/>
        </xdr:cNvSpPr>
      </xdr:nvSpPr>
      <xdr:spPr bwMode="auto">
        <a:xfrm>
          <a:off x="4008120" y="10279380"/>
          <a:ext cx="126492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153335</xdr:rowOff>
    </xdr:to>
    <xdr:sp macro="" textlink="">
      <xdr:nvSpPr>
        <xdr:cNvPr id="258285" name="Text Box 237" hidden="1">
          <a:extLst>
            <a:ext uri="{FF2B5EF4-FFF2-40B4-BE49-F238E27FC236}">
              <a16:creationId xmlns:a16="http://schemas.microsoft.com/office/drawing/2014/main" id="{5DFCAA6C-AD22-439E-9E84-3C9ED313574D}"/>
            </a:ext>
          </a:extLst>
        </xdr:cNvPr>
        <xdr:cNvSpPr txBox="1">
          <a:spLocks noChangeArrowheads="1"/>
        </xdr:cNvSpPr>
      </xdr:nvSpPr>
      <xdr:spPr bwMode="auto">
        <a:xfrm>
          <a:off x="4008120" y="11353800"/>
          <a:ext cx="126492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259278</xdr:rowOff>
    </xdr:to>
    <xdr:sp macro="" textlink="">
      <xdr:nvSpPr>
        <xdr:cNvPr id="258284" name="Text Box 236" hidden="1">
          <a:extLst>
            <a:ext uri="{FF2B5EF4-FFF2-40B4-BE49-F238E27FC236}">
              <a16:creationId xmlns:a16="http://schemas.microsoft.com/office/drawing/2014/main" id="{7A3924CB-4217-443E-A6EB-B94863B8803A}"/>
            </a:ext>
          </a:extLst>
        </xdr:cNvPr>
        <xdr:cNvSpPr txBox="1">
          <a:spLocks noChangeArrowheads="1"/>
        </xdr:cNvSpPr>
      </xdr:nvSpPr>
      <xdr:spPr bwMode="auto">
        <a:xfrm>
          <a:off x="4008120" y="13906500"/>
          <a:ext cx="1264920" cy="1287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70</xdr:row>
      <xdr:rowOff>182919</xdr:rowOff>
    </xdr:to>
    <xdr:sp macro="" textlink="">
      <xdr:nvSpPr>
        <xdr:cNvPr id="258283" name="Text Box 235" hidden="1">
          <a:extLst>
            <a:ext uri="{FF2B5EF4-FFF2-40B4-BE49-F238E27FC236}">
              <a16:creationId xmlns:a16="http://schemas.microsoft.com/office/drawing/2014/main" id="{00BD35A4-AC98-4DD0-897B-1EB83262B45F}"/>
            </a:ext>
          </a:extLst>
        </xdr:cNvPr>
        <xdr:cNvSpPr txBox="1">
          <a:spLocks noChangeArrowheads="1"/>
        </xdr:cNvSpPr>
      </xdr:nvSpPr>
      <xdr:spPr bwMode="auto">
        <a:xfrm>
          <a:off x="4008120" y="14089380"/>
          <a:ext cx="1264920" cy="1691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282" name="Text Box 234" hidden="1">
          <a:extLst>
            <a:ext uri="{FF2B5EF4-FFF2-40B4-BE49-F238E27FC236}">
              <a16:creationId xmlns:a16="http://schemas.microsoft.com/office/drawing/2014/main" id="{87507C18-A2E7-41FB-ABA6-AF7247725E06}"/>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281" name="Text Box 233" hidden="1">
          <a:extLst>
            <a:ext uri="{FF2B5EF4-FFF2-40B4-BE49-F238E27FC236}">
              <a16:creationId xmlns:a16="http://schemas.microsoft.com/office/drawing/2014/main" id="{705D0224-AAEA-4627-ADE8-8BAC07CCDD58}"/>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84155</xdr:rowOff>
    </xdr:from>
    <xdr:to>
      <xdr:col>5</xdr:col>
      <xdr:colOff>609600</xdr:colOff>
      <xdr:row>92</xdr:row>
      <xdr:rowOff>149178</xdr:rowOff>
    </xdr:to>
    <xdr:sp macro="" textlink="">
      <xdr:nvSpPr>
        <xdr:cNvPr id="258280" name="Text Box 232" hidden="1">
          <a:extLst>
            <a:ext uri="{FF2B5EF4-FFF2-40B4-BE49-F238E27FC236}">
              <a16:creationId xmlns:a16="http://schemas.microsoft.com/office/drawing/2014/main" id="{8035AB5B-D755-4F9B-992C-CCFA8107C08D}"/>
            </a:ext>
          </a:extLst>
        </xdr:cNvPr>
        <xdr:cNvSpPr txBox="1">
          <a:spLocks noChangeArrowheads="1"/>
        </xdr:cNvSpPr>
      </xdr:nvSpPr>
      <xdr:spPr bwMode="auto">
        <a:xfrm>
          <a:off x="4008120" y="1994154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5035</xdr:rowOff>
    </xdr:from>
    <xdr:to>
      <xdr:col>5</xdr:col>
      <xdr:colOff>609600</xdr:colOff>
      <xdr:row>119</xdr:row>
      <xdr:rowOff>55489</xdr:rowOff>
    </xdr:to>
    <xdr:sp macro="" textlink="">
      <xdr:nvSpPr>
        <xdr:cNvPr id="258279" name="Text Box 231" hidden="1">
          <a:extLst>
            <a:ext uri="{FF2B5EF4-FFF2-40B4-BE49-F238E27FC236}">
              <a16:creationId xmlns:a16="http://schemas.microsoft.com/office/drawing/2014/main" id="{0852D8D1-94A3-4624-921F-8E6550264C1E}"/>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5035</xdr:rowOff>
    </xdr:from>
    <xdr:to>
      <xdr:col>5</xdr:col>
      <xdr:colOff>609600</xdr:colOff>
      <xdr:row>119</xdr:row>
      <xdr:rowOff>55489</xdr:rowOff>
    </xdr:to>
    <xdr:sp macro="" textlink="">
      <xdr:nvSpPr>
        <xdr:cNvPr id="258278" name="Text Box 230" hidden="1">
          <a:extLst>
            <a:ext uri="{FF2B5EF4-FFF2-40B4-BE49-F238E27FC236}">
              <a16:creationId xmlns:a16="http://schemas.microsoft.com/office/drawing/2014/main" id="{570898CE-6FCF-4E1D-B85E-661268993C1F}"/>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295" name="Text Box 247" hidden="1">
          <a:extLst>
            <a:ext uri="{FF2B5EF4-FFF2-40B4-BE49-F238E27FC236}">
              <a16:creationId xmlns:a16="http://schemas.microsoft.com/office/drawing/2014/main" id="{5EC1E6D8-AC98-4F11-AC1D-87A73FFC9979}"/>
            </a:ext>
          </a:extLst>
        </xdr:cNvPr>
        <xdr:cNvSpPr txBox="1">
          <a:spLocks noChangeArrowheads="1"/>
        </xdr:cNvSpPr>
      </xdr:nvSpPr>
      <xdr:spPr bwMode="auto">
        <a:xfrm>
          <a:off x="15339060" y="2095500"/>
          <a:ext cx="13182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177502</xdr:rowOff>
    </xdr:from>
    <xdr:to>
      <xdr:col>6</xdr:col>
      <xdr:colOff>38100</xdr:colOff>
      <xdr:row>93</xdr:row>
      <xdr:rowOff>176787</xdr:rowOff>
    </xdr:to>
    <xdr:sp macro="" textlink="">
      <xdr:nvSpPr>
        <xdr:cNvPr id="258309" name="Text Box 261" hidden="1">
          <a:extLst>
            <a:ext uri="{FF2B5EF4-FFF2-40B4-BE49-F238E27FC236}">
              <a16:creationId xmlns:a16="http://schemas.microsoft.com/office/drawing/2014/main" id="{80071E85-31BB-4362-A482-9DD8DB44131A}"/>
            </a:ext>
          </a:extLst>
        </xdr:cNvPr>
        <xdr:cNvSpPr txBox="1">
          <a:spLocks noChangeArrowheads="1"/>
        </xdr:cNvSpPr>
      </xdr:nvSpPr>
      <xdr:spPr bwMode="auto">
        <a:xfrm>
          <a:off x="4070350" y="18726150"/>
          <a:ext cx="1428750" cy="172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08" name="Text Box 260" hidden="1">
          <a:extLst>
            <a:ext uri="{FF2B5EF4-FFF2-40B4-BE49-F238E27FC236}">
              <a16:creationId xmlns:a16="http://schemas.microsoft.com/office/drawing/2014/main" id="{60E42B37-1680-4E29-A5FA-4D7ADF31C626}"/>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07" name="Text Box 259" hidden="1">
          <a:extLst>
            <a:ext uri="{FF2B5EF4-FFF2-40B4-BE49-F238E27FC236}">
              <a16:creationId xmlns:a16="http://schemas.microsoft.com/office/drawing/2014/main" id="{3A3452A1-4108-40A3-A5DA-AB3902CB68DD}"/>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06" name="Text Box 258" hidden="1">
          <a:extLst>
            <a:ext uri="{FF2B5EF4-FFF2-40B4-BE49-F238E27FC236}">
              <a16:creationId xmlns:a16="http://schemas.microsoft.com/office/drawing/2014/main" id="{A0B29146-A435-4123-ACF0-F7876446757F}"/>
            </a:ext>
          </a:extLst>
        </xdr:cNvPr>
        <xdr:cNvSpPr txBox="1">
          <a:spLocks noChangeArrowheads="1"/>
        </xdr:cNvSpPr>
      </xdr:nvSpPr>
      <xdr:spPr bwMode="auto">
        <a:xfrm>
          <a:off x="4032250" y="10191750"/>
          <a:ext cx="1276350" cy="102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305" name="Text Box 257" hidden="1">
          <a:extLst>
            <a:ext uri="{FF2B5EF4-FFF2-40B4-BE49-F238E27FC236}">
              <a16:creationId xmlns:a16="http://schemas.microsoft.com/office/drawing/2014/main" id="{CA6C935D-630E-4AE4-9EE8-6A15C814E8EA}"/>
            </a:ext>
          </a:extLst>
        </xdr:cNvPr>
        <xdr:cNvSpPr txBox="1">
          <a:spLocks noChangeArrowheads="1"/>
        </xdr:cNvSpPr>
      </xdr:nvSpPr>
      <xdr:spPr bwMode="auto">
        <a:xfrm>
          <a:off x="4032250" y="1032510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304" name="Text Box 256" hidden="1">
          <a:extLst>
            <a:ext uri="{FF2B5EF4-FFF2-40B4-BE49-F238E27FC236}">
              <a16:creationId xmlns:a16="http://schemas.microsoft.com/office/drawing/2014/main" id="{96670D16-1893-44E1-A242-D0AAAF70882E}"/>
            </a:ext>
          </a:extLst>
        </xdr:cNvPr>
        <xdr:cNvSpPr txBox="1">
          <a:spLocks noChangeArrowheads="1"/>
        </xdr:cNvSpPr>
      </xdr:nvSpPr>
      <xdr:spPr bwMode="auto">
        <a:xfrm>
          <a:off x="4032250" y="1142365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303" name="Text Box 255" hidden="1">
          <a:extLst>
            <a:ext uri="{FF2B5EF4-FFF2-40B4-BE49-F238E27FC236}">
              <a16:creationId xmlns:a16="http://schemas.microsoft.com/office/drawing/2014/main" id="{D3517B08-808E-4F52-951B-4BD8469409FD}"/>
            </a:ext>
          </a:extLst>
        </xdr:cNvPr>
        <xdr:cNvSpPr txBox="1">
          <a:spLocks noChangeArrowheads="1"/>
        </xdr:cNvSpPr>
      </xdr:nvSpPr>
      <xdr:spPr bwMode="auto">
        <a:xfrm>
          <a:off x="4032250" y="1399540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302" name="Text Box 254" hidden="1">
          <a:extLst>
            <a:ext uri="{FF2B5EF4-FFF2-40B4-BE49-F238E27FC236}">
              <a16:creationId xmlns:a16="http://schemas.microsoft.com/office/drawing/2014/main" id="{81A626F8-52C5-436F-BC99-8A0EFE87E056}"/>
            </a:ext>
          </a:extLst>
        </xdr:cNvPr>
        <xdr:cNvSpPr txBox="1">
          <a:spLocks noChangeArrowheads="1"/>
        </xdr:cNvSpPr>
      </xdr:nvSpPr>
      <xdr:spPr bwMode="auto">
        <a:xfrm>
          <a:off x="4032250" y="1417955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301" name="Text Box 253" hidden="1">
          <a:extLst>
            <a:ext uri="{FF2B5EF4-FFF2-40B4-BE49-F238E27FC236}">
              <a16:creationId xmlns:a16="http://schemas.microsoft.com/office/drawing/2014/main" id="{507FEEB7-3BB2-4230-AC0E-67D2CA4B51F4}"/>
            </a:ext>
          </a:extLst>
        </xdr:cNvPr>
        <xdr:cNvSpPr txBox="1">
          <a:spLocks noChangeArrowheads="1"/>
        </xdr:cNvSpPr>
      </xdr:nvSpPr>
      <xdr:spPr bwMode="auto">
        <a:xfrm>
          <a:off x="4032250" y="143637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300" name="Text Box 252" hidden="1">
          <a:extLst>
            <a:ext uri="{FF2B5EF4-FFF2-40B4-BE49-F238E27FC236}">
              <a16:creationId xmlns:a16="http://schemas.microsoft.com/office/drawing/2014/main" id="{9BED1156-F97F-42C9-BDF7-B6B097A3379E}"/>
            </a:ext>
          </a:extLst>
        </xdr:cNvPr>
        <xdr:cNvSpPr txBox="1">
          <a:spLocks noChangeArrowheads="1"/>
        </xdr:cNvSpPr>
      </xdr:nvSpPr>
      <xdr:spPr bwMode="auto">
        <a:xfrm>
          <a:off x="4032250" y="1454785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57485</xdr:rowOff>
    </xdr:from>
    <xdr:to>
      <xdr:col>5</xdr:col>
      <xdr:colOff>609600</xdr:colOff>
      <xdr:row>92</xdr:row>
      <xdr:rowOff>129652</xdr:rowOff>
    </xdr:to>
    <xdr:sp macro="" textlink="">
      <xdr:nvSpPr>
        <xdr:cNvPr id="258299" name="Text Box 251" hidden="1">
          <a:extLst>
            <a:ext uri="{FF2B5EF4-FFF2-40B4-BE49-F238E27FC236}">
              <a16:creationId xmlns:a16="http://schemas.microsoft.com/office/drawing/2014/main" id="{D8E95805-65E9-4C5E-A4DA-205163748792}"/>
            </a:ext>
          </a:extLst>
        </xdr:cNvPr>
        <xdr:cNvSpPr txBox="1">
          <a:spLocks noChangeArrowheads="1"/>
        </xdr:cNvSpPr>
      </xdr:nvSpPr>
      <xdr:spPr bwMode="auto">
        <a:xfrm>
          <a:off x="4032250" y="200469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236525</xdr:rowOff>
    </xdr:from>
    <xdr:to>
      <xdr:col>5</xdr:col>
      <xdr:colOff>609600</xdr:colOff>
      <xdr:row>119</xdr:row>
      <xdr:rowOff>55489</xdr:rowOff>
    </xdr:to>
    <xdr:sp macro="" textlink="">
      <xdr:nvSpPr>
        <xdr:cNvPr id="258298" name="Text Box 250" hidden="1">
          <a:extLst>
            <a:ext uri="{FF2B5EF4-FFF2-40B4-BE49-F238E27FC236}">
              <a16:creationId xmlns:a16="http://schemas.microsoft.com/office/drawing/2014/main" id="{6CF1C3A7-0A3B-4612-AEF7-263E47ECA99B}"/>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236525</xdr:rowOff>
    </xdr:from>
    <xdr:to>
      <xdr:col>5</xdr:col>
      <xdr:colOff>609600</xdr:colOff>
      <xdr:row>119</xdr:row>
      <xdr:rowOff>55489</xdr:rowOff>
    </xdr:to>
    <xdr:sp macro="" textlink="">
      <xdr:nvSpPr>
        <xdr:cNvPr id="258297" name="Text Box 249" hidden="1">
          <a:extLst>
            <a:ext uri="{FF2B5EF4-FFF2-40B4-BE49-F238E27FC236}">
              <a16:creationId xmlns:a16="http://schemas.microsoft.com/office/drawing/2014/main" id="{ED324ABC-E3EE-44BA-B769-D51D8C178B89}"/>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296" name="Text Box 248" hidden="1">
          <a:extLst>
            <a:ext uri="{FF2B5EF4-FFF2-40B4-BE49-F238E27FC236}">
              <a16:creationId xmlns:a16="http://schemas.microsoft.com/office/drawing/2014/main" id="{3170862E-3A11-4380-BFC6-375182A40D84}"/>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177502</xdr:rowOff>
    </xdr:from>
    <xdr:to>
      <xdr:col>6</xdr:col>
      <xdr:colOff>38100</xdr:colOff>
      <xdr:row>93</xdr:row>
      <xdr:rowOff>176787</xdr:rowOff>
    </xdr:to>
    <xdr:sp macro="" textlink="">
      <xdr:nvSpPr>
        <xdr:cNvPr id="258323" name="Text Box 275" hidden="1">
          <a:extLst>
            <a:ext uri="{FF2B5EF4-FFF2-40B4-BE49-F238E27FC236}">
              <a16:creationId xmlns:a16="http://schemas.microsoft.com/office/drawing/2014/main" id="{8FD9681C-6FB9-44A7-A826-49C722705737}"/>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22" name="Text Box 274" hidden="1">
          <a:extLst>
            <a:ext uri="{FF2B5EF4-FFF2-40B4-BE49-F238E27FC236}">
              <a16:creationId xmlns:a16="http://schemas.microsoft.com/office/drawing/2014/main" id="{14175EEF-CC3E-45E7-BF8F-32CA048A6372}"/>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21" name="Text Box 273" hidden="1">
          <a:extLst>
            <a:ext uri="{FF2B5EF4-FFF2-40B4-BE49-F238E27FC236}">
              <a16:creationId xmlns:a16="http://schemas.microsoft.com/office/drawing/2014/main" id="{37BB5DEF-8617-4385-BCC1-DF5DD9008EDB}"/>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20" name="Text Box 272" hidden="1">
          <a:extLst>
            <a:ext uri="{FF2B5EF4-FFF2-40B4-BE49-F238E27FC236}">
              <a16:creationId xmlns:a16="http://schemas.microsoft.com/office/drawing/2014/main" id="{41BA2B56-6314-47C0-8B58-4B6F5CCCF456}"/>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319" name="Text Box 271" hidden="1">
          <a:extLst>
            <a:ext uri="{FF2B5EF4-FFF2-40B4-BE49-F238E27FC236}">
              <a16:creationId xmlns:a16="http://schemas.microsoft.com/office/drawing/2014/main" id="{738EE3C1-4E2F-4894-BA2C-CA7E8FCADAD0}"/>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318" name="Text Box 270" hidden="1">
          <a:extLst>
            <a:ext uri="{FF2B5EF4-FFF2-40B4-BE49-F238E27FC236}">
              <a16:creationId xmlns:a16="http://schemas.microsoft.com/office/drawing/2014/main" id="{FB8D9BAB-2754-4F2C-B659-82A7061EDA86}"/>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317" name="Text Box 269" hidden="1">
          <a:extLst>
            <a:ext uri="{FF2B5EF4-FFF2-40B4-BE49-F238E27FC236}">
              <a16:creationId xmlns:a16="http://schemas.microsoft.com/office/drawing/2014/main" id="{EB4FBD19-C445-49B5-B90E-D8A7BBB62E0B}"/>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316" name="Text Box 268" hidden="1">
          <a:extLst>
            <a:ext uri="{FF2B5EF4-FFF2-40B4-BE49-F238E27FC236}">
              <a16:creationId xmlns:a16="http://schemas.microsoft.com/office/drawing/2014/main" id="{45828737-3065-41E9-B891-87F162E0D5FD}"/>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315" name="Text Box 267" hidden="1">
          <a:extLst>
            <a:ext uri="{FF2B5EF4-FFF2-40B4-BE49-F238E27FC236}">
              <a16:creationId xmlns:a16="http://schemas.microsoft.com/office/drawing/2014/main" id="{B3CB54EA-2A59-40D5-8C99-7E5DF135E293}"/>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314" name="Text Box 266" hidden="1">
          <a:extLst>
            <a:ext uri="{FF2B5EF4-FFF2-40B4-BE49-F238E27FC236}">
              <a16:creationId xmlns:a16="http://schemas.microsoft.com/office/drawing/2014/main" id="{D3B3C904-EF4E-44AC-A16C-A0A8D02A4934}"/>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57485</xdr:rowOff>
    </xdr:from>
    <xdr:to>
      <xdr:col>5</xdr:col>
      <xdr:colOff>609600</xdr:colOff>
      <xdr:row>92</xdr:row>
      <xdr:rowOff>129652</xdr:rowOff>
    </xdr:to>
    <xdr:sp macro="" textlink="">
      <xdr:nvSpPr>
        <xdr:cNvPr id="258313" name="Text Box 265" hidden="1">
          <a:extLst>
            <a:ext uri="{FF2B5EF4-FFF2-40B4-BE49-F238E27FC236}">
              <a16:creationId xmlns:a16="http://schemas.microsoft.com/office/drawing/2014/main" id="{BAE4ACE5-DA18-49DF-83C5-ACFE37E5C0DC}"/>
            </a:ext>
          </a:extLst>
        </xdr:cNvPr>
        <xdr:cNvSpPr txBox="1">
          <a:spLocks noChangeArrowheads="1"/>
        </xdr:cNvSpPr>
      </xdr:nvSpPr>
      <xdr:spPr bwMode="auto">
        <a:xfrm>
          <a:off x="4008120" y="1993392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236525</xdr:rowOff>
    </xdr:from>
    <xdr:to>
      <xdr:col>5</xdr:col>
      <xdr:colOff>609600</xdr:colOff>
      <xdr:row>119</xdr:row>
      <xdr:rowOff>55489</xdr:rowOff>
    </xdr:to>
    <xdr:sp macro="" textlink="">
      <xdr:nvSpPr>
        <xdr:cNvPr id="258312" name="Text Box 264" hidden="1">
          <a:extLst>
            <a:ext uri="{FF2B5EF4-FFF2-40B4-BE49-F238E27FC236}">
              <a16:creationId xmlns:a16="http://schemas.microsoft.com/office/drawing/2014/main" id="{459988BC-128D-439E-B568-36FDFE266D1A}"/>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236525</xdr:rowOff>
    </xdr:from>
    <xdr:to>
      <xdr:col>5</xdr:col>
      <xdr:colOff>609600</xdr:colOff>
      <xdr:row>119</xdr:row>
      <xdr:rowOff>55489</xdr:rowOff>
    </xdr:to>
    <xdr:sp macro="" textlink="">
      <xdr:nvSpPr>
        <xdr:cNvPr id="258311" name="Text Box 263" hidden="1">
          <a:extLst>
            <a:ext uri="{FF2B5EF4-FFF2-40B4-BE49-F238E27FC236}">
              <a16:creationId xmlns:a16="http://schemas.microsoft.com/office/drawing/2014/main" id="{2C8698CA-D1B9-46F6-A441-EE6B56F7EAD6}"/>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310" name="Text Box 262" hidden="1">
          <a:extLst>
            <a:ext uri="{FF2B5EF4-FFF2-40B4-BE49-F238E27FC236}">
              <a16:creationId xmlns:a16="http://schemas.microsoft.com/office/drawing/2014/main" id="{83E6D148-DF3D-41C0-A36F-51C8E8F7B89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27071</xdr:rowOff>
    </xdr:from>
    <xdr:to>
      <xdr:col>6</xdr:col>
      <xdr:colOff>38100</xdr:colOff>
      <xdr:row>193</xdr:row>
      <xdr:rowOff>146822</xdr:rowOff>
    </xdr:to>
    <xdr:sp macro="" textlink="">
      <xdr:nvSpPr>
        <xdr:cNvPr id="258392" name="Text Box 344" hidden="1">
          <a:extLst>
            <a:ext uri="{FF2B5EF4-FFF2-40B4-BE49-F238E27FC236}">
              <a16:creationId xmlns:a16="http://schemas.microsoft.com/office/drawing/2014/main" id="{F9D91C0E-FA1C-463F-9760-3BAA835C7A51}"/>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91" name="Text Box 343" hidden="1">
          <a:extLst>
            <a:ext uri="{FF2B5EF4-FFF2-40B4-BE49-F238E27FC236}">
              <a16:creationId xmlns:a16="http://schemas.microsoft.com/office/drawing/2014/main" id="{8D99B8FD-C40D-43DC-A466-55EE74D0266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90" name="Text Box 342" hidden="1">
          <a:extLst>
            <a:ext uri="{FF2B5EF4-FFF2-40B4-BE49-F238E27FC236}">
              <a16:creationId xmlns:a16="http://schemas.microsoft.com/office/drawing/2014/main" id="{9445F5C6-BD76-4C06-AE57-482F4710064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89" name="Text Box 341" hidden="1">
          <a:extLst>
            <a:ext uri="{FF2B5EF4-FFF2-40B4-BE49-F238E27FC236}">
              <a16:creationId xmlns:a16="http://schemas.microsoft.com/office/drawing/2014/main" id="{474D2EC0-3688-42F6-9D26-BC0605DA010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388" name="Text Box 340" hidden="1">
          <a:extLst>
            <a:ext uri="{FF2B5EF4-FFF2-40B4-BE49-F238E27FC236}">
              <a16:creationId xmlns:a16="http://schemas.microsoft.com/office/drawing/2014/main" id="{48AA3492-E43B-4074-9FCB-C05EB637F9CD}"/>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387" name="Text Box 339" hidden="1">
          <a:extLst>
            <a:ext uri="{FF2B5EF4-FFF2-40B4-BE49-F238E27FC236}">
              <a16:creationId xmlns:a16="http://schemas.microsoft.com/office/drawing/2014/main" id="{6F023A5C-3207-41D8-A6A0-BBBEEDFFA4F4}"/>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386" name="Text Box 338" hidden="1">
          <a:extLst>
            <a:ext uri="{FF2B5EF4-FFF2-40B4-BE49-F238E27FC236}">
              <a16:creationId xmlns:a16="http://schemas.microsoft.com/office/drawing/2014/main" id="{1781E0D6-F3A7-4861-8132-C29DC2D22C2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385" name="Text Box 337" hidden="1">
          <a:extLst>
            <a:ext uri="{FF2B5EF4-FFF2-40B4-BE49-F238E27FC236}">
              <a16:creationId xmlns:a16="http://schemas.microsoft.com/office/drawing/2014/main" id="{D3E0A834-614B-445E-AD19-9893272DF7AA}"/>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384" name="Text Box 336" hidden="1">
          <a:extLst>
            <a:ext uri="{FF2B5EF4-FFF2-40B4-BE49-F238E27FC236}">
              <a16:creationId xmlns:a16="http://schemas.microsoft.com/office/drawing/2014/main" id="{B5C86514-3011-4B18-8648-060B9029C1AE}"/>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383" name="Text Box 335" hidden="1">
          <a:extLst>
            <a:ext uri="{FF2B5EF4-FFF2-40B4-BE49-F238E27FC236}">
              <a16:creationId xmlns:a16="http://schemas.microsoft.com/office/drawing/2014/main" id="{FDC0DC96-5065-49C7-891B-A85D19BC6E09}"/>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44756</xdr:rowOff>
    </xdr:from>
    <xdr:to>
      <xdr:col>5</xdr:col>
      <xdr:colOff>609600</xdr:colOff>
      <xdr:row>191</xdr:row>
      <xdr:rowOff>50553</xdr:rowOff>
    </xdr:to>
    <xdr:sp macro="" textlink="">
      <xdr:nvSpPr>
        <xdr:cNvPr id="258382" name="Text Box 334" hidden="1">
          <a:extLst>
            <a:ext uri="{FF2B5EF4-FFF2-40B4-BE49-F238E27FC236}">
              <a16:creationId xmlns:a16="http://schemas.microsoft.com/office/drawing/2014/main" id="{64FA9965-80AF-4746-BD4F-6F8823742716}"/>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99289</xdr:rowOff>
    </xdr:from>
    <xdr:to>
      <xdr:col>5</xdr:col>
      <xdr:colOff>609600</xdr:colOff>
      <xdr:row>218</xdr:row>
      <xdr:rowOff>168110</xdr:rowOff>
    </xdr:to>
    <xdr:sp macro="" textlink="">
      <xdr:nvSpPr>
        <xdr:cNvPr id="258381" name="Text Box 333" hidden="1">
          <a:extLst>
            <a:ext uri="{FF2B5EF4-FFF2-40B4-BE49-F238E27FC236}">
              <a16:creationId xmlns:a16="http://schemas.microsoft.com/office/drawing/2014/main" id="{EA997BC3-63DB-4612-93EF-BEC5201EBE4C}"/>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99289</xdr:rowOff>
    </xdr:from>
    <xdr:to>
      <xdr:col>5</xdr:col>
      <xdr:colOff>609600</xdr:colOff>
      <xdr:row>218</xdr:row>
      <xdr:rowOff>168110</xdr:rowOff>
    </xdr:to>
    <xdr:sp macro="" textlink="">
      <xdr:nvSpPr>
        <xdr:cNvPr id="258380" name="Text Box 332" hidden="1">
          <a:extLst>
            <a:ext uri="{FF2B5EF4-FFF2-40B4-BE49-F238E27FC236}">
              <a16:creationId xmlns:a16="http://schemas.microsoft.com/office/drawing/2014/main" id="{9E87E258-D3AB-4908-AB19-41C54D3BCA39}"/>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379" name="Text Box 331" hidden="1">
          <a:extLst>
            <a:ext uri="{FF2B5EF4-FFF2-40B4-BE49-F238E27FC236}">
              <a16:creationId xmlns:a16="http://schemas.microsoft.com/office/drawing/2014/main" id="{2829A2AE-BA6F-400A-8761-4BD58E0E00F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45424</xdr:rowOff>
    </xdr:from>
    <xdr:to>
      <xdr:col>18</xdr:col>
      <xdr:colOff>440532</xdr:colOff>
      <xdr:row>30</xdr:row>
      <xdr:rowOff>103281</xdr:rowOff>
    </xdr:to>
    <xdr:sp macro="" textlink="">
      <xdr:nvSpPr>
        <xdr:cNvPr id="258378" name="Text Box 330" hidden="1">
          <a:extLst>
            <a:ext uri="{FF2B5EF4-FFF2-40B4-BE49-F238E27FC236}">
              <a16:creationId xmlns:a16="http://schemas.microsoft.com/office/drawing/2014/main" id="{E6AD59E2-CB61-4AB9-BA8E-0F291CFDB759}"/>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97</xdr:row>
      <xdr:rowOff>37644</xdr:rowOff>
    </xdr:from>
    <xdr:to>
      <xdr:col>5</xdr:col>
      <xdr:colOff>618490</xdr:colOff>
      <xdr:row>98</xdr:row>
      <xdr:rowOff>114459</xdr:rowOff>
    </xdr:to>
    <xdr:sp macro="" textlink="">
      <xdr:nvSpPr>
        <xdr:cNvPr id="258377" name="Text Box 329" hidden="1">
          <a:extLst>
            <a:ext uri="{FF2B5EF4-FFF2-40B4-BE49-F238E27FC236}">
              <a16:creationId xmlns:a16="http://schemas.microsoft.com/office/drawing/2014/main" id="{A5073BB7-4AFF-442B-B408-04E61E811D7C}"/>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97</xdr:row>
      <xdr:rowOff>181785</xdr:rowOff>
    </xdr:from>
    <xdr:to>
      <xdr:col>5</xdr:col>
      <xdr:colOff>618490</xdr:colOff>
      <xdr:row>100</xdr:row>
      <xdr:rowOff>93971</xdr:rowOff>
    </xdr:to>
    <xdr:sp macro="" textlink="">
      <xdr:nvSpPr>
        <xdr:cNvPr id="258376" name="Text Box 328" hidden="1">
          <a:extLst>
            <a:ext uri="{FF2B5EF4-FFF2-40B4-BE49-F238E27FC236}">
              <a16:creationId xmlns:a16="http://schemas.microsoft.com/office/drawing/2014/main" id="{15551FA0-B281-4B8A-9B10-00E8C8EF5CDA}"/>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99</xdr:row>
      <xdr:rowOff>57309</xdr:rowOff>
    </xdr:from>
    <xdr:to>
      <xdr:col>5</xdr:col>
      <xdr:colOff>618490</xdr:colOff>
      <xdr:row>103</xdr:row>
      <xdr:rowOff>123411</xdr:rowOff>
    </xdr:to>
    <xdr:sp macro="" textlink="">
      <xdr:nvSpPr>
        <xdr:cNvPr id="258375" name="Text Box 327" hidden="1">
          <a:extLst>
            <a:ext uri="{FF2B5EF4-FFF2-40B4-BE49-F238E27FC236}">
              <a16:creationId xmlns:a16="http://schemas.microsoft.com/office/drawing/2014/main" id="{BDBB6CDE-9E86-474E-8A4A-7282FD671C3A}"/>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100</xdr:row>
      <xdr:rowOff>74829</xdr:rowOff>
    </xdr:from>
    <xdr:to>
      <xdr:col>5</xdr:col>
      <xdr:colOff>618490</xdr:colOff>
      <xdr:row>104</xdr:row>
      <xdr:rowOff>111710</xdr:rowOff>
    </xdr:to>
    <xdr:sp macro="" textlink="">
      <xdr:nvSpPr>
        <xdr:cNvPr id="258374" name="Text Box 326" hidden="1">
          <a:extLst>
            <a:ext uri="{FF2B5EF4-FFF2-40B4-BE49-F238E27FC236}">
              <a16:creationId xmlns:a16="http://schemas.microsoft.com/office/drawing/2014/main" id="{BEFA97BE-E4FE-4A6E-A3D1-0CF97C3691EA}"/>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89</xdr:row>
      <xdr:rowOff>24496</xdr:rowOff>
    </xdr:from>
    <xdr:to>
      <xdr:col>5</xdr:col>
      <xdr:colOff>618490</xdr:colOff>
      <xdr:row>93</xdr:row>
      <xdr:rowOff>3765</xdr:rowOff>
    </xdr:to>
    <xdr:sp macro="" textlink="">
      <xdr:nvSpPr>
        <xdr:cNvPr id="258373" name="Text Box 325" hidden="1">
          <a:extLst>
            <a:ext uri="{FF2B5EF4-FFF2-40B4-BE49-F238E27FC236}">
              <a16:creationId xmlns:a16="http://schemas.microsoft.com/office/drawing/2014/main" id="{25712CCA-A158-49CB-90A5-81A51961E797}"/>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90</xdr:row>
      <xdr:rowOff>53240</xdr:rowOff>
    </xdr:from>
    <xdr:to>
      <xdr:col>5</xdr:col>
      <xdr:colOff>618490</xdr:colOff>
      <xdr:row>93</xdr:row>
      <xdr:rowOff>185254</xdr:rowOff>
    </xdr:to>
    <xdr:sp macro="" textlink="">
      <xdr:nvSpPr>
        <xdr:cNvPr id="258372" name="Text Box 324" hidden="1">
          <a:extLst>
            <a:ext uri="{FF2B5EF4-FFF2-40B4-BE49-F238E27FC236}">
              <a16:creationId xmlns:a16="http://schemas.microsoft.com/office/drawing/2014/main" id="{88CF8391-6588-423B-BC41-825C81231375}"/>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91</xdr:row>
      <xdr:rowOff>54644</xdr:rowOff>
    </xdr:from>
    <xdr:to>
      <xdr:col>5</xdr:col>
      <xdr:colOff>618490</xdr:colOff>
      <xdr:row>94</xdr:row>
      <xdr:rowOff>141708</xdr:rowOff>
    </xdr:to>
    <xdr:sp macro="" textlink="">
      <xdr:nvSpPr>
        <xdr:cNvPr id="258371" name="Text Box 323" hidden="1">
          <a:extLst>
            <a:ext uri="{FF2B5EF4-FFF2-40B4-BE49-F238E27FC236}">
              <a16:creationId xmlns:a16="http://schemas.microsoft.com/office/drawing/2014/main" id="{059F1E44-AA2C-4792-B8C9-7444CB7ADFD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34226</xdr:rowOff>
    </xdr:from>
    <xdr:to>
      <xdr:col>5</xdr:col>
      <xdr:colOff>618490</xdr:colOff>
      <xdr:row>95</xdr:row>
      <xdr:rowOff>73091</xdr:rowOff>
    </xdr:to>
    <xdr:sp macro="" textlink="">
      <xdr:nvSpPr>
        <xdr:cNvPr id="258370" name="Text Box 322" hidden="1">
          <a:extLst>
            <a:ext uri="{FF2B5EF4-FFF2-40B4-BE49-F238E27FC236}">
              <a16:creationId xmlns:a16="http://schemas.microsoft.com/office/drawing/2014/main" id="{BD04BDA4-B5E8-4F8D-88A9-78987995F233}"/>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27071</xdr:rowOff>
    </xdr:from>
    <xdr:to>
      <xdr:col>6</xdr:col>
      <xdr:colOff>38100</xdr:colOff>
      <xdr:row>193</xdr:row>
      <xdr:rowOff>146822</xdr:rowOff>
    </xdr:to>
    <xdr:sp macro="" textlink="">
      <xdr:nvSpPr>
        <xdr:cNvPr id="258369" name="Text Box 321" hidden="1">
          <a:extLst>
            <a:ext uri="{FF2B5EF4-FFF2-40B4-BE49-F238E27FC236}">
              <a16:creationId xmlns:a16="http://schemas.microsoft.com/office/drawing/2014/main" id="{67F15A34-BCD8-4AB3-AC34-6E9F55767695}"/>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68" name="Text Box 320" hidden="1">
          <a:extLst>
            <a:ext uri="{FF2B5EF4-FFF2-40B4-BE49-F238E27FC236}">
              <a16:creationId xmlns:a16="http://schemas.microsoft.com/office/drawing/2014/main" id="{92CF7599-8095-45A7-8515-B88FA5BCB78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67" name="Text Box 319" hidden="1">
          <a:extLst>
            <a:ext uri="{FF2B5EF4-FFF2-40B4-BE49-F238E27FC236}">
              <a16:creationId xmlns:a16="http://schemas.microsoft.com/office/drawing/2014/main" id="{633F0370-FFD8-465C-A900-8F128120F86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66" name="Text Box 318" hidden="1">
          <a:extLst>
            <a:ext uri="{FF2B5EF4-FFF2-40B4-BE49-F238E27FC236}">
              <a16:creationId xmlns:a16="http://schemas.microsoft.com/office/drawing/2014/main" id="{F988E25E-CC29-478C-B77F-0C10E80CC840}"/>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365" name="Text Box 317" hidden="1">
          <a:extLst>
            <a:ext uri="{FF2B5EF4-FFF2-40B4-BE49-F238E27FC236}">
              <a16:creationId xmlns:a16="http://schemas.microsoft.com/office/drawing/2014/main" id="{BDE439F8-1CF0-46B0-A293-1E068CD760B1}"/>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364" name="Text Box 316" hidden="1">
          <a:extLst>
            <a:ext uri="{FF2B5EF4-FFF2-40B4-BE49-F238E27FC236}">
              <a16:creationId xmlns:a16="http://schemas.microsoft.com/office/drawing/2014/main" id="{A7D6315B-E7CC-4850-BAA0-7490BBCC8041}"/>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363" name="Text Box 315" hidden="1">
          <a:extLst>
            <a:ext uri="{FF2B5EF4-FFF2-40B4-BE49-F238E27FC236}">
              <a16:creationId xmlns:a16="http://schemas.microsoft.com/office/drawing/2014/main" id="{CF8B3440-74F0-4C5B-8F61-5FC3B15D4B3E}"/>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362" name="Text Box 314" hidden="1">
          <a:extLst>
            <a:ext uri="{FF2B5EF4-FFF2-40B4-BE49-F238E27FC236}">
              <a16:creationId xmlns:a16="http://schemas.microsoft.com/office/drawing/2014/main" id="{203C464C-9BF5-448A-961E-2B17E95AE482}"/>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361" name="Text Box 313" hidden="1">
          <a:extLst>
            <a:ext uri="{FF2B5EF4-FFF2-40B4-BE49-F238E27FC236}">
              <a16:creationId xmlns:a16="http://schemas.microsoft.com/office/drawing/2014/main" id="{F026A163-DDF7-44DC-A147-755DD18FA49F}"/>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360" name="Text Box 312" hidden="1">
          <a:extLst>
            <a:ext uri="{FF2B5EF4-FFF2-40B4-BE49-F238E27FC236}">
              <a16:creationId xmlns:a16="http://schemas.microsoft.com/office/drawing/2014/main" id="{D5F12C2E-C06A-4C09-9E83-EEE556EAD26C}"/>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44756</xdr:rowOff>
    </xdr:from>
    <xdr:to>
      <xdr:col>5</xdr:col>
      <xdr:colOff>609600</xdr:colOff>
      <xdr:row>191</xdr:row>
      <xdr:rowOff>50553</xdr:rowOff>
    </xdr:to>
    <xdr:sp macro="" textlink="">
      <xdr:nvSpPr>
        <xdr:cNvPr id="258359" name="Text Box 311" hidden="1">
          <a:extLst>
            <a:ext uri="{FF2B5EF4-FFF2-40B4-BE49-F238E27FC236}">
              <a16:creationId xmlns:a16="http://schemas.microsoft.com/office/drawing/2014/main" id="{9E232606-1C3A-43FA-8BE9-0A82D6532280}"/>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99289</xdr:rowOff>
    </xdr:from>
    <xdr:to>
      <xdr:col>5</xdr:col>
      <xdr:colOff>609600</xdr:colOff>
      <xdr:row>218</xdr:row>
      <xdr:rowOff>168110</xdr:rowOff>
    </xdr:to>
    <xdr:sp macro="" textlink="">
      <xdr:nvSpPr>
        <xdr:cNvPr id="258358" name="Text Box 310" hidden="1">
          <a:extLst>
            <a:ext uri="{FF2B5EF4-FFF2-40B4-BE49-F238E27FC236}">
              <a16:creationId xmlns:a16="http://schemas.microsoft.com/office/drawing/2014/main" id="{2DC15A36-7ECD-4B4E-8181-02A3915D69AE}"/>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99289</xdr:rowOff>
    </xdr:from>
    <xdr:to>
      <xdr:col>5</xdr:col>
      <xdr:colOff>609600</xdr:colOff>
      <xdr:row>218</xdr:row>
      <xdr:rowOff>168110</xdr:rowOff>
    </xdr:to>
    <xdr:sp macro="" textlink="">
      <xdr:nvSpPr>
        <xdr:cNvPr id="258357" name="Text Box 309" hidden="1">
          <a:extLst>
            <a:ext uri="{FF2B5EF4-FFF2-40B4-BE49-F238E27FC236}">
              <a16:creationId xmlns:a16="http://schemas.microsoft.com/office/drawing/2014/main" id="{12451A23-8065-47C5-9AB3-90A3D17855B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356" name="Text Box 308" hidden="1">
          <a:extLst>
            <a:ext uri="{FF2B5EF4-FFF2-40B4-BE49-F238E27FC236}">
              <a16:creationId xmlns:a16="http://schemas.microsoft.com/office/drawing/2014/main" id="{45BF7731-56C5-4A9B-9549-ACA07095F0E1}"/>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45424</xdr:rowOff>
    </xdr:from>
    <xdr:to>
      <xdr:col>18</xdr:col>
      <xdr:colOff>440532</xdr:colOff>
      <xdr:row>30</xdr:row>
      <xdr:rowOff>103281</xdr:rowOff>
    </xdr:to>
    <xdr:sp macro="" textlink="">
      <xdr:nvSpPr>
        <xdr:cNvPr id="258355" name="Text Box 307" hidden="1">
          <a:extLst>
            <a:ext uri="{FF2B5EF4-FFF2-40B4-BE49-F238E27FC236}">
              <a16:creationId xmlns:a16="http://schemas.microsoft.com/office/drawing/2014/main" id="{B86ACBC0-131D-4ABF-BBC0-F3695A121558}"/>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97</xdr:row>
      <xdr:rowOff>37644</xdr:rowOff>
    </xdr:from>
    <xdr:to>
      <xdr:col>5</xdr:col>
      <xdr:colOff>618490</xdr:colOff>
      <xdr:row>98</xdr:row>
      <xdr:rowOff>114459</xdr:rowOff>
    </xdr:to>
    <xdr:sp macro="" textlink="">
      <xdr:nvSpPr>
        <xdr:cNvPr id="258354" name="Text Box 306" hidden="1">
          <a:extLst>
            <a:ext uri="{FF2B5EF4-FFF2-40B4-BE49-F238E27FC236}">
              <a16:creationId xmlns:a16="http://schemas.microsoft.com/office/drawing/2014/main" id="{EF8D2591-1797-4250-9DCF-6EE4DF650F48}"/>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97</xdr:row>
      <xdr:rowOff>181785</xdr:rowOff>
    </xdr:from>
    <xdr:to>
      <xdr:col>5</xdr:col>
      <xdr:colOff>618490</xdr:colOff>
      <xdr:row>100</xdr:row>
      <xdr:rowOff>93971</xdr:rowOff>
    </xdr:to>
    <xdr:sp macro="" textlink="">
      <xdr:nvSpPr>
        <xdr:cNvPr id="258353" name="Text Box 305" hidden="1">
          <a:extLst>
            <a:ext uri="{FF2B5EF4-FFF2-40B4-BE49-F238E27FC236}">
              <a16:creationId xmlns:a16="http://schemas.microsoft.com/office/drawing/2014/main" id="{C792FC1B-4B44-4AA4-9DC5-4C639F77A9C8}"/>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99</xdr:row>
      <xdr:rowOff>57309</xdr:rowOff>
    </xdr:from>
    <xdr:to>
      <xdr:col>5</xdr:col>
      <xdr:colOff>618490</xdr:colOff>
      <xdr:row>103</xdr:row>
      <xdr:rowOff>123411</xdr:rowOff>
    </xdr:to>
    <xdr:sp macro="" textlink="">
      <xdr:nvSpPr>
        <xdr:cNvPr id="258352" name="Text Box 304" hidden="1">
          <a:extLst>
            <a:ext uri="{FF2B5EF4-FFF2-40B4-BE49-F238E27FC236}">
              <a16:creationId xmlns:a16="http://schemas.microsoft.com/office/drawing/2014/main" id="{24B11DB6-3016-4050-B70F-DD8EA2BD24E9}"/>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100</xdr:row>
      <xdr:rowOff>74829</xdr:rowOff>
    </xdr:from>
    <xdr:to>
      <xdr:col>5</xdr:col>
      <xdr:colOff>618490</xdr:colOff>
      <xdr:row>104</xdr:row>
      <xdr:rowOff>111710</xdr:rowOff>
    </xdr:to>
    <xdr:sp macro="" textlink="">
      <xdr:nvSpPr>
        <xdr:cNvPr id="258351" name="Text Box 303" hidden="1">
          <a:extLst>
            <a:ext uri="{FF2B5EF4-FFF2-40B4-BE49-F238E27FC236}">
              <a16:creationId xmlns:a16="http://schemas.microsoft.com/office/drawing/2014/main" id="{E4476597-BF3F-48E7-91F2-CD38D90D49D1}"/>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89</xdr:row>
      <xdr:rowOff>24496</xdr:rowOff>
    </xdr:from>
    <xdr:to>
      <xdr:col>5</xdr:col>
      <xdr:colOff>618490</xdr:colOff>
      <xdr:row>93</xdr:row>
      <xdr:rowOff>3765</xdr:rowOff>
    </xdr:to>
    <xdr:sp macro="" textlink="">
      <xdr:nvSpPr>
        <xdr:cNvPr id="258350" name="Text Box 302" hidden="1">
          <a:extLst>
            <a:ext uri="{FF2B5EF4-FFF2-40B4-BE49-F238E27FC236}">
              <a16:creationId xmlns:a16="http://schemas.microsoft.com/office/drawing/2014/main" id="{4E48A858-4A68-4447-8227-ABF43682C5E0}"/>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90</xdr:row>
      <xdr:rowOff>53240</xdr:rowOff>
    </xdr:from>
    <xdr:to>
      <xdr:col>5</xdr:col>
      <xdr:colOff>618490</xdr:colOff>
      <xdr:row>93</xdr:row>
      <xdr:rowOff>185254</xdr:rowOff>
    </xdr:to>
    <xdr:sp macro="" textlink="">
      <xdr:nvSpPr>
        <xdr:cNvPr id="258349" name="Text Box 301" hidden="1">
          <a:extLst>
            <a:ext uri="{FF2B5EF4-FFF2-40B4-BE49-F238E27FC236}">
              <a16:creationId xmlns:a16="http://schemas.microsoft.com/office/drawing/2014/main" id="{77F76480-31A8-4C85-855A-E487970BC13C}"/>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91</xdr:row>
      <xdr:rowOff>54644</xdr:rowOff>
    </xdr:from>
    <xdr:to>
      <xdr:col>5</xdr:col>
      <xdr:colOff>618490</xdr:colOff>
      <xdr:row>94</xdr:row>
      <xdr:rowOff>141708</xdr:rowOff>
    </xdr:to>
    <xdr:sp macro="" textlink="">
      <xdr:nvSpPr>
        <xdr:cNvPr id="258348" name="Text Box 300" hidden="1">
          <a:extLst>
            <a:ext uri="{FF2B5EF4-FFF2-40B4-BE49-F238E27FC236}">
              <a16:creationId xmlns:a16="http://schemas.microsoft.com/office/drawing/2014/main" id="{EA3D5DF6-30E4-4F88-8DDD-D464096E797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34226</xdr:rowOff>
    </xdr:from>
    <xdr:to>
      <xdr:col>5</xdr:col>
      <xdr:colOff>618490</xdr:colOff>
      <xdr:row>95</xdr:row>
      <xdr:rowOff>73091</xdr:rowOff>
    </xdr:to>
    <xdr:sp macro="" textlink="">
      <xdr:nvSpPr>
        <xdr:cNvPr id="258347" name="Text Box 299" hidden="1">
          <a:extLst>
            <a:ext uri="{FF2B5EF4-FFF2-40B4-BE49-F238E27FC236}">
              <a16:creationId xmlns:a16="http://schemas.microsoft.com/office/drawing/2014/main" id="{0882AE3B-FB21-42BD-B40E-3E06C3809332}"/>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27071</xdr:rowOff>
    </xdr:from>
    <xdr:to>
      <xdr:col>6</xdr:col>
      <xdr:colOff>38100</xdr:colOff>
      <xdr:row>193</xdr:row>
      <xdr:rowOff>146822</xdr:rowOff>
    </xdr:to>
    <xdr:sp macro="" textlink="">
      <xdr:nvSpPr>
        <xdr:cNvPr id="258337" name="Text Box 289" hidden="1">
          <a:extLst>
            <a:ext uri="{FF2B5EF4-FFF2-40B4-BE49-F238E27FC236}">
              <a16:creationId xmlns:a16="http://schemas.microsoft.com/office/drawing/2014/main" id="{4AC14EC7-D192-49E4-A146-0ED7F50B8F58}"/>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36" name="Text Box 288" hidden="1">
          <a:extLst>
            <a:ext uri="{FF2B5EF4-FFF2-40B4-BE49-F238E27FC236}">
              <a16:creationId xmlns:a16="http://schemas.microsoft.com/office/drawing/2014/main" id="{3D704F4B-35BC-4AE2-B9FF-BBEEEEAB5BFA}"/>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35" name="Text Box 287" hidden="1">
          <a:extLst>
            <a:ext uri="{FF2B5EF4-FFF2-40B4-BE49-F238E27FC236}">
              <a16:creationId xmlns:a16="http://schemas.microsoft.com/office/drawing/2014/main" id="{DA6FA2FF-A644-441E-A3F6-994568EB100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34" name="Text Box 286" hidden="1">
          <a:extLst>
            <a:ext uri="{FF2B5EF4-FFF2-40B4-BE49-F238E27FC236}">
              <a16:creationId xmlns:a16="http://schemas.microsoft.com/office/drawing/2014/main" id="{BB1105A4-7653-43AC-81C9-56F32DE1BD81}"/>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333" name="Text Box 285" hidden="1">
          <a:extLst>
            <a:ext uri="{FF2B5EF4-FFF2-40B4-BE49-F238E27FC236}">
              <a16:creationId xmlns:a16="http://schemas.microsoft.com/office/drawing/2014/main" id="{95E17EE9-8C61-4CE7-8473-548A18E44FAF}"/>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332" name="Text Box 284" hidden="1">
          <a:extLst>
            <a:ext uri="{FF2B5EF4-FFF2-40B4-BE49-F238E27FC236}">
              <a16:creationId xmlns:a16="http://schemas.microsoft.com/office/drawing/2014/main" id="{D957B52A-4F3B-4281-A92D-005C3DE050EF}"/>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331" name="Text Box 283" hidden="1">
          <a:extLst>
            <a:ext uri="{FF2B5EF4-FFF2-40B4-BE49-F238E27FC236}">
              <a16:creationId xmlns:a16="http://schemas.microsoft.com/office/drawing/2014/main" id="{EB149AC4-363D-418C-9D73-048084F9E37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330" name="Text Box 282" hidden="1">
          <a:extLst>
            <a:ext uri="{FF2B5EF4-FFF2-40B4-BE49-F238E27FC236}">
              <a16:creationId xmlns:a16="http://schemas.microsoft.com/office/drawing/2014/main" id="{EA38855F-DE63-4E72-821C-BC033AC3AA3C}"/>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329" name="Text Box 281" hidden="1">
          <a:extLst>
            <a:ext uri="{FF2B5EF4-FFF2-40B4-BE49-F238E27FC236}">
              <a16:creationId xmlns:a16="http://schemas.microsoft.com/office/drawing/2014/main" id="{F9613853-5704-41FB-9F7D-DA8946C6A48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328" name="Text Box 280" hidden="1">
          <a:extLst>
            <a:ext uri="{FF2B5EF4-FFF2-40B4-BE49-F238E27FC236}">
              <a16:creationId xmlns:a16="http://schemas.microsoft.com/office/drawing/2014/main" id="{61433F9B-0BEF-44C0-9DBE-3CBBEF790E37}"/>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44756</xdr:rowOff>
    </xdr:from>
    <xdr:to>
      <xdr:col>5</xdr:col>
      <xdr:colOff>609600</xdr:colOff>
      <xdr:row>191</xdr:row>
      <xdr:rowOff>50553</xdr:rowOff>
    </xdr:to>
    <xdr:sp macro="" textlink="">
      <xdr:nvSpPr>
        <xdr:cNvPr id="258327" name="Text Box 279" hidden="1">
          <a:extLst>
            <a:ext uri="{FF2B5EF4-FFF2-40B4-BE49-F238E27FC236}">
              <a16:creationId xmlns:a16="http://schemas.microsoft.com/office/drawing/2014/main" id="{CD13DF43-0913-4B12-95B3-58D117B79F87}"/>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99289</xdr:rowOff>
    </xdr:from>
    <xdr:to>
      <xdr:col>5</xdr:col>
      <xdr:colOff>609600</xdr:colOff>
      <xdr:row>218</xdr:row>
      <xdr:rowOff>168110</xdr:rowOff>
    </xdr:to>
    <xdr:sp macro="" textlink="">
      <xdr:nvSpPr>
        <xdr:cNvPr id="258326" name="Text Box 278" hidden="1">
          <a:extLst>
            <a:ext uri="{FF2B5EF4-FFF2-40B4-BE49-F238E27FC236}">
              <a16:creationId xmlns:a16="http://schemas.microsoft.com/office/drawing/2014/main" id="{179597A6-0439-433F-A05B-522AC10FA33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99289</xdr:rowOff>
    </xdr:from>
    <xdr:to>
      <xdr:col>5</xdr:col>
      <xdr:colOff>609600</xdr:colOff>
      <xdr:row>218</xdr:row>
      <xdr:rowOff>168110</xdr:rowOff>
    </xdr:to>
    <xdr:sp macro="" textlink="">
      <xdr:nvSpPr>
        <xdr:cNvPr id="258325" name="Text Box 277" hidden="1">
          <a:extLst>
            <a:ext uri="{FF2B5EF4-FFF2-40B4-BE49-F238E27FC236}">
              <a16:creationId xmlns:a16="http://schemas.microsoft.com/office/drawing/2014/main" id="{348FDA4C-A76C-41B0-A994-41210319C35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324" name="Text Box 276" hidden="1">
          <a:extLst>
            <a:ext uri="{FF2B5EF4-FFF2-40B4-BE49-F238E27FC236}">
              <a16:creationId xmlns:a16="http://schemas.microsoft.com/office/drawing/2014/main" id="{4257807F-6444-4F52-8636-06783DDF69DB}"/>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45424</xdr:rowOff>
    </xdr:from>
    <xdr:to>
      <xdr:col>18</xdr:col>
      <xdr:colOff>440532</xdr:colOff>
      <xdr:row>30</xdr:row>
      <xdr:rowOff>103281</xdr:rowOff>
    </xdr:to>
    <xdr:sp macro="" textlink="">
      <xdr:nvSpPr>
        <xdr:cNvPr id="258338" name="Text Box 290" hidden="1">
          <a:extLst>
            <a:ext uri="{FF2B5EF4-FFF2-40B4-BE49-F238E27FC236}">
              <a16:creationId xmlns:a16="http://schemas.microsoft.com/office/drawing/2014/main" id="{BB8FA034-C1D5-418A-9CAD-7312C9C66EBB}"/>
            </a:ext>
          </a:extLst>
        </xdr:cNvPr>
        <xdr:cNvSpPr txBox="1">
          <a:spLocks noChangeArrowheads="1"/>
        </xdr:cNvSpPr>
      </xdr:nvSpPr>
      <xdr:spPr bwMode="auto">
        <a:xfrm>
          <a:off x="15377160" y="6088380"/>
          <a:ext cx="12801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97</xdr:row>
      <xdr:rowOff>37644</xdr:rowOff>
    </xdr:from>
    <xdr:to>
      <xdr:col>5</xdr:col>
      <xdr:colOff>618490</xdr:colOff>
      <xdr:row>98</xdr:row>
      <xdr:rowOff>114459</xdr:rowOff>
    </xdr:to>
    <xdr:sp macro="" textlink="">
      <xdr:nvSpPr>
        <xdr:cNvPr id="258339" name="Text Box 291" hidden="1">
          <a:extLst>
            <a:ext uri="{FF2B5EF4-FFF2-40B4-BE49-F238E27FC236}">
              <a16:creationId xmlns:a16="http://schemas.microsoft.com/office/drawing/2014/main" id="{755B1C05-CF81-467A-934A-272D424CC761}"/>
            </a:ext>
          </a:extLst>
        </xdr:cNvPr>
        <xdr:cNvSpPr txBox="1">
          <a:spLocks noChangeArrowheads="1"/>
        </xdr:cNvSpPr>
      </xdr:nvSpPr>
      <xdr:spPr bwMode="auto">
        <a:xfrm>
          <a:off x="3977640" y="21130260"/>
          <a:ext cx="131064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97</xdr:row>
      <xdr:rowOff>181785</xdr:rowOff>
    </xdr:from>
    <xdr:to>
      <xdr:col>5</xdr:col>
      <xdr:colOff>618490</xdr:colOff>
      <xdr:row>100</xdr:row>
      <xdr:rowOff>93971</xdr:rowOff>
    </xdr:to>
    <xdr:sp macro="" textlink="">
      <xdr:nvSpPr>
        <xdr:cNvPr id="258340" name="Text Box 292" hidden="1">
          <a:extLst>
            <a:ext uri="{FF2B5EF4-FFF2-40B4-BE49-F238E27FC236}">
              <a16:creationId xmlns:a16="http://schemas.microsoft.com/office/drawing/2014/main" id="{4DC7C797-B0AD-4D8D-A853-2BF5EA49EF8C}"/>
            </a:ext>
          </a:extLst>
        </xdr:cNvPr>
        <xdr:cNvSpPr txBox="1">
          <a:spLocks noChangeArrowheads="1"/>
        </xdr:cNvSpPr>
      </xdr:nvSpPr>
      <xdr:spPr bwMode="auto">
        <a:xfrm>
          <a:off x="3977640" y="21313140"/>
          <a:ext cx="1310640" cy="45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99</xdr:row>
      <xdr:rowOff>57309</xdr:rowOff>
    </xdr:from>
    <xdr:to>
      <xdr:col>5</xdr:col>
      <xdr:colOff>618490</xdr:colOff>
      <xdr:row>103</xdr:row>
      <xdr:rowOff>123411</xdr:rowOff>
    </xdr:to>
    <xdr:sp macro="" textlink="">
      <xdr:nvSpPr>
        <xdr:cNvPr id="258341" name="Text Box 293" hidden="1">
          <a:extLst>
            <a:ext uri="{FF2B5EF4-FFF2-40B4-BE49-F238E27FC236}">
              <a16:creationId xmlns:a16="http://schemas.microsoft.com/office/drawing/2014/main" id="{5727F1EE-CAEB-4385-9AE9-44B7128C6D1C}"/>
            </a:ext>
          </a:extLst>
        </xdr:cNvPr>
        <xdr:cNvSpPr txBox="1">
          <a:spLocks noChangeArrowheads="1"/>
        </xdr:cNvSpPr>
      </xdr:nvSpPr>
      <xdr:spPr bwMode="auto">
        <a:xfrm>
          <a:off x="3977640" y="215112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100</xdr:row>
      <xdr:rowOff>74829</xdr:rowOff>
    </xdr:from>
    <xdr:to>
      <xdr:col>5</xdr:col>
      <xdr:colOff>618490</xdr:colOff>
      <xdr:row>104</xdr:row>
      <xdr:rowOff>111710</xdr:rowOff>
    </xdr:to>
    <xdr:sp macro="" textlink="">
      <xdr:nvSpPr>
        <xdr:cNvPr id="258342" name="Text Box 294" hidden="1">
          <a:extLst>
            <a:ext uri="{FF2B5EF4-FFF2-40B4-BE49-F238E27FC236}">
              <a16:creationId xmlns:a16="http://schemas.microsoft.com/office/drawing/2014/main" id="{16557773-ACA3-4437-81FD-9EEDC223C10A}"/>
            </a:ext>
          </a:extLst>
        </xdr:cNvPr>
        <xdr:cNvSpPr txBox="1">
          <a:spLocks noChangeArrowheads="1"/>
        </xdr:cNvSpPr>
      </xdr:nvSpPr>
      <xdr:spPr bwMode="auto">
        <a:xfrm>
          <a:off x="3977640" y="216941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89</xdr:row>
      <xdr:rowOff>24496</xdr:rowOff>
    </xdr:from>
    <xdr:to>
      <xdr:col>5</xdr:col>
      <xdr:colOff>618490</xdr:colOff>
      <xdr:row>93</xdr:row>
      <xdr:rowOff>3765</xdr:rowOff>
    </xdr:to>
    <xdr:sp macro="" textlink="">
      <xdr:nvSpPr>
        <xdr:cNvPr id="258343" name="Text Box 295" hidden="1">
          <a:extLst>
            <a:ext uri="{FF2B5EF4-FFF2-40B4-BE49-F238E27FC236}">
              <a16:creationId xmlns:a16="http://schemas.microsoft.com/office/drawing/2014/main" id="{C9315DFF-B83D-46EB-915E-7033FF470DD0}"/>
            </a:ext>
          </a:extLst>
        </xdr:cNvPr>
        <xdr:cNvSpPr txBox="1">
          <a:spLocks noChangeArrowheads="1"/>
        </xdr:cNvSpPr>
      </xdr:nvSpPr>
      <xdr:spPr bwMode="auto">
        <a:xfrm>
          <a:off x="3977640" y="1934718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90</xdr:row>
      <xdr:rowOff>53240</xdr:rowOff>
    </xdr:from>
    <xdr:to>
      <xdr:col>5</xdr:col>
      <xdr:colOff>618490</xdr:colOff>
      <xdr:row>93</xdr:row>
      <xdr:rowOff>185254</xdr:rowOff>
    </xdr:to>
    <xdr:sp macro="" textlink="">
      <xdr:nvSpPr>
        <xdr:cNvPr id="258344" name="Text Box 296" hidden="1">
          <a:extLst>
            <a:ext uri="{FF2B5EF4-FFF2-40B4-BE49-F238E27FC236}">
              <a16:creationId xmlns:a16="http://schemas.microsoft.com/office/drawing/2014/main" id="{C82E576E-C94C-4EDA-9A83-8E385C777798}"/>
            </a:ext>
          </a:extLst>
        </xdr:cNvPr>
        <xdr:cNvSpPr txBox="1">
          <a:spLocks noChangeArrowheads="1"/>
        </xdr:cNvSpPr>
      </xdr:nvSpPr>
      <xdr:spPr bwMode="auto">
        <a:xfrm>
          <a:off x="3977640" y="195300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91</xdr:row>
      <xdr:rowOff>54644</xdr:rowOff>
    </xdr:from>
    <xdr:to>
      <xdr:col>5</xdr:col>
      <xdr:colOff>618490</xdr:colOff>
      <xdr:row>94</xdr:row>
      <xdr:rowOff>141708</xdr:rowOff>
    </xdr:to>
    <xdr:sp macro="" textlink="">
      <xdr:nvSpPr>
        <xdr:cNvPr id="258345" name="Text Box 297" hidden="1">
          <a:extLst>
            <a:ext uri="{FF2B5EF4-FFF2-40B4-BE49-F238E27FC236}">
              <a16:creationId xmlns:a16="http://schemas.microsoft.com/office/drawing/2014/main" id="{C522A294-B0BD-44FC-A02F-6218FD75AC53}"/>
            </a:ext>
          </a:extLst>
        </xdr:cNvPr>
        <xdr:cNvSpPr txBox="1">
          <a:spLocks noChangeArrowheads="1"/>
        </xdr:cNvSpPr>
      </xdr:nvSpPr>
      <xdr:spPr bwMode="auto">
        <a:xfrm>
          <a:off x="3977640" y="197129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34226</xdr:rowOff>
    </xdr:from>
    <xdr:to>
      <xdr:col>5</xdr:col>
      <xdr:colOff>618490</xdr:colOff>
      <xdr:row>95</xdr:row>
      <xdr:rowOff>73091</xdr:rowOff>
    </xdr:to>
    <xdr:sp macro="" textlink="">
      <xdr:nvSpPr>
        <xdr:cNvPr id="258346" name="Text Box 298" hidden="1">
          <a:extLst>
            <a:ext uri="{FF2B5EF4-FFF2-40B4-BE49-F238E27FC236}">
              <a16:creationId xmlns:a16="http://schemas.microsoft.com/office/drawing/2014/main" id="{AF1E89D6-3179-4E74-B92C-F9E49528429E}"/>
            </a:ext>
          </a:extLst>
        </xdr:cNvPr>
        <xdr:cNvSpPr txBox="1">
          <a:spLocks noChangeArrowheads="1"/>
        </xdr:cNvSpPr>
      </xdr:nvSpPr>
      <xdr:spPr bwMode="auto">
        <a:xfrm>
          <a:off x="3977640" y="1989582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45236</xdr:rowOff>
    </xdr:from>
    <xdr:to>
      <xdr:col>6</xdr:col>
      <xdr:colOff>38100</xdr:colOff>
      <xdr:row>193</xdr:row>
      <xdr:rowOff>146822</xdr:rowOff>
    </xdr:to>
    <xdr:sp macro="" textlink="">
      <xdr:nvSpPr>
        <xdr:cNvPr id="258461" name="Text Box 413" hidden="1">
          <a:extLst>
            <a:ext uri="{FF2B5EF4-FFF2-40B4-BE49-F238E27FC236}">
              <a16:creationId xmlns:a16="http://schemas.microsoft.com/office/drawing/2014/main" id="{837A0564-CA11-46FD-8697-BB72CBF2492F}"/>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60" name="Text Box 412" hidden="1">
          <a:extLst>
            <a:ext uri="{FF2B5EF4-FFF2-40B4-BE49-F238E27FC236}">
              <a16:creationId xmlns:a16="http://schemas.microsoft.com/office/drawing/2014/main" id="{EB5F1527-5B00-4D6E-B06A-DF809346501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59" name="Text Box 411" hidden="1">
          <a:extLst>
            <a:ext uri="{FF2B5EF4-FFF2-40B4-BE49-F238E27FC236}">
              <a16:creationId xmlns:a16="http://schemas.microsoft.com/office/drawing/2014/main" id="{7621EF48-19F7-4B88-8AB0-C5840E54F58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458" name="Text Box 410" hidden="1">
          <a:extLst>
            <a:ext uri="{FF2B5EF4-FFF2-40B4-BE49-F238E27FC236}">
              <a16:creationId xmlns:a16="http://schemas.microsoft.com/office/drawing/2014/main" id="{E0536428-661A-4EFB-A387-7C4567713FF5}"/>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457" name="Text Box 409" hidden="1">
          <a:extLst>
            <a:ext uri="{FF2B5EF4-FFF2-40B4-BE49-F238E27FC236}">
              <a16:creationId xmlns:a16="http://schemas.microsoft.com/office/drawing/2014/main" id="{34D36746-1601-415A-B37A-A618DCEBB658}"/>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456" name="Text Box 408" hidden="1">
          <a:extLst>
            <a:ext uri="{FF2B5EF4-FFF2-40B4-BE49-F238E27FC236}">
              <a16:creationId xmlns:a16="http://schemas.microsoft.com/office/drawing/2014/main" id="{6CA005A5-2B05-4D48-A988-A627E6C47B35}"/>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455" name="Text Box 407" hidden="1">
          <a:extLst>
            <a:ext uri="{FF2B5EF4-FFF2-40B4-BE49-F238E27FC236}">
              <a16:creationId xmlns:a16="http://schemas.microsoft.com/office/drawing/2014/main" id="{2765D102-A9F9-47B0-B3E1-43C3FDB21F8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454" name="Text Box 406" hidden="1">
          <a:extLst>
            <a:ext uri="{FF2B5EF4-FFF2-40B4-BE49-F238E27FC236}">
              <a16:creationId xmlns:a16="http://schemas.microsoft.com/office/drawing/2014/main" id="{C648D693-0F91-45A8-93DA-DDBD2404F6E6}"/>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453" name="Text Box 405" hidden="1">
          <a:extLst>
            <a:ext uri="{FF2B5EF4-FFF2-40B4-BE49-F238E27FC236}">
              <a16:creationId xmlns:a16="http://schemas.microsoft.com/office/drawing/2014/main" id="{760B4CED-B450-4D4C-84DF-EC03939FFC5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452" name="Text Box 404" hidden="1">
          <a:extLst>
            <a:ext uri="{FF2B5EF4-FFF2-40B4-BE49-F238E27FC236}">
              <a16:creationId xmlns:a16="http://schemas.microsoft.com/office/drawing/2014/main" id="{85CB8814-6B91-4829-BCE6-EE083A8E7862}"/>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46661</xdr:rowOff>
    </xdr:from>
    <xdr:to>
      <xdr:col>5</xdr:col>
      <xdr:colOff>609600</xdr:colOff>
      <xdr:row>191</xdr:row>
      <xdr:rowOff>53421</xdr:rowOff>
    </xdr:to>
    <xdr:sp macro="" textlink="">
      <xdr:nvSpPr>
        <xdr:cNvPr id="258451" name="Text Box 403" hidden="1">
          <a:extLst>
            <a:ext uri="{FF2B5EF4-FFF2-40B4-BE49-F238E27FC236}">
              <a16:creationId xmlns:a16="http://schemas.microsoft.com/office/drawing/2014/main" id="{1CF0D463-453A-4C69-8989-B9CDBDCA5C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99289</xdr:rowOff>
    </xdr:from>
    <xdr:to>
      <xdr:col>5</xdr:col>
      <xdr:colOff>609600</xdr:colOff>
      <xdr:row>218</xdr:row>
      <xdr:rowOff>168110</xdr:rowOff>
    </xdr:to>
    <xdr:sp macro="" textlink="">
      <xdr:nvSpPr>
        <xdr:cNvPr id="258450" name="Text Box 402" hidden="1">
          <a:extLst>
            <a:ext uri="{FF2B5EF4-FFF2-40B4-BE49-F238E27FC236}">
              <a16:creationId xmlns:a16="http://schemas.microsoft.com/office/drawing/2014/main" id="{7A6BE255-1BF4-4687-972A-9E6F8806E8A6}"/>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99289</xdr:rowOff>
    </xdr:from>
    <xdr:to>
      <xdr:col>5</xdr:col>
      <xdr:colOff>609600</xdr:colOff>
      <xdr:row>218</xdr:row>
      <xdr:rowOff>168110</xdr:rowOff>
    </xdr:to>
    <xdr:sp macro="" textlink="">
      <xdr:nvSpPr>
        <xdr:cNvPr id="258449" name="Text Box 401" hidden="1">
          <a:extLst>
            <a:ext uri="{FF2B5EF4-FFF2-40B4-BE49-F238E27FC236}">
              <a16:creationId xmlns:a16="http://schemas.microsoft.com/office/drawing/2014/main" id="{5C2E7BC7-A36A-4574-8D19-2D84124EAF0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48" name="Text Box 400" hidden="1">
          <a:extLst>
            <a:ext uri="{FF2B5EF4-FFF2-40B4-BE49-F238E27FC236}">
              <a16:creationId xmlns:a16="http://schemas.microsoft.com/office/drawing/2014/main" id="{A4837FF4-4E39-4C63-B682-387BAD286E82}"/>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28279</xdr:rowOff>
    </xdr:from>
    <xdr:to>
      <xdr:col>18</xdr:col>
      <xdr:colOff>440532</xdr:colOff>
      <xdr:row>30</xdr:row>
      <xdr:rowOff>105186</xdr:rowOff>
    </xdr:to>
    <xdr:sp macro="" textlink="">
      <xdr:nvSpPr>
        <xdr:cNvPr id="258447" name="Text Box 399" hidden="1">
          <a:extLst>
            <a:ext uri="{FF2B5EF4-FFF2-40B4-BE49-F238E27FC236}">
              <a16:creationId xmlns:a16="http://schemas.microsoft.com/office/drawing/2014/main" id="{0A1F7EA4-5134-46F3-BB41-F599CE67A4A0}"/>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1449</xdr:rowOff>
    </xdr:from>
    <xdr:to>
      <xdr:col>5</xdr:col>
      <xdr:colOff>617220</xdr:colOff>
      <xdr:row>98</xdr:row>
      <xdr:rowOff>114459</xdr:rowOff>
    </xdr:to>
    <xdr:sp macro="" textlink="">
      <xdr:nvSpPr>
        <xdr:cNvPr id="258446" name="Text Box 398" hidden="1">
          <a:extLst>
            <a:ext uri="{FF2B5EF4-FFF2-40B4-BE49-F238E27FC236}">
              <a16:creationId xmlns:a16="http://schemas.microsoft.com/office/drawing/2014/main" id="{578A73FB-DE29-4E38-B849-7A0E0E94E083}"/>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181785</xdr:rowOff>
    </xdr:from>
    <xdr:to>
      <xdr:col>5</xdr:col>
      <xdr:colOff>617220</xdr:colOff>
      <xdr:row>100</xdr:row>
      <xdr:rowOff>94289</xdr:rowOff>
    </xdr:to>
    <xdr:sp macro="" textlink="">
      <xdr:nvSpPr>
        <xdr:cNvPr id="258445" name="Text Box 397" hidden="1">
          <a:extLst>
            <a:ext uri="{FF2B5EF4-FFF2-40B4-BE49-F238E27FC236}">
              <a16:creationId xmlns:a16="http://schemas.microsoft.com/office/drawing/2014/main" id="{45E85962-25A0-41F2-B0E0-5265DB84478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57309</xdr:rowOff>
    </xdr:from>
    <xdr:to>
      <xdr:col>5</xdr:col>
      <xdr:colOff>617220</xdr:colOff>
      <xdr:row>103</xdr:row>
      <xdr:rowOff>123411</xdr:rowOff>
    </xdr:to>
    <xdr:sp macro="" textlink="">
      <xdr:nvSpPr>
        <xdr:cNvPr id="258444" name="Text Box 396" hidden="1">
          <a:extLst>
            <a:ext uri="{FF2B5EF4-FFF2-40B4-BE49-F238E27FC236}">
              <a16:creationId xmlns:a16="http://schemas.microsoft.com/office/drawing/2014/main" id="{61CDDD2B-D957-4564-A76B-4FF5031722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74829</xdr:rowOff>
    </xdr:from>
    <xdr:to>
      <xdr:col>5</xdr:col>
      <xdr:colOff>617220</xdr:colOff>
      <xdr:row>104</xdr:row>
      <xdr:rowOff>111710</xdr:rowOff>
    </xdr:to>
    <xdr:sp macro="" textlink="">
      <xdr:nvSpPr>
        <xdr:cNvPr id="258443" name="Text Box 395" hidden="1">
          <a:extLst>
            <a:ext uri="{FF2B5EF4-FFF2-40B4-BE49-F238E27FC236}">
              <a16:creationId xmlns:a16="http://schemas.microsoft.com/office/drawing/2014/main" id="{06C03AC7-37B8-4482-A228-B3D04A54666F}"/>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24496</xdr:rowOff>
    </xdr:from>
    <xdr:to>
      <xdr:col>5</xdr:col>
      <xdr:colOff>617220</xdr:colOff>
      <xdr:row>93</xdr:row>
      <xdr:rowOff>3765</xdr:rowOff>
    </xdr:to>
    <xdr:sp macro="" textlink="">
      <xdr:nvSpPr>
        <xdr:cNvPr id="258442" name="Text Box 394" hidden="1">
          <a:extLst>
            <a:ext uri="{FF2B5EF4-FFF2-40B4-BE49-F238E27FC236}">
              <a16:creationId xmlns:a16="http://schemas.microsoft.com/office/drawing/2014/main" id="{540444C8-DE33-4CA5-A026-C49858C742A4}"/>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53240</xdr:rowOff>
    </xdr:from>
    <xdr:to>
      <xdr:col>5</xdr:col>
      <xdr:colOff>617220</xdr:colOff>
      <xdr:row>93</xdr:row>
      <xdr:rowOff>185254</xdr:rowOff>
    </xdr:to>
    <xdr:sp macro="" textlink="">
      <xdr:nvSpPr>
        <xdr:cNvPr id="258441" name="Text Box 393" hidden="1">
          <a:extLst>
            <a:ext uri="{FF2B5EF4-FFF2-40B4-BE49-F238E27FC236}">
              <a16:creationId xmlns:a16="http://schemas.microsoft.com/office/drawing/2014/main" id="{85A73F4F-8E5B-48C7-8641-8ABE8BCCB684}"/>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617220</xdr:colOff>
      <xdr:row>94</xdr:row>
      <xdr:rowOff>141708</xdr:rowOff>
    </xdr:to>
    <xdr:sp macro="" textlink="">
      <xdr:nvSpPr>
        <xdr:cNvPr id="258440" name="Text Box 392" hidden="1">
          <a:extLst>
            <a:ext uri="{FF2B5EF4-FFF2-40B4-BE49-F238E27FC236}">
              <a16:creationId xmlns:a16="http://schemas.microsoft.com/office/drawing/2014/main" id="{42584DC4-16EA-4DB5-89D3-BB29C41A272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34226</xdr:rowOff>
    </xdr:from>
    <xdr:to>
      <xdr:col>5</xdr:col>
      <xdr:colOff>617220</xdr:colOff>
      <xdr:row>95</xdr:row>
      <xdr:rowOff>73091</xdr:rowOff>
    </xdr:to>
    <xdr:sp macro="" textlink="">
      <xdr:nvSpPr>
        <xdr:cNvPr id="258439" name="Text Box 391" hidden="1">
          <a:extLst>
            <a:ext uri="{FF2B5EF4-FFF2-40B4-BE49-F238E27FC236}">
              <a16:creationId xmlns:a16="http://schemas.microsoft.com/office/drawing/2014/main" id="{56C12DE3-76C8-443B-BBA7-8456C5CC5CF4}"/>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45236</xdr:rowOff>
    </xdr:from>
    <xdr:to>
      <xdr:col>6</xdr:col>
      <xdr:colOff>38100</xdr:colOff>
      <xdr:row>193</xdr:row>
      <xdr:rowOff>146822</xdr:rowOff>
    </xdr:to>
    <xdr:sp macro="" textlink="">
      <xdr:nvSpPr>
        <xdr:cNvPr id="258438" name="Text Box 390" hidden="1">
          <a:extLst>
            <a:ext uri="{FF2B5EF4-FFF2-40B4-BE49-F238E27FC236}">
              <a16:creationId xmlns:a16="http://schemas.microsoft.com/office/drawing/2014/main" id="{200A9B2C-3B6E-4AF8-9C7E-AA0696C64075}"/>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37" name="Text Box 389" hidden="1">
          <a:extLst>
            <a:ext uri="{FF2B5EF4-FFF2-40B4-BE49-F238E27FC236}">
              <a16:creationId xmlns:a16="http://schemas.microsoft.com/office/drawing/2014/main" id="{DDDC1CC9-EAC5-4B4E-B386-8A99A7FFC2A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36" name="Text Box 388" hidden="1">
          <a:extLst>
            <a:ext uri="{FF2B5EF4-FFF2-40B4-BE49-F238E27FC236}">
              <a16:creationId xmlns:a16="http://schemas.microsoft.com/office/drawing/2014/main" id="{06D11A38-FA29-4EED-BAE6-372E94ACA3D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435" name="Text Box 387" hidden="1">
          <a:extLst>
            <a:ext uri="{FF2B5EF4-FFF2-40B4-BE49-F238E27FC236}">
              <a16:creationId xmlns:a16="http://schemas.microsoft.com/office/drawing/2014/main" id="{6673DD1A-9EF6-4B19-98FA-C485676D072A}"/>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434" name="Text Box 386" hidden="1">
          <a:extLst>
            <a:ext uri="{FF2B5EF4-FFF2-40B4-BE49-F238E27FC236}">
              <a16:creationId xmlns:a16="http://schemas.microsoft.com/office/drawing/2014/main" id="{FDDF4766-7F32-4F2A-BF81-8FC2459A57D6}"/>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433" name="Text Box 385" hidden="1">
          <a:extLst>
            <a:ext uri="{FF2B5EF4-FFF2-40B4-BE49-F238E27FC236}">
              <a16:creationId xmlns:a16="http://schemas.microsoft.com/office/drawing/2014/main" id="{F2703C0D-F5E9-47AA-AC9D-8258592C8B62}"/>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432" name="Text Box 384" hidden="1">
          <a:extLst>
            <a:ext uri="{FF2B5EF4-FFF2-40B4-BE49-F238E27FC236}">
              <a16:creationId xmlns:a16="http://schemas.microsoft.com/office/drawing/2014/main" id="{E584EE81-17E2-49FC-899E-A947D6BBBE8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431" name="Text Box 383" hidden="1">
          <a:extLst>
            <a:ext uri="{FF2B5EF4-FFF2-40B4-BE49-F238E27FC236}">
              <a16:creationId xmlns:a16="http://schemas.microsoft.com/office/drawing/2014/main" id="{7F2B5BF6-FF8F-4D74-B5B3-29967F532055}"/>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430" name="Text Box 382" hidden="1">
          <a:extLst>
            <a:ext uri="{FF2B5EF4-FFF2-40B4-BE49-F238E27FC236}">
              <a16:creationId xmlns:a16="http://schemas.microsoft.com/office/drawing/2014/main" id="{668FD32C-B5B0-4748-AA9D-FF7E86931F38}"/>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429" name="Text Box 381" hidden="1">
          <a:extLst>
            <a:ext uri="{FF2B5EF4-FFF2-40B4-BE49-F238E27FC236}">
              <a16:creationId xmlns:a16="http://schemas.microsoft.com/office/drawing/2014/main" id="{18A40337-A52B-44BD-8B0A-F074B79A5ADE}"/>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46661</xdr:rowOff>
    </xdr:from>
    <xdr:to>
      <xdr:col>5</xdr:col>
      <xdr:colOff>609600</xdr:colOff>
      <xdr:row>191</xdr:row>
      <xdr:rowOff>53421</xdr:rowOff>
    </xdr:to>
    <xdr:sp macro="" textlink="">
      <xdr:nvSpPr>
        <xdr:cNvPr id="258428" name="Text Box 380" hidden="1">
          <a:extLst>
            <a:ext uri="{FF2B5EF4-FFF2-40B4-BE49-F238E27FC236}">
              <a16:creationId xmlns:a16="http://schemas.microsoft.com/office/drawing/2014/main" id="{74169F2B-FA48-4D72-B416-DBD4392A4C69}"/>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99289</xdr:rowOff>
    </xdr:from>
    <xdr:to>
      <xdr:col>5</xdr:col>
      <xdr:colOff>609600</xdr:colOff>
      <xdr:row>218</xdr:row>
      <xdr:rowOff>168110</xdr:rowOff>
    </xdr:to>
    <xdr:sp macro="" textlink="">
      <xdr:nvSpPr>
        <xdr:cNvPr id="258427" name="Text Box 379" hidden="1">
          <a:extLst>
            <a:ext uri="{FF2B5EF4-FFF2-40B4-BE49-F238E27FC236}">
              <a16:creationId xmlns:a16="http://schemas.microsoft.com/office/drawing/2014/main" id="{5528AAB4-915B-47CE-8963-CF078E6CED17}"/>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99289</xdr:rowOff>
    </xdr:from>
    <xdr:to>
      <xdr:col>5</xdr:col>
      <xdr:colOff>609600</xdr:colOff>
      <xdr:row>218</xdr:row>
      <xdr:rowOff>168110</xdr:rowOff>
    </xdr:to>
    <xdr:sp macro="" textlink="">
      <xdr:nvSpPr>
        <xdr:cNvPr id="258426" name="Text Box 378" hidden="1">
          <a:extLst>
            <a:ext uri="{FF2B5EF4-FFF2-40B4-BE49-F238E27FC236}">
              <a16:creationId xmlns:a16="http://schemas.microsoft.com/office/drawing/2014/main" id="{508883C5-52C3-453D-9E21-3BDB032C31C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25" name="Text Box 377" hidden="1">
          <a:extLst>
            <a:ext uri="{FF2B5EF4-FFF2-40B4-BE49-F238E27FC236}">
              <a16:creationId xmlns:a16="http://schemas.microsoft.com/office/drawing/2014/main" id="{7313E7FD-1FC4-47CC-8A0D-34EF18460E1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28279</xdr:rowOff>
    </xdr:from>
    <xdr:to>
      <xdr:col>18</xdr:col>
      <xdr:colOff>440532</xdr:colOff>
      <xdr:row>30</xdr:row>
      <xdr:rowOff>105186</xdr:rowOff>
    </xdr:to>
    <xdr:sp macro="" textlink="">
      <xdr:nvSpPr>
        <xdr:cNvPr id="258424" name="Text Box 376" hidden="1">
          <a:extLst>
            <a:ext uri="{FF2B5EF4-FFF2-40B4-BE49-F238E27FC236}">
              <a16:creationId xmlns:a16="http://schemas.microsoft.com/office/drawing/2014/main" id="{1859DE3F-E706-4243-B63D-0313451E1E8E}"/>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1449</xdr:rowOff>
    </xdr:from>
    <xdr:to>
      <xdr:col>5</xdr:col>
      <xdr:colOff>617220</xdr:colOff>
      <xdr:row>98</xdr:row>
      <xdr:rowOff>114459</xdr:rowOff>
    </xdr:to>
    <xdr:sp macro="" textlink="">
      <xdr:nvSpPr>
        <xdr:cNvPr id="258423" name="Text Box 375" hidden="1">
          <a:extLst>
            <a:ext uri="{FF2B5EF4-FFF2-40B4-BE49-F238E27FC236}">
              <a16:creationId xmlns:a16="http://schemas.microsoft.com/office/drawing/2014/main" id="{2E51CBB5-3661-4736-8040-B714B03085B5}"/>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181785</xdr:rowOff>
    </xdr:from>
    <xdr:to>
      <xdr:col>5</xdr:col>
      <xdr:colOff>617220</xdr:colOff>
      <xdr:row>100</xdr:row>
      <xdr:rowOff>94289</xdr:rowOff>
    </xdr:to>
    <xdr:sp macro="" textlink="">
      <xdr:nvSpPr>
        <xdr:cNvPr id="258422" name="Text Box 374" hidden="1">
          <a:extLst>
            <a:ext uri="{FF2B5EF4-FFF2-40B4-BE49-F238E27FC236}">
              <a16:creationId xmlns:a16="http://schemas.microsoft.com/office/drawing/2014/main" id="{AD101233-E720-4711-B521-3025D3CEC874}"/>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57309</xdr:rowOff>
    </xdr:from>
    <xdr:to>
      <xdr:col>5</xdr:col>
      <xdr:colOff>617220</xdr:colOff>
      <xdr:row>103</xdr:row>
      <xdr:rowOff>123411</xdr:rowOff>
    </xdr:to>
    <xdr:sp macro="" textlink="">
      <xdr:nvSpPr>
        <xdr:cNvPr id="258421" name="Text Box 373" hidden="1">
          <a:extLst>
            <a:ext uri="{FF2B5EF4-FFF2-40B4-BE49-F238E27FC236}">
              <a16:creationId xmlns:a16="http://schemas.microsoft.com/office/drawing/2014/main" id="{6C4DC465-C005-48E3-BAE1-C12E171089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74829</xdr:rowOff>
    </xdr:from>
    <xdr:to>
      <xdr:col>5</xdr:col>
      <xdr:colOff>617220</xdr:colOff>
      <xdr:row>104</xdr:row>
      <xdr:rowOff>111710</xdr:rowOff>
    </xdr:to>
    <xdr:sp macro="" textlink="">
      <xdr:nvSpPr>
        <xdr:cNvPr id="258420" name="Text Box 372" hidden="1">
          <a:extLst>
            <a:ext uri="{FF2B5EF4-FFF2-40B4-BE49-F238E27FC236}">
              <a16:creationId xmlns:a16="http://schemas.microsoft.com/office/drawing/2014/main" id="{E7BB2D98-AB97-4529-9D19-248A0C768949}"/>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24496</xdr:rowOff>
    </xdr:from>
    <xdr:to>
      <xdr:col>5</xdr:col>
      <xdr:colOff>617220</xdr:colOff>
      <xdr:row>93</xdr:row>
      <xdr:rowOff>3765</xdr:rowOff>
    </xdr:to>
    <xdr:sp macro="" textlink="">
      <xdr:nvSpPr>
        <xdr:cNvPr id="258419" name="Text Box 371" hidden="1">
          <a:extLst>
            <a:ext uri="{FF2B5EF4-FFF2-40B4-BE49-F238E27FC236}">
              <a16:creationId xmlns:a16="http://schemas.microsoft.com/office/drawing/2014/main" id="{214129A8-9E61-471B-8F06-1E5F179D289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53240</xdr:rowOff>
    </xdr:from>
    <xdr:to>
      <xdr:col>5</xdr:col>
      <xdr:colOff>617220</xdr:colOff>
      <xdr:row>93</xdr:row>
      <xdr:rowOff>185254</xdr:rowOff>
    </xdr:to>
    <xdr:sp macro="" textlink="">
      <xdr:nvSpPr>
        <xdr:cNvPr id="258418" name="Text Box 370" hidden="1">
          <a:extLst>
            <a:ext uri="{FF2B5EF4-FFF2-40B4-BE49-F238E27FC236}">
              <a16:creationId xmlns:a16="http://schemas.microsoft.com/office/drawing/2014/main" id="{54049864-E03B-4A63-8516-F3A466285CC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617220</xdr:colOff>
      <xdr:row>94</xdr:row>
      <xdr:rowOff>141708</xdr:rowOff>
    </xdr:to>
    <xdr:sp macro="" textlink="">
      <xdr:nvSpPr>
        <xdr:cNvPr id="258417" name="Text Box 369" hidden="1">
          <a:extLst>
            <a:ext uri="{FF2B5EF4-FFF2-40B4-BE49-F238E27FC236}">
              <a16:creationId xmlns:a16="http://schemas.microsoft.com/office/drawing/2014/main" id="{35A6AC1C-6B4B-43B1-A4A4-9B719FDFC53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34226</xdr:rowOff>
    </xdr:from>
    <xdr:to>
      <xdr:col>5</xdr:col>
      <xdr:colOff>617220</xdr:colOff>
      <xdr:row>95</xdr:row>
      <xdr:rowOff>73091</xdr:rowOff>
    </xdr:to>
    <xdr:sp macro="" textlink="">
      <xdr:nvSpPr>
        <xdr:cNvPr id="258416" name="Text Box 368" hidden="1">
          <a:extLst>
            <a:ext uri="{FF2B5EF4-FFF2-40B4-BE49-F238E27FC236}">
              <a16:creationId xmlns:a16="http://schemas.microsoft.com/office/drawing/2014/main" id="{68146593-F111-478D-AF9C-5A30FD00272B}"/>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45236</xdr:rowOff>
    </xdr:from>
    <xdr:to>
      <xdr:col>6</xdr:col>
      <xdr:colOff>38100</xdr:colOff>
      <xdr:row>193</xdr:row>
      <xdr:rowOff>146822</xdr:rowOff>
    </xdr:to>
    <xdr:sp macro="" textlink="">
      <xdr:nvSpPr>
        <xdr:cNvPr id="258415" name="Text Box 367" hidden="1">
          <a:extLst>
            <a:ext uri="{FF2B5EF4-FFF2-40B4-BE49-F238E27FC236}">
              <a16:creationId xmlns:a16="http://schemas.microsoft.com/office/drawing/2014/main" id="{85ACF4EA-7678-4FA2-9DC0-8840DBDF6423}"/>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14" name="Text Box 366" hidden="1">
          <a:extLst>
            <a:ext uri="{FF2B5EF4-FFF2-40B4-BE49-F238E27FC236}">
              <a16:creationId xmlns:a16="http://schemas.microsoft.com/office/drawing/2014/main" id="{604C28F6-EB9E-41B2-ACD1-211AECAD54FC}"/>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13" name="Text Box 365" hidden="1">
          <a:extLst>
            <a:ext uri="{FF2B5EF4-FFF2-40B4-BE49-F238E27FC236}">
              <a16:creationId xmlns:a16="http://schemas.microsoft.com/office/drawing/2014/main" id="{32FB51A6-A228-48AE-A976-690D81DE047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412" name="Text Box 364" hidden="1">
          <a:extLst>
            <a:ext uri="{FF2B5EF4-FFF2-40B4-BE49-F238E27FC236}">
              <a16:creationId xmlns:a16="http://schemas.microsoft.com/office/drawing/2014/main" id="{15272EC6-3B13-4299-A180-46F6A6C8296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411" name="Text Box 363" hidden="1">
          <a:extLst>
            <a:ext uri="{FF2B5EF4-FFF2-40B4-BE49-F238E27FC236}">
              <a16:creationId xmlns:a16="http://schemas.microsoft.com/office/drawing/2014/main" id="{D86458B8-04BB-42A6-9FF8-CC3191446659}"/>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410" name="Text Box 362" hidden="1">
          <a:extLst>
            <a:ext uri="{FF2B5EF4-FFF2-40B4-BE49-F238E27FC236}">
              <a16:creationId xmlns:a16="http://schemas.microsoft.com/office/drawing/2014/main" id="{CF90A911-F796-4275-A709-CA8995DD27B8}"/>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409" name="Text Box 361" hidden="1">
          <a:extLst>
            <a:ext uri="{FF2B5EF4-FFF2-40B4-BE49-F238E27FC236}">
              <a16:creationId xmlns:a16="http://schemas.microsoft.com/office/drawing/2014/main" id="{0C92A616-338D-4907-B951-4DD1E38E8C51}"/>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408" name="Text Box 360" hidden="1">
          <a:extLst>
            <a:ext uri="{FF2B5EF4-FFF2-40B4-BE49-F238E27FC236}">
              <a16:creationId xmlns:a16="http://schemas.microsoft.com/office/drawing/2014/main" id="{5B0AD9B0-BCE6-44B4-B5A9-C7120EC5C0AB}"/>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407" name="Text Box 359" hidden="1">
          <a:extLst>
            <a:ext uri="{FF2B5EF4-FFF2-40B4-BE49-F238E27FC236}">
              <a16:creationId xmlns:a16="http://schemas.microsoft.com/office/drawing/2014/main" id="{1D20CCEF-4FE0-4D73-A5E3-E88ABB28CFBD}"/>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406" name="Text Box 358" hidden="1">
          <a:extLst>
            <a:ext uri="{FF2B5EF4-FFF2-40B4-BE49-F238E27FC236}">
              <a16:creationId xmlns:a16="http://schemas.microsoft.com/office/drawing/2014/main" id="{A4526BC6-3C92-4C7F-B60E-A5E3B408F055}"/>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46661</xdr:rowOff>
    </xdr:from>
    <xdr:to>
      <xdr:col>5</xdr:col>
      <xdr:colOff>609600</xdr:colOff>
      <xdr:row>191</xdr:row>
      <xdr:rowOff>53421</xdr:rowOff>
    </xdr:to>
    <xdr:sp macro="" textlink="">
      <xdr:nvSpPr>
        <xdr:cNvPr id="258405" name="Text Box 357" hidden="1">
          <a:extLst>
            <a:ext uri="{FF2B5EF4-FFF2-40B4-BE49-F238E27FC236}">
              <a16:creationId xmlns:a16="http://schemas.microsoft.com/office/drawing/2014/main" id="{37C024E7-B9F4-4A99-A4F8-F962FE03C6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99289</xdr:rowOff>
    </xdr:from>
    <xdr:to>
      <xdr:col>5</xdr:col>
      <xdr:colOff>609600</xdr:colOff>
      <xdr:row>218</xdr:row>
      <xdr:rowOff>168110</xdr:rowOff>
    </xdr:to>
    <xdr:sp macro="" textlink="">
      <xdr:nvSpPr>
        <xdr:cNvPr id="258404" name="Text Box 356" hidden="1">
          <a:extLst>
            <a:ext uri="{FF2B5EF4-FFF2-40B4-BE49-F238E27FC236}">
              <a16:creationId xmlns:a16="http://schemas.microsoft.com/office/drawing/2014/main" id="{D08478FB-257B-45C5-B529-FD10B7B55AA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99289</xdr:rowOff>
    </xdr:from>
    <xdr:to>
      <xdr:col>5</xdr:col>
      <xdr:colOff>609600</xdr:colOff>
      <xdr:row>218</xdr:row>
      <xdr:rowOff>168110</xdr:rowOff>
    </xdr:to>
    <xdr:sp macro="" textlink="">
      <xdr:nvSpPr>
        <xdr:cNvPr id="258403" name="Text Box 355" hidden="1">
          <a:extLst>
            <a:ext uri="{FF2B5EF4-FFF2-40B4-BE49-F238E27FC236}">
              <a16:creationId xmlns:a16="http://schemas.microsoft.com/office/drawing/2014/main" id="{FB95E3D8-5F46-4986-A038-ECE1EB727A9F}"/>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02" name="Text Box 354" hidden="1">
          <a:extLst>
            <a:ext uri="{FF2B5EF4-FFF2-40B4-BE49-F238E27FC236}">
              <a16:creationId xmlns:a16="http://schemas.microsoft.com/office/drawing/2014/main" id="{C2E6BEC1-4470-43F3-A942-42506D8B5313}"/>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28279</xdr:rowOff>
    </xdr:from>
    <xdr:to>
      <xdr:col>18</xdr:col>
      <xdr:colOff>440532</xdr:colOff>
      <xdr:row>30</xdr:row>
      <xdr:rowOff>105186</xdr:rowOff>
    </xdr:to>
    <xdr:sp macro="" textlink="">
      <xdr:nvSpPr>
        <xdr:cNvPr id="258401" name="Text Box 353" hidden="1">
          <a:extLst>
            <a:ext uri="{FF2B5EF4-FFF2-40B4-BE49-F238E27FC236}">
              <a16:creationId xmlns:a16="http://schemas.microsoft.com/office/drawing/2014/main" id="{CBAF7ACF-C5A4-4BF1-BB8B-F508AE1D9792}"/>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1449</xdr:rowOff>
    </xdr:from>
    <xdr:to>
      <xdr:col>5</xdr:col>
      <xdr:colOff>617220</xdr:colOff>
      <xdr:row>98</xdr:row>
      <xdr:rowOff>114459</xdr:rowOff>
    </xdr:to>
    <xdr:sp macro="" textlink="">
      <xdr:nvSpPr>
        <xdr:cNvPr id="258400" name="Text Box 352" hidden="1">
          <a:extLst>
            <a:ext uri="{FF2B5EF4-FFF2-40B4-BE49-F238E27FC236}">
              <a16:creationId xmlns:a16="http://schemas.microsoft.com/office/drawing/2014/main" id="{53F970BA-3D2E-4340-A142-3A593EB072CE}"/>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181785</xdr:rowOff>
    </xdr:from>
    <xdr:to>
      <xdr:col>5</xdr:col>
      <xdr:colOff>617220</xdr:colOff>
      <xdr:row>100</xdr:row>
      <xdr:rowOff>94289</xdr:rowOff>
    </xdr:to>
    <xdr:sp macro="" textlink="">
      <xdr:nvSpPr>
        <xdr:cNvPr id="258399" name="Text Box 351" hidden="1">
          <a:extLst>
            <a:ext uri="{FF2B5EF4-FFF2-40B4-BE49-F238E27FC236}">
              <a16:creationId xmlns:a16="http://schemas.microsoft.com/office/drawing/2014/main" id="{D94989FB-3E24-4831-86AA-E99F8BDAAFD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57309</xdr:rowOff>
    </xdr:from>
    <xdr:to>
      <xdr:col>5</xdr:col>
      <xdr:colOff>617220</xdr:colOff>
      <xdr:row>103</xdr:row>
      <xdr:rowOff>123411</xdr:rowOff>
    </xdr:to>
    <xdr:sp macro="" textlink="">
      <xdr:nvSpPr>
        <xdr:cNvPr id="258398" name="Text Box 350" hidden="1">
          <a:extLst>
            <a:ext uri="{FF2B5EF4-FFF2-40B4-BE49-F238E27FC236}">
              <a16:creationId xmlns:a16="http://schemas.microsoft.com/office/drawing/2014/main" id="{EDA4EE27-C73D-485E-ABDF-6298D0963D13}"/>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74829</xdr:rowOff>
    </xdr:from>
    <xdr:to>
      <xdr:col>5</xdr:col>
      <xdr:colOff>617220</xdr:colOff>
      <xdr:row>104</xdr:row>
      <xdr:rowOff>111710</xdr:rowOff>
    </xdr:to>
    <xdr:sp macro="" textlink="">
      <xdr:nvSpPr>
        <xdr:cNvPr id="258397" name="Text Box 349" hidden="1">
          <a:extLst>
            <a:ext uri="{FF2B5EF4-FFF2-40B4-BE49-F238E27FC236}">
              <a16:creationId xmlns:a16="http://schemas.microsoft.com/office/drawing/2014/main" id="{E920EB5C-CA60-4E68-AF09-7E75870046D7}"/>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24496</xdr:rowOff>
    </xdr:from>
    <xdr:to>
      <xdr:col>5</xdr:col>
      <xdr:colOff>617220</xdr:colOff>
      <xdr:row>93</xdr:row>
      <xdr:rowOff>3765</xdr:rowOff>
    </xdr:to>
    <xdr:sp macro="" textlink="">
      <xdr:nvSpPr>
        <xdr:cNvPr id="258396" name="Text Box 348" hidden="1">
          <a:extLst>
            <a:ext uri="{FF2B5EF4-FFF2-40B4-BE49-F238E27FC236}">
              <a16:creationId xmlns:a16="http://schemas.microsoft.com/office/drawing/2014/main" id="{D01607F5-43C5-4A6A-B6D5-4D79E320CD7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53240</xdr:rowOff>
    </xdr:from>
    <xdr:to>
      <xdr:col>5</xdr:col>
      <xdr:colOff>617220</xdr:colOff>
      <xdr:row>93</xdr:row>
      <xdr:rowOff>185254</xdr:rowOff>
    </xdr:to>
    <xdr:sp macro="" textlink="">
      <xdr:nvSpPr>
        <xdr:cNvPr id="258395" name="Text Box 347" hidden="1">
          <a:extLst>
            <a:ext uri="{FF2B5EF4-FFF2-40B4-BE49-F238E27FC236}">
              <a16:creationId xmlns:a16="http://schemas.microsoft.com/office/drawing/2014/main" id="{FC15EE06-A1AA-4343-AECB-062BE8BBFD2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617220</xdr:colOff>
      <xdr:row>94</xdr:row>
      <xdr:rowOff>141708</xdr:rowOff>
    </xdr:to>
    <xdr:sp macro="" textlink="">
      <xdr:nvSpPr>
        <xdr:cNvPr id="258394" name="Text Box 346" hidden="1">
          <a:extLst>
            <a:ext uri="{FF2B5EF4-FFF2-40B4-BE49-F238E27FC236}">
              <a16:creationId xmlns:a16="http://schemas.microsoft.com/office/drawing/2014/main" id="{24A16C94-DB0C-4B9F-B7EC-BE4A7509F14F}"/>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34226</xdr:rowOff>
    </xdr:from>
    <xdr:to>
      <xdr:col>5</xdr:col>
      <xdr:colOff>617220</xdr:colOff>
      <xdr:row>95</xdr:row>
      <xdr:rowOff>73091</xdr:rowOff>
    </xdr:to>
    <xdr:sp macro="" textlink="">
      <xdr:nvSpPr>
        <xdr:cNvPr id="258393" name="Text Box 345" hidden="1">
          <a:extLst>
            <a:ext uri="{FF2B5EF4-FFF2-40B4-BE49-F238E27FC236}">
              <a16:creationId xmlns:a16="http://schemas.microsoft.com/office/drawing/2014/main" id="{FA11B12F-6708-4EC4-AFFA-B570EE4957A9}"/>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20706</xdr:rowOff>
    </xdr:from>
    <xdr:to>
      <xdr:col>6</xdr:col>
      <xdr:colOff>38100</xdr:colOff>
      <xdr:row>193</xdr:row>
      <xdr:rowOff>146822</xdr:rowOff>
    </xdr:to>
    <xdr:sp macro="" textlink="">
      <xdr:nvSpPr>
        <xdr:cNvPr id="258484" name="Text Box 436" hidden="1">
          <a:extLst>
            <a:ext uri="{FF2B5EF4-FFF2-40B4-BE49-F238E27FC236}">
              <a16:creationId xmlns:a16="http://schemas.microsoft.com/office/drawing/2014/main" id="{7DADC03E-4D57-48A6-A418-FEBCFE7B64B7}"/>
            </a:ext>
          </a:extLst>
        </xdr:cNvPr>
        <xdr:cNvSpPr txBox="1">
          <a:spLocks noChangeArrowheads="1"/>
        </xdr:cNvSpPr>
      </xdr:nvSpPr>
      <xdr:spPr bwMode="auto">
        <a:xfrm>
          <a:off x="3933825" y="30165675"/>
          <a:ext cx="1400175"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83" name="Text Box 435" hidden="1">
          <a:extLst>
            <a:ext uri="{FF2B5EF4-FFF2-40B4-BE49-F238E27FC236}">
              <a16:creationId xmlns:a16="http://schemas.microsoft.com/office/drawing/2014/main" id="{40EF7277-AAC8-4F10-8E77-A9FD89A0048B}"/>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82" name="Text Box 434" hidden="1">
          <a:extLst>
            <a:ext uri="{FF2B5EF4-FFF2-40B4-BE49-F238E27FC236}">
              <a16:creationId xmlns:a16="http://schemas.microsoft.com/office/drawing/2014/main" id="{80DF2576-6794-4B6E-8FB5-6D149AF9298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481" name="Text Box 433" hidden="1">
          <a:extLst>
            <a:ext uri="{FF2B5EF4-FFF2-40B4-BE49-F238E27FC236}">
              <a16:creationId xmlns:a16="http://schemas.microsoft.com/office/drawing/2014/main" id="{1594909E-5A2B-4E82-B813-F3961EB4E99B}"/>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480" name="Text Box 432" hidden="1">
          <a:extLst>
            <a:ext uri="{FF2B5EF4-FFF2-40B4-BE49-F238E27FC236}">
              <a16:creationId xmlns:a16="http://schemas.microsoft.com/office/drawing/2014/main" id="{7D85283C-E787-4605-9594-4CEDAC94BE82}"/>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479" name="Text Box 431" hidden="1">
          <a:extLst>
            <a:ext uri="{FF2B5EF4-FFF2-40B4-BE49-F238E27FC236}">
              <a16:creationId xmlns:a16="http://schemas.microsoft.com/office/drawing/2014/main" id="{A35931C9-D8C4-4C6C-B7C3-8E75F7D602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478" name="Text Box 430" hidden="1">
          <a:extLst>
            <a:ext uri="{FF2B5EF4-FFF2-40B4-BE49-F238E27FC236}">
              <a16:creationId xmlns:a16="http://schemas.microsoft.com/office/drawing/2014/main" id="{EF79F1C4-C74C-4C0D-B0DD-8F1FFBA6004C}"/>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477" name="Text Box 429" hidden="1">
          <a:extLst>
            <a:ext uri="{FF2B5EF4-FFF2-40B4-BE49-F238E27FC236}">
              <a16:creationId xmlns:a16="http://schemas.microsoft.com/office/drawing/2014/main" id="{79B1048D-7458-48AB-B357-D5430AC644B0}"/>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476" name="Text Box 428" hidden="1">
          <a:extLst>
            <a:ext uri="{FF2B5EF4-FFF2-40B4-BE49-F238E27FC236}">
              <a16:creationId xmlns:a16="http://schemas.microsoft.com/office/drawing/2014/main" id="{4810092D-EB9F-4A12-A454-B7CBA57C7656}"/>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475" name="Text Box 427" hidden="1">
          <a:extLst>
            <a:ext uri="{FF2B5EF4-FFF2-40B4-BE49-F238E27FC236}">
              <a16:creationId xmlns:a16="http://schemas.microsoft.com/office/drawing/2014/main" id="{700EEEA7-A1AA-49E0-AB2A-0D9D0C42751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46661</xdr:rowOff>
    </xdr:from>
    <xdr:to>
      <xdr:col>5</xdr:col>
      <xdr:colOff>609600</xdr:colOff>
      <xdr:row>191</xdr:row>
      <xdr:rowOff>53421</xdr:rowOff>
    </xdr:to>
    <xdr:sp macro="" textlink="">
      <xdr:nvSpPr>
        <xdr:cNvPr id="258474" name="Text Box 426" hidden="1">
          <a:extLst>
            <a:ext uri="{FF2B5EF4-FFF2-40B4-BE49-F238E27FC236}">
              <a16:creationId xmlns:a16="http://schemas.microsoft.com/office/drawing/2014/main" id="{ECA292ED-76DF-40C9-9D1F-78B9466F0F15}"/>
            </a:ext>
          </a:extLst>
        </xdr:cNvPr>
        <xdr:cNvSpPr txBox="1">
          <a:spLocks noChangeArrowheads="1"/>
        </xdr:cNvSpPr>
      </xdr:nvSpPr>
      <xdr:spPr bwMode="auto">
        <a:xfrm>
          <a:off x="3895725" y="31194375"/>
          <a:ext cx="1247775"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99289</xdr:rowOff>
    </xdr:from>
    <xdr:to>
      <xdr:col>5</xdr:col>
      <xdr:colOff>609600</xdr:colOff>
      <xdr:row>218</xdr:row>
      <xdr:rowOff>168110</xdr:rowOff>
    </xdr:to>
    <xdr:sp macro="" textlink="">
      <xdr:nvSpPr>
        <xdr:cNvPr id="258473" name="Text Box 425" hidden="1">
          <a:extLst>
            <a:ext uri="{FF2B5EF4-FFF2-40B4-BE49-F238E27FC236}">
              <a16:creationId xmlns:a16="http://schemas.microsoft.com/office/drawing/2014/main" id="{1BBA314B-F1CD-48EC-B66A-1A64AA30B9F0}"/>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99289</xdr:rowOff>
    </xdr:from>
    <xdr:to>
      <xdr:col>5</xdr:col>
      <xdr:colOff>609600</xdr:colOff>
      <xdr:row>218</xdr:row>
      <xdr:rowOff>168110</xdr:rowOff>
    </xdr:to>
    <xdr:sp macro="" textlink="">
      <xdr:nvSpPr>
        <xdr:cNvPr id="258472" name="Text Box 424" hidden="1">
          <a:extLst>
            <a:ext uri="{FF2B5EF4-FFF2-40B4-BE49-F238E27FC236}">
              <a16:creationId xmlns:a16="http://schemas.microsoft.com/office/drawing/2014/main" id="{E8C8D618-6616-40CB-9119-FC1749C6FBBA}"/>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71" name="Text Box 423" hidden="1">
          <a:extLst>
            <a:ext uri="{FF2B5EF4-FFF2-40B4-BE49-F238E27FC236}">
              <a16:creationId xmlns:a16="http://schemas.microsoft.com/office/drawing/2014/main" id="{83F09BB1-FC72-4CE0-9A92-5C74FA96655F}"/>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28279</xdr:rowOff>
    </xdr:from>
    <xdr:to>
      <xdr:col>18</xdr:col>
      <xdr:colOff>440532</xdr:colOff>
      <xdr:row>30</xdr:row>
      <xdr:rowOff>105186</xdr:rowOff>
    </xdr:to>
    <xdr:sp macro="" textlink="">
      <xdr:nvSpPr>
        <xdr:cNvPr id="258470" name="Text Box 422" hidden="1">
          <a:extLst>
            <a:ext uri="{FF2B5EF4-FFF2-40B4-BE49-F238E27FC236}">
              <a16:creationId xmlns:a16="http://schemas.microsoft.com/office/drawing/2014/main" id="{4E700DBF-4BB4-4610-969D-AECB5EE48426}"/>
            </a:ext>
          </a:extLst>
        </xdr:cNvPr>
        <xdr:cNvSpPr txBox="1">
          <a:spLocks noChangeArrowheads="1"/>
        </xdr:cNvSpPr>
      </xdr:nvSpPr>
      <xdr:spPr bwMode="auto">
        <a:xfrm>
          <a:off x="14878050" y="62007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1449</xdr:rowOff>
    </xdr:from>
    <xdr:to>
      <xdr:col>5</xdr:col>
      <xdr:colOff>609600</xdr:colOff>
      <xdr:row>98</xdr:row>
      <xdr:rowOff>114459</xdr:rowOff>
    </xdr:to>
    <xdr:sp macro="" textlink="">
      <xdr:nvSpPr>
        <xdr:cNvPr id="258469" name="Text Box 421" hidden="1">
          <a:extLst>
            <a:ext uri="{FF2B5EF4-FFF2-40B4-BE49-F238E27FC236}">
              <a16:creationId xmlns:a16="http://schemas.microsoft.com/office/drawing/2014/main" id="{A31EAD90-7347-446E-83B7-0E7C77050FB8}"/>
            </a:ext>
          </a:extLst>
        </xdr:cNvPr>
        <xdr:cNvSpPr txBox="1">
          <a:spLocks noChangeArrowheads="1"/>
        </xdr:cNvSpPr>
      </xdr:nvSpPr>
      <xdr:spPr bwMode="auto">
        <a:xfrm>
          <a:off x="3857625" y="21526500"/>
          <a:ext cx="1285875"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181785</xdr:rowOff>
    </xdr:from>
    <xdr:to>
      <xdr:col>5</xdr:col>
      <xdr:colOff>609600</xdr:colOff>
      <xdr:row>100</xdr:row>
      <xdr:rowOff>94289</xdr:rowOff>
    </xdr:to>
    <xdr:sp macro="" textlink="">
      <xdr:nvSpPr>
        <xdr:cNvPr id="258468" name="Text Box 420" hidden="1">
          <a:extLst>
            <a:ext uri="{FF2B5EF4-FFF2-40B4-BE49-F238E27FC236}">
              <a16:creationId xmlns:a16="http://schemas.microsoft.com/office/drawing/2014/main" id="{5EF27DF9-ECAC-4789-A0D2-027FCD4DC4A4}"/>
            </a:ext>
          </a:extLst>
        </xdr:cNvPr>
        <xdr:cNvSpPr txBox="1">
          <a:spLocks noChangeArrowheads="1"/>
        </xdr:cNvSpPr>
      </xdr:nvSpPr>
      <xdr:spPr bwMode="auto">
        <a:xfrm>
          <a:off x="3857625" y="217170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57309</xdr:rowOff>
    </xdr:from>
    <xdr:to>
      <xdr:col>5</xdr:col>
      <xdr:colOff>609600</xdr:colOff>
      <xdr:row>103</xdr:row>
      <xdr:rowOff>123411</xdr:rowOff>
    </xdr:to>
    <xdr:sp macro="" textlink="">
      <xdr:nvSpPr>
        <xdr:cNvPr id="258467" name="Text Box 419" hidden="1">
          <a:extLst>
            <a:ext uri="{FF2B5EF4-FFF2-40B4-BE49-F238E27FC236}">
              <a16:creationId xmlns:a16="http://schemas.microsoft.com/office/drawing/2014/main" id="{98AF7B23-E584-428E-85D1-F9A168F1473C}"/>
            </a:ext>
          </a:extLst>
        </xdr:cNvPr>
        <xdr:cNvSpPr txBox="1">
          <a:spLocks noChangeArrowheads="1"/>
        </xdr:cNvSpPr>
      </xdr:nvSpPr>
      <xdr:spPr bwMode="auto">
        <a:xfrm>
          <a:off x="3857625" y="219075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74829</xdr:rowOff>
    </xdr:from>
    <xdr:to>
      <xdr:col>5</xdr:col>
      <xdr:colOff>609600</xdr:colOff>
      <xdr:row>104</xdr:row>
      <xdr:rowOff>111710</xdr:rowOff>
    </xdr:to>
    <xdr:sp macro="" textlink="">
      <xdr:nvSpPr>
        <xdr:cNvPr id="258466" name="Text Box 418" hidden="1">
          <a:extLst>
            <a:ext uri="{FF2B5EF4-FFF2-40B4-BE49-F238E27FC236}">
              <a16:creationId xmlns:a16="http://schemas.microsoft.com/office/drawing/2014/main" id="{335E5AFE-A6A5-40FC-A7AF-F6CFB9708FDE}"/>
            </a:ext>
          </a:extLst>
        </xdr:cNvPr>
        <xdr:cNvSpPr txBox="1">
          <a:spLocks noChangeArrowheads="1"/>
        </xdr:cNvSpPr>
      </xdr:nvSpPr>
      <xdr:spPr bwMode="auto">
        <a:xfrm>
          <a:off x="3857625" y="220980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24496</xdr:rowOff>
    </xdr:from>
    <xdr:to>
      <xdr:col>5</xdr:col>
      <xdr:colOff>609600</xdr:colOff>
      <xdr:row>93</xdr:row>
      <xdr:rowOff>3765</xdr:rowOff>
    </xdr:to>
    <xdr:sp macro="" textlink="">
      <xdr:nvSpPr>
        <xdr:cNvPr id="258465" name="Text Box 417" hidden="1">
          <a:extLst>
            <a:ext uri="{FF2B5EF4-FFF2-40B4-BE49-F238E27FC236}">
              <a16:creationId xmlns:a16="http://schemas.microsoft.com/office/drawing/2014/main" id="{01306337-ABB7-4B10-99CA-4382B1AE91D9}"/>
            </a:ext>
          </a:extLst>
        </xdr:cNvPr>
        <xdr:cNvSpPr txBox="1">
          <a:spLocks noChangeArrowheads="1"/>
        </xdr:cNvSpPr>
      </xdr:nvSpPr>
      <xdr:spPr bwMode="auto">
        <a:xfrm>
          <a:off x="3857625" y="19707225"/>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53240</xdr:rowOff>
    </xdr:from>
    <xdr:to>
      <xdr:col>5</xdr:col>
      <xdr:colOff>609600</xdr:colOff>
      <xdr:row>93</xdr:row>
      <xdr:rowOff>185254</xdr:rowOff>
    </xdr:to>
    <xdr:sp macro="" textlink="">
      <xdr:nvSpPr>
        <xdr:cNvPr id="258464" name="Text Box 416" hidden="1">
          <a:extLst>
            <a:ext uri="{FF2B5EF4-FFF2-40B4-BE49-F238E27FC236}">
              <a16:creationId xmlns:a16="http://schemas.microsoft.com/office/drawing/2014/main" id="{7E96297A-CE20-4FF5-A81F-544F7826869B}"/>
            </a:ext>
          </a:extLst>
        </xdr:cNvPr>
        <xdr:cNvSpPr txBox="1">
          <a:spLocks noChangeArrowheads="1"/>
        </xdr:cNvSpPr>
      </xdr:nvSpPr>
      <xdr:spPr bwMode="auto">
        <a:xfrm>
          <a:off x="3857625" y="19897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609600</xdr:colOff>
      <xdr:row>94</xdr:row>
      <xdr:rowOff>141708</xdr:rowOff>
    </xdr:to>
    <xdr:sp macro="" textlink="">
      <xdr:nvSpPr>
        <xdr:cNvPr id="258463" name="Text Box 415" hidden="1">
          <a:extLst>
            <a:ext uri="{FF2B5EF4-FFF2-40B4-BE49-F238E27FC236}">
              <a16:creationId xmlns:a16="http://schemas.microsoft.com/office/drawing/2014/main" id="{6F811E97-C09D-4D02-BF77-8D2196962C29}"/>
            </a:ext>
          </a:extLst>
        </xdr:cNvPr>
        <xdr:cNvSpPr txBox="1">
          <a:spLocks noChangeArrowheads="1"/>
        </xdr:cNvSpPr>
      </xdr:nvSpPr>
      <xdr:spPr bwMode="auto">
        <a:xfrm>
          <a:off x="3857625" y="200882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34226</xdr:rowOff>
    </xdr:from>
    <xdr:to>
      <xdr:col>5</xdr:col>
      <xdr:colOff>609600</xdr:colOff>
      <xdr:row>95</xdr:row>
      <xdr:rowOff>73091</xdr:rowOff>
    </xdr:to>
    <xdr:sp macro="" textlink="">
      <xdr:nvSpPr>
        <xdr:cNvPr id="258462" name="Text Box 414" hidden="1">
          <a:extLst>
            <a:ext uri="{FF2B5EF4-FFF2-40B4-BE49-F238E27FC236}">
              <a16:creationId xmlns:a16="http://schemas.microsoft.com/office/drawing/2014/main" id="{63C0C3B6-0D26-4C12-89F5-999039FF4E59}"/>
            </a:ext>
          </a:extLst>
        </xdr:cNvPr>
        <xdr:cNvSpPr txBox="1">
          <a:spLocks noChangeArrowheads="1"/>
        </xdr:cNvSpPr>
      </xdr:nvSpPr>
      <xdr:spPr bwMode="auto">
        <a:xfrm>
          <a:off x="3857625" y="20278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119415</xdr:rowOff>
    </xdr:from>
    <xdr:to>
      <xdr:col>6</xdr:col>
      <xdr:colOff>38100</xdr:colOff>
      <xdr:row>93</xdr:row>
      <xdr:rowOff>176999</xdr:rowOff>
    </xdr:to>
    <xdr:sp macro="" textlink="">
      <xdr:nvSpPr>
        <xdr:cNvPr id="258507" name="Text Box 459" hidden="1">
          <a:extLst>
            <a:ext uri="{FF2B5EF4-FFF2-40B4-BE49-F238E27FC236}">
              <a16:creationId xmlns:a16="http://schemas.microsoft.com/office/drawing/2014/main" id="{2892D455-3DC3-49F6-985B-504998CA3387}"/>
            </a:ext>
          </a:extLst>
        </xdr:cNvPr>
        <xdr:cNvSpPr txBox="1">
          <a:spLocks noChangeArrowheads="1"/>
        </xdr:cNvSpPr>
      </xdr:nvSpPr>
      <xdr:spPr bwMode="auto">
        <a:xfrm>
          <a:off x="4053840" y="18920460"/>
          <a:ext cx="1455420" cy="1402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506" name="Text Box 458" hidden="1">
          <a:extLst>
            <a:ext uri="{FF2B5EF4-FFF2-40B4-BE49-F238E27FC236}">
              <a16:creationId xmlns:a16="http://schemas.microsoft.com/office/drawing/2014/main" id="{4A07415F-9E37-4E3F-ABCE-8473E3C26230}"/>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505" name="Text Box 457" hidden="1">
          <a:extLst>
            <a:ext uri="{FF2B5EF4-FFF2-40B4-BE49-F238E27FC236}">
              <a16:creationId xmlns:a16="http://schemas.microsoft.com/office/drawing/2014/main" id="{82D19818-BA04-48C0-B271-BDC769A1DF4A}"/>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504" name="Text Box 456" hidden="1">
          <a:extLst>
            <a:ext uri="{FF2B5EF4-FFF2-40B4-BE49-F238E27FC236}">
              <a16:creationId xmlns:a16="http://schemas.microsoft.com/office/drawing/2014/main" id="{285586F3-A388-4AF6-A945-7698CD707A38}"/>
            </a:ext>
          </a:extLst>
        </xdr:cNvPr>
        <xdr:cNvSpPr txBox="1">
          <a:spLocks noChangeArrowheads="1"/>
        </xdr:cNvSpPr>
      </xdr:nvSpPr>
      <xdr:spPr bwMode="auto">
        <a:xfrm>
          <a:off x="4015740" y="10142220"/>
          <a:ext cx="127254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503" name="Text Box 455" hidden="1">
          <a:extLst>
            <a:ext uri="{FF2B5EF4-FFF2-40B4-BE49-F238E27FC236}">
              <a16:creationId xmlns:a16="http://schemas.microsoft.com/office/drawing/2014/main" id="{6DD2B414-7E34-4E23-9AE2-C3D4C0DE03B8}"/>
            </a:ext>
          </a:extLst>
        </xdr:cNvPr>
        <xdr:cNvSpPr txBox="1">
          <a:spLocks noChangeArrowheads="1"/>
        </xdr:cNvSpPr>
      </xdr:nvSpPr>
      <xdr:spPr bwMode="auto">
        <a:xfrm>
          <a:off x="4015740" y="10271760"/>
          <a:ext cx="12725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502" name="Text Box 454" hidden="1">
          <a:extLst>
            <a:ext uri="{FF2B5EF4-FFF2-40B4-BE49-F238E27FC236}">
              <a16:creationId xmlns:a16="http://schemas.microsoft.com/office/drawing/2014/main" id="{5801560E-4D1E-46D2-B16E-FF35D6DBD25D}"/>
            </a:ext>
          </a:extLst>
        </xdr:cNvPr>
        <xdr:cNvSpPr txBox="1">
          <a:spLocks noChangeArrowheads="1"/>
        </xdr:cNvSpPr>
      </xdr:nvSpPr>
      <xdr:spPr bwMode="auto">
        <a:xfrm>
          <a:off x="4015740" y="11353800"/>
          <a:ext cx="127254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501" name="Text Box 453" hidden="1">
          <a:extLst>
            <a:ext uri="{FF2B5EF4-FFF2-40B4-BE49-F238E27FC236}">
              <a16:creationId xmlns:a16="http://schemas.microsoft.com/office/drawing/2014/main" id="{7BA86442-8570-4440-934D-DE08B1A07F5D}"/>
            </a:ext>
          </a:extLst>
        </xdr:cNvPr>
        <xdr:cNvSpPr txBox="1">
          <a:spLocks noChangeArrowheads="1"/>
        </xdr:cNvSpPr>
      </xdr:nvSpPr>
      <xdr:spPr bwMode="auto">
        <a:xfrm>
          <a:off x="4015740" y="13906500"/>
          <a:ext cx="127254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500" name="Text Box 452" hidden="1">
          <a:extLst>
            <a:ext uri="{FF2B5EF4-FFF2-40B4-BE49-F238E27FC236}">
              <a16:creationId xmlns:a16="http://schemas.microsoft.com/office/drawing/2014/main" id="{393691B4-2EFF-4AB4-B799-0FE27C6A25F4}"/>
            </a:ext>
          </a:extLst>
        </xdr:cNvPr>
        <xdr:cNvSpPr txBox="1">
          <a:spLocks noChangeArrowheads="1"/>
        </xdr:cNvSpPr>
      </xdr:nvSpPr>
      <xdr:spPr bwMode="auto">
        <a:xfrm>
          <a:off x="4015740" y="14089380"/>
          <a:ext cx="127254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499" name="Text Box 451" hidden="1">
          <a:extLst>
            <a:ext uri="{FF2B5EF4-FFF2-40B4-BE49-F238E27FC236}">
              <a16:creationId xmlns:a16="http://schemas.microsoft.com/office/drawing/2014/main" id="{547447E7-1072-4139-A2FF-1DD27171C15F}"/>
            </a:ext>
          </a:extLst>
        </xdr:cNvPr>
        <xdr:cNvSpPr txBox="1">
          <a:spLocks noChangeArrowheads="1"/>
        </xdr:cNvSpPr>
      </xdr:nvSpPr>
      <xdr:spPr bwMode="auto">
        <a:xfrm>
          <a:off x="4015740" y="14272260"/>
          <a:ext cx="127254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498" name="Text Box 450" hidden="1">
          <a:extLst>
            <a:ext uri="{FF2B5EF4-FFF2-40B4-BE49-F238E27FC236}">
              <a16:creationId xmlns:a16="http://schemas.microsoft.com/office/drawing/2014/main" id="{B4D96819-9E5B-4BF6-9274-D3533E810838}"/>
            </a:ext>
          </a:extLst>
        </xdr:cNvPr>
        <xdr:cNvSpPr txBox="1">
          <a:spLocks noChangeArrowheads="1"/>
        </xdr:cNvSpPr>
      </xdr:nvSpPr>
      <xdr:spPr bwMode="auto">
        <a:xfrm>
          <a:off x="4015740" y="14455140"/>
          <a:ext cx="127254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113710</xdr:rowOff>
    </xdr:from>
    <xdr:to>
      <xdr:col>5</xdr:col>
      <xdr:colOff>609600</xdr:colOff>
      <xdr:row>91</xdr:row>
      <xdr:rowOff>25434</xdr:rowOff>
    </xdr:to>
    <xdr:sp macro="" textlink="">
      <xdr:nvSpPr>
        <xdr:cNvPr id="258497" name="Text Box 449" hidden="1">
          <a:extLst>
            <a:ext uri="{FF2B5EF4-FFF2-40B4-BE49-F238E27FC236}">
              <a16:creationId xmlns:a16="http://schemas.microsoft.com/office/drawing/2014/main" id="{E6BAAF48-7E51-40FF-9318-B2F4DB0090F6}"/>
            </a:ext>
          </a:extLst>
        </xdr:cNvPr>
        <xdr:cNvSpPr txBox="1">
          <a:spLocks noChangeArrowheads="1"/>
        </xdr:cNvSpPr>
      </xdr:nvSpPr>
      <xdr:spPr bwMode="auto">
        <a:xfrm>
          <a:off x="4015740" y="19606260"/>
          <a:ext cx="1272540" cy="45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34226</xdr:rowOff>
    </xdr:from>
    <xdr:to>
      <xdr:col>5</xdr:col>
      <xdr:colOff>609600</xdr:colOff>
      <xdr:row>116</xdr:row>
      <xdr:rowOff>142227</xdr:rowOff>
    </xdr:to>
    <xdr:sp macro="" textlink="">
      <xdr:nvSpPr>
        <xdr:cNvPr id="258496" name="Text Box 448" hidden="1">
          <a:extLst>
            <a:ext uri="{FF2B5EF4-FFF2-40B4-BE49-F238E27FC236}">
              <a16:creationId xmlns:a16="http://schemas.microsoft.com/office/drawing/2014/main" id="{82DDD443-9DF4-4CE0-B5B9-20DD4578F9FD}"/>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34226</xdr:rowOff>
    </xdr:from>
    <xdr:to>
      <xdr:col>5</xdr:col>
      <xdr:colOff>609600</xdr:colOff>
      <xdr:row>116</xdr:row>
      <xdr:rowOff>142227</xdr:rowOff>
    </xdr:to>
    <xdr:sp macro="" textlink="">
      <xdr:nvSpPr>
        <xdr:cNvPr id="258495" name="Text Box 447" hidden="1">
          <a:extLst>
            <a:ext uri="{FF2B5EF4-FFF2-40B4-BE49-F238E27FC236}">
              <a16:creationId xmlns:a16="http://schemas.microsoft.com/office/drawing/2014/main" id="{4215951F-3FC6-4756-96A9-22FBF66B8C64}"/>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94" name="Text Box 446" hidden="1">
          <a:extLst>
            <a:ext uri="{FF2B5EF4-FFF2-40B4-BE49-F238E27FC236}">
              <a16:creationId xmlns:a16="http://schemas.microsoft.com/office/drawing/2014/main" id="{850A2FE4-D206-49DB-B5A0-359DFCC5F33E}"/>
            </a:ext>
          </a:extLst>
        </xdr:cNvPr>
        <xdr:cNvSpPr txBox="1">
          <a:spLocks noChangeArrowheads="1"/>
        </xdr:cNvSpPr>
      </xdr:nvSpPr>
      <xdr:spPr bwMode="auto">
        <a:xfrm>
          <a:off x="1536192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84487</xdr:rowOff>
    </xdr:from>
    <xdr:to>
      <xdr:col>5</xdr:col>
      <xdr:colOff>609600</xdr:colOff>
      <xdr:row>193</xdr:row>
      <xdr:rowOff>18064</xdr:rowOff>
    </xdr:to>
    <xdr:sp macro="" textlink="">
      <xdr:nvSpPr>
        <xdr:cNvPr id="258492" name="Text Box 444" hidden="1">
          <a:extLst>
            <a:ext uri="{FF2B5EF4-FFF2-40B4-BE49-F238E27FC236}">
              <a16:creationId xmlns:a16="http://schemas.microsoft.com/office/drawing/2014/main" id="{30D89017-191A-41B6-9B07-9BA2D31BC4A8}"/>
            </a:ext>
          </a:extLst>
        </xdr:cNvPr>
        <xdr:cNvSpPr txBox="1">
          <a:spLocks noChangeArrowheads="1"/>
        </xdr:cNvSpPr>
      </xdr:nvSpPr>
      <xdr:spPr bwMode="auto">
        <a:xfrm>
          <a:off x="3977640" y="30274260"/>
          <a:ext cx="1310640" cy="541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46873</xdr:rowOff>
    </xdr:from>
    <xdr:to>
      <xdr:col>5</xdr:col>
      <xdr:colOff>609600</xdr:colOff>
      <xdr:row>193</xdr:row>
      <xdr:rowOff>91312</xdr:rowOff>
    </xdr:to>
    <xdr:sp macro="" textlink="">
      <xdr:nvSpPr>
        <xdr:cNvPr id="258491" name="Text Box 443" hidden="1">
          <a:extLst>
            <a:ext uri="{FF2B5EF4-FFF2-40B4-BE49-F238E27FC236}">
              <a16:creationId xmlns:a16="http://schemas.microsoft.com/office/drawing/2014/main" id="{7E078649-E03D-47B3-8A35-F856B0258998}"/>
            </a:ext>
          </a:extLst>
        </xdr:cNvPr>
        <xdr:cNvSpPr txBox="1">
          <a:spLocks noChangeArrowheads="1"/>
        </xdr:cNvSpPr>
      </xdr:nvSpPr>
      <xdr:spPr bwMode="auto">
        <a:xfrm>
          <a:off x="3977640" y="30457140"/>
          <a:ext cx="1310640" cy="441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17915</xdr:rowOff>
    </xdr:from>
    <xdr:to>
      <xdr:col>5</xdr:col>
      <xdr:colOff>609600</xdr:colOff>
      <xdr:row>196</xdr:row>
      <xdr:rowOff>147005</xdr:rowOff>
    </xdr:to>
    <xdr:sp macro="" textlink="">
      <xdr:nvSpPr>
        <xdr:cNvPr id="258490" name="Text Box 442" hidden="1">
          <a:extLst>
            <a:ext uri="{FF2B5EF4-FFF2-40B4-BE49-F238E27FC236}">
              <a16:creationId xmlns:a16="http://schemas.microsoft.com/office/drawing/2014/main" id="{FC0E5109-7EFE-419F-8D9D-B89DEE41CDA4}"/>
            </a:ext>
          </a:extLst>
        </xdr:cNvPr>
        <xdr:cNvSpPr txBox="1">
          <a:spLocks noChangeArrowheads="1"/>
        </xdr:cNvSpPr>
      </xdr:nvSpPr>
      <xdr:spPr bwMode="auto">
        <a:xfrm>
          <a:off x="3977640" y="306400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17429</xdr:rowOff>
    </xdr:from>
    <xdr:to>
      <xdr:col>5</xdr:col>
      <xdr:colOff>609600</xdr:colOff>
      <xdr:row>197</xdr:row>
      <xdr:rowOff>148275</xdr:rowOff>
    </xdr:to>
    <xdr:sp macro="" textlink="">
      <xdr:nvSpPr>
        <xdr:cNvPr id="258489" name="Text Box 441" hidden="1">
          <a:extLst>
            <a:ext uri="{FF2B5EF4-FFF2-40B4-BE49-F238E27FC236}">
              <a16:creationId xmlns:a16="http://schemas.microsoft.com/office/drawing/2014/main" id="{7035436E-A5C8-4AA6-AA5B-57CBC0526768}"/>
            </a:ext>
          </a:extLst>
        </xdr:cNvPr>
        <xdr:cNvSpPr txBox="1">
          <a:spLocks noChangeArrowheads="1"/>
        </xdr:cNvSpPr>
      </xdr:nvSpPr>
      <xdr:spPr bwMode="auto">
        <a:xfrm>
          <a:off x="3977640" y="308305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122270</xdr:rowOff>
    </xdr:from>
    <xdr:to>
      <xdr:col>5</xdr:col>
      <xdr:colOff>609600</xdr:colOff>
      <xdr:row>139</xdr:row>
      <xdr:rowOff>76970</xdr:rowOff>
    </xdr:to>
    <xdr:sp macro="" textlink="">
      <xdr:nvSpPr>
        <xdr:cNvPr id="258488" name="Text Box 440" hidden="1">
          <a:extLst>
            <a:ext uri="{FF2B5EF4-FFF2-40B4-BE49-F238E27FC236}">
              <a16:creationId xmlns:a16="http://schemas.microsoft.com/office/drawing/2014/main" id="{A1E4BA26-6BFC-469F-81A4-BADEE73481C5}"/>
            </a:ext>
          </a:extLst>
        </xdr:cNvPr>
        <xdr:cNvSpPr txBox="1">
          <a:spLocks noChangeArrowheads="1"/>
        </xdr:cNvSpPr>
      </xdr:nvSpPr>
      <xdr:spPr bwMode="auto">
        <a:xfrm>
          <a:off x="3977640" y="27904440"/>
          <a:ext cx="1310640" cy="1074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123631</xdr:rowOff>
    </xdr:from>
    <xdr:to>
      <xdr:col>5</xdr:col>
      <xdr:colOff>609600</xdr:colOff>
      <xdr:row>184</xdr:row>
      <xdr:rowOff>55501</xdr:rowOff>
    </xdr:to>
    <xdr:sp macro="" textlink="">
      <xdr:nvSpPr>
        <xdr:cNvPr id="258487" name="Text Box 439" hidden="1">
          <a:extLst>
            <a:ext uri="{FF2B5EF4-FFF2-40B4-BE49-F238E27FC236}">
              <a16:creationId xmlns:a16="http://schemas.microsoft.com/office/drawing/2014/main" id="{DE2D9B23-8BE1-43E0-A412-834BC4BD9744}"/>
            </a:ext>
          </a:extLst>
        </xdr:cNvPr>
        <xdr:cNvSpPr txBox="1">
          <a:spLocks noChangeArrowheads="1"/>
        </xdr:cNvSpPr>
      </xdr:nvSpPr>
      <xdr:spPr bwMode="auto">
        <a:xfrm>
          <a:off x="3977640" y="28102560"/>
          <a:ext cx="1310640" cy="967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122905</xdr:rowOff>
    </xdr:from>
    <xdr:to>
      <xdr:col>5</xdr:col>
      <xdr:colOff>609600</xdr:colOff>
      <xdr:row>184</xdr:row>
      <xdr:rowOff>136147</xdr:rowOff>
    </xdr:to>
    <xdr:sp macro="" textlink="">
      <xdr:nvSpPr>
        <xdr:cNvPr id="258486" name="Text Box 438" hidden="1">
          <a:extLst>
            <a:ext uri="{FF2B5EF4-FFF2-40B4-BE49-F238E27FC236}">
              <a16:creationId xmlns:a16="http://schemas.microsoft.com/office/drawing/2014/main" id="{0A8650ED-36B3-45DC-8488-F8708EA8F616}"/>
            </a:ext>
          </a:extLst>
        </xdr:cNvPr>
        <xdr:cNvSpPr txBox="1">
          <a:spLocks noChangeArrowheads="1"/>
        </xdr:cNvSpPr>
      </xdr:nvSpPr>
      <xdr:spPr bwMode="auto">
        <a:xfrm>
          <a:off x="3977640" y="28293060"/>
          <a:ext cx="131064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122904</xdr:rowOff>
    </xdr:from>
    <xdr:to>
      <xdr:col>5</xdr:col>
      <xdr:colOff>609600</xdr:colOff>
      <xdr:row>186</xdr:row>
      <xdr:rowOff>1536</xdr:rowOff>
    </xdr:to>
    <xdr:sp macro="" textlink="">
      <xdr:nvSpPr>
        <xdr:cNvPr id="258485" name="Text Box 437" hidden="1">
          <a:extLst>
            <a:ext uri="{FF2B5EF4-FFF2-40B4-BE49-F238E27FC236}">
              <a16:creationId xmlns:a16="http://schemas.microsoft.com/office/drawing/2014/main" id="{00DC5498-902F-4696-A8BE-E2087890766C}"/>
            </a:ext>
          </a:extLst>
        </xdr:cNvPr>
        <xdr:cNvSpPr txBox="1">
          <a:spLocks noChangeArrowheads="1"/>
        </xdr:cNvSpPr>
      </xdr:nvSpPr>
      <xdr:spPr bwMode="auto">
        <a:xfrm>
          <a:off x="3977640" y="28475940"/>
          <a:ext cx="1310640" cy="8686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58548</xdr:rowOff>
    </xdr:from>
    <xdr:to>
      <xdr:col>6</xdr:col>
      <xdr:colOff>38100</xdr:colOff>
      <xdr:row>93</xdr:row>
      <xdr:rowOff>166204</xdr:rowOff>
    </xdr:to>
    <xdr:sp macro="" textlink="">
      <xdr:nvSpPr>
        <xdr:cNvPr id="258529" name="Text Box 481" hidden="1">
          <a:extLst>
            <a:ext uri="{FF2B5EF4-FFF2-40B4-BE49-F238E27FC236}">
              <a16:creationId xmlns:a16="http://schemas.microsoft.com/office/drawing/2014/main" id="{4E8A642C-6A60-424C-AA69-D4B5157F783A}"/>
            </a:ext>
          </a:extLst>
        </xdr:cNvPr>
        <xdr:cNvSpPr txBox="1">
          <a:spLocks noChangeArrowheads="1"/>
        </xdr:cNvSpPr>
      </xdr:nvSpPr>
      <xdr:spPr bwMode="auto">
        <a:xfrm>
          <a:off x="3933825" y="19259550"/>
          <a:ext cx="14001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528" name="Text Box 480" hidden="1">
          <a:extLst>
            <a:ext uri="{FF2B5EF4-FFF2-40B4-BE49-F238E27FC236}">
              <a16:creationId xmlns:a16="http://schemas.microsoft.com/office/drawing/2014/main" id="{D1B836D9-E48B-4B83-9CCC-7A2E4A915727}"/>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527" name="Text Box 479" hidden="1">
          <a:extLst>
            <a:ext uri="{FF2B5EF4-FFF2-40B4-BE49-F238E27FC236}">
              <a16:creationId xmlns:a16="http://schemas.microsoft.com/office/drawing/2014/main" id="{7C5546F8-ADEF-4D8B-81FA-88131066905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526" name="Text Box 478" hidden="1">
          <a:extLst>
            <a:ext uri="{FF2B5EF4-FFF2-40B4-BE49-F238E27FC236}">
              <a16:creationId xmlns:a16="http://schemas.microsoft.com/office/drawing/2014/main" id="{ED37C772-BF93-4E4C-9030-D70913210AC8}"/>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525" name="Text Box 477" hidden="1">
          <a:extLst>
            <a:ext uri="{FF2B5EF4-FFF2-40B4-BE49-F238E27FC236}">
              <a16:creationId xmlns:a16="http://schemas.microsoft.com/office/drawing/2014/main" id="{825590C9-6BA2-4280-96D5-5BD1E47B9378}"/>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524" name="Text Box 476" hidden="1">
          <a:extLst>
            <a:ext uri="{FF2B5EF4-FFF2-40B4-BE49-F238E27FC236}">
              <a16:creationId xmlns:a16="http://schemas.microsoft.com/office/drawing/2014/main" id="{B861ABAC-03D4-4C89-AD89-E3CDAADC18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523" name="Text Box 475" hidden="1">
          <a:extLst>
            <a:ext uri="{FF2B5EF4-FFF2-40B4-BE49-F238E27FC236}">
              <a16:creationId xmlns:a16="http://schemas.microsoft.com/office/drawing/2014/main" id="{9ED1FD8F-7C05-422C-8CDF-81A7E291D638}"/>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522" name="Text Box 474" hidden="1">
          <a:extLst>
            <a:ext uri="{FF2B5EF4-FFF2-40B4-BE49-F238E27FC236}">
              <a16:creationId xmlns:a16="http://schemas.microsoft.com/office/drawing/2014/main" id="{5B5BFFF4-CE8B-4CB9-AC97-E31775E51A1C}"/>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521" name="Text Box 473" hidden="1">
          <a:extLst>
            <a:ext uri="{FF2B5EF4-FFF2-40B4-BE49-F238E27FC236}">
              <a16:creationId xmlns:a16="http://schemas.microsoft.com/office/drawing/2014/main" id="{09BF6729-5F29-45B0-A070-7B0A94DA63CB}"/>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520" name="Text Box 472" hidden="1">
          <a:extLst>
            <a:ext uri="{FF2B5EF4-FFF2-40B4-BE49-F238E27FC236}">
              <a16:creationId xmlns:a16="http://schemas.microsoft.com/office/drawing/2014/main" id="{67E2418F-D8CF-4D6D-A97A-0856A987220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115615</xdr:rowOff>
    </xdr:from>
    <xdr:to>
      <xdr:col>5</xdr:col>
      <xdr:colOff>609600</xdr:colOff>
      <xdr:row>91</xdr:row>
      <xdr:rowOff>521</xdr:rowOff>
    </xdr:to>
    <xdr:sp macro="" textlink="">
      <xdr:nvSpPr>
        <xdr:cNvPr id="258519" name="Text Box 471" hidden="1">
          <a:extLst>
            <a:ext uri="{FF2B5EF4-FFF2-40B4-BE49-F238E27FC236}">
              <a16:creationId xmlns:a16="http://schemas.microsoft.com/office/drawing/2014/main" id="{1B4D7A31-A44D-47F3-86A7-742E783E0EC2}"/>
            </a:ext>
          </a:extLst>
        </xdr:cNvPr>
        <xdr:cNvSpPr txBox="1">
          <a:spLocks noChangeArrowheads="1"/>
        </xdr:cNvSpPr>
      </xdr:nvSpPr>
      <xdr:spPr bwMode="auto">
        <a:xfrm>
          <a:off x="3895725" y="19973925"/>
          <a:ext cx="1247775" cy="47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34226</xdr:rowOff>
    </xdr:from>
    <xdr:to>
      <xdr:col>5</xdr:col>
      <xdr:colOff>609600</xdr:colOff>
      <xdr:row>116</xdr:row>
      <xdr:rowOff>142862</xdr:rowOff>
    </xdr:to>
    <xdr:sp macro="" textlink="">
      <xdr:nvSpPr>
        <xdr:cNvPr id="258518" name="Text Box 470" hidden="1">
          <a:extLst>
            <a:ext uri="{FF2B5EF4-FFF2-40B4-BE49-F238E27FC236}">
              <a16:creationId xmlns:a16="http://schemas.microsoft.com/office/drawing/2014/main" id="{47594F43-EC74-4448-A295-D4ABE8E666B9}"/>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34226</xdr:rowOff>
    </xdr:from>
    <xdr:to>
      <xdr:col>5</xdr:col>
      <xdr:colOff>609600</xdr:colOff>
      <xdr:row>116</xdr:row>
      <xdr:rowOff>142862</xdr:rowOff>
    </xdr:to>
    <xdr:sp macro="" textlink="">
      <xdr:nvSpPr>
        <xdr:cNvPr id="258517" name="Text Box 469" hidden="1">
          <a:extLst>
            <a:ext uri="{FF2B5EF4-FFF2-40B4-BE49-F238E27FC236}">
              <a16:creationId xmlns:a16="http://schemas.microsoft.com/office/drawing/2014/main" id="{7E28E15E-C3C4-41DF-9725-7547090CB5ED}"/>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516" name="Text Box 468" hidden="1">
          <a:extLst>
            <a:ext uri="{FF2B5EF4-FFF2-40B4-BE49-F238E27FC236}">
              <a16:creationId xmlns:a16="http://schemas.microsoft.com/office/drawing/2014/main" id="{16C2CB3B-C60B-42B2-B219-3A1DB295A3D8}"/>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64336</xdr:rowOff>
    </xdr:from>
    <xdr:to>
      <xdr:col>5</xdr:col>
      <xdr:colOff>609600</xdr:colOff>
      <xdr:row>193</xdr:row>
      <xdr:rowOff>18064</xdr:rowOff>
    </xdr:to>
    <xdr:sp macro="" textlink="">
      <xdr:nvSpPr>
        <xdr:cNvPr id="258515" name="Text Box 467" hidden="1">
          <a:extLst>
            <a:ext uri="{FF2B5EF4-FFF2-40B4-BE49-F238E27FC236}">
              <a16:creationId xmlns:a16="http://schemas.microsoft.com/office/drawing/2014/main" id="{67E9C98A-2BC1-4640-BCCA-3EF6D87FD73A}"/>
            </a:ext>
          </a:extLst>
        </xdr:cNvPr>
        <xdr:cNvSpPr txBox="1">
          <a:spLocks noChangeArrowheads="1"/>
        </xdr:cNvSpPr>
      </xdr:nvSpPr>
      <xdr:spPr bwMode="auto">
        <a:xfrm>
          <a:off x="3857625" y="31013400"/>
          <a:ext cx="12858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46228</xdr:rowOff>
    </xdr:from>
    <xdr:to>
      <xdr:col>5</xdr:col>
      <xdr:colOff>609600</xdr:colOff>
      <xdr:row>193</xdr:row>
      <xdr:rowOff>80638</xdr:rowOff>
    </xdr:to>
    <xdr:sp macro="" textlink="">
      <xdr:nvSpPr>
        <xdr:cNvPr id="258514" name="Text Box 466" hidden="1">
          <a:extLst>
            <a:ext uri="{FF2B5EF4-FFF2-40B4-BE49-F238E27FC236}">
              <a16:creationId xmlns:a16="http://schemas.microsoft.com/office/drawing/2014/main" id="{579C0D01-5A20-4F29-A743-86865AA4D7DC}"/>
            </a:ext>
          </a:extLst>
        </xdr:cNvPr>
        <xdr:cNvSpPr txBox="1">
          <a:spLocks noChangeArrowheads="1"/>
        </xdr:cNvSpPr>
      </xdr:nvSpPr>
      <xdr:spPr bwMode="auto">
        <a:xfrm>
          <a:off x="3857625" y="312039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46227</xdr:rowOff>
    </xdr:from>
    <xdr:to>
      <xdr:col>5</xdr:col>
      <xdr:colOff>609600</xdr:colOff>
      <xdr:row>196</xdr:row>
      <xdr:rowOff>128590</xdr:rowOff>
    </xdr:to>
    <xdr:sp macro="" textlink="">
      <xdr:nvSpPr>
        <xdr:cNvPr id="258513" name="Text Box 465" hidden="1">
          <a:extLst>
            <a:ext uri="{FF2B5EF4-FFF2-40B4-BE49-F238E27FC236}">
              <a16:creationId xmlns:a16="http://schemas.microsoft.com/office/drawing/2014/main" id="{C19B78D4-40E4-4F16-9CFA-7214927E41FD}"/>
            </a:ext>
          </a:extLst>
        </xdr:cNvPr>
        <xdr:cNvSpPr txBox="1">
          <a:spLocks noChangeArrowheads="1"/>
        </xdr:cNvSpPr>
      </xdr:nvSpPr>
      <xdr:spPr bwMode="auto">
        <a:xfrm>
          <a:off x="3857625" y="31394400"/>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2359</xdr:rowOff>
    </xdr:from>
    <xdr:to>
      <xdr:col>5</xdr:col>
      <xdr:colOff>609600</xdr:colOff>
      <xdr:row>197</xdr:row>
      <xdr:rowOff>147640</xdr:rowOff>
    </xdr:to>
    <xdr:sp macro="" textlink="">
      <xdr:nvSpPr>
        <xdr:cNvPr id="258512" name="Text Box 464" hidden="1">
          <a:extLst>
            <a:ext uri="{FF2B5EF4-FFF2-40B4-BE49-F238E27FC236}">
              <a16:creationId xmlns:a16="http://schemas.microsoft.com/office/drawing/2014/main" id="{97AFD59C-43FF-4CCC-8649-E9515E52E40A}"/>
            </a:ext>
          </a:extLst>
        </xdr:cNvPr>
        <xdr:cNvSpPr txBox="1">
          <a:spLocks noChangeArrowheads="1"/>
        </xdr:cNvSpPr>
      </xdr:nvSpPr>
      <xdr:spPr bwMode="auto">
        <a:xfrm>
          <a:off x="3857625" y="31594425"/>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121635</xdr:rowOff>
    </xdr:from>
    <xdr:to>
      <xdr:col>5</xdr:col>
      <xdr:colOff>609600</xdr:colOff>
      <xdr:row>139</xdr:row>
      <xdr:rowOff>76970</xdr:rowOff>
    </xdr:to>
    <xdr:sp macro="" textlink="">
      <xdr:nvSpPr>
        <xdr:cNvPr id="258511" name="Text Box 463" hidden="1">
          <a:extLst>
            <a:ext uri="{FF2B5EF4-FFF2-40B4-BE49-F238E27FC236}">
              <a16:creationId xmlns:a16="http://schemas.microsoft.com/office/drawing/2014/main" id="{A62E895C-1FD1-461A-8975-5CA19B5A1930}"/>
            </a:ext>
          </a:extLst>
        </xdr:cNvPr>
        <xdr:cNvSpPr txBox="1">
          <a:spLocks noChangeArrowheads="1"/>
        </xdr:cNvSpPr>
      </xdr:nvSpPr>
      <xdr:spPr bwMode="auto">
        <a:xfrm>
          <a:off x="3857625" y="28603575"/>
          <a:ext cx="1285875"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123631</xdr:rowOff>
    </xdr:from>
    <xdr:to>
      <xdr:col>5</xdr:col>
      <xdr:colOff>609600</xdr:colOff>
      <xdr:row>184</xdr:row>
      <xdr:rowOff>56136</xdr:rowOff>
    </xdr:to>
    <xdr:sp macro="" textlink="">
      <xdr:nvSpPr>
        <xdr:cNvPr id="258510" name="Text Box 462" hidden="1">
          <a:extLst>
            <a:ext uri="{FF2B5EF4-FFF2-40B4-BE49-F238E27FC236}">
              <a16:creationId xmlns:a16="http://schemas.microsoft.com/office/drawing/2014/main" id="{A91DBB56-0606-472A-8E2E-93B70A0E962D}"/>
            </a:ext>
          </a:extLst>
        </xdr:cNvPr>
        <xdr:cNvSpPr txBox="1">
          <a:spLocks noChangeArrowheads="1"/>
        </xdr:cNvSpPr>
      </xdr:nvSpPr>
      <xdr:spPr bwMode="auto">
        <a:xfrm>
          <a:off x="3857625" y="28813125"/>
          <a:ext cx="1285875"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123632</xdr:rowOff>
    </xdr:from>
    <xdr:to>
      <xdr:col>5</xdr:col>
      <xdr:colOff>609600</xdr:colOff>
      <xdr:row>184</xdr:row>
      <xdr:rowOff>113286</xdr:rowOff>
    </xdr:to>
    <xdr:sp macro="" textlink="">
      <xdr:nvSpPr>
        <xdr:cNvPr id="258509" name="Text Box 461" hidden="1">
          <a:extLst>
            <a:ext uri="{FF2B5EF4-FFF2-40B4-BE49-F238E27FC236}">
              <a16:creationId xmlns:a16="http://schemas.microsoft.com/office/drawing/2014/main" id="{E1754C31-E391-4C0A-A9AD-DB7A21CC5203}"/>
            </a:ext>
          </a:extLst>
        </xdr:cNvPr>
        <xdr:cNvSpPr txBox="1">
          <a:spLocks noChangeArrowheads="1"/>
        </xdr:cNvSpPr>
      </xdr:nvSpPr>
      <xdr:spPr bwMode="auto">
        <a:xfrm>
          <a:off x="3857625" y="29003625"/>
          <a:ext cx="128587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123632</xdr:rowOff>
    </xdr:from>
    <xdr:to>
      <xdr:col>5</xdr:col>
      <xdr:colOff>609600</xdr:colOff>
      <xdr:row>186</xdr:row>
      <xdr:rowOff>1536</xdr:rowOff>
    </xdr:to>
    <xdr:sp macro="" textlink="">
      <xdr:nvSpPr>
        <xdr:cNvPr id="258508" name="Text Box 460" hidden="1">
          <a:extLst>
            <a:ext uri="{FF2B5EF4-FFF2-40B4-BE49-F238E27FC236}">
              <a16:creationId xmlns:a16="http://schemas.microsoft.com/office/drawing/2014/main" id="{0BD62913-32CC-44C5-822B-6B2571D91F8F}"/>
            </a:ext>
          </a:extLst>
        </xdr:cNvPr>
        <xdr:cNvSpPr txBox="1">
          <a:spLocks noChangeArrowheads="1"/>
        </xdr:cNvSpPr>
      </xdr:nvSpPr>
      <xdr:spPr bwMode="auto">
        <a:xfrm>
          <a:off x="3857625" y="29194125"/>
          <a:ext cx="1285875"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101167</xdr:rowOff>
    </xdr:from>
    <xdr:to>
      <xdr:col>6</xdr:col>
      <xdr:colOff>38100</xdr:colOff>
      <xdr:row>94</xdr:row>
      <xdr:rowOff>122658</xdr:rowOff>
    </xdr:to>
    <xdr:sp macro="" textlink="">
      <xdr:nvSpPr>
        <xdr:cNvPr id="258551" name="Text Box 503" hidden="1">
          <a:extLst>
            <a:ext uri="{FF2B5EF4-FFF2-40B4-BE49-F238E27FC236}">
              <a16:creationId xmlns:a16="http://schemas.microsoft.com/office/drawing/2014/main" id="{D818A35C-0ED7-468D-9FAC-429F8A000C1D}"/>
            </a:ext>
          </a:extLst>
        </xdr:cNvPr>
        <xdr:cNvSpPr txBox="1">
          <a:spLocks noChangeArrowheads="1"/>
        </xdr:cNvSpPr>
      </xdr:nvSpPr>
      <xdr:spPr bwMode="auto">
        <a:xfrm>
          <a:off x="4070350" y="19202400"/>
          <a:ext cx="142875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111</xdr:rowOff>
    </xdr:to>
    <xdr:sp macro="" textlink="">
      <xdr:nvSpPr>
        <xdr:cNvPr id="258550" name="Text Box 502" hidden="1">
          <a:extLst>
            <a:ext uri="{FF2B5EF4-FFF2-40B4-BE49-F238E27FC236}">
              <a16:creationId xmlns:a16="http://schemas.microsoft.com/office/drawing/2014/main" id="{EF5A2B86-3839-493B-BDEA-C626F47734FE}"/>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111</xdr:rowOff>
    </xdr:to>
    <xdr:sp macro="" textlink="">
      <xdr:nvSpPr>
        <xdr:cNvPr id="258549" name="Text Box 501" hidden="1">
          <a:extLst>
            <a:ext uri="{FF2B5EF4-FFF2-40B4-BE49-F238E27FC236}">
              <a16:creationId xmlns:a16="http://schemas.microsoft.com/office/drawing/2014/main" id="{9B8BC924-E2F3-4E3D-81FC-93D6D31B500F}"/>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141074</xdr:rowOff>
    </xdr:from>
    <xdr:to>
      <xdr:col>5</xdr:col>
      <xdr:colOff>609600</xdr:colOff>
      <xdr:row>53</xdr:row>
      <xdr:rowOff>141781</xdr:rowOff>
    </xdr:to>
    <xdr:sp macro="" textlink="">
      <xdr:nvSpPr>
        <xdr:cNvPr id="258548" name="Text Box 500" hidden="1">
          <a:extLst>
            <a:ext uri="{FF2B5EF4-FFF2-40B4-BE49-F238E27FC236}">
              <a16:creationId xmlns:a16="http://schemas.microsoft.com/office/drawing/2014/main" id="{8A369398-B7E9-4872-B50B-90E135892ECD}"/>
            </a:ext>
          </a:extLst>
        </xdr:cNvPr>
        <xdr:cNvSpPr txBox="1">
          <a:spLocks noChangeArrowheads="1"/>
        </xdr:cNvSpPr>
      </xdr:nvSpPr>
      <xdr:spPr bwMode="auto">
        <a:xfrm>
          <a:off x="4032250" y="10375900"/>
          <a:ext cx="127635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88418</xdr:rowOff>
    </xdr:from>
    <xdr:to>
      <xdr:col>5</xdr:col>
      <xdr:colOff>609600</xdr:colOff>
      <xdr:row>53</xdr:row>
      <xdr:rowOff>49575</xdr:rowOff>
    </xdr:to>
    <xdr:sp macro="" textlink="">
      <xdr:nvSpPr>
        <xdr:cNvPr id="258547" name="Text Box 499" hidden="1">
          <a:extLst>
            <a:ext uri="{FF2B5EF4-FFF2-40B4-BE49-F238E27FC236}">
              <a16:creationId xmlns:a16="http://schemas.microsoft.com/office/drawing/2014/main" id="{E5191C5E-D189-480B-A32E-9398F57CDDA4}"/>
            </a:ext>
          </a:extLst>
        </xdr:cNvPr>
        <xdr:cNvSpPr txBox="1">
          <a:spLocks noChangeArrowheads="1"/>
        </xdr:cNvSpPr>
      </xdr:nvSpPr>
      <xdr:spPr bwMode="auto">
        <a:xfrm>
          <a:off x="4032250" y="1050925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141781</xdr:rowOff>
    </xdr:from>
    <xdr:to>
      <xdr:col>5</xdr:col>
      <xdr:colOff>609600</xdr:colOff>
      <xdr:row>54</xdr:row>
      <xdr:rowOff>336364</xdr:rowOff>
    </xdr:to>
    <xdr:sp macro="" textlink="">
      <xdr:nvSpPr>
        <xdr:cNvPr id="258546" name="Text Box 498" hidden="1">
          <a:extLst>
            <a:ext uri="{FF2B5EF4-FFF2-40B4-BE49-F238E27FC236}">
              <a16:creationId xmlns:a16="http://schemas.microsoft.com/office/drawing/2014/main" id="{109C0D23-0B4A-4421-BCC0-61F99F5E2CB4}"/>
            </a:ext>
          </a:extLst>
        </xdr:cNvPr>
        <xdr:cNvSpPr txBox="1">
          <a:spLocks noChangeArrowheads="1"/>
        </xdr:cNvSpPr>
      </xdr:nvSpPr>
      <xdr:spPr bwMode="auto">
        <a:xfrm>
          <a:off x="4032250" y="1160780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69</xdr:row>
      <xdr:rowOff>18909</xdr:rowOff>
    </xdr:to>
    <xdr:sp macro="" textlink="">
      <xdr:nvSpPr>
        <xdr:cNvPr id="258545" name="Text Box 497" hidden="1">
          <a:extLst>
            <a:ext uri="{FF2B5EF4-FFF2-40B4-BE49-F238E27FC236}">
              <a16:creationId xmlns:a16="http://schemas.microsoft.com/office/drawing/2014/main" id="{2CAAABB4-F4CC-44D0-A0E3-6CD25871F565}"/>
            </a:ext>
          </a:extLst>
        </xdr:cNvPr>
        <xdr:cNvSpPr txBox="1">
          <a:spLocks noChangeArrowheads="1"/>
        </xdr:cNvSpPr>
      </xdr:nvSpPr>
      <xdr:spPr bwMode="auto">
        <a:xfrm>
          <a:off x="4032250" y="1417955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11144</xdr:rowOff>
    </xdr:to>
    <xdr:sp macro="" textlink="">
      <xdr:nvSpPr>
        <xdr:cNvPr id="258544" name="Text Box 496" hidden="1">
          <a:extLst>
            <a:ext uri="{FF2B5EF4-FFF2-40B4-BE49-F238E27FC236}">
              <a16:creationId xmlns:a16="http://schemas.microsoft.com/office/drawing/2014/main" id="{73BD3F39-0679-43CC-B68C-0967003B76C5}"/>
            </a:ext>
          </a:extLst>
        </xdr:cNvPr>
        <xdr:cNvSpPr txBox="1">
          <a:spLocks noChangeArrowheads="1"/>
        </xdr:cNvSpPr>
      </xdr:nvSpPr>
      <xdr:spPr bwMode="auto">
        <a:xfrm>
          <a:off x="4032250" y="1436370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73</xdr:row>
      <xdr:rowOff>29102</xdr:rowOff>
    </xdr:to>
    <xdr:sp macro="" textlink="">
      <xdr:nvSpPr>
        <xdr:cNvPr id="258543" name="Text Box 495" hidden="1">
          <a:extLst>
            <a:ext uri="{FF2B5EF4-FFF2-40B4-BE49-F238E27FC236}">
              <a16:creationId xmlns:a16="http://schemas.microsoft.com/office/drawing/2014/main" id="{04B6B02E-8350-4191-937C-38546E79C1FB}"/>
            </a:ext>
          </a:extLst>
        </xdr:cNvPr>
        <xdr:cNvSpPr txBox="1">
          <a:spLocks noChangeArrowheads="1"/>
        </xdr:cNvSpPr>
      </xdr:nvSpPr>
      <xdr:spPr bwMode="auto">
        <a:xfrm>
          <a:off x="4032250" y="1454785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162596</xdr:rowOff>
    </xdr:from>
    <xdr:to>
      <xdr:col>5</xdr:col>
      <xdr:colOff>609600</xdr:colOff>
      <xdr:row>73</xdr:row>
      <xdr:rowOff>29102</xdr:rowOff>
    </xdr:to>
    <xdr:sp macro="" textlink="">
      <xdr:nvSpPr>
        <xdr:cNvPr id="258542" name="Text Box 494" hidden="1">
          <a:extLst>
            <a:ext uri="{FF2B5EF4-FFF2-40B4-BE49-F238E27FC236}">
              <a16:creationId xmlns:a16="http://schemas.microsoft.com/office/drawing/2014/main" id="{164A9E25-CB04-4D6F-BCC4-C5B55C865B04}"/>
            </a:ext>
          </a:extLst>
        </xdr:cNvPr>
        <xdr:cNvSpPr txBox="1">
          <a:spLocks noChangeArrowheads="1"/>
        </xdr:cNvSpPr>
      </xdr:nvSpPr>
      <xdr:spPr bwMode="auto">
        <a:xfrm>
          <a:off x="4032250" y="1473200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111070</xdr:rowOff>
    </xdr:from>
    <xdr:to>
      <xdr:col>5</xdr:col>
      <xdr:colOff>609600</xdr:colOff>
      <xdr:row>91</xdr:row>
      <xdr:rowOff>130120</xdr:rowOff>
    </xdr:to>
    <xdr:sp macro="" textlink="">
      <xdr:nvSpPr>
        <xdr:cNvPr id="258541" name="Text Box 493" hidden="1">
          <a:extLst>
            <a:ext uri="{FF2B5EF4-FFF2-40B4-BE49-F238E27FC236}">
              <a16:creationId xmlns:a16="http://schemas.microsoft.com/office/drawing/2014/main" id="{E9A63A28-C344-4B05-9521-7EE5A4D5EE1B}"/>
            </a:ext>
          </a:extLst>
        </xdr:cNvPr>
        <xdr:cNvSpPr txBox="1">
          <a:spLocks noChangeArrowheads="1"/>
        </xdr:cNvSpPr>
      </xdr:nvSpPr>
      <xdr:spPr bwMode="auto">
        <a:xfrm>
          <a:off x="4032250" y="1990090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237848</xdr:rowOff>
    </xdr:from>
    <xdr:to>
      <xdr:col>5</xdr:col>
      <xdr:colOff>609600</xdr:colOff>
      <xdr:row>117</xdr:row>
      <xdr:rowOff>100400</xdr:rowOff>
    </xdr:to>
    <xdr:sp macro="" textlink="">
      <xdr:nvSpPr>
        <xdr:cNvPr id="258540" name="Text Box 492" hidden="1">
          <a:extLst>
            <a:ext uri="{FF2B5EF4-FFF2-40B4-BE49-F238E27FC236}">
              <a16:creationId xmlns:a16="http://schemas.microsoft.com/office/drawing/2014/main" id="{DD276C6B-E3F5-40FC-8C3E-5C8D317EC4C0}"/>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237848</xdr:rowOff>
    </xdr:from>
    <xdr:to>
      <xdr:col>5</xdr:col>
      <xdr:colOff>609600</xdr:colOff>
      <xdr:row>117</xdr:row>
      <xdr:rowOff>100400</xdr:rowOff>
    </xdr:to>
    <xdr:sp macro="" textlink="">
      <xdr:nvSpPr>
        <xdr:cNvPr id="258539" name="Text Box 491" hidden="1">
          <a:extLst>
            <a:ext uri="{FF2B5EF4-FFF2-40B4-BE49-F238E27FC236}">
              <a16:creationId xmlns:a16="http://schemas.microsoft.com/office/drawing/2014/main" id="{0BA0581A-332D-4D68-93A8-349C63855762}"/>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538" name="Text Box 490" hidden="1">
          <a:extLst>
            <a:ext uri="{FF2B5EF4-FFF2-40B4-BE49-F238E27FC236}">
              <a16:creationId xmlns:a16="http://schemas.microsoft.com/office/drawing/2014/main" id="{44C5F628-6226-4F49-B693-9A1D3227205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46228</xdr:rowOff>
    </xdr:from>
    <xdr:to>
      <xdr:col>5</xdr:col>
      <xdr:colOff>609600</xdr:colOff>
      <xdr:row>194</xdr:row>
      <xdr:rowOff>146820</xdr:rowOff>
    </xdr:to>
    <xdr:sp macro="" textlink="">
      <xdr:nvSpPr>
        <xdr:cNvPr id="258537" name="Text Box 489" hidden="1">
          <a:extLst>
            <a:ext uri="{FF2B5EF4-FFF2-40B4-BE49-F238E27FC236}">
              <a16:creationId xmlns:a16="http://schemas.microsoft.com/office/drawing/2014/main" id="{C176F1C1-713C-411F-B4A5-C06FC7E081A3}"/>
            </a:ext>
          </a:extLst>
        </xdr:cNvPr>
        <xdr:cNvSpPr txBox="1">
          <a:spLocks noChangeArrowheads="1"/>
        </xdr:cNvSpPr>
      </xdr:nvSpPr>
      <xdr:spPr bwMode="auto">
        <a:xfrm>
          <a:off x="3994150" y="30632400"/>
          <a:ext cx="131445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46227</xdr:rowOff>
    </xdr:from>
    <xdr:to>
      <xdr:col>5</xdr:col>
      <xdr:colOff>609600</xdr:colOff>
      <xdr:row>194</xdr:row>
      <xdr:rowOff>99658</xdr:rowOff>
    </xdr:to>
    <xdr:sp macro="" textlink="">
      <xdr:nvSpPr>
        <xdr:cNvPr id="258536" name="Text Box 488" hidden="1">
          <a:extLst>
            <a:ext uri="{FF2B5EF4-FFF2-40B4-BE49-F238E27FC236}">
              <a16:creationId xmlns:a16="http://schemas.microsoft.com/office/drawing/2014/main" id="{0F1E617B-A4AB-4BF9-88F1-96D52D211DF0}"/>
            </a:ext>
          </a:extLst>
        </xdr:cNvPr>
        <xdr:cNvSpPr txBox="1">
          <a:spLocks noChangeArrowheads="1"/>
        </xdr:cNvSpPr>
      </xdr:nvSpPr>
      <xdr:spPr bwMode="auto">
        <a:xfrm>
          <a:off x="3994150" y="30816550"/>
          <a:ext cx="1314450" cy="44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18064</xdr:rowOff>
    </xdr:from>
    <xdr:to>
      <xdr:col>5</xdr:col>
      <xdr:colOff>609600</xdr:colOff>
      <xdr:row>197</xdr:row>
      <xdr:rowOff>128590</xdr:rowOff>
    </xdr:to>
    <xdr:sp macro="" textlink="">
      <xdr:nvSpPr>
        <xdr:cNvPr id="258535" name="Text Box 487" hidden="1">
          <a:extLst>
            <a:ext uri="{FF2B5EF4-FFF2-40B4-BE49-F238E27FC236}">
              <a16:creationId xmlns:a16="http://schemas.microsoft.com/office/drawing/2014/main" id="{C59AC5E2-6A66-4BAC-8598-30E20AF8651A}"/>
            </a:ext>
          </a:extLst>
        </xdr:cNvPr>
        <xdr:cNvSpPr txBox="1">
          <a:spLocks noChangeArrowheads="1"/>
        </xdr:cNvSpPr>
      </xdr:nvSpPr>
      <xdr:spPr bwMode="auto">
        <a:xfrm>
          <a:off x="3994150" y="310007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158700</xdr:rowOff>
    </xdr:from>
    <xdr:to>
      <xdr:col>5</xdr:col>
      <xdr:colOff>609600</xdr:colOff>
      <xdr:row>198</xdr:row>
      <xdr:rowOff>128591</xdr:rowOff>
    </xdr:to>
    <xdr:sp macro="" textlink="">
      <xdr:nvSpPr>
        <xdr:cNvPr id="258534" name="Text Box 486" hidden="1">
          <a:extLst>
            <a:ext uri="{FF2B5EF4-FFF2-40B4-BE49-F238E27FC236}">
              <a16:creationId xmlns:a16="http://schemas.microsoft.com/office/drawing/2014/main" id="{BEA9AE7F-BE64-43AB-A56E-72545EB06630}"/>
            </a:ext>
          </a:extLst>
        </xdr:cNvPr>
        <xdr:cNvSpPr txBox="1">
          <a:spLocks noChangeArrowheads="1"/>
        </xdr:cNvSpPr>
      </xdr:nvSpPr>
      <xdr:spPr bwMode="auto">
        <a:xfrm>
          <a:off x="3994150" y="3118485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105927</xdr:rowOff>
    </xdr:from>
    <xdr:to>
      <xdr:col>5</xdr:col>
      <xdr:colOff>609600</xdr:colOff>
      <xdr:row>184</xdr:row>
      <xdr:rowOff>183690</xdr:rowOff>
    </xdr:to>
    <xdr:sp macro="" textlink="">
      <xdr:nvSpPr>
        <xdr:cNvPr id="258533" name="Text Box 485" hidden="1">
          <a:extLst>
            <a:ext uri="{FF2B5EF4-FFF2-40B4-BE49-F238E27FC236}">
              <a16:creationId xmlns:a16="http://schemas.microsoft.com/office/drawing/2014/main" id="{18F485B8-B266-4BAD-A016-A76B02296F11}"/>
            </a:ext>
          </a:extLst>
        </xdr:cNvPr>
        <xdr:cNvSpPr txBox="1">
          <a:spLocks noChangeArrowheads="1"/>
        </xdr:cNvSpPr>
      </xdr:nvSpPr>
      <xdr:spPr bwMode="auto">
        <a:xfrm>
          <a:off x="3994150" y="2823845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123632</xdr:rowOff>
    </xdr:from>
    <xdr:to>
      <xdr:col>5</xdr:col>
      <xdr:colOff>609600</xdr:colOff>
      <xdr:row>185</xdr:row>
      <xdr:rowOff>53755</xdr:rowOff>
    </xdr:to>
    <xdr:sp macro="" textlink="">
      <xdr:nvSpPr>
        <xdr:cNvPr id="258532" name="Text Box 484" hidden="1">
          <a:extLst>
            <a:ext uri="{FF2B5EF4-FFF2-40B4-BE49-F238E27FC236}">
              <a16:creationId xmlns:a16="http://schemas.microsoft.com/office/drawing/2014/main" id="{97B3FDEE-34F2-481E-86FC-150DFF254B3A}"/>
            </a:ext>
          </a:extLst>
        </xdr:cNvPr>
        <xdr:cNvSpPr txBox="1">
          <a:spLocks noChangeArrowheads="1"/>
        </xdr:cNvSpPr>
      </xdr:nvSpPr>
      <xdr:spPr bwMode="auto">
        <a:xfrm>
          <a:off x="3994150" y="284607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123632</xdr:rowOff>
    </xdr:from>
    <xdr:to>
      <xdr:col>5</xdr:col>
      <xdr:colOff>609600</xdr:colOff>
      <xdr:row>185</xdr:row>
      <xdr:rowOff>101380</xdr:rowOff>
    </xdr:to>
    <xdr:sp macro="" textlink="">
      <xdr:nvSpPr>
        <xdr:cNvPr id="258531" name="Text Box 483" hidden="1">
          <a:extLst>
            <a:ext uri="{FF2B5EF4-FFF2-40B4-BE49-F238E27FC236}">
              <a16:creationId xmlns:a16="http://schemas.microsoft.com/office/drawing/2014/main" id="{3D96016B-1643-4017-A2F6-AB5E0C91F75C}"/>
            </a:ext>
          </a:extLst>
        </xdr:cNvPr>
        <xdr:cNvSpPr txBox="1">
          <a:spLocks noChangeArrowheads="1"/>
        </xdr:cNvSpPr>
      </xdr:nvSpPr>
      <xdr:spPr bwMode="auto">
        <a:xfrm>
          <a:off x="3994150" y="286448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123632</xdr:rowOff>
    </xdr:from>
    <xdr:to>
      <xdr:col>5</xdr:col>
      <xdr:colOff>609600</xdr:colOff>
      <xdr:row>186</xdr:row>
      <xdr:rowOff>174164</xdr:rowOff>
    </xdr:to>
    <xdr:sp macro="" textlink="">
      <xdr:nvSpPr>
        <xdr:cNvPr id="258530" name="Text Box 482" hidden="1">
          <a:extLst>
            <a:ext uri="{FF2B5EF4-FFF2-40B4-BE49-F238E27FC236}">
              <a16:creationId xmlns:a16="http://schemas.microsoft.com/office/drawing/2014/main" id="{A2867930-67DB-4580-A683-4C21205368D6}"/>
            </a:ext>
          </a:extLst>
        </xdr:cNvPr>
        <xdr:cNvSpPr txBox="1">
          <a:spLocks noChangeArrowheads="1"/>
        </xdr:cNvSpPr>
      </xdr:nvSpPr>
      <xdr:spPr bwMode="auto">
        <a:xfrm>
          <a:off x="3994150" y="288290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101167</xdr:rowOff>
    </xdr:from>
    <xdr:to>
      <xdr:col>6</xdr:col>
      <xdr:colOff>38100</xdr:colOff>
      <xdr:row>94</xdr:row>
      <xdr:rowOff>122658</xdr:rowOff>
    </xdr:to>
    <xdr:sp macro="" textlink="">
      <xdr:nvSpPr>
        <xdr:cNvPr id="258573" name="Text Box 525" hidden="1">
          <a:extLst>
            <a:ext uri="{FF2B5EF4-FFF2-40B4-BE49-F238E27FC236}">
              <a16:creationId xmlns:a16="http://schemas.microsoft.com/office/drawing/2014/main" id="{F23EC605-AD4A-4E4B-975A-D90EF71CA4C2}"/>
            </a:ext>
          </a:extLst>
        </xdr:cNvPr>
        <xdr:cNvSpPr txBox="1">
          <a:spLocks noChangeArrowheads="1"/>
        </xdr:cNvSpPr>
      </xdr:nvSpPr>
      <xdr:spPr bwMode="auto">
        <a:xfrm>
          <a:off x="3924300" y="19440525"/>
          <a:ext cx="139065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111</xdr:rowOff>
    </xdr:to>
    <xdr:sp macro="" textlink="">
      <xdr:nvSpPr>
        <xdr:cNvPr id="258572" name="Text Box 524" hidden="1">
          <a:extLst>
            <a:ext uri="{FF2B5EF4-FFF2-40B4-BE49-F238E27FC236}">
              <a16:creationId xmlns:a16="http://schemas.microsoft.com/office/drawing/2014/main" id="{7FBFE392-3485-4F7E-81FF-56BB4D648EFE}"/>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111</xdr:rowOff>
    </xdr:to>
    <xdr:sp macro="" textlink="">
      <xdr:nvSpPr>
        <xdr:cNvPr id="258571" name="Text Box 523" hidden="1">
          <a:extLst>
            <a:ext uri="{FF2B5EF4-FFF2-40B4-BE49-F238E27FC236}">
              <a16:creationId xmlns:a16="http://schemas.microsoft.com/office/drawing/2014/main" id="{DB82EB6D-C7C2-4A32-AD26-DBB39B8DEBD0}"/>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141074</xdr:rowOff>
    </xdr:from>
    <xdr:to>
      <xdr:col>5</xdr:col>
      <xdr:colOff>609600</xdr:colOff>
      <xdr:row>53</xdr:row>
      <xdr:rowOff>141781</xdr:rowOff>
    </xdr:to>
    <xdr:sp macro="" textlink="">
      <xdr:nvSpPr>
        <xdr:cNvPr id="258570" name="Text Box 522" hidden="1">
          <a:extLst>
            <a:ext uri="{FF2B5EF4-FFF2-40B4-BE49-F238E27FC236}">
              <a16:creationId xmlns:a16="http://schemas.microsoft.com/office/drawing/2014/main" id="{4D81ABA4-81F8-4603-B14E-FC6155890034}"/>
            </a:ext>
          </a:extLst>
        </xdr:cNvPr>
        <xdr:cNvSpPr txBox="1">
          <a:spLocks noChangeArrowheads="1"/>
        </xdr:cNvSpPr>
      </xdr:nvSpPr>
      <xdr:spPr bwMode="auto">
        <a:xfrm>
          <a:off x="3886200" y="10420350"/>
          <a:ext cx="12382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88418</xdr:rowOff>
    </xdr:from>
    <xdr:to>
      <xdr:col>5</xdr:col>
      <xdr:colOff>609600</xdr:colOff>
      <xdr:row>53</xdr:row>
      <xdr:rowOff>49575</xdr:rowOff>
    </xdr:to>
    <xdr:sp macro="" textlink="">
      <xdr:nvSpPr>
        <xdr:cNvPr id="258569" name="Text Box 521" hidden="1">
          <a:extLst>
            <a:ext uri="{FF2B5EF4-FFF2-40B4-BE49-F238E27FC236}">
              <a16:creationId xmlns:a16="http://schemas.microsoft.com/office/drawing/2014/main" id="{19A57FAD-1860-4A7E-A041-BFA0E8006205}"/>
            </a:ext>
          </a:extLst>
        </xdr:cNvPr>
        <xdr:cNvSpPr txBox="1">
          <a:spLocks noChangeArrowheads="1"/>
        </xdr:cNvSpPr>
      </xdr:nvSpPr>
      <xdr:spPr bwMode="auto">
        <a:xfrm>
          <a:off x="3886200" y="10553700"/>
          <a:ext cx="12382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141781</xdr:rowOff>
    </xdr:from>
    <xdr:to>
      <xdr:col>5</xdr:col>
      <xdr:colOff>609600</xdr:colOff>
      <xdr:row>54</xdr:row>
      <xdr:rowOff>336364</xdr:rowOff>
    </xdr:to>
    <xdr:sp macro="" textlink="">
      <xdr:nvSpPr>
        <xdr:cNvPr id="258568" name="Text Box 520" hidden="1">
          <a:extLst>
            <a:ext uri="{FF2B5EF4-FFF2-40B4-BE49-F238E27FC236}">
              <a16:creationId xmlns:a16="http://schemas.microsoft.com/office/drawing/2014/main" id="{595A592B-7BB6-4629-B9E1-46E530124FB8}"/>
            </a:ext>
          </a:extLst>
        </xdr:cNvPr>
        <xdr:cNvSpPr txBox="1">
          <a:spLocks noChangeArrowheads="1"/>
        </xdr:cNvSpPr>
      </xdr:nvSpPr>
      <xdr:spPr bwMode="auto">
        <a:xfrm>
          <a:off x="3886200" y="116586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69</xdr:row>
      <xdr:rowOff>18909</xdr:rowOff>
    </xdr:to>
    <xdr:sp macro="" textlink="">
      <xdr:nvSpPr>
        <xdr:cNvPr id="258567" name="Text Box 519" hidden="1">
          <a:extLst>
            <a:ext uri="{FF2B5EF4-FFF2-40B4-BE49-F238E27FC236}">
              <a16:creationId xmlns:a16="http://schemas.microsoft.com/office/drawing/2014/main" id="{425AC54E-E4A9-498A-B4F0-67E746DB302F}"/>
            </a:ext>
          </a:extLst>
        </xdr:cNvPr>
        <xdr:cNvSpPr txBox="1">
          <a:spLocks noChangeArrowheads="1"/>
        </xdr:cNvSpPr>
      </xdr:nvSpPr>
      <xdr:spPr bwMode="auto">
        <a:xfrm>
          <a:off x="3886200" y="14277975"/>
          <a:ext cx="1238250"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11144</xdr:rowOff>
    </xdr:to>
    <xdr:sp macro="" textlink="">
      <xdr:nvSpPr>
        <xdr:cNvPr id="258566" name="Text Box 518" hidden="1">
          <a:extLst>
            <a:ext uri="{FF2B5EF4-FFF2-40B4-BE49-F238E27FC236}">
              <a16:creationId xmlns:a16="http://schemas.microsoft.com/office/drawing/2014/main" id="{4732041D-2763-461F-8838-7D8DDF8E0BB6}"/>
            </a:ext>
          </a:extLst>
        </xdr:cNvPr>
        <xdr:cNvSpPr txBox="1">
          <a:spLocks noChangeArrowheads="1"/>
        </xdr:cNvSpPr>
      </xdr:nvSpPr>
      <xdr:spPr bwMode="auto">
        <a:xfrm>
          <a:off x="3886200" y="14468475"/>
          <a:ext cx="12382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73</xdr:row>
      <xdr:rowOff>29102</xdr:rowOff>
    </xdr:to>
    <xdr:sp macro="" textlink="">
      <xdr:nvSpPr>
        <xdr:cNvPr id="258565" name="Text Box 517" hidden="1">
          <a:extLst>
            <a:ext uri="{FF2B5EF4-FFF2-40B4-BE49-F238E27FC236}">
              <a16:creationId xmlns:a16="http://schemas.microsoft.com/office/drawing/2014/main" id="{3524253E-1E00-4151-B417-7B4490770C2A}"/>
            </a:ext>
          </a:extLst>
        </xdr:cNvPr>
        <xdr:cNvSpPr txBox="1">
          <a:spLocks noChangeArrowheads="1"/>
        </xdr:cNvSpPr>
      </xdr:nvSpPr>
      <xdr:spPr bwMode="auto">
        <a:xfrm>
          <a:off x="3886200" y="14658975"/>
          <a:ext cx="1238250"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162596</xdr:rowOff>
    </xdr:from>
    <xdr:to>
      <xdr:col>5</xdr:col>
      <xdr:colOff>609600</xdr:colOff>
      <xdr:row>73</xdr:row>
      <xdr:rowOff>29102</xdr:rowOff>
    </xdr:to>
    <xdr:sp macro="" textlink="">
      <xdr:nvSpPr>
        <xdr:cNvPr id="258564" name="Text Box 516" hidden="1">
          <a:extLst>
            <a:ext uri="{FF2B5EF4-FFF2-40B4-BE49-F238E27FC236}">
              <a16:creationId xmlns:a16="http://schemas.microsoft.com/office/drawing/2014/main" id="{75B019BF-B3C0-44A4-BA8A-13B785BACE19}"/>
            </a:ext>
          </a:extLst>
        </xdr:cNvPr>
        <xdr:cNvSpPr txBox="1">
          <a:spLocks noChangeArrowheads="1"/>
        </xdr:cNvSpPr>
      </xdr:nvSpPr>
      <xdr:spPr bwMode="auto">
        <a:xfrm>
          <a:off x="3886200" y="14849475"/>
          <a:ext cx="1238250"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111070</xdr:rowOff>
    </xdr:from>
    <xdr:to>
      <xdr:col>5</xdr:col>
      <xdr:colOff>609600</xdr:colOff>
      <xdr:row>91</xdr:row>
      <xdr:rowOff>130120</xdr:rowOff>
    </xdr:to>
    <xdr:sp macro="" textlink="">
      <xdr:nvSpPr>
        <xdr:cNvPr id="258563" name="Text Box 515" hidden="1">
          <a:extLst>
            <a:ext uri="{FF2B5EF4-FFF2-40B4-BE49-F238E27FC236}">
              <a16:creationId xmlns:a16="http://schemas.microsoft.com/office/drawing/2014/main" id="{E35326B6-7C6F-4502-9830-19476DA7EECC}"/>
            </a:ext>
          </a:extLst>
        </xdr:cNvPr>
        <xdr:cNvSpPr txBox="1">
          <a:spLocks noChangeArrowheads="1"/>
        </xdr:cNvSpPr>
      </xdr:nvSpPr>
      <xdr:spPr bwMode="auto">
        <a:xfrm>
          <a:off x="3886200" y="20164425"/>
          <a:ext cx="12382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237848</xdr:rowOff>
    </xdr:from>
    <xdr:to>
      <xdr:col>5</xdr:col>
      <xdr:colOff>609600</xdr:colOff>
      <xdr:row>117</xdr:row>
      <xdr:rowOff>100400</xdr:rowOff>
    </xdr:to>
    <xdr:sp macro="" textlink="">
      <xdr:nvSpPr>
        <xdr:cNvPr id="258562" name="Text Box 514" hidden="1">
          <a:extLst>
            <a:ext uri="{FF2B5EF4-FFF2-40B4-BE49-F238E27FC236}">
              <a16:creationId xmlns:a16="http://schemas.microsoft.com/office/drawing/2014/main" id="{82A0BD41-B9AE-47DE-8573-05A7D63E2D8C}"/>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237848</xdr:rowOff>
    </xdr:from>
    <xdr:to>
      <xdr:col>5</xdr:col>
      <xdr:colOff>609600</xdr:colOff>
      <xdr:row>117</xdr:row>
      <xdr:rowOff>100400</xdr:rowOff>
    </xdr:to>
    <xdr:sp macro="" textlink="">
      <xdr:nvSpPr>
        <xdr:cNvPr id="258561" name="Text Box 513" hidden="1">
          <a:extLst>
            <a:ext uri="{FF2B5EF4-FFF2-40B4-BE49-F238E27FC236}">
              <a16:creationId xmlns:a16="http://schemas.microsoft.com/office/drawing/2014/main" id="{77AC0FAD-68E0-4AC6-9138-0981A45E0D38}"/>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560" name="Text Box 512" hidden="1">
          <a:extLst>
            <a:ext uri="{FF2B5EF4-FFF2-40B4-BE49-F238E27FC236}">
              <a16:creationId xmlns:a16="http://schemas.microsoft.com/office/drawing/2014/main" id="{0EF80BFF-1E0A-466B-B174-4B13D5C501EA}"/>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46228</xdr:rowOff>
    </xdr:from>
    <xdr:to>
      <xdr:col>5</xdr:col>
      <xdr:colOff>609600</xdr:colOff>
      <xdr:row>194</xdr:row>
      <xdr:rowOff>146820</xdr:rowOff>
    </xdr:to>
    <xdr:sp macro="" textlink="">
      <xdr:nvSpPr>
        <xdr:cNvPr id="258559" name="Text Box 511" hidden="1">
          <a:extLst>
            <a:ext uri="{FF2B5EF4-FFF2-40B4-BE49-F238E27FC236}">
              <a16:creationId xmlns:a16="http://schemas.microsoft.com/office/drawing/2014/main" id="{6AEC1617-A76F-4CEB-B369-5DC238FAD522}"/>
            </a:ext>
          </a:extLst>
        </xdr:cNvPr>
        <xdr:cNvSpPr txBox="1">
          <a:spLocks noChangeArrowheads="1"/>
        </xdr:cNvSpPr>
      </xdr:nvSpPr>
      <xdr:spPr bwMode="auto">
        <a:xfrm>
          <a:off x="3848100" y="31203900"/>
          <a:ext cx="12763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46227</xdr:rowOff>
    </xdr:from>
    <xdr:to>
      <xdr:col>5</xdr:col>
      <xdr:colOff>609600</xdr:colOff>
      <xdr:row>194</xdr:row>
      <xdr:rowOff>99658</xdr:rowOff>
    </xdr:to>
    <xdr:sp macro="" textlink="">
      <xdr:nvSpPr>
        <xdr:cNvPr id="258558" name="Text Box 510" hidden="1">
          <a:extLst>
            <a:ext uri="{FF2B5EF4-FFF2-40B4-BE49-F238E27FC236}">
              <a16:creationId xmlns:a16="http://schemas.microsoft.com/office/drawing/2014/main" id="{221B8B82-7032-4B28-892E-AE5C93304C18}"/>
            </a:ext>
          </a:extLst>
        </xdr:cNvPr>
        <xdr:cNvSpPr txBox="1">
          <a:spLocks noChangeArrowheads="1"/>
        </xdr:cNvSpPr>
      </xdr:nvSpPr>
      <xdr:spPr bwMode="auto">
        <a:xfrm>
          <a:off x="3848100" y="31394400"/>
          <a:ext cx="127635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18064</xdr:rowOff>
    </xdr:from>
    <xdr:to>
      <xdr:col>5</xdr:col>
      <xdr:colOff>609600</xdr:colOff>
      <xdr:row>197</xdr:row>
      <xdr:rowOff>128590</xdr:rowOff>
    </xdr:to>
    <xdr:sp macro="" textlink="">
      <xdr:nvSpPr>
        <xdr:cNvPr id="258557" name="Text Box 509" hidden="1">
          <a:extLst>
            <a:ext uri="{FF2B5EF4-FFF2-40B4-BE49-F238E27FC236}">
              <a16:creationId xmlns:a16="http://schemas.microsoft.com/office/drawing/2014/main" id="{BE982765-56BA-4807-8314-BC360C47DD2C}"/>
            </a:ext>
          </a:extLst>
        </xdr:cNvPr>
        <xdr:cNvSpPr txBox="1">
          <a:spLocks noChangeArrowheads="1"/>
        </xdr:cNvSpPr>
      </xdr:nvSpPr>
      <xdr:spPr bwMode="auto">
        <a:xfrm>
          <a:off x="3848100" y="315849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158700</xdr:rowOff>
    </xdr:from>
    <xdr:to>
      <xdr:col>5</xdr:col>
      <xdr:colOff>609600</xdr:colOff>
      <xdr:row>198</xdr:row>
      <xdr:rowOff>128591</xdr:rowOff>
    </xdr:to>
    <xdr:sp macro="" textlink="">
      <xdr:nvSpPr>
        <xdr:cNvPr id="258556" name="Text Box 508" hidden="1">
          <a:extLst>
            <a:ext uri="{FF2B5EF4-FFF2-40B4-BE49-F238E27FC236}">
              <a16:creationId xmlns:a16="http://schemas.microsoft.com/office/drawing/2014/main" id="{E52FB612-71C0-430B-9FF6-BD9EBA77CC9B}"/>
            </a:ext>
          </a:extLst>
        </xdr:cNvPr>
        <xdr:cNvSpPr txBox="1">
          <a:spLocks noChangeArrowheads="1"/>
        </xdr:cNvSpPr>
      </xdr:nvSpPr>
      <xdr:spPr bwMode="auto">
        <a:xfrm>
          <a:off x="3848100" y="317754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105927</xdr:rowOff>
    </xdr:from>
    <xdr:to>
      <xdr:col>5</xdr:col>
      <xdr:colOff>609600</xdr:colOff>
      <xdr:row>184</xdr:row>
      <xdr:rowOff>183690</xdr:rowOff>
    </xdr:to>
    <xdr:sp macro="" textlink="">
      <xdr:nvSpPr>
        <xdr:cNvPr id="258555" name="Text Box 507" hidden="1">
          <a:extLst>
            <a:ext uri="{FF2B5EF4-FFF2-40B4-BE49-F238E27FC236}">
              <a16:creationId xmlns:a16="http://schemas.microsoft.com/office/drawing/2014/main" id="{D2129FCB-EE19-4A6C-B368-2297577F8E70}"/>
            </a:ext>
          </a:extLst>
        </xdr:cNvPr>
        <xdr:cNvSpPr txBox="1">
          <a:spLocks noChangeArrowheads="1"/>
        </xdr:cNvSpPr>
      </xdr:nvSpPr>
      <xdr:spPr bwMode="auto">
        <a:xfrm>
          <a:off x="3848100" y="28775025"/>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123632</xdr:rowOff>
    </xdr:from>
    <xdr:to>
      <xdr:col>5</xdr:col>
      <xdr:colOff>609600</xdr:colOff>
      <xdr:row>185</xdr:row>
      <xdr:rowOff>53755</xdr:rowOff>
    </xdr:to>
    <xdr:sp macro="" textlink="">
      <xdr:nvSpPr>
        <xdr:cNvPr id="258554" name="Text Box 506" hidden="1">
          <a:extLst>
            <a:ext uri="{FF2B5EF4-FFF2-40B4-BE49-F238E27FC236}">
              <a16:creationId xmlns:a16="http://schemas.microsoft.com/office/drawing/2014/main" id="{4C55EAFC-B152-4A8C-A2D9-8197974E3C7B}"/>
            </a:ext>
          </a:extLst>
        </xdr:cNvPr>
        <xdr:cNvSpPr txBox="1">
          <a:spLocks noChangeArrowheads="1"/>
        </xdr:cNvSpPr>
      </xdr:nvSpPr>
      <xdr:spPr bwMode="auto">
        <a:xfrm>
          <a:off x="3848100" y="29003625"/>
          <a:ext cx="12763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123632</xdr:rowOff>
    </xdr:from>
    <xdr:to>
      <xdr:col>5</xdr:col>
      <xdr:colOff>609600</xdr:colOff>
      <xdr:row>185</xdr:row>
      <xdr:rowOff>101380</xdr:rowOff>
    </xdr:to>
    <xdr:sp macro="" textlink="">
      <xdr:nvSpPr>
        <xdr:cNvPr id="258553" name="Text Box 505" hidden="1">
          <a:extLst>
            <a:ext uri="{FF2B5EF4-FFF2-40B4-BE49-F238E27FC236}">
              <a16:creationId xmlns:a16="http://schemas.microsoft.com/office/drawing/2014/main" id="{A8C978D4-FD02-4287-8B33-6C58D9C87922}"/>
            </a:ext>
          </a:extLst>
        </xdr:cNvPr>
        <xdr:cNvSpPr txBox="1">
          <a:spLocks noChangeArrowheads="1"/>
        </xdr:cNvSpPr>
      </xdr:nvSpPr>
      <xdr:spPr bwMode="auto">
        <a:xfrm>
          <a:off x="3848100" y="291941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123632</xdr:rowOff>
    </xdr:from>
    <xdr:to>
      <xdr:col>5</xdr:col>
      <xdr:colOff>609600</xdr:colOff>
      <xdr:row>186</xdr:row>
      <xdr:rowOff>174164</xdr:rowOff>
    </xdr:to>
    <xdr:sp macro="" textlink="">
      <xdr:nvSpPr>
        <xdr:cNvPr id="258552" name="Text Box 504" hidden="1">
          <a:extLst>
            <a:ext uri="{FF2B5EF4-FFF2-40B4-BE49-F238E27FC236}">
              <a16:creationId xmlns:a16="http://schemas.microsoft.com/office/drawing/2014/main" id="{9A9579CD-1B1D-4A24-A6DB-DC00BF760433}"/>
            </a:ext>
          </a:extLst>
        </xdr:cNvPr>
        <xdr:cNvSpPr txBox="1">
          <a:spLocks noChangeArrowheads="1"/>
        </xdr:cNvSpPr>
      </xdr:nvSpPr>
      <xdr:spPr bwMode="auto">
        <a:xfrm>
          <a:off x="3848100" y="29384625"/>
          <a:ext cx="1276350"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582" name="Text Box 534" hidden="1">
          <a:extLst>
            <a:ext uri="{FF2B5EF4-FFF2-40B4-BE49-F238E27FC236}">
              <a16:creationId xmlns:a16="http://schemas.microsoft.com/office/drawing/2014/main" id="{E774108E-7E6F-4CA8-817D-CF787CBC77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43847</xdr:rowOff>
    </xdr:from>
    <xdr:to>
      <xdr:col>5</xdr:col>
      <xdr:colOff>609600</xdr:colOff>
      <xdr:row>236</xdr:row>
      <xdr:rowOff>54165</xdr:rowOff>
    </xdr:to>
    <xdr:sp macro="" textlink="">
      <xdr:nvSpPr>
        <xdr:cNvPr id="258581" name="Text Box 533" hidden="1">
          <a:extLst>
            <a:ext uri="{FF2B5EF4-FFF2-40B4-BE49-F238E27FC236}">
              <a16:creationId xmlns:a16="http://schemas.microsoft.com/office/drawing/2014/main" id="{7783A726-C0A2-40AA-BEFC-A2B3D0E146BE}"/>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146794</xdr:rowOff>
    </xdr:to>
    <xdr:sp macro="" textlink="">
      <xdr:nvSpPr>
        <xdr:cNvPr id="258580" name="Text Box 532" hidden="1">
          <a:extLst>
            <a:ext uri="{FF2B5EF4-FFF2-40B4-BE49-F238E27FC236}">
              <a16:creationId xmlns:a16="http://schemas.microsoft.com/office/drawing/2014/main" id="{1749FA92-9CCB-4532-AFB8-7496CD671872}"/>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167430</xdr:rowOff>
    </xdr:from>
    <xdr:to>
      <xdr:col>5</xdr:col>
      <xdr:colOff>609600</xdr:colOff>
      <xdr:row>237</xdr:row>
      <xdr:rowOff>54165</xdr:rowOff>
    </xdr:to>
    <xdr:sp macro="" textlink="">
      <xdr:nvSpPr>
        <xdr:cNvPr id="258579" name="Text Box 531" hidden="1">
          <a:extLst>
            <a:ext uri="{FF2B5EF4-FFF2-40B4-BE49-F238E27FC236}">
              <a16:creationId xmlns:a16="http://schemas.microsoft.com/office/drawing/2014/main" id="{A98F79D8-6839-4D60-B896-5F0B8074706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167430</xdr:rowOff>
    </xdr:from>
    <xdr:to>
      <xdr:col>5</xdr:col>
      <xdr:colOff>609600</xdr:colOff>
      <xdr:row>224</xdr:row>
      <xdr:rowOff>167430</xdr:rowOff>
    </xdr:to>
    <xdr:sp macro="" textlink="">
      <xdr:nvSpPr>
        <xdr:cNvPr id="258578" name="Text Box 530" hidden="1">
          <a:extLst>
            <a:ext uri="{FF2B5EF4-FFF2-40B4-BE49-F238E27FC236}">
              <a16:creationId xmlns:a16="http://schemas.microsoft.com/office/drawing/2014/main" id="{D78E8821-2DF5-43BB-893F-4CC268AC2471}"/>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158699</xdr:rowOff>
    </xdr:from>
    <xdr:to>
      <xdr:col>5</xdr:col>
      <xdr:colOff>609600</xdr:colOff>
      <xdr:row>201</xdr:row>
      <xdr:rowOff>146794</xdr:rowOff>
    </xdr:to>
    <xdr:sp macro="" textlink="">
      <xdr:nvSpPr>
        <xdr:cNvPr id="258577" name="Text Box 529" hidden="1">
          <a:extLst>
            <a:ext uri="{FF2B5EF4-FFF2-40B4-BE49-F238E27FC236}">
              <a16:creationId xmlns:a16="http://schemas.microsoft.com/office/drawing/2014/main" id="{A459C258-CB99-4D59-A23E-AE91F4BB9055}"/>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258576" name="Text Box 528" hidden="1">
          <a:extLst>
            <a:ext uri="{FF2B5EF4-FFF2-40B4-BE49-F238E27FC236}">
              <a16:creationId xmlns:a16="http://schemas.microsoft.com/office/drawing/2014/main" id="{B8FB58CE-1526-4013-9364-16E19AC75FB5}"/>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8299</xdr:rowOff>
    </xdr:from>
    <xdr:to>
      <xdr:col>5</xdr:col>
      <xdr:colOff>609600</xdr:colOff>
      <xdr:row>204</xdr:row>
      <xdr:rowOff>54165</xdr:rowOff>
    </xdr:to>
    <xdr:sp macro="" textlink="">
      <xdr:nvSpPr>
        <xdr:cNvPr id="258575" name="Text Box 527" hidden="1">
          <a:extLst>
            <a:ext uri="{FF2B5EF4-FFF2-40B4-BE49-F238E27FC236}">
              <a16:creationId xmlns:a16="http://schemas.microsoft.com/office/drawing/2014/main" id="{A37AA181-660D-41C8-BF76-CDD714C4DA48}"/>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167431</xdr:rowOff>
    </xdr:from>
    <xdr:to>
      <xdr:col>5</xdr:col>
      <xdr:colOff>609600</xdr:colOff>
      <xdr:row>211</xdr:row>
      <xdr:rowOff>20444</xdr:rowOff>
    </xdr:to>
    <xdr:sp macro="" textlink="">
      <xdr:nvSpPr>
        <xdr:cNvPr id="258574" name="Text Box 526" hidden="1">
          <a:extLst>
            <a:ext uri="{FF2B5EF4-FFF2-40B4-BE49-F238E27FC236}">
              <a16:creationId xmlns:a16="http://schemas.microsoft.com/office/drawing/2014/main" id="{ED46AEC1-4E98-4F14-86F1-FA0E1B4CB713}"/>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258601" name="Text Box 553" hidden="1">
          <a:extLst>
            <a:ext uri="{FF2B5EF4-FFF2-40B4-BE49-F238E27FC236}">
              <a16:creationId xmlns:a16="http://schemas.microsoft.com/office/drawing/2014/main" id="{836C438F-9000-458C-B1DE-1E88B4C618B8}"/>
            </a:ext>
          </a:extLst>
        </xdr:cNvPr>
        <xdr:cNvSpPr txBox="1">
          <a:spLocks noChangeArrowheads="1"/>
        </xdr:cNvSpPr>
      </xdr:nvSpPr>
      <xdr:spPr bwMode="auto">
        <a:xfrm>
          <a:off x="3848100" y="269557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52</xdr:row>
      <xdr:rowOff>349374</xdr:rowOff>
    </xdr:from>
    <xdr:to>
      <xdr:col>5</xdr:col>
      <xdr:colOff>628650</xdr:colOff>
      <xdr:row>54</xdr:row>
      <xdr:rowOff>162875</xdr:rowOff>
    </xdr:to>
    <xdr:sp macro="" textlink="">
      <xdr:nvSpPr>
        <xdr:cNvPr id="258618" name="Text Box 570" hidden="1">
          <a:extLst>
            <a:ext uri="{FF2B5EF4-FFF2-40B4-BE49-F238E27FC236}">
              <a16:creationId xmlns:a16="http://schemas.microsoft.com/office/drawing/2014/main" id="{A333C83F-FAAA-45F7-9A9A-27D5A0B331D9}"/>
            </a:ext>
          </a:extLst>
        </xdr:cNvPr>
        <xdr:cNvSpPr txBox="1">
          <a:spLocks noChangeArrowheads="1"/>
        </xdr:cNvSpPr>
      </xdr:nvSpPr>
      <xdr:spPr bwMode="auto">
        <a:xfrm>
          <a:off x="3867150" y="11153775"/>
          <a:ext cx="12763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160578</xdr:rowOff>
    </xdr:from>
    <xdr:to>
      <xdr:col>5</xdr:col>
      <xdr:colOff>628650</xdr:colOff>
      <xdr:row>53</xdr:row>
      <xdr:rowOff>228667</xdr:rowOff>
    </xdr:to>
    <xdr:sp macro="" textlink="">
      <xdr:nvSpPr>
        <xdr:cNvPr id="258619" name="Text Box 571" hidden="1">
          <a:extLst>
            <a:ext uri="{FF2B5EF4-FFF2-40B4-BE49-F238E27FC236}">
              <a16:creationId xmlns:a16="http://schemas.microsoft.com/office/drawing/2014/main" id="{C494A90F-1E18-49E8-B89C-56338EA229A7}"/>
            </a:ext>
          </a:extLst>
        </xdr:cNvPr>
        <xdr:cNvSpPr txBox="1">
          <a:spLocks noChangeArrowheads="1"/>
        </xdr:cNvSpPr>
      </xdr:nvSpPr>
      <xdr:spPr bwMode="auto">
        <a:xfrm>
          <a:off x="3867150" y="107823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257429</xdr:rowOff>
    </xdr:from>
    <xdr:to>
      <xdr:col>5</xdr:col>
      <xdr:colOff>628650</xdr:colOff>
      <xdr:row>55</xdr:row>
      <xdr:rowOff>179213</xdr:rowOff>
    </xdr:to>
    <xdr:sp macro="" textlink="">
      <xdr:nvSpPr>
        <xdr:cNvPr id="258621" name="Text Box 573" hidden="1">
          <a:extLst>
            <a:ext uri="{FF2B5EF4-FFF2-40B4-BE49-F238E27FC236}">
              <a16:creationId xmlns:a16="http://schemas.microsoft.com/office/drawing/2014/main" id="{C3D79A10-B231-4931-8FAE-8FC882474D60}"/>
            </a:ext>
          </a:extLst>
        </xdr:cNvPr>
        <xdr:cNvSpPr txBox="1">
          <a:spLocks noChangeArrowheads="1"/>
        </xdr:cNvSpPr>
      </xdr:nvSpPr>
      <xdr:spPr bwMode="auto">
        <a:xfrm>
          <a:off x="3867150" y="11601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19797</xdr:rowOff>
    </xdr:from>
    <xdr:to>
      <xdr:col>5</xdr:col>
      <xdr:colOff>628650</xdr:colOff>
      <xdr:row>54</xdr:row>
      <xdr:rowOff>383276</xdr:rowOff>
    </xdr:to>
    <xdr:sp macro="" textlink="">
      <xdr:nvSpPr>
        <xdr:cNvPr id="258622" name="Text Box 574" hidden="1">
          <a:extLst>
            <a:ext uri="{FF2B5EF4-FFF2-40B4-BE49-F238E27FC236}">
              <a16:creationId xmlns:a16="http://schemas.microsoft.com/office/drawing/2014/main" id="{15FA8198-1075-4150-B5FB-CCC2E706BC33}"/>
            </a:ext>
          </a:extLst>
        </xdr:cNvPr>
        <xdr:cNvSpPr txBox="1">
          <a:spLocks noChangeArrowheads="1"/>
        </xdr:cNvSpPr>
      </xdr:nvSpPr>
      <xdr:spPr bwMode="auto">
        <a:xfrm>
          <a:off x="3867150" y="11382375"/>
          <a:ext cx="12763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8506</xdr:rowOff>
    </xdr:from>
    <xdr:to>
      <xdr:col>5</xdr:col>
      <xdr:colOff>628650</xdr:colOff>
      <xdr:row>58</xdr:row>
      <xdr:rowOff>159984</xdr:rowOff>
    </xdr:to>
    <xdr:sp macro="" textlink="">
      <xdr:nvSpPr>
        <xdr:cNvPr id="258628" name="Text Box 580" hidden="1">
          <a:extLst>
            <a:ext uri="{FF2B5EF4-FFF2-40B4-BE49-F238E27FC236}">
              <a16:creationId xmlns:a16="http://schemas.microsoft.com/office/drawing/2014/main" id="{338C5854-B1A6-4B68-B50C-B633FC9DE8B9}"/>
            </a:ext>
          </a:extLst>
        </xdr:cNvPr>
        <xdr:cNvSpPr txBox="1">
          <a:spLocks noChangeArrowheads="1"/>
        </xdr:cNvSpPr>
      </xdr:nvSpPr>
      <xdr:spPr bwMode="auto">
        <a:xfrm>
          <a:off x="3867150" y="121729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216018</xdr:rowOff>
    </xdr:from>
    <xdr:to>
      <xdr:col>5</xdr:col>
      <xdr:colOff>628650</xdr:colOff>
      <xdr:row>57</xdr:row>
      <xdr:rowOff>180424</xdr:rowOff>
    </xdr:to>
    <xdr:sp macro="" textlink="">
      <xdr:nvSpPr>
        <xdr:cNvPr id="258629" name="Text Box 581" hidden="1">
          <a:extLst>
            <a:ext uri="{FF2B5EF4-FFF2-40B4-BE49-F238E27FC236}">
              <a16:creationId xmlns:a16="http://schemas.microsoft.com/office/drawing/2014/main" id="{DAC43208-AE52-4BDD-A07A-5A5824370927}"/>
            </a:ext>
          </a:extLst>
        </xdr:cNvPr>
        <xdr:cNvSpPr txBox="1">
          <a:spLocks noChangeArrowheads="1"/>
        </xdr:cNvSpPr>
      </xdr:nvSpPr>
      <xdr:spPr bwMode="auto">
        <a:xfrm>
          <a:off x="3867150" y="119824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31050</xdr:rowOff>
    </xdr:from>
    <xdr:to>
      <xdr:col>5</xdr:col>
      <xdr:colOff>628650</xdr:colOff>
      <xdr:row>60</xdr:row>
      <xdr:rowOff>85444</xdr:rowOff>
    </xdr:to>
    <xdr:sp macro="" textlink="">
      <xdr:nvSpPr>
        <xdr:cNvPr id="258632" name="Text Box 584" hidden="1">
          <a:extLst>
            <a:ext uri="{FF2B5EF4-FFF2-40B4-BE49-F238E27FC236}">
              <a16:creationId xmlns:a16="http://schemas.microsoft.com/office/drawing/2014/main" id="{1A89C67D-D802-4973-BA94-11C0D0C25059}"/>
            </a:ext>
          </a:extLst>
        </xdr:cNvPr>
        <xdr:cNvSpPr txBox="1">
          <a:spLocks noChangeArrowheads="1"/>
        </xdr:cNvSpPr>
      </xdr:nvSpPr>
      <xdr:spPr bwMode="auto">
        <a:xfrm>
          <a:off x="3867150" y="126111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202792</xdr:rowOff>
    </xdr:from>
    <xdr:to>
      <xdr:col>5</xdr:col>
      <xdr:colOff>628650</xdr:colOff>
      <xdr:row>59</xdr:row>
      <xdr:rowOff>133593</xdr:rowOff>
    </xdr:to>
    <xdr:sp macro="" textlink="">
      <xdr:nvSpPr>
        <xdr:cNvPr id="258633" name="Text Box 585" hidden="1">
          <a:extLst>
            <a:ext uri="{FF2B5EF4-FFF2-40B4-BE49-F238E27FC236}">
              <a16:creationId xmlns:a16="http://schemas.microsoft.com/office/drawing/2014/main" id="{E905E4A7-B32D-4FCD-8E1A-2342821BA3A0}"/>
            </a:ext>
          </a:extLst>
        </xdr:cNvPr>
        <xdr:cNvSpPr txBox="1">
          <a:spLocks noChangeArrowheads="1"/>
        </xdr:cNvSpPr>
      </xdr:nvSpPr>
      <xdr:spPr bwMode="auto">
        <a:xfrm>
          <a:off x="3867150" y="123825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197041</xdr:rowOff>
    </xdr:from>
    <xdr:to>
      <xdr:col>5</xdr:col>
      <xdr:colOff>628650</xdr:colOff>
      <xdr:row>62</xdr:row>
      <xdr:rowOff>84936</xdr:rowOff>
    </xdr:to>
    <xdr:sp macro="" textlink="">
      <xdr:nvSpPr>
        <xdr:cNvPr id="258635" name="Text Box 587" hidden="1">
          <a:extLst>
            <a:ext uri="{FF2B5EF4-FFF2-40B4-BE49-F238E27FC236}">
              <a16:creationId xmlns:a16="http://schemas.microsoft.com/office/drawing/2014/main" id="{AB8A2CC6-91EF-4B24-BBBD-47EB968B7DE8}"/>
            </a:ext>
          </a:extLst>
        </xdr:cNvPr>
        <xdr:cNvSpPr txBox="1">
          <a:spLocks noChangeArrowheads="1"/>
        </xdr:cNvSpPr>
      </xdr:nvSpPr>
      <xdr:spPr bwMode="auto">
        <a:xfrm>
          <a:off x="3867150" y="130302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50099</xdr:rowOff>
    </xdr:from>
    <xdr:to>
      <xdr:col>5</xdr:col>
      <xdr:colOff>628650</xdr:colOff>
      <xdr:row>61</xdr:row>
      <xdr:rowOff>86450</xdr:rowOff>
    </xdr:to>
    <xdr:sp macro="" textlink="">
      <xdr:nvSpPr>
        <xdr:cNvPr id="258636" name="Text Box 588" hidden="1">
          <a:extLst>
            <a:ext uri="{FF2B5EF4-FFF2-40B4-BE49-F238E27FC236}">
              <a16:creationId xmlns:a16="http://schemas.microsoft.com/office/drawing/2014/main" id="{184C0B9A-963D-4D99-A653-6DBD4C9852DC}"/>
            </a:ext>
          </a:extLst>
        </xdr:cNvPr>
        <xdr:cNvSpPr txBox="1">
          <a:spLocks noChangeArrowheads="1"/>
        </xdr:cNvSpPr>
      </xdr:nvSpPr>
      <xdr:spPr bwMode="auto">
        <a:xfrm>
          <a:off x="3867150" y="128206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145274</xdr:rowOff>
    </xdr:from>
    <xdr:to>
      <xdr:col>5</xdr:col>
      <xdr:colOff>628650</xdr:colOff>
      <xdr:row>79</xdr:row>
      <xdr:rowOff>131285</xdr:rowOff>
    </xdr:to>
    <xdr:sp macro="" textlink="">
      <xdr:nvSpPr>
        <xdr:cNvPr id="258641" name="Text Box 593" hidden="1">
          <a:extLst>
            <a:ext uri="{FF2B5EF4-FFF2-40B4-BE49-F238E27FC236}">
              <a16:creationId xmlns:a16="http://schemas.microsoft.com/office/drawing/2014/main" id="{748426D7-8F06-47F1-8229-D39A2442850C}"/>
            </a:ext>
          </a:extLst>
        </xdr:cNvPr>
        <xdr:cNvSpPr txBox="1">
          <a:spLocks noChangeArrowheads="1"/>
        </xdr:cNvSpPr>
      </xdr:nvSpPr>
      <xdr:spPr bwMode="auto">
        <a:xfrm>
          <a:off x="3867150" y="16868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149627</xdr:rowOff>
    </xdr:from>
    <xdr:to>
      <xdr:col>5</xdr:col>
      <xdr:colOff>628650</xdr:colOff>
      <xdr:row>78</xdr:row>
      <xdr:rowOff>143986</xdr:rowOff>
    </xdr:to>
    <xdr:sp macro="" textlink="">
      <xdr:nvSpPr>
        <xdr:cNvPr id="258642" name="Text Box 594" hidden="1">
          <a:extLst>
            <a:ext uri="{FF2B5EF4-FFF2-40B4-BE49-F238E27FC236}">
              <a16:creationId xmlns:a16="http://schemas.microsoft.com/office/drawing/2014/main" id="{AF697DD9-BC1D-41B2-9DCC-B1943CD501C0}"/>
            </a:ext>
          </a:extLst>
        </xdr:cNvPr>
        <xdr:cNvSpPr txBox="1">
          <a:spLocks noChangeArrowheads="1"/>
        </xdr:cNvSpPr>
      </xdr:nvSpPr>
      <xdr:spPr bwMode="auto">
        <a:xfrm>
          <a:off x="3867150" y="16678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86618</xdr:rowOff>
    </xdr:from>
    <xdr:to>
      <xdr:col>5</xdr:col>
      <xdr:colOff>628650</xdr:colOff>
      <xdr:row>81</xdr:row>
      <xdr:rowOff>112300</xdr:rowOff>
    </xdr:to>
    <xdr:sp macro="" textlink="">
      <xdr:nvSpPr>
        <xdr:cNvPr id="258644" name="Text Box 596" hidden="1">
          <a:extLst>
            <a:ext uri="{FF2B5EF4-FFF2-40B4-BE49-F238E27FC236}">
              <a16:creationId xmlns:a16="http://schemas.microsoft.com/office/drawing/2014/main" id="{5692590D-D2A4-4668-9E71-5AA519145D3E}"/>
            </a:ext>
          </a:extLst>
        </xdr:cNvPr>
        <xdr:cNvSpPr txBox="1">
          <a:spLocks noChangeArrowheads="1"/>
        </xdr:cNvSpPr>
      </xdr:nvSpPr>
      <xdr:spPr bwMode="auto">
        <a:xfrm>
          <a:off x="3867150" y="17249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311851</xdr:rowOff>
    </xdr:from>
    <xdr:to>
      <xdr:col>5</xdr:col>
      <xdr:colOff>628650</xdr:colOff>
      <xdr:row>80</xdr:row>
      <xdr:rowOff>130322</xdr:rowOff>
    </xdr:to>
    <xdr:sp macro="" textlink="">
      <xdr:nvSpPr>
        <xdr:cNvPr id="258645" name="Text Box 597" hidden="1">
          <a:extLst>
            <a:ext uri="{FF2B5EF4-FFF2-40B4-BE49-F238E27FC236}">
              <a16:creationId xmlns:a16="http://schemas.microsoft.com/office/drawing/2014/main" id="{38CE638E-327E-4AE2-BB6A-46B612E56EDA}"/>
            </a:ext>
          </a:extLst>
        </xdr:cNvPr>
        <xdr:cNvSpPr txBox="1">
          <a:spLocks noChangeArrowheads="1"/>
        </xdr:cNvSpPr>
      </xdr:nvSpPr>
      <xdr:spPr bwMode="auto">
        <a:xfrm>
          <a:off x="3867150" y="17059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74929</xdr:rowOff>
    </xdr:from>
    <xdr:to>
      <xdr:col>5</xdr:col>
      <xdr:colOff>628650</xdr:colOff>
      <xdr:row>83</xdr:row>
      <xdr:rowOff>91553</xdr:rowOff>
    </xdr:to>
    <xdr:sp macro="" textlink="">
      <xdr:nvSpPr>
        <xdr:cNvPr id="258647" name="Text Box 599" hidden="1">
          <a:extLst>
            <a:ext uri="{FF2B5EF4-FFF2-40B4-BE49-F238E27FC236}">
              <a16:creationId xmlns:a16="http://schemas.microsoft.com/office/drawing/2014/main" id="{118A42F1-6591-4809-A930-39840BBBCE7F}"/>
            </a:ext>
          </a:extLst>
        </xdr:cNvPr>
        <xdr:cNvSpPr txBox="1">
          <a:spLocks noChangeArrowheads="1"/>
        </xdr:cNvSpPr>
      </xdr:nvSpPr>
      <xdr:spPr bwMode="auto">
        <a:xfrm>
          <a:off x="3867150" y="17630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86837</xdr:rowOff>
    </xdr:from>
    <xdr:to>
      <xdr:col>5</xdr:col>
      <xdr:colOff>628650</xdr:colOff>
      <xdr:row>82</xdr:row>
      <xdr:rowOff>124096</xdr:rowOff>
    </xdr:to>
    <xdr:sp macro="" textlink="">
      <xdr:nvSpPr>
        <xdr:cNvPr id="258648" name="Text Box 600" hidden="1">
          <a:extLst>
            <a:ext uri="{FF2B5EF4-FFF2-40B4-BE49-F238E27FC236}">
              <a16:creationId xmlns:a16="http://schemas.microsoft.com/office/drawing/2014/main" id="{01D1E7F4-0A8C-4457-9156-D6D36936DF41}"/>
            </a:ext>
          </a:extLst>
        </xdr:cNvPr>
        <xdr:cNvSpPr txBox="1">
          <a:spLocks noChangeArrowheads="1"/>
        </xdr:cNvSpPr>
      </xdr:nvSpPr>
      <xdr:spPr bwMode="auto">
        <a:xfrm>
          <a:off x="3867150" y="17440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73406</xdr:rowOff>
    </xdr:from>
    <xdr:to>
      <xdr:col>5</xdr:col>
      <xdr:colOff>628650</xdr:colOff>
      <xdr:row>85</xdr:row>
      <xdr:rowOff>84410</xdr:rowOff>
    </xdr:to>
    <xdr:sp macro="" textlink="">
      <xdr:nvSpPr>
        <xdr:cNvPr id="258650" name="Text Box 602" hidden="1">
          <a:extLst>
            <a:ext uri="{FF2B5EF4-FFF2-40B4-BE49-F238E27FC236}">
              <a16:creationId xmlns:a16="http://schemas.microsoft.com/office/drawing/2014/main" id="{A5C3F5C4-A3E3-41E4-A6BE-90118BD415C2}"/>
            </a:ext>
          </a:extLst>
        </xdr:cNvPr>
        <xdr:cNvSpPr txBox="1">
          <a:spLocks noChangeArrowheads="1"/>
        </xdr:cNvSpPr>
      </xdr:nvSpPr>
      <xdr:spPr bwMode="auto">
        <a:xfrm>
          <a:off x="3867150" y="18011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73171</xdr:rowOff>
    </xdr:from>
    <xdr:to>
      <xdr:col>5</xdr:col>
      <xdr:colOff>628650</xdr:colOff>
      <xdr:row>84</xdr:row>
      <xdr:rowOff>85997</xdr:rowOff>
    </xdr:to>
    <xdr:sp macro="" textlink="">
      <xdr:nvSpPr>
        <xdr:cNvPr id="258651" name="Text Box 603" hidden="1">
          <a:extLst>
            <a:ext uri="{FF2B5EF4-FFF2-40B4-BE49-F238E27FC236}">
              <a16:creationId xmlns:a16="http://schemas.microsoft.com/office/drawing/2014/main" id="{5743E45B-8920-402E-9EE0-9508710A69E2}"/>
            </a:ext>
          </a:extLst>
        </xdr:cNvPr>
        <xdr:cNvSpPr txBox="1">
          <a:spLocks noChangeArrowheads="1"/>
        </xdr:cNvSpPr>
      </xdr:nvSpPr>
      <xdr:spPr bwMode="auto">
        <a:xfrm>
          <a:off x="3867150" y="17821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71882</xdr:rowOff>
    </xdr:from>
    <xdr:to>
      <xdr:col>5</xdr:col>
      <xdr:colOff>628650</xdr:colOff>
      <xdr:row>107</xdr:row>
      <xdr:rowOff>122116</xdr:rowOff>
    </xdr:to>
    <xdr:sp macro="" textlink="">
      <xdr:nvSpPr>
        <xdr:cNvPr id="258654" name="Text Box 606" hidden="1">
          <a:extLst>
            <a:ext uri="{FF2B5EF4-FFF2-40B4-BE49-F238E27FC236}">
              <a16:creationId xmlns:a16="http://schemas.microsoft.com/office/drawing/2014/main" id="{E3920B36-BBE2-4CAD-AB16-405970E4751B}"/>
            </a:ext>
          </a:extLst>
        </xdr:cNvPr>
        <xdr:cNvSpPr txBox="1">
          <a:spLocks noChangeArrowheads="1"/>
        </xdr:cNvSpPr>
      </xdr:nvSpPr>
      <xdr:spPr bwMode="auto">
        <a:xfrm>
          <a:off x="3867150" y="22412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67504</xdr:rowOff>
    </xdr:from>
    <xdr:to>
      <xdr:col>5</xdr:col>
      <xdr:colOff>628650</xdr:colOff>
      <xdr:row>106</xdr:row>
      <xdr:rowOff>121883</xdr:rowOff>
    </xdr:to>
    <xdr:sp macro="" textlink="">
      <xdr:nvSpPr>
        <xdr:cNvPr id="258655" name="Text Box 607" hidden="1">
          <a:extLst>
            <a:ext uri="{FF2B5EF4-FFF2-40B4-BE49-F238E27FC236}">
              <a16:creationId xmlns:a16="http://schemas.microsoft.com/office/drawing/2014/main" id="{FB47E02B-502E-4ACB-85CA-49F9D4A5AACD}"/>
            </a:ext>
          </a:extLst>
        </xdr:cNvPr>
        <xdr:cNvSpPr txBox="1">
          <a:spLocks noChangeArrowheads="1"/>
        </xdr:cNvSpPr>
      </xdr:nvSpPr>
      <xdr:spPr bwMode="auto">
        <a:xfrm>
          <a:off x="3867150" y="22221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104131</xdr:rowOff>
    </xdr:to>
    <xdr:sp macro="" textlink="">
      <xdr:nvSpPr>
        <xdr:cNvPr id="258657" name="Text Box 609" hidden="1">
          <a:extLst>
            <a:ext uri="{FF2B5EF4-FFF2-40B4-BE49-F238E27FC236}">
              <a16:creationId xmlns:a16="http://schemas.microsoft.com/office/drawing/2014/main" id="{005D426F-0124-49A8-AF96-ADC444C6D9FE}"/>
            </a:ext>
          </a:extLst>
        </xdr:cNvPr>
        <xdr:cNvSpPr txBox="1">
          <a:spLocks noChangeArrowheads="1"/>
        </xdr:cNvSpPr>
      </xdr:nvSpPr>
      <xdr:spPr bwMode="auto">
        <a:xfrm>
          <a:off x="3867150" y="22793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56571</xdr:rowOff>
    </xdr:from>
    <xdr:to>
      <xdr:col>5</xdr:col>
      <xdr:colOff>628650</xdr:colOff>
      <xdr:row>108</xdr:row>
      <xdr:rowOff>76022</xdr:rowOff>
    </xdr:to>
    <xdr:sp macro="" textlink="">
      <xdr:nvSpPr>
        <xdr:cNvPr id="258658" name="Text Box 610" hidden="1">
          <a:extLst>
            <a:ext uri="{FF2B5EF4-FFF2-40B4-BE49-F238E27FC236}">
              <a16:creationId xmlns:a16="http://schemas.microsoft.com/office/drawing/2014/main" id="{BD4493CA-64A1-4FC5-8D91-278E1F15E944}"/>
            </a:ext>
          </a:extLst>
        </xdr:cNvPr>
        <xdr:cNvSpPr txBox="1">
          <a:spLocks noChangeArrowheads="1"/>
        </xdr:cNvSpPr>
      </xdr:nvSpPr>
      <xdr:spPr bwMode="auto">
        <a:xfrm>
          <a:off x="3867150" y="22602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37738</xdr:rowOff>
    </xdr:from>
    <xdr:to>
      <xdr:col>5</xdr:col>
      <xdr:colOff>628650</xdr:colOff>
      <xdr:row>111</xdr:row>
      <xdr:rowOff>56452</xdr:rowOff>
    </xdr:to>
    <xdr:sp macro="" textlink="">
      <xdr:nvSpPr>
        <xdr:cNvPr id="258660" name="Text Box 612" hidden="1">
          <a:extLst>
            <a:ext uri="{FF2B5EF4-FFF2-40B4-BE49-F238E27FC236}">
              <a16:creationId xmlns:a16="http://schemas.microsoft.com/office/drawing/2014/main" id="{BEC2044F-CDED-43D4-B3F6-12CD07208FB1}"/>
            </a:ext>
          </a:extLst>
        </xdr:cNvPr>
        <xdr:cNvSpPr txBox="1">
          <a:spLocks noChangeArrowheads="1"/>
        </xdr:cNvSpPr>
      </xdr:nvSpPr>
      <xdr:spPr bwMode="auto">
        <a:xfrm>
          <a:off x="3867150" y="231743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53382</xdr:rowOff>
    </xdr:from>
    <xdr:to>
      <xdr:col>5</xdr:col>
      <xdr:colOff>628650</xdr:colOff>
      <xdr:row>110</xdr:row>
      <xdr:rowOff>39785</xdr:rowOff>
    </xdr:to>
    <xdr:sp macro="" textlink="">
      <xdr:nvSpPr>
        <xdr:cNvPr id="258661" name="Text Box 613" hidden="1">
          <a:extLst>
            <a:ext uri="{FF2B5EF4-FFF2-40B4-BE49-F238E27FC236}">
              <a16:creationId xmlns:a16="http://schemas.microsoft.com/office/drawing/2014/main" id="{95181B58-D7AA-4E55-82BC-401CA8E9BC24}"/>
            </a:ext>
          </a:extLst>
        </xdr:cNvPr>
        <xdr:cNvSpPr txBox="1">
          <a:spLocks noChangeArrowheads="1"/>
        </xdr:cNvSpPr>
      </xdr:nvSpPr>
      <xdr:spPr bwMode="auto">
        <a:xfrm>
          <a:off x="3867150" y="229838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34423</xdr:rowOff>
    </xdr:from>
    <xdr:to>
      <xdr:col>5</xdr:col>
      <xdr:colOff>628650</xdr:colOff>
      <xdr:row>113</xdr:row>
      <xdr:rowOff>58370</xdr:rowOff>
    </xdr:to>
    <xdr:sp macro="" textlink="">
      <xdr:nvSpPr>
        <xdr:cNvPr id="258663" name="Text Box 615" hidden="1">
          <a:extLst>
            <a:ext uri="{FF2B5EF4-FFF2-40B4-BE49-F238E27FC236}">
              <a16:creationId xmlns:a16="http://schemas.microsoft.com/office/drawing/2014/main" id="{0114EE50-6E9A-4D6F-87AE-177DF777955C}"/>
            </a:ext>
          </a:extLst>
        </xdr:cNvPr>
        <xdr:cNvSpPr txBox="1">
          <a:spLocks noChangeArrowheads="1"/>
        </xdr:cNvSpPr>
      </xdr:nvSpPr>
      <xdr:spPr bwMode="auto">
        <a:xfrm>
          <a:off x="3867150" y="235553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38858</xdr:rowOff>
    </xdr:from>
    <xdr:to>
      <xdr:col>5</xdr:col>
      <xdr:colOff>628650</xdr:colOff>
      <xdr:row>112</xdr:row>
      <xdr:rowOff>57576</xdr:rowOff>
    </xdr:to>
    <xdr:sp macro="" textlink="">
      <xdr:nvSpPr>
        <xdr:cNvPr id="258664" name="Text Box 616" hidden="1">
          <a:extLst>
            <a:ext uri="{FF2B5EF4-FFF2-40B4-BE49-F238E27FC236}">
              <a16:creationId xmlns:a16="http://schemas.microsoft.com/office/drawing/2014/main" id="{4A042BC3-E81F-47A9-B50D-E34821DBA032}"/>
            </a:ext>
          </a:extLst>
        </xdr:cNvPr>
        <xdr:cNvSpPr txBox="1">
          <a:spLocks noChangeArrowheads="1"/>
        </xdr:cNvSpPr>
      </xdr:nvSpPr>
      <xdr:spPr bwMode="auto">
        <a:xfrm>
          <a:off x="3867150" y="233648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068" name="Text Box 36" hidden="1">
          <a:extLst>
            <a:ext uri="{FF2B5EF4-FFF2-40B4-BE49-F238E27FC236}">
              <a16:creationId xmlns:a16="http://schemas.microsoft.com/office/drawing/2014/main" id="{69B607D2-B6D1-416A-A18F-259CB560FDA5}"/>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43847</xdr:rowOff>
    </xdr:from>
    <xdr:to>
      <xdr:col>5</xdr:col>
      <xdr:colOff>609600</xdr:colOff>
      <xdr:row>236</xdr:row>
      <xdr:rowOff>54165</xdr:rowOff>
    </xdr:to>
    <xdr:sp macro="" textlink="">
      <xdr:nvSpPr>
        <xdr:cNvPr id="300067" name="Text Box 35" hidden="1">
          <a:extLst>
            <a:ext uri="{FF2B5EF4-FFF2-40B4-BE49-F238E27FC236}">
              <a16:creationId xmlns:a16="http://schemas.microsoft.com/office/drawing/2014/main" id="{A9D65FA5-52CB-4E24-A63C-44BBBD159922}"/>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146794</xdr:rowOff>
    </xdr:to>
    <xdr:sp macro="" textlink="">
      <xdr:nvSpPr>
        <xdr:cNvPr id="300066" name="Text Box 34" hidden="1">
          <a:extLst>
            <a:ext uri="{FF2B5EF4-FFF2-40B4-BE49-F238E27FC236}">
              <a16:creationId xmlns:a16="http://schemas.microsoft.com/office/drawing/2014/main" id="{F62A46F4-196C-4BF5-A267-FA926514CB6D}"/>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167430</xdr:rowOff>
    </xdr:from>
    <xdr:to>
      <xdr:col>5</xdr:col>
      <xdr:colOff>609600</xdr:colOff>
      <xdr:row>237</xdr:row>
      <xdr:rowOff>54165</xdr:rowOff>
    </xdr:to>
    <xdr:sp macro="" textlink="">
      <xdr:nvSpPr>
        <xdr:cNvPr id="300065" name="Text Box 33" hidden="1">
          <a:extLst>
            <a:ext uri="{FF2B5EF4-FFF2-40B4-BE49-F238E27FC236}">
              <a16:creationId xmlns:a16="http://schemas.microsoft.com/office/drawing/2014/main" id="{941D44E9-7FAC-4E06-9022-B3CA682D5425}"/>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167430</xdr:rowOff>
    </xdr:from>
    <xdr:to>
      <xdr:col>5</xdr:col>
      <xdr:colOff>609600</xdr:colOff>
      <xdr:row>224</xdr:row>
      <xdr:rowOff>167430</xdr:rowOff>
    </xdr:to>
    <xdr:sp macro="" textlink="">
      <xdr:nvSpPr>
        <xdr:cNvPr id="300064" name="Text Box 32" hidden="1">
          <a:extLst>
            <a:ext uri="{FF2B5EF4-FFF2-40B4-BE49-F238E27FC236}">
              <a16:creationId xmlns:a16="http://schemas.microsoft.com/office/drawing/2014/main" id="{CD04002E-0E79-4AB7-A825-1FF838B8DCC8}"/>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158699</xdr:rowOff>
    </xdr:from>
    <xdr:to>
      <xdr:col>5</xdr:col>
      <xdr:colOff>609600</xdr:colOff>
      <xdr:row>201</xdr:row>
      <xdr:rowOff>146794</xdr:rowOff>
    </xdr:to>
    <xdr:sp macro="" textlink="">
      <xdr:nvSpPr>
        <xdr:cNvPr id="300063" name="Text Box 31" hidden="1">
          <a:extLst>
            <a:ext uri="{FF2B5EF4-FFF2-40B4-BE49-F238E27FC236}">
              <a16:creationId xmlns:a16="http://schemas.microsoft.com/office/drawing/2014/main" id="{634A0BCD-31C7-4ED2-8459-D0302143D1E1}"/>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300062" name="Text Box 30" hidden="1">
          <a:extLst>
            <a:ext uri="{FF2B5EF4-FFF2-40B4-BE49-F238E27FC236}">
              <a16:creationId xmlns:a16="http://schemas.microsoft.com/office/drawing/2014/main" id="{D572A469-38D0-4498-A9E7-A033C97910FF}"/>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8299</xdr:rowOff>
    </xdr:from>
    <xdr:to>
      <xdr:col>5</xdr:col>
      <xdr:colOff>609600</xdr:colOff>
      <xdr:row>204</xdr:row>
      <xdr:rowOff>54165</xdr:rowOff>
    </xdr:to>
    <xdr:sp macro="" textlink="">
      <xdr:nvSpPr>
        <xdr:cNvPr id="300061" name="Text Box 29" hidden="1">
          <a:extLst>
            <a:ext uri="{FF2B5EF4-FFF2-40B4-BE49-F238E27FC236}">
              <a16:creationId xmlns:a16="http://schemas.microsoft.com/office/drawing/2014/main" id="{3202258E-920A-4B75-8123-0826999FD5DD}"/>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167431</xdr:rowOff>
    </xdr:from>
    <xdr:to>
      <xdr:col>5</xdr:col>
      <xdr:colOff>609600</xdr:colOff>
      <xdr:row>211</xdr:row>
      <xdr:rowOff>20444</xdr:rowOff>
    </xdr:to>
    <xdr:sp macro="" textlink="">
      <xdr:nvSpPr>
        <xdr:cNvPr id="300060" name="Text Box 28" hidden="1">
          <a:extLst>
            <a:ext uri="{FF2B5EF4-FFF2-40B4-BE49-F238E27FC236}">
              <a16:creationId xmlns:a16="http://schemas.microsoft.com/office/drawing/2014/main" id="{70752031-F58D-4B47-A9A0-038B0FA033EE}"/>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59" name="Text Box 27" hidden="1">
          <a:extLst>
            <a:ext uri="{FF2B5EF4-FFF2-40B4-BE49-F238E27FC236}">
              <a16:creationId xmlns:a16="http://schemas.microsoft.com/office/drawing/2014/main" id="{9FAB41D9-4E0B-4BA9-B058-C290F9D09DB5}"/>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52</xdr:row>
      <xdr:rowOff>349374</xdr:rowOff>
    </xdr:from>
    <xdr:to>
      <xdr:col>5</xdr:col>
      <xdr:colOff>628650</xdr:colOff>
      <xdr:row>54</xdr:row>
      <xdr:rowOff>162875</xdr:rowOff>
    </xdr:to>
    <xdr:sp macro="" textlink="">
      <xdr:nvSpPr>
        <xdr:cNvPr id="300058" name="Text Box 26" hidden="1">
          <a:extLst>
            <a:ext uri="{FF2B5EF4-FFF2-40B4-BE49-F238E27FC236}">
              <a16:creationId xmlns:a16="http://schemas.microsoft.com/office/drawing/2014/main" id="{BB00556C-6DB0-4835-ADE8-356779F0F508}"/>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160578</xdr:rowOff>
    </xdr:from>
    <xdr:to>
      <xdr:col>5</xdr:col>
      <xdr:colOff>628650</xdr:colOff>
      <xdr:row>53</xdr:row>
      <xdr:rowOff>228667</xdr:rowOff>
    </xdr:to>
    <xdr:sp macro="" textlink="">
      <xdr:nvSpPr>
        <xdr:cNvPr id="300057" name="Text Box 25" hidden="1">
          <a:extLst>
            <a:ext uri="{FF2B5EF4-FFF2-40B4-BE49-F238E27FC236}">
              <a16:creationId xmlns:a16="http://schemas.microsoft.com/office/drawing/2014/main" id="{36DB3FDD-217C-449C-BE39-EC644B87B6CC}"/>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257429</xdr:rowOff>
    </xdr:from>
    <xdr:to>
      <xdr:col>5</xdr:col>
      <xdr:colOff>628650</xdr:colOff>
      <xdr:row>55</xdr:row>
      <xdr:rowOff>179213</xdr:rowOff>
    </xdr:to>
    <xdr:sp macro="" textlink="">
      <xdr:nvSpPr>
        <xdr:cNvPr id="300056" name="Text Box 24" hidden="1">
          <a:extLst>
            <a:ext uri="{FF2B5EF4-FFF2-40B4-BE49-F238E27FC236}">
              <a16:creationId xmlns:a16="http://schemas.microsoft.com/office/drawing/2014/main" id="{D1FEFF32-4922-4679-AA57-8619431DBC69}"/>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19797</xdr:rowOff>
    </xdr:from>
    <xdr:to>
      <xdr:col>5</xdr:col>
      <xdr:colOff>628650</xdr:colOff>
      <xdr:row>54</xdr:row>
      <xdr:rowOff>383276</xdr:rowOff>
    </xdr:to>
    <xdr:sp macro="" textlink="">
      <xdr:nvSpPr>
        <xdr:cNvPr id="300055" name="Text Box 23" hidden="1">
          <a:extLst>
            <a:ext uri="{FF2B5EF4-FFF2-40B4-BE49-F238E27FC236}">
              <a16:creationId xmlns:a16="http://schemas.microsoft.com/office/drawing/2014/main" id="{950F92D6-57F7-48ED-8DF5-861543C8AAB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8506</xdr:rowOff>
    </xdr:from>
    <xdr:to>
      <xdr:col>5</xdr:col>
      <xdr:colOff>628650</xdr:colOff>
      <xdr:row>58</xdr:row>
      <xdr:rowOff>159984</xdr:rowOff>
    </xdr:to>
    <xdr:sp macro="" textlink="">
      <xdr:nvSpPr>
        <xdr:cNvPr id="300054" name="Text Box 22" hidden="1">
          <a:extLst>
            <a:ext uri="{FF2B5EF4-FFF2-40B4-BE49-F238E27FC236}">
              <a16:creationId xmlns:a16="http://schemas.microsoft.com/office/drawing/2014/main" id="{D09E9164-08A8-48DC-B883-B68246CDB911}"/>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216018</xdr:rowOff>
    </xdr:from>
    <xdr:to>
      <xdr:col>5</xdr:col>
      <xdr:colOff>628650</xdr:colOff>
      <xdr:row>57</xdr:row>
      <xdr:rowOff>180424</xdr:rowOff>
    </xdr:to>
    <xdr:sp macro="" textlink="">
      <xdr:nvSpPr>
        <xdr:cNvPr id="300053" name="Text Box 21" hidden="1">
          <a:extLst>
            <a:ext uri="{FF2B5EF4-FFF2-40B4-BE49-F238E27FC236}">
              <a16:creationId xmlns:a16="http://schemas.microsoft.com/office/drawing/2014/main" id="{910FD0F4-B044-4697-9A2E-FD752B047B1C}"/>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31050</xdr:rowOff>
    </xdr:from>
    <xdr:to>
      <xdr:col>5</xdr:col>
      <xdr:colOff>628650</xdr:colOff>
      <xdr:row>60</xdr:row>
      <xdr:rowOff>85444</xdr:rowOff>
    </xdr:to>
    <xdr:sp macro="" textlink="">
      <xdr:nvSpPr>
        <xdr:cNvPr id="300052" name="Text Box 20" hidden="1">
          <a:extLst>
            <a:ext uri="{FF2B5EF4-FFF2-40B4-BE49-F238E27FC236}">
              <a16:creationId xmlns:a16="http://schemas.microsoft.com/office/drawing/2014/main" id="{8CE655BC-37CA-4BC1-B7CF-9DAD51916C2B}"/>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202792</xdr:rowOff>
    </xdr:from>
    <xdr:to>
      <xdr:col>5</xdr:col>
      <xdr:colOff>628650</xdr:colOff>
      <xdr:row>59</xdr:row>
      <xdr:rowOff>133593</xdr:rowOff>
    </xdr:to>
    <xdr:sp macro="" textlink="">
      <xdr:nvSpPr>
        <xdr:cNvPr id="300051" name="Text Box 19" hidden="1">
          <a:extLst>
            <a:ext uri="{FF2B5EF4-FFF2-40B4-BE49-F238E27FC236}">
              <a16:creationId xmlns:a16="http://schemas.microsoft.com/office/drawing/2014/main" id="{2DFAC3E4-776B-4734-85E9-FC066C7CB977}"/>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197041</xdr:rowOff>
    </xdr:from>
    <xdr:to>
      <xdr:col>5</xdr:col>
      <xdr:colOff>628650</xdr:colOff>
      <xdr:row>62</xdr:row>
      <xdr:rowOff>84936</xdr:rowOff>
    </xdr:to>
    <xdr:sp macro="" textlink="">
      <xdr:nvSpPr>
        <xdr:cNvPr id="300050" name="Text Box 18" hidden="1">
          <a:extLst>
            <a:ext uri="{FF2B5EF4-FFF2-40B4-BE49-F238E27FC236}">
              <a16:creationId xmlns:a16="http://schemas.microsoft.com/office/drawing/2014/main" id="{904FF285-2411-4880-B11C-2955993462F1}"/>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50099</xdr:rowOff>
    </xdr:from>
    <xdr:to>
      <xdr:col>5</xdr:col>
      <xdr:colOff>628650</xdr:colOff>
      <xdr:row>61</xdr:row>
      <xdr:rowOff>86450</xdr:rowOff>
    </xdr:to>
    <xdr:sp macro="" textlink="">
      <xdr:nvSpPr>
        <xdr:cNvPr id="300049" name="Text Box 17" hidden="1">
          <a:extLst>
            <a:ext uri="{FF2B5EF4-FFF2-40B4-BE49-F238E27FC236}">
              <a16:creationId xmlns:a16="http://schemas.microsoft.com/office/drawing/2014/main" id="{983D0704-DFE2-45A8-A738-6650A7CAEA5B}"/>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145274</xdr:rowOff>
    </xdr:from>
    <xdr:to>
      <xdr:col>5</xdr:col>
      <xdr:colOff>628650</xdr:colOff>
      <xdr:row>79</xdr:row>
      <xdr:rowOff>131285</xdr:rowOff>
    </xdr:to>
    <xdr:sp macro="" textlink="">
      <xdr:nvSpPr>
        <xdr:cNvPr id="300048" name="Text Box 16" hidden="1">
          <a:extLst>
            <a:ext uri="{FF2B5EF4-FFF2-40B4-BE49-F238E27FC236}">
              <a16:creationId xmlns:a16="http://schemas.microsoft.com/office/drawing/2014/main" id="{EFC548D7-8800-42C2-A53C-3CB13A2CFA1D}"/>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149627</xdr:rowOff>
    </xdr:from>
    <xdr:to>
      <xdr:col>5</xdr:col>
      <xdr:colOff>628650</xdr:colOff>
      <xdr:row>78</xdr:row>
      <xdr:rowOff>143986</xdr:rowOff>
    </xdr:to>
    <xdr:sp macro="" textlink="">
      <xdr:nvSpPr>
        <xdr:cNvPr id="300047" name="Text Box 15" hidden="1">
          <a:extLst>
            <a:ext uri="{FF2B5EF4-FFF2-40B4-BE49-F238E27FC236}">
              <a16:creationId xmlns:a16="http://schemas.microsoft.com/office/drawing/2014/main" id="{5C87EFF0-85BD-4421-98EC-90C0F2D62D79}"/>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86618</xdr:rowOff>
    </xdr:from>
    <xdr:to>
      <xdr:col>5</xdr:col>
      <xdr:colOff>628650</xdr:colOff>
      <xdr:row>81</xdr:row>
      <xdr:rowOff>112300</xdr:rowOff>
    </xdr:to>
    <xdr:sp macro="" textlink="">
      <xdr:nvSpPr>
        <xdr:cNvPr id="300046" name="Text Box 14" hidden="1">
          <a:extLst>
            <a:ext uri="{FF2B5EF4-FFF2-40B4-BE49-F238E27FC236}">
              <a16:creationId xmlns:a16="http://schemas.microsoft.com/office/drawing/2014/main" id="{20349603-CCD6-401E-95C1-1635ABF1AF15}"/>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311851</xdr:rowOff>
    </xdr:from>
    <xdr:to>
      <xdr:col>5</xdr:col>
      <xdr:colOff>628650</xdr:colOff>
      <xdr:row>80</xdr:row>
      <xdr:rowOff>130322</xdr:rowOff>
    </xdr:to>
    <xdr:sp macro="" textlink="">
      <xdr:nvSpPr>
        <xdr:cNvPr id="300045" name="Text Box 13" hidden="1">
          <a:extLst>
            <a:ext uri="{FF2B5EF4-FFF2-40B4-BE49-F238E27FC236}">
              <a16:creationId xmlns:a16="http://schemas.microsoft.com/office/drawing/2014/main" id="{C032CFE3-F78F-42C9-8A83-483E0616EE49}"/>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74929</xdr:rowOff>
    </xdr:from>
    <xdr:to>
      <xdr:col>5</xdr:col>
      <xdr:colOff>628650</xdr:colOff>
      <xdr:row>83</xdr:row>
      <xdr:rowOff>91553</xdr:rowOff>
    </xdr:to>
    <xdr:sp macro="" textlink="">
      <xdr:nvSpPr>
        <xdr:cNvPr id="300044" name="Text Box 12" hidden="1">
          <a:extLst>
            <a:ext uri="{FF2B5EF4-FFF2-40B4-BE49-F238E27FC236}">
              <a16:creationId xmlns:a16="http://schemas.microsoft.com/office/drawing/2014/main" id="{AB393682-27BA-42EB-823A-00D1C5E8FA49}"/>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86837</xdr:rowOff>
    </xdr:from>
    <xdr:to>
      <xdr:col>5</xdr:col>
      <xdr:colOff>628650</xdr:colOff>
      <xdr:row>82</xdr:row>
      <xdr:rowOff>124096</xdr:rowOff>
    </xdr:to>
    <xdr:sp macro="" textlink="">
      <xdr:nvSpPr>
        <xdr:cNvPr id="300043" name="Text Box 11" hidden="1">
          <a:extLst>
            <a:ext uri="{FF2B5EF4-FFF2-40B4-BE49-F238E27FC236}">
              <a16:creationId xmlns:a16="http://schemas.microsoft.com/office/drawing/2014/main" id="{67AC52D4-0614-4FF4-BDB7-7F0555CE6CFA}"/>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73406</xdr:rowOff>
    </xdr:from>
    <xdr:to>
      <xdr:col>5</xdr:col>
      <xdr:colOff>628650</xdr:colOff>
      <xdr:row>85</xdr:row>
      <xdr:rowOff>84410</xdr:rowOff>
    </xdr:to>
    <xdr:sp macro="" textlink="">
      <xdr:nvSpPr>
        <xdr:cNvPr id="300042" name="Text Box 10" hidden="1">
          <a:extLst>
            <a:ext uri="{FF2B5EF4-FFF2-40B4-BE49-F238E27FC236}">
              <a16:creationId xmlns:a16="http://schemas.microsoft.com/office/drawing/2014/main" id="{9608D9C4-D502-43F4-982E-ACF297B239BD}"/>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73171</xdr:rowOff>
    </xdr:from>
    <xdr:to>
      <xdr:col>5</xdr:col>
      <xdr:colOff>628650</xdr:colOff>
      <xdr:row>84</xdr:row>
      <xdr:rowOff>85997</xdr:rowOff>
    </xdr:to>
    <xdr:sp macro="" textlink="">
      <xdr:nvSpPr>
        <xdr:cNvPr id="300041" name="Text Box 9" hidden="1">
          <a:extLst>
            <a:ext uri="{FF2B5EF4-FFF2-40B4-BE49-F238E27FC236}">
              <a16:creationId xmlns:a16="http://schemas.microsoft.com/office/drawing/2014/main" id="{B67385A1-0DF2-45E3-9CC1-93E7B4E4F974}"/>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71882</xdr:rowOff>
    </xdr:from>
    <xdr:to>
      <xdr:col>5</xdr:col>
      <xdr:colOff>628650</xdr:colOff>
      <xdr:row>107</xdr:row>
      <xdr:rowOff>122116</xdr:rowOff>
    </xdr:to>
    <xdr:sp macro="" textlink="">
      <xdr:nvSpPr>
        <xdr:cNvPr id="300040" name="Text Box 8" hidden="1">
          <a:extLst>
            <a:ext uri="{FF2B5EF4-FFF2-40B4-BE49-F238E27FC236}">
              <a16:creationId xmlns:a16="http://schemas.microsoft.com/office/drawing/2014/main" id="{F4381B5D-8E63-4203-A6CE-99AE7DC92C9B}"/>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67504</xdr:rowOff>
    </xdr:from>
    <xdr:to>
      <xdr:col>5</xdr:col>
      <xdr:colOff>628650</xdr:colOff>
      <xdr:row>106</xdr:row>
      <xdr:rowOff>121883</xdr:rowOff>
    </xdr:to>
    <xdr:sp macro="" textlink="">
      <xdr:nvSpPr>
        <xdr:cNvPr id="300039" name="Text Box 7" hidden="1">
          <a:extLst>
            <a:ext uri="{FF2B5EF4-FFF2-40B4-BE49-F238E27FC236}">
              <a16:creationId xmlns:a16="http://schemas.microsoft.com/office/drawing/2014/main" id="{391FCC8D-4A91-4315-ACE6-BA5D10D2E5C3}"/>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104131</xdr:rowOff>
    </xdr:to>
    <xdr:sp macro="" textlink="">
      <xdr:nvSpPr>
        <xdr:cNvPr id="300038" name="Text Box 6" hidden="1">
          <a:extLst>
            <a:ext uri="{FF2B5EF4-FFF2-40B4-BE49-F238E27FC236}">
              <a16:creationId xmlns:a16="http://schemas.microsoft.com/office/drawing/2014/main" id="{6B6CB448-5BFA-40B1-8232-A7ADD37956DA}"/>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56571</xdr:rowOff>
    </xdr:from>
    <xdr:to>
      <xdr:col>5</xdr:col>
      <xdr:colOff>628650</xdr:colOff>
      <xdr:row>108</xdr:row>
      <xdr:rowOff>76022</xdr:rowOff>
    </xdr:to>
    <xdr:sp macro="" textlink="">
      <xdr:nvSpPr>
        <xdr:cNvPr id="300037" name="Text Box 5" hidden="1">
          <a:extLst>
            <a:ext uri="{FF2B5EF4-FFF2-40B4-BE49-F238E27FC236}">
              <a16:creationId xmlns:a16="http://schemas.microsoft.com/office/drawing/2014/main" id="{22373A8D-FB45-4FF1-9AC6-477B184EE4DF}"/>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37738</xdr:rowOff>
    </xdr:from>
    <xdr:to>
      <xdr:col>5</xdr:col>
      <xdr:colOff>628650</xdr:colOff>
      <xdr:row>111</xdr:row>
      <xdr:rowOff>56452</xdr:rowOff>
    </xdr:to>
    <xdr:sp macro="" textlink="">
      <xdr:nvSpPr>
        <xdr:cNvPr id="300036" name="Text Box 4" hidden="1">
          <a:extLst>
            <a:ext uri="{FF2B5EF4-FFF2-40B4-BE49-F238E27FC236}">
              <a16:creationId xmlns:a16="http://schemas.microsoft.com/office/drawing/2014/main" id="{43C31BDD-7946-42D7-80C1-5F30CEE98BCD}"/>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53382</xdr:rowOff>
    </xdr:from>
    <xdr:to>
      <xdr:col>5</xdr:col>
      <xdr:colOff>628650</xdr:colOff>
      <xdr:row>110</xdr:row>
      <xdr:rowOff>39785</xdr:rowOff>
    </xdr:to>
    <xdr:sp macro="" textlink="">
      <xdr:nvSpPr>
        <xdr:cNvPr id="300035" name="Text Box 3" hidden="1">
          <a:extLst>
            <a:ext uri="{FF2B5EF4-FFF2-40B4-BE49-F238E27FC236}">
              <a16:creationId xmlns:a16="http://schemas.microsoft.com/office/drawing/2014/main" id="{CEAF0B29-BA76-4B9C-A63B-58662ABF3457}"/>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34423</xdr:rowOff>
    </xdr:from>
    <xdr:to>
      <xdr:col>5</xdr:col>
      <xdr:colOff>628650</xdr:colOff>
      <xdr:row>113</xdr:row>
      <xdr:rowOff>58370</xdr:rowOff>
    </xdr:to>
    <xdr:sp macro="" textlink="">
      <xdr:nvSpPr>
        <xdr:cNvPr id="300034" name="Text Box 2" hidden="1">
          <a:extLst>
            <a:ext uri="{FF2B5EF4-FFF2-40B4-BE49-F238E27FC236}">
              <a16:creationId xmlns:a16="http://schemas.microsoft.com/office/drawing/2014/main" id="{4736866A-A446-4717-A69A-FA0E4EA2A7EE}"/>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38858</xdr:rowOff>
    </xdr:from>
    <xdr:to>
      <xdr:col>5</xdr:col>
      <xdr:colOff>628650</xdr:colOff>
      <xdr:row>112</xdr:row>
      <xdr:rowOff>57576</xdr:rowOff>
    </xdr:to>
    <xdr:sp macro="" textlink="">
      <xdr:nvSpPr>
        <xdr:cNvPr id="300033" name="Text Box 1" hidden="1">
          <a:extLst>
            <a:ext uri="{FF2B5EF4-FFF2-40B4-BE49-F238E27FC236}">
              <a16:creationId xmlns:a16="http://schemas.microsoft.com/office/drawing/2014/main" id="{CD4BD002-5CEA-4DA3-8FEF-438D7AD8A6B6}"/>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104" name="Text Box 72" hidden="1">
          <a:extLst>
            <a:ext uri="{FF2B5EF4-FFF2-40B4-BE49-F238E27FC236}">
              <a16:creationId xmlns:a16="http://schemas.microsoft.com/office/drawing/2014/main" id="{0B5F090E-F772-4990-AFE9-C2ADD1C767C7}"/>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43847</xdr:rowOff>
    </xdr:from>
    <xdr:to>
      <xdr:col>5</xdr:col>
      <xdr:colOff>609600</xdr:colOff>
      <xdr:row>236</xdr:row>
      <xdr:rowOff>54165</xdr:rowOff>
    </xdr:to>
    <xdr:sp macro="" textlink="">
      <xdr:nvSpPr>
        <xdr:cNvPr id="300103" name="Text Box 71" hidden="1">
          <a:extLst>
            <a:ext uri="{FF2B5EF4-FFF2-40B4-BE49-F238E27FC236}">
              <a16:creationId xmlns:a16="http://schemas.microsoft.com/office/drawing/2014/main" id="{89AF8C66-5462-40B4-BEF8-20C2050FF369}"/>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146794</xdr:rowOff>
    </xdr:to>
    <xdr:sp macro="" textlink="">
      <xdr:nvSpPr>
        <xdr:cNvPr id="300102" name="Text Box 70" hidden="1">
          <a:extLst>
            <a:ext uri="{FF2B5EF4-FFF2-40B4-BE49-F238E27FC236}">
              <a16:creationId xmlns:a16="http://schemas.microsoft.com/office/drawing/2014/main" id="{F72AFC20-E7B5-40FE-A2D4-DF190CEB456A}"/>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167430</xdr:rowOff>
    </xdr:from>
    <xdr:to>
      <xdr:col>5</xdr:col>
      <xdr:colOff>609600</xdr:colOff>
      <xdr:row>237</xdr:row>
      <xdr:rowOff>54165</xdr:rowOff>
    </xdr:to>
    <xdr:sp macro="" textlink="">
      <xdr:nvSpPr>
        <xdr:cNvPr id="300101" name="Text Box 69" hidden="1">
          <a:extLst>
            <a:ext uri="{FF2B5EF4-FFF2-40B4-BE49-F238E27FC236}">
              <a16:creationId xmlns:a16="http://schemas.microsoft.com/office/drawing/2014/main" id="{45DF8012-7DA8-4A2C-9147-B15614AA0F0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167430</xdr:rowOff>
    </xdr:from>
    <xdr:to>
      <xdr:col>5</xdr:col>
      <xdr:colOff>609600</xdr:colOff>
      <xdr:row>224</xdr:row>
      <xdr:rowOff>167430</xdr:rowOff>
    </xdr:to>
    <xdr:sp macro="" textlink="">
      <xdr:nvSpPr>
        <xdr:cNvPr id="300100" name="Text Box 68" hidden="1">
          <a:extLst>
            <a:ext uri="{FF2B5EF4-FFF2-40B4-BE49-F238E27FC236}">
              <a16:creationId xmlns:a16="http://schemas.microsoft.com/office/drawing/2014/main" id="{134FABD4-10C9-496E-B4FD-ED5521389170}"/>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158699</xdr:rowOff>
    </xdr:from>
    <xdr:to>
      <xdr:col>5</xdr:col>
      <xdr:colOff>609600</xdr:colOff>
      <xdr:row>201</xdr:row>
      <xdr:rowOff>146794</xdr:rowOff>
    </xdr:to>
    <xdr:sp macro="" textlink="">
      <xdr:nvSpPr>
        <xdr:cNvPr id="300099" name="Text Box 67" hidden="1">
          <a:extLst>
            <a:ext uri="{FF2B5EF4-FFF2-40B4-BE49-F238E27FC236}">
              <a16:creationId xmlns:a16="http://schemas.microsoft.com/office/drawing/2014/main" id="{0ED48BC4-0495-47F6-8E2B-B46B9029C726}"/>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300098" name="Text Box 66" hidden="1">
          <a:extLst>
            <a:ext uri="{FF2B5EF4-FFF2-40B4-BE49-F238E27FC236}">
              <a16:creationId xmlns:a16="http://schemas.microsoft.com/office/drawing/2014/main" id="{8FA31345-BCF0-4B85-8671-15E391750CCC}"/>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8299</xdr:rowOff>
    </xdr:from>
    <xdr:to>
      <xdr:col>5</xdr:col>
      <xdr:colOff>609600</xdr:colOff>
      <xdr:row>204</xdr:row>
      <xdr:rowOff>54165</xdr:rowOff>
    </xdr:to>
    <xdr:sp macro="" textlink="">
      <xdr:nvSpPr>
        <xdr:cNvPr id="300097" name="Text Box 65" hidden="1">
          <a:extLst>
            <a:ext uri="{FF2B5EF4-FFF2-40B4-BE49-F238E27FC236}">
              <a16:creationId xmlns:a16="http://schemas.microsoft.com/office/drawing/2014/main" id="{8F698467-02C2-4527-BA18-6D30498FCA44}"/>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167431</xdr:rowOff>
    </xdr:from>
    <xdr:to>
      <xdr:col>5</xdr:col>
      <xdr:colOff>609600</xdr:colOff>
      <xdr:row>211</xdr:row>
      <xdr:rowOff>20444</xdr:rowOff>
    </xdr:to>
    <xdr:sp macro="" textlink="">
      <xdr:nvSpPr>
        <xdr:cNvPr id="300096" name="Text Box 64" hidden="1">
          <a:extLst>
            <a:ext uri="{FF2B5EF4-FFF2-40B4-BE49-F238E27FC236}">
              <a16:creationId xmlns:a16="http://schemas.microsoft.com/office/drawing/2014/main" id="{1E8CC488-45A7-4000-A729-622F8B63155B}"/>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95" name="Text Box 63" hidden="1">
          <a:extLst>
            <a:ext uri="{FF2B5EF4-FFF2-40B4-BE49-F238E27FC236}">
              <a16:creationId xmlns:a16="http://schemas.microsoft.com/office/drawing/2014/main" id="{CC5A3910-AA8E-492E-9081-94BBEF8369FA}"/>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52</xdr:row>
      <xdr:rowOff>349374</xdr:rowOff>
    </xdr:from>
    <xdr:to>
      <xdr:col>5</xdr:col>
      <xdr:colOff>628650</xdr:colOff>
      <xdr:row>54</xdr:row>
      <xdr:rowOff>162875</xdr:rowOff>
    </xdr:to>
    <xdr:sp macro="" textlink="">
      <xdr:nvSpPr>
        <xdr:cNvPr id="300094" name="Text Box 62" hidden="1">
          <a:extLst>
            <a:ext uri="{FF2B5EF4-FFF2-40B4-BE49-F238E27FC236}">
              <a16:creationId xmlns:a16="http://schemas.microsoft.com/office/drawing/2014/main" id="{0BA7CA8F-9D2C-481A-BB12-0DF9FE15AB64}"/>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160578</xdr:rowOff>
    </xdr:from>
    <xdr:to>
      <xdr:col>5</xdr:col>
      <xdr:colOff>628650</xdr:colOff>
      <xdr:row>53</xdr:row>
      <xdr:rowOff>228667</xdr:rowOff>
    </xdr:to>
    <xdr:sp macro="" textlink="">
      <xdr:nvSpPr>
        <xdr:cNvPr id="300093" name="Text Box 61" hidden="1">
          <a:extLst>
            <a:ext uri="{FF2B5EF4-FFF2-40B4-BE49-F238E27FC236}">
              <a16:creationId xmlns:a16="http://schemas.microsoft.com/office/drawing/2014/main" id="{2F630881-EE41-4D97-BAF3-14534000091A}"/>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257429</xdr:rowOff>
    </xdr:from>
    <xdr:to>
      <xdr:col>5</xdr:col>
      <xdr:colOff>628650</xdr:colOff>
      <xdr:row>55</xdr:row>
      <xdr:rowOff>179213</xdr:rowOff>
    </xdr:to>
    <xdr:sp macro="" textlink="">
      <xdr:nvSpPr>
        <xdr:cNvPr id="300092" name="Text Box 60" hidden="1">
          <a:extLst>
            <a:ext uri="{FF2B5EF4-FFF2-40B4-BE49-F238E27FC236}">
              <a16:creationId xmlns:a16="http://schemas.microsoft.com/office/drawing/2014/main" id="{4694531C-B886-409E-BE6E-B00A45214DA2}"/>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19797</xdr:rowOff>
    </xdr:from>
    <xdr:to>
      <xdr:col>5</xdr:col>
      <xdr:colOff>628650</xdr:colOff>
      <xdr:row>54</xdr:row>
      <xdr:rowOff>383276</xdr:rowOff>
    </xdr:to>
    <xdr:sp macro="" textlink="">
      <xdr:nvSpPr>
        <xdr:cNvPr id="300091" name="Text Box 59" hidden="1">
          <a:extLst>
            <a:ext uri="{FF2B5EF4-FFF2-40B4-BE49-F238E27FC236}">
              <a16:creationId xmlns:a16="http://schemas.microsoft.com/office/drawing/2014/main" id="{54B861E1-588E-4EB8-AD3D-F4E0615BA00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8506</xdr:rowOff>
    </xdr:from>
    <xdr:to>
      <xdr:col>5</xdr:col>
      <xdr:colOff>628650</xdr:colOff>
      <xdr:row>58</xdr:row>
      <xdr:rowOff>159984</xdr:rowOff>
    </xdr:to>
    <xdr:sp macro="" textlink="">
      <xdr:nvSpPr>
        <xdr:cNvPr id="300090" name="Text Box 58" hidden="1">
          <a:extLst>
            <a:ext uri="{FF2B5EF4-FFF2-40B4-BE49-F238E27FC236}">
              <a16:creationId xmlns:a16="http://schemas.microsoft.com/office/drawing/2014/main" id="{57441789-8374-4728-AE65-7057A4FAAE05}"/>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216018</xdr:rowOff>
    </xdr:from>
    <xdr:to>
      <xdr:col>5</xdr:col>
      <xdr:colOff>628650</xdr:colOff>
      <xdr:row>57</xdr:row>
      <xdr:rowOff>180424</xdr:rowOff>
    </xdr:to>
    <xdr:sp macro="" textlink="">
      <xdr:nvSpPr>
        <xdr:cNvPr id="300089" name="Text Box 57" hidden="1">
          <a:extLst>
            <a:ext uri="{FF2B5EF4-FFF2-40B4-BE49-F238E27FC236}">
              <a16:creationId xmlns:a16="http://schemas.microsoft.com/office/drawing/2014/main" id="{D2E66206-BC2B-479D-908B-4FED8BDC9CC7}"/>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31050</xdr:rowOff>
    </xdr:from>
    <xdr:to>
      <xdr:col>5</xdr:col>
      <xdr:colOff>628650</xdr:colOff>
      <xdr:row>60</xdr:row>
      <xdr:rowOff>85444</xdr:rowOff>
    </xdr:to>
    <xdr:sp macro="" textlink="">
      <xdr:nvSpPr>
        <xdr:cNvPr id="300088" name="Text Box 56" hidden="1">
          <a:extLst>
            <a:ext uri="{FF2B5EF4-FFF2-40B4-BE49-F238E27FC236}">
              <a16:creationId xmlns:a16="http://schemas.microsoft.com/office/drawing/2014/main" id="{B9F49866-69F1-4737-BC3C-C861A28096A8}"/>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202792</xdr:rowOff>
    </xdr:from>
    <xdr:to>
      <xdr:col>5</xdr:col>
      <xdr:colOff>628650</xdr:colOff>
      <xdr:row>59</xdr:row>
      <xdr:rowOff>133593</xdr:rowOff>
    </xdr:to>
    <xdr:sp macro="" textlink="">
      <xdr:nvSpPr>
        <xdr:cNvPr id="300087" name="Text Box 55" hidden="1">
          <a:extLst>
            <a:ext uri="{FF2B5EF4-FFF2-40B4-BE49-F238E27FC236}">
              <a16:creationId xmlns:a16="http://schemas.microsoft.com/office/drawing/2014/main" id="{228B0179-8685-4538-AC16-36CBAB9B368C}"/>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197041</xdr:rowOff>
    </xdr:from>
    <xdr:to>
      <xdr:col>5</xdr:col>
      <xdr:colOff>628650</xdr:colOff>
      <xdr:row>62</xdr:row>
      <xdr:rowOff>84936</xdr:rowOff>
    </xdr:to>
    <xdr:sp macro="" textlink="">
      <xdr:nvSpPr>
        <xdr:cNvPr id="300086" name="Text Box 54" hidden="1">
          <a:extLst>
            <a:ext uri="{FF2B5EF4-FFF2-40B4-BE49-F238E27FC236}">
              <a16:creationId xmlns:a16="http://schemas.microsoft.com/office/drawing/2014/main" id="{C63403D3-5E9E-45BF-94F1-2B1A325E02FC}"/>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50099</xdr:rowOff>
    </xdr:from>
    <xdr:to>
      <xdr:col>5</xdr:col>
      <xdr:colOff>628650</xdr:colOff>
      <xdr:row>61</xdr:row>
      <xdr:rowOff>86450</xdr:rowOff>
    </xdr:to>
    <xdr:sp macro="" textlink="">
      <xdr:nvSpPr>
        <xdr:cNvPr id="300085" name="Text Box 53" hidden="1">
          <a:extLst>
            <a:ext uri="{FF2B5EF4-FFF2-40B4-BE49-F238E27FC236}">
              <a16:creationId xmlns:a16="http://schemas.microsoft.com/office/drawing/2014/main" id="{2EB7743A-F8AE-4E72-8375-4E568B25D36E}"/>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145274</xdr:rowOff>
    </xdr:from>
    <xdr:to>
      <xdr:col>5</xdr:col>
      <xdr:colOff>628650</xdr:colOff>
      <xdr:row>79</xdr:row>
      <xdr:rowOff>131285</xdr:rowOff>
    </xdr:to>
    <xdr:sp macro="" textlink="">
      <xdr:nvSpPr>
        <xdr:cNvPr id="300084" name="Text Box 52" hidden="1">
          <a:extLst>
            <a:ext uri="{FF2B5EF4-FFF2-40B4-BE49-F238E27FC236}">
              <a16:creationId xmlns:a16="http://schemas.microsoft.com/office/drawing/2014/main" id="{C51A4BDA-4F21-4A35-B3D6-7C4E8A7FF0E5}"/>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149627</xdr:rowOff>
    </xdr:from>
    <xdr:to>
      <xdr:col>5</xdr:col>
      <xdr:colOff>628650</xdr:colOff>
      <xdr:row>78</xdr:row>
      <xdr:rowOff>143986</xdr:rowOff>
    </xdr:to>
    <xdr:sp macro="" textlink="">
      <xdr:nvSpPr>
        <xdr:cNvPr id="300083" name="Text Box 51" hidden="1">
          <a:extLst>
            <a:ext uri="{FF2B5EF4-FFF2-40B4-BE49-F238E27FC236}">
              <a16:creationId xmlns:a16="http://schemas.microsoft.com/office/drawing/2014/main" id="{B1F5BD9D-26A2-4E0B-AA0B-EB74DC30D470}"/>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86618</xdr:rowOff>
    </xdr:from>
    <xdr:to>
      <xdr:col>5</xdr:col>
      <xdr:colOff>628650</xdr:colOff>
      <xdr:row>81</xdr:row>
      <xdr:rowOff>112300</xdr:rowOff>
    </xdr:to>
    <xdr:sp macro="" textlink="">
      <xdr:nvSpPr>
        <xdr:cNvPr id="300082" name="Text Box 50" hidden="1">
          <a:extLst>
            <a:ext uri="{FF2B5EF4-FFF2-40B4-BE49-F238E27FC236}">
              <a16:creationId xmlns:a16="http://schemas.microsoft.com/office/drawing/2014/main" id="{05B30AE9-70BE-4C80-8CA8-12B27F590741}"/>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311851</xdr:rowOff>
    </xdr:from>
    <xdr:to>
      <xdr:col>5</xdr:col>
      <xdr:colOff>628650</xdr:colOff>
      <xdr:row>80</xdr:row>
      <xdr:rowOff>130322</xdr:rowOff>
    </xdr:to>
    <xdr:sp macro="" textlink="">
      <xdr:nvSpPr>
        <xdr:cNvPr id="300081" name="Text Box 49" hidden="1">
          <a:extLst>
            <a:ext uri="{FF2B5EF4-FFF2-40B4-BE49-F238E27FC236}">
              <a16:creationId xmlns:a16="http://schemas.microsoft.com/office/drawing/2014/main" id="{BAA25053-C368-48D2-9FF8-AE7FD46870FE}"/>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74929</xdr:rowOff>
    </xdr:from>
    <xdr:to>
      <xdr:col>5</xdr:col>
      <xdr:colOff>628650</xdr:colOff>
      <xdr:row>83</xdr:row>
      <xdr:rowOff>91553</xdr:rowOff>
    </xdr:to>
    <xdr:sp macro="" textlink="">
      <xdr:nvSpPr>
        <xdr:cNvPr id="300080" name="Text Box 48" hidden="1">
          <a:extLst>
            <a:ext uri="{FF2B5EF4-FFF2-40B4-BE49-F238E27FC236}">
              <a16:creationId xmlns:a16="http://schemas.microsoft.com/office/drawing/2014/main" id="{8B9B018E-4265-4FE4-A002-161666D26455}"/>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86837</xdr:rowOff>
    </xdr:from>
    <xdr:to>
      <xdr:col>5</xdr:col>
      <xdr:colOff>628650</xdr:colOff>
      <xdr:row>82</xdr:row>
      <xdr:rowOff>124096</xdr:rowOff>
    </xdr:to>
    <xdr:sp macro="" textlink="">
      <xdr:nvSpPr>
        <xdr:cNvPr id="300079" name="Text Box 47" hidden="1">
          <a:extLst>
            <a:ext uri="{FF2B5EF4-FFF2-40B4-BE49-F238E27FC236}">
              <a16:creationId xmlns:a16="http://schemas.microsoft.com/office/drawing/2014/main" id="{D1C2A618-EB2D-4D38-B3ED-BAE72003FF25}"/>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73406</xdr:rowOff>
    </xdr:from>
    <xdr:to>
      <xdr:col>5</xdr:col>
      <xdr:colOff>628650</xdr:colOff>
      <xdr:row>85</xdr:row>
      <xdr:rowOff>84410</xdr:rowOff>
    </xdr:to>
    <xdr:sp macro="" textlink="">
      <xdr:nvSpPr>
        <xdr:cNvPr id="300078" name="Text Box 46" hidden="1">
          <a:extLst>
            <a:ext uri="{FF2B5EF4-FFF2-40B4-BE49-F238E27FC236}">
              <a16:creationId xmlns:a16="http://schemas.microsoft.com/office/drawing/2014/main" id="{7EC4670D-1BFC-4431-A51C-BFAB6608E617}"/>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73171</xdr:rowOff>
    </xdr:from>
    <xdr:to>
      <xdr:col>5</xdr:col>
      <xdr:colOff>628650</xdr:colOff>
      <xdr:row>84</xdr:row>
      <xdr:rowOff>85997</xdr:rowOff>
    </xdr:to>
    <xdr:sp macro="" textlink="">
      <xdr:nvSpPr>
        <xdr:cNvPr id="300077" name="Text Box 45" hidden="1">
          <a:extLst>
            <a:ext uri="{FF2B5EF4-FFF2-40B4-BE49-F238E27FC236}">
              <a16:creationId xmlns:a16="http://schemas.microsoft.com/office/drawing/2014/main" id="{35E81BB0-F6C1-4A1D-9544-853FFFE20FCA}"/>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71882</xdr:rowOff>
    </xdr:from>
    <xdr:to>
      <xdr:col>5</xdr:col>
      <xdr:colOff>628650</xdr:colOff>
      <xdr:row>107</xdr:row>
      <xdr:rowOff>122116</xdr:rowOff>
    </xdr:to>
    <xdr:sp macro="" textlink="">
      <xdr:nvSpPr>
        <xdr:cNvPr id="300076" name="Text Box 44" hidden="1">
          <a:extLst>
            <a:ext uri="{FF2B5EF4-FFF2-40B4-BE49-F238E27FC236}">
              <a16:creationId xmlns:a16="http://schemas.microsoft.com/office/drawing/2014/main" id="{7D96E04B-DB01-4037-96D6-8077271B4026}"/>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67504</xdr:rowOff>
    </xdr:from>
    <xdr:to>
      <xdr:col>5</xdr:col>
      <xdr:colOff>628650</xdr:colOff>
      <xdr:row>106</xdr:row>
      <xdr:rowOff>121883</xdr:rowOff>
    </xdr:to>
    <xdr:sp macro="" textlink="">
      <xdr:nvSpPr>
        <xdr:cNvPr id="300075" name="Text Box 43" hidden="1">
          <a:extLst>
            <a:ext uri="{FF2B5EF4-FFF2-40B4-BE49-F238E27FC236}">
              <a16:creationId xmlns:a16="http://schemas.microsoft.com/office/drawing/2014/main" id="{D700D34C-E1AE-4FD4-A31D-3986A9277779}"/>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104131</xdr:rowOff>
    </xdr:to>
    <xdr:sp macro="" textlink="">
      <xdr:nvSpPr>
        <xdr:cNvPr id="300074" name="Text Box 42" hidden="1">
          <a:extLst>
            <a:ext uri="{FF2B5EF4-FFF2-40B4-BE49-F238E27FC236}">
              <a16:creationId xmlns:a16="http://schemas.microsoft.com/office/drawing/2014/main" id="{C26BD84E-3B54-4DAA-B28E-88C530CBA82B}"/>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56571</xdr:rowOff>
    </xdr:from>
    <xdr:to>
      <xdr:col>5</xdr:col>
      <xdr:colOff>628650</xdr:colOff>
      <xdr:row>108</xdr:row>
      <xdr:rowOff>76022</xdr:rowOff>
    </xdr:to>
    <xdr:sp macro="" textlink="">
      <xdr:nvSpPr>
        <xdr:cNvPr id="300073" name="Text Box 41" hidden="1">
          <a:extLst>
            <a:ext uri="{FF2B5EF4-FFF2-40B4-BE49-F238E27FC236}">
              <a16:creationId xmlns:a16="http://schemas.microsoft.com/office/drawing/2014/main" id="{F3A64A61-EBC3-44CF-819C-CF1C7B9758A7}"/>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37738</xdr:rowOff>
    </xdr:from>
    <xdr:to>
      <xdr:col>5</xdr:col>
      <xdr:colOff>628650</xdr:colOff>
      <xdr:row>111</xdr:row>
      <xdr:rowOff>56452</xdr:rowOff>
    </xdr:to>
    <xdr:sp macro="" textlink="">
      <xdr:nvSpPr>
        <xdr:cNvPr id="300072" name="Text Box 40" hidden="1">
          <a:extLst>
            <a:ext uri="{FF2B5EF4-FFF2-40B4-BE49-F238E27FC236}">
              <a16:creationId xmlns:a16="http://schemas.microsoft.com/office/drawing/2014/main" id="{7F0A336A-E3A5-4E5D-B44C-0C7BC86D4CF1}"/>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53382</xdr:rowOff>
    </xdr:from>
    <xdr:to>
      <xdr:col>5</xdr:col>
      <xdr:colOff>628650</xdr:colOff>
      <xdr:row>110</xdr:row>
      <xdr:rowOff>39785</xdr:rowOff>
    </xdr:to>
    <xdr:sp macro="" textlink="">
      <xdr:nvSpPr>
        <xdr:cNvPr id="300071" name="Text Box 39" hidden="1">
          <a:extLst>
            <a:ext uri="{FF2B5EF4-FFF2-40B4-BE49-F238E27FC236}">
              <a16:creationId xmlns:a16="http://schemas.microsoft.com/office/drawing/2014/main" id="{E329A78D-9921-4D56-8AEE-1C11BB64FCD5}"/>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34423</xdr:rowOff>
    </xdr:from>
    <xdr:to>
      <xdr:col>5</xdr:col>
      <xdr:colOff>628650</xdr:colOff>
      <xdr:row>113</xdr:row>
      <xdr:rowOff>58370</xdr:rowOff>
    </xdr:to>
    <xdr:sp macro="" textlink="">
      <xdr:nvSpPr>
        <xdr:cNvPr id="300070" name="Text Box 38" hidden="1">
          <a:extLst>
            <a:ext uri="{FF2B5EF4-FFF2-40B4-BE49-F238E27FC236}">
              <a16:creationId xmlns:a16="http://schemas.microsoft.com/office/drawing/2014/main" id="{E19ABFDF-539F-4B94-B64B-2AF8B8215533}"/>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38858</xdr:rowOff>
    </xdr:from>
    <xdr:to>
      <xdr:col>5</xdr:col>
      <xdr:colOff>628650</xdr:colOff>
      <xdr:row>112</xdr:row>
      <xdr:rowOff>57576</xdr:rowOff>
    </xdr:to>
    <xdr:sp macro="" textlink="">
      <xdr:nvSpPr>
        <xdr:cNvPr id="300069" name="Text Box 37" hidden="1">
          <a:extLst>
            <a:ext uri="{FF2B5EF4-FFF2-40B4-BE49-F238E27FC236}">
              <a16:creationId xmlns:a16="http://schemas.microsoft.com/office/drawing/2014/main" id="{52BB9A55-0A6C-4E74-9757-EEDC0230A7A5}"/>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140" name="Text Box 108" hidden="1">
          <a:extLst>
            <a:ext uri="{FF2B5EF4-FFF2-40B4-BE49-F238E27FC236}">
              <a16:creationId xmlns:a16="http://schemas.microsoft.com/office/drawing/2014/main" id="{38C66A34-27C0-4A31-8D76-E77852569DE6}"/>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54112</xdr:rowOff>
    </xdr:from>
    <xdr:to>
      <xdr:col>5</xdr:col>
      <xdr:colOff>609600</xdr:colOff>
      <xdr:row>223</xdr:row>
      <xdr:rowOff>51730</xdr:rowOff>
    </xdr:to>
    <xdr:sp macro="" textlink="">
      <xdr:nvSpPr>
        <xdr:cNvPr id="300139" name="Text Box 107" hidden="1">
          <a:extLst>
            <a:ext uri="{FF2B5EF4-FFF2-40B4-BE49-F238E27FC236}">
              <a16:creationId xmlns:a16="http://schemas.microsoft.com/office/drawing/2014/main" id="{58C4CAB6-6814-4CEC-AF54-AB1374CD57F5}"/>
            </a:ext>
          </a:extLst>
        </xdr:cNvPr>
        <xdr:cNvSpPr txBox="1">
          <a:spLocks noChangeArrowheads="1"/>
        </xdr:cNvSpPr>
      </xdr:nvSpPr>
      <xdr:spPr bwMode="auto">
        <a:xfrm>
          <a:off x="3994150" y="40144700"/>
          <a:ext cx="1314450" cy="424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12453</xdr:rowOff>
    </xdr:from>
    <xdr:to>
      <xdr:col>5</xdr:col>
      <xdr:colOff>609600</xdr:colOff>
      <xdr:row>222</xdr:row>
      <xdr:rowOff>146981</xdr:rowOff>
    </xdr:to>
    <xdr:sp macro="" textlink="">
      <xdr:nvSpPr>
        <xdr:cNvPr id="300138" name="Text Box 106" hidden="1">
          <a:extLst>
            <a:ext uri="{FF2B5EF4-FFF2-40B4-BE49-F238E27FC236}">
              <a16:creationId xmlns:a16="http://schemas.microsoft.com/office/drawing/2014/main" id="{E896DD59-C8D7-4845-8240-56424F69F7B4}"/>
            </a:ext>
          </a:extLst>
        </xdr:cNvPr>
        <xdr:cNvSpPr txBox="1">
          <a:spLocks noChangeArrowheads="1"/>
        </xdr:cNvSpPr>
      </xdr:nvSpPr>
      <xdr:spPr bwMode="auto">
        <a:xfrm>
          <a:off x="3994150" y="404939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168002</xdr:rowOff>
    </xdr:from>
    <xdr:to>
      <xdr:col>5</xdr:col>
      <xdr:colOff>609600</xdr:colOff>
      <xdr:row>224</xdr:row>
      <xdr:rowOff>51730</xdr:rowOff>
    </xdr:to>
    <xdr:sp macro="" textlink="">
      <xdr:nvSpPr>
        <xdr:cNvPr id="300137" name="Text Box 105" hidden="1">
          <a:extLst>
            <a:ext uri="{FF2B5EF4-FFF2-40B4-BE49-F238E27FC236}">
              <a16:creationId xmlns:a16="http://schemas.microsoft.com/office/drawing/2014/main" id="{075BBCD3-9147-4A20-AB44-F9DD873505D8}"/>
            </a:ext>
          </a:extLst>
        </xdr:cNvPr>
        <xdr:cNvSpPr txBox="1">
          <a:spLocks noChangeArrowheads="1"/>
        </xdr:cNvSpPr>
      </xdr:nvSpPr>
      <xdr:spPr bwMode="auto">
        <a:xfrm>
          <a:off x="3994150" y="41014650"/>
          <a:ext cx="1314450" cy="356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168001</xdr:rowOff>
    </xdr:from>
    <xdr:to>
      <xdr:col>5</xdr:col>
      <xdr:colOff>609600</xdr:colOff>
      <xdr:row>211</xdr:row>
      <xdr:rowOff>158887</xdr:rowOff>
    </xdr:to>
    <xdr:sp macro="" textlink="">
      <xdr:nvSpPr>
        <xdr:cNvPr id="300136" name="Text Box 104" hidden="1">
          <a:extLst>
            <a:ext uri="{FF2B5EF4-FFF2-40B4-BE49-F238E27FC236}">
              <a16:creationId xmlns:a16="http://schemas.microsoft.com/office/drawing/2014/main" id="{623427C2-CB9E-4A06-8BD5-85B943819154}"/>
            </a:ext>
          </a:extLst>
        </xdr:cNvPr>
        <xdr:cNvSpPr txBox="1">
          <a:spLocks noChangeArrowheads="1"/>
        </xdr:cNvSpPr>
      </xdr:nvSpPr>
      <xdr:spPr bwMode="auto">
        <a:xfrm>
          <a:off x="3994150" y="41198800"/>
          <a:ext cx="1314450" cy="1098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168411</xdr:rowOff>
    </xdr:from>
    <xdr:to>
      <xdr:col>5</xdr:col>
      <xdr:colOff>609600</xdr:colOff>
      <xdr:row>189</xdr:row>
      <xdr:rowOff>90623</xdr:rowOff>
    </xdr:to>
    <xdr:sp macro="" textlink="">
      <xdr:nvSpPr>
        <xdr:cNvPr id="300135" name="Text Box 103" hidden="1">
          <a:extLst>
            <a:ext uri="{FF2B5EF4-FFF2-40B4-BE49-F238E27FC236}">
              <a16:creationId xmlns:a16="http://schemas.microsoft.com/office/drawing/2014/main" id="{49F7F916-DCC8-43CB-8DD7-EC00D96056C1}"/>
            </a:ext>
          </a:extLst>
        </xdr:cNvPr>
        <xdr:cNvSpPr txBox="1">
          <a:spLocks noChangeArrowheads="1"/>
        </xdr:cNvSpPr>
      </xdr:nvSpPr>
      <xdr:spPr bwMode="auto">
        <a:xfrm>
          <a:off x="3994150" y="369252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19981</xdr:rowOff>
    </xdr:from>
    <xdr:to>
      <xdr:col>5</xdr:col>
      <xdr:colOff>609600</xdr:colOff>
      <xdr:row>190</xdr:row>
      <xdr:rowOff>83479</xdr:rowOff>
    </xdr:to>
    <xdr:sp macro="" textlink="">
      <xdr:nvSpPr>
        <xdr:cNvPr id="300134" name="Text Box 102" hidden="1">
          <a:extLst>
            <a:ext uri="{FF2B5EF4-FFF2-40B4-BE49-F238E27FC236}">
              <a16:creationId xmlns:a16="http://schemas.microsoft.com/office/drawing/2014/main" id="{A9B4626F-2285-46E4-A5EB-8D13E1093BA9}"/>
            </a:ext>
          </a:extLst>
        </xdr:cNvPr>
        <xdr:cNvSpPr txBox="1">
          <a:spLocks noChangeArrowheads="1"/>
        </xdr:cNvSpPr>
      </xdr:nvSpPr>
      <xdr:spPr bwMode="auto">
        <a:xfrm>
          <a:off x="3994150" y="3733165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159270</xdr:rowOff>
    </xdr:from>
    <xdr:to>
      <xdr:col>5</xdr:col>
      <xdr:colOff>609600</xdr:colOff>
      <xdr:row>191</xdr:row>
      <xdr:rowOff>108087</xdr:rowOff>
    </xdr:to>
    <xdr:sp macro="" textlink="">
      <xdr:nvSpPr>
        <xdr:cNvPr id="300133" name="Text Box 101" hidden="1">
          <a:extLst>
            <a:ext uri="{FF2B5EF4-FFF2-40B4-BE49-F238E27FC236}">
              <a16:creationId xmlns:a16="http://schemas.microsoft.com/office/drawing/2014/main" id="{DC437AB9-8ABF-4A32-8580-8CC4B062683A}"/>
            </a:ext>
          </a:extLst>
        </xdr:cNvPr>
        <xdr:cNvSpPr txBox="1">
          <a:spLocks noChangeArrowheads="1"/>
        </xdr:cNvSpPr>
      </xdr:nvSpPr>
      <xdr:spPr bwMode="auto">
        <a:xfrm>
          <a:off x="3994150" y="37699950"/>
          <a:ext cx="13144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108470</xdr:rowOff>
    </xdr:from>
    <xdr:to>
      <xdr:col>5</xdr:col>
      <xdr:colOff>609600</xdr:colOff>
      <xdr:row>198</xdr:row>
      <xdr:rowOff>46175</xdr:rowOff>
    </xdr:to>
    <xdr:sp macro="" textlink="">
      <xdr:nvSpPr>
        <xdr:cNvPr id="300132" name="Text Box 100" hidden="1">
          <a:extLst>
            <a:ext uri="{FF2B5EF4-FFF2-40B4-BE49-F238E27FC236}">
              <a16:creationId xmlns:a16="http://schemas.microsoft.com/office/drawing/2014/main" id="{8FDFF0FB-C8E7-48A0-B16F-BFC915DF4B6F}"/>
            </a:ext>
          </a:extLst>
        </xdr:cNvPr>
        <xdr:cNvSpPr txBox="1">
          <a:spLocks noChangeArrowheads="1"/>
        </xdr:cNvSpPr>
      </xdr:nvSpPr>
      <xdr:spPr bwMode="auto">
        <a:xfrm>
          <a:off x="3994150" y="38068250"/>
          <a:ext cx="1314450" cy="168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31" name="Text Box 99" hidden="1">
          <a:extLst>
            <a:ext uri="{FF2B5EF4-FFF2-40B4-BE49-F238E27FC236}">
              <a16:creationId xmlns:a16="http://schemas.microsoft.com/office/drawing/2014/main" id="{49165951-EDCA-4682-97B8-5C9FB5B4A1E8}"/>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141528</xdr:rowOff>
    </xdr:from>
    <xdr:to>
      <xdr:col>5</xdr:col>
      <xdr:colOff>628650</xdr:colOff>
      <xdr:row>53</xdr:row>
      <xdr:rowOff>228667</xdr:rowOff>
    </xdr:to>
    <xdr:sp macro="" textlink="">
      <xdr:nvSpPr>
        <xdr:cNvPr id="300130" name="Text Box 98" hidden="1">
          <a:extLst>
            <a:ext uri="{FF2B5EF4-FFF2-40B4-BE49-F238E27FC236}">
              <a16:creationId xmlns:a16="http://schemas.microsoft.com/office/drawing/2014/main" id="{02882E38-BC26-4930-9755-E23E5684D1FF}"/>
            </a:ext>
          </a:extLst>
        </xdr:cNvPr>
        <xdr:cNvSpPr txBox="1">
          <a:spLocks noChangeArrowheads="1"/>
        </xdr:cNvSpPr>
      </xdr:nvSpPr>
      <xdr:spPr bwMode="auto">
        <a:xfrm>
          <a:off x="4013200" y="10731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52</xdr:row>
      <xdr:rowOff>189054</xdr:rowOff>
    </xdr:from>
    <xdr:to>
      <xdr:col>5</xdr:col>
      <xdr:colOff>628650</xdr:colOff>
      <xdr:row>54</xdr:row>
      <xdr:rowOff>26402</xdr:rowOff>
    </xdr:to>
    <xdr:sp macro="" textlink="">
      <xdr:nvSpPr>
        <xdr:cNvPr id="300128" name="Text Box 96" hidden="1">
          <a:extLst>
            <a:ext uri="{FF2B5EF4-FFF2-40B4-BE49-F238E27FC236}">
              <a16:creationId xmlns:a16="http://schemas.microsoft.com/office/drawing/2014/main" id="{0135D526-0EFD-4B5F-9141-4FCE9BB65587}"/>
            </a:ext>
          </a:extLst>
        </xdr:cNvPr>
        <xdr:cNvSpPr txBox="1">
          <a:spLocks noChangeArrowheads="1"/>
        </xdr:cNvSpPr>
      </xdr:nvSpPr>
      <xdr:spPr bwMode="auto">
        <a:xfrm>
          <a:off x="4013200" y="10966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228667</xdr:rowOff>
    </xdr:from>
    <xdr:to>
      <xdr:col>5</xdr:col>
      <xdr:colOff>628650</xdr:colOff>
      <xdr:row>55</xdr:row>
      <xdr:rowOff>140757</xdr:rowOff>
    </xdr:to>
    <xdr:sp macro="" textlink="">
      <xdr:nvSpPr>
        <xdr:cNvPr id="300126" name="Text Box 94" hidden="1">
          <a:extLst>
            <a:ext uri="{FF2B5EF4-FFF2-40B4-BE49-F238E27FC236}">
              <a16:creationId xmlns:a16="http://schemas.microsoft.com/office/drawing/2014/main" id="{3176FBF5-BA1E-491B-AA18-15963A4667E3}"/>
            </a:ext>
          </a:extLst>
        </xdr:cNvPr>
        <xdr:cNvSpPr txBox="1">
          <a:spLocks noChangeArrowheads="1"/>
        </xdr:cNvSpPr>
      </xdr:nvSpPr>
      <xdr:spPr bwMode="auto">
        <a:xfrm>
          <a:off x="4013200" y="115252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26402</xdr:rowOff>
    </xdr:from>
    <xdr:to>
      <xdr:col>5</xdr:col>
      <xdr:colOff>628650</xdr:colOff>
      <xdr:row>56</xdr:row>
      <xdr:rowOff>173889</xdr:rowOff>
    </xdr:to>
    <xdr:sp macro="" textlink="">
      <xdr:nvSpPr>
        <xdr:cNvPr id="300124" name="Text Box 92" hidden="1">
          <a:extLst>
            <a:ext uri="{FF2B5EF4-FFF2-40B4-BE49-F238E27FC236}">
              <a16:creationId xmlns:a16="http://schemas.microsoft.com/office/drawing/2014/main" id="{A674E3A3-A515-4319-A233-75052BF29969}"/>
            </a:ext>
          </a:extLst>
        </xdr:cNvPr>
        <xdr:cNvSpPr txBox="1">
          <a:spLocks noChangeArrowheads="1"/>
        </xdr:cNvSpPr>
      </xdr:nvSpPr>
      <xdr:spPr bwMode="auto">
        <a:xfrm>
          <a:off x="4013200" y="117475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208321</xdr:rowOff>
    </xdr:from>
    <xdr:to>
      <xdr:col>5</xdr:col>
      <xdr:colOff>628650</xdr:colOff>
      <xdr:row>57</xdr:row>
      <xdr:rowOff>140613</xdr:rowOff>
    </xdr:to>
    <xdr:sp macro="" textlink="">
      <xdr:nvSpPr>
        <xdr:cNvPr id="300122" name="Text Box 90" hidden="1">
          <a:extLst>
            <a:ext uri="{FF2B5EF4-FFF2-40B4-BE49-F238E27FC236}">
              <a16:creationId xmlns:a16="http://schemas.microsoft.com/office/drawing/2014/main" id="{0B346EC8-B51C-4398-A01F-7C6E455460A9}"/>
            </a:ext>
          </a:extLst>
        </xdr:cNvPr>
        <xdr:cNvSpPr txBox="1">
          <a:spLocks noChangeArrowheads="1"/>
        </xdr:cNvSpPr>
      </xdr:nvSpPr>
      <xdr:spPr bwMode="auto">
        <a:xfrm>
          <a:off x="4013200" y="119316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168662</xdr:rowOff>
    </xdr:from>
    <xdr:to>
      <xdr:col>5</xdr:col>
      <xdr:colOff>628650</xdr:colOff>
      <xdr:row>75</xdr:row>
      <xdr:rowOff>31661</xdr:rowOff>
    </xdr:to>
    <xdr:sp macro="" textlink="">
      <xdr:nvSpPr>
        <xdr:cNvPr id="300120" name="Text Box 88" hidden="1">
          <a:extLst>
            <a:ext uri="{FF2B5EF4-FFF2-40B4-BE49-F238E27FC236}">
              <a16:creationId xmlns:a16="http://schemas.microsoft.com/office/drawing/2014/main" id="{945468BA-A230-4E8C-961D-FF4A2B658026}"/>
            </a:ext>
          </a:extLst>
        </xdr:cNvPr>
        <xdr:cNvSpPr txBox="1">
          <a:spLocks noChangeArrowheads="1"/>
        </xdr:cNvSpPr>
      </xdr:nvSpPr>
      <xdr:spPr bwMode="auto">
        <a:xfrm>
          <a:off x="4013200" y="156019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71</xdr:row>
      <xdr:rowOff>164693</xdr:rowOff>
    </xdr:from>
    <xdr:to>
      <xdr:col>5</xdr:col>
      <xdr:colOff>628650</xdr:colOff>
      <xdr:row>76</xdr:row>
      <xdr:rowOff>9435</xdr:rowOff>
    </xdr:to>
    <xdr:sp macro="" textlink="">
      <xdr:nvSpPr>
        <xdr:cNvPr id="300118" name="Text Box 86" hidden="1">
          <a:extLst>
            <a:ext uri="{FF2B5EF4-FFF2-40B4-BE49-F238E27FC236}">
              <a16:creationId xmlns:a16="http://schemas.microsoft.com/office/drawing/2014/main" id="{5C597347-32B1-4AC8-848F-3A45124595FD}"/>
            </a:ext>
          </a:extLst>
        </xdr:cNvPr>
        <xdr:cNvSpPr txBox="1">
          <a:spLocks noChangeArrowheads="1"/>
        </xdr:cNvSpPr>
      </xdr:nvSpPr>
      <xdr:spPr bwMode="auto">
        <a:xfrm>
          <a:off x="4013200" y="157861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152490</xdr:rowOff>
    </xdr:from>
    <xdr:to>
      <xdr:col>5</xdr:col>
      <xdr:colOff>628650</xdr:colOff>
      <xdr:row>76</xdr:row>
      <xdr:rowOff>194269</xdr:rowOff>
    </xdr:to>
    <xdr:sp macro="" textlink="">
      <xdr:nvSpPr>
        <xdr:cNvPr id="300116" name="Text Box 84" hidden="1">
          <a:extLst>
            <a:ext uri="{FF2B5EF4-FFF2-40B4-BE49-F238E27FC236}">
              <a16:creationId xmlns:a16="http://schemas.microsoft.com/office/drawing/2014/main" id="{FDE75D3B-80B5-4902-93B2-199A545F8258}"/>
            </a:ext>
          </a:extLst>
        </xdr:cNvPr>
        <xdr:cNvSpPr txBox="1">
          <a:spLocks noChangeArrowheads="1"/>
        </xdr:cNvSpPr>
      </xdr:nvSpPr>
      <xdr:spPr bwMode="auto">
        <a:xfrm>
          <a:off x="4013200" y="159702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73</xdr:row>
      <xdr:rowOff>152194</xdr:rowOff>
    </xdr:from>
    <xdr:to>
      <xdr:col>5</xdr:col>
      <xdr:colOff>628650</xdr:colOff>
      <xdr:row>76</xdr:row>
      <xdr:rowOff>375243</xdr:rowOff>
    </xdr:to>
    <xdr:sp macro="" textlink="">
      <xdr:nvSpPr>
        <xdr:cNvPr id="300114" name="Text Box 82" hidden="1">
          <a:extLst>
            <a:ext uri="{FF2B5EF4-FFF2-40B4-BE49-F238E27FC236}">
              <a16:creationId xmlns:a16="http://schemas.microsoft.com/office/drawing/2014/main" id="{03440DA4-955E-48A0-B3A2-3A69ACF75FE8}"/>
            </a:ext>
          </a:extLst>
        </xdr:cNvPr>
        <xdr:cNvSpPr txBox="1">
          <a:spLocks noChangeArrowheads="1"/>
        </xdr:cNvSpPr>
      </xdr:nvSpPr>
      <xdr:spPr bwMode="auto">
        <a:xfrm>
          <a:off x="4013200" y="161544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93</xdr:row>
      <xdr:rowOff>157357</xdr:rowOff>
    </xdr:from>
    <xdr:to>
      <xdr:col>5</xdr:col>
      <xdr:colOff>628650</xdr:colOff>
      <xdr:row>97</xdr:row>
      <xdr:rowOff>77736</xdr:rowOff>
    </xdr:to>
    <xdr:sp macro="" textlink="">
      <xdr:nvSpPr>
        <xdr:cNvPr id="300112" name="Text Box 80" hidden="1">
          <a:extLst>
            <a:ext uri="{FF2B5EF4-FFF2-40B4-BE49-F238E27FC236}">
              <a16:creationId xmlns:a16="http://schemas.microsoft.com/office/drawing/2014/main" id="{5EF2C906-EFF7-4289-9335-C6BFE7FF7815}"/>
            </a:ext>
          </a:extLst>
        </xdr:cNvPr>
        <xdr:cNvSpPr txBox="1">
          <a:spLocks noChangeArrowheads="1"/>
        </xdr:cNvSpPr>
      </xdr:nvSpPr>
      <xdr:spPr bwMode="auto">
        <a:xfrm>
          <a:off x="4013200" y="20256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94</xdr:row>
      <xdr:rowOff>102288</xdr:rowOff>
    </xdr:from>
    <xdr:to>
      <xdr:col>5</xdr:col>
      <xdr:colOff>628650</xdr:colOff>
      <xdr:row>98</xdr:row>
      <xdr:rowOff>33526</xdr:rowOff>
    </xdr:to>
    <xdr:sp macro="" textlink="">
      <xdr:nvSpPr>
        <xdr:cNvPr id="300110" name="Text Box 78" hidden="1">
          <a:extLst>
            <a:ext uri="{FF2B5EF4-FFF2-40B4-BE49-F238E27FC236}">
              <a16:creationId xmlns:a16="http://schemas.microsoft.com/office/drawing/2014/main" id="{C3818618-EC4F-4BEA-886B-9EED6FA6E6C3}"/>
            </a:ext>
          </a:extLst>
        </xdr:cNvPr>
        <xdr:cNvSpPr txBox="1">
          <a:spLocks noChangeArrowheads="1"/>
        </xdr:cNvSpPr>
      </xdr:nvSpPr>
      <xdr:spPr bwMode="auto">
        <a:xfrm>
          <a:off x="4013200" y="20440650"/>
          <a:ext cx="13144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95</xdr:row>
      <xdr:rowOff>50722</xdr:rowOff>
    </xdr:from>
    <xdr:to>
      <xdr:col>5</xdr:col>
      <xdr:colOff>628650</xdr:colOff>
      <xdr:row>99</xdr:row>
      <xdr:rowOff>56253</xdr:rowOff>
    </xdr:to>
    <xdr:sp macro="" textlink="">
      <xdr:nvSpPr>
        <xdr:cNvPr id="300108" name="Text Box 76" hidden="1">
          <a:extLst>
            <a:ext uri="{FF2B5EF4-FFF2-40B4-BE49-F238E27FC236}">
              <a16:creationId xmlns:a16="http://schemas.microsoft.com/office/drawing/2014/main" id="{5B8FFE5B-CC86-4099-B7D8-9A9701999521}"/>
            </a:ext>
          </a:extLst>
        </xdr:cNvPr>
        <xdr:cNvSpPr txBox="1">
          <a:spLocks noChangeArrowheads="1"/>
        </xdr:cNvSpPr>
      </xdr:nvSpPr>
      <xdr:spPr bwMode="auto">
        <a:xfrm>
          <a:off x="4013200" y="206248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95</xdr:row>
      <xdr:rowOff>55315</xdr:rowOff>
    </xdr:from>
    <xdr:to>
      <xdr:col>5</xdr:col>
      <xdr:colOff>628650</xdr:colOff>
      <xdr:row>99</xdr:row>
      <xdr:rowOff>95200</xdr:rowOff>
    </xdr:to>
    <xdr:sp macro="" textlink="">
      <xdr:nvSpPr>
        <xdr:cNvPr id="300106" name="Text Box 74" hidden="1">
          <a:extLst>
            <a:ext uri="{FF2B5EF4-FFF2-40B4-BE49-F238E27FC236}">
              <a16:creationId xmlns:a16="http://schemas.microsoft.com/office/drawing/2014/main" id="{4D9CB830-1705-4F66-829B-5206664B81B3}"/>
            </a:ext>
          </a:extLst>
        </xdr:cNvPr>
        <xdr:cNvSpPr txBox="1">
          <a:spLocks noChangeArrowheads="1"/>
        </xdr:cNvSpPr>
      </xdr:nvSpPr>
      <xdr:spPr bwMode="auto">
        <a:xfrm>
          <a:off x="4013200" y="20605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163" name="Text Box 131" hidden="1">
          <a:extLst>
            <a:ext uri="{FF2B5EF4-FFF2-40B4-BE49-F238E27FC236}">
              <a16:creationId xmlns:a16="http://schemas.microsoft.com/office/drawing/2014/main" id="{5FC51EFE-B5A7-49EF-9DA7-79E00A8B610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43793</xdr:rowOff>
    </xdr:from>
    <xdr:to>
      <xdr:col>5</xdr:col>
      <xdr:colOff>609600</xdr:colOff>
      <xdr:row>223</xdr:row>
      <xdr:rowOff>18804</xdr:rowOff>
    </xdr:to>
    <xdr:sp macro="" textlink="">
      <xdr:nvSpPr>
        <xdr:cNvPr id="300162" name="Text Box 130" hidden="1">
          <a:extLst>
            <a:ext uri="{FF2B5EF4-FFF2-40B4-BE49-F238E27FC236}">
              <a16:creationId xmlns:a16="http://schemas.microsoft.com/office/drawing/2014/main" id="{11303ADD-0A57-46B9-92BE-56E7D36E75AC}"/>
            </a:ext>
          </a:extLst>
        </xdr:cNvPr>
        <xdr:cNvSpPr txBox="1">
          <a:spLocks noChangeArrowheads="1"/>
        </xdr:cNvSpPr>
      </xdr:nvSpPr>
      <xdr:spPr bwMode="auto">
        <a:xfrm>
          <a:off x="3994150" y="401383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166824</xdr:rowOff>
    </xdr:from>
    <xdr:to>
      <xdr:col>5</xdr:col>
      <xdr:colOff>609600</xdr:colOff>
      <xdr:row>222</xdr:row>
      <xdr:rowOff>128725</xdr:rowOff>
    </xdr:to>
    <xdr:sp macro="" textlink="">
      <xdr:nvSpPr>
        <xdr:cNvPr id="300161" name="Text Box 129" hidden="1">
          <a:extLst>
            <a:ext uri="{FF2B5EF4-FFF2-40B4-BE49-F238E27FC236}">
              <a16:creationId xmlns:a16="http://schemas.microsoft.com/office/drawing/2014/main" id="{8BAB0457-EDF8-4EF8-BB10-FAA02F246C3A}"/>
            </a:ext>
          </a:extLst>
        </xdr:cNvPr>
        <xdr:cNvSpPr txBox="1">
          <a:spLocks noChangeArrowheads="1"/>
        </xdr:cNvSpPr>
      </xdr:nvSpPr>
      <xdr:spPr bwMode="auto">
        <a:xfrm>
          <a:off x="3994150" y="404685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166824</xdr:rowOff>
    </xdr:from>
    <xdr:to>
      <xdr:col>5</xdr:col>
      <xdr:colOff>609600</xdr:colOff>
      <xdr:row>224</xdr:row>
      <xdr:rowOff>18803</xdr:rowOff>
    </xdr:to>
    <xdr:sp macro="" textlink="">
      <xdr:nvSpPr>
        <xdr:cNvPr id="300160" name="Text Box 128" hidden="1">
          <a:extLst>
            <a:ext uri="{FF2B5EF4-FFF2-40B4-BE49-F238E27FC236}">
              <a16:creationId xmlns:a16="http://schemas.microsoft.com/office/drawing/2014/main" id="{52FE8961-3689-4384-8C90-82320F42F33C}"/>
            </a:ext>
          </a:extLst>
        </xdr:cNvPr>
        <xdr:cNvSpPr txBox="1">
          <a:spLocks noChangeArrowheads="1"/>
        </xdr:cNvSpPr>
      </xdr:nvSpPr>
      <xdr:spPr bwMode="auto">
        <a:xfrm>
          <a:off x="3994150" y="410210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166824</xdr:rowOff>
    </xdr:from>
    <xdr:to>
      <xdr:col>5</xdr:col>
      <xdr:colOff>609600</xdr:colOff>
      <xdr:row>211</xdr:row>
      <xdr:rowOff>128724</xdr:rowOff>
    </xdr:to>
    <xdr:sp macro="" textlink="">
      <xdr:nvSpPr>
        <xdr:cNvPr id="300159" name="Text Box 127" hidden="1">
          <a:extLst>
            <a:ext uri="{FF2B5EF4-FFF2-40B4-BE49-F238E27FC236}">
              <a16:creationId xmlns:a16="http://schemas.microsoft.com/office/drawing/2014/main" id="{757330FA-8BA6-4D5B-BB34-B83E3E9286C7}"/>
            </a:ext>
          </a:extLst>
        </xdr:cNvPr>
        <xdr:cNvSpPr txBox="1">
          <a:spLocks noChangeArrowheads="1"/>
        </xdr:cNvSpPr>
      </xdr:nvSpPr>
      <xdr:spPr bwMode="auto">
        <a:xfrm>
          <a:off x="3994150" y="412051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122374</xdr:rowOff>
    </xdr:from>
    <xdr:to>
      <xdr:col>5</xdr:col>
      <xdr:colOff>609600</xdr:colOff>
      <xdr:row>189</xdr:row>
      <xdr:rowOff>84274</xdr:rowOff>
    </xdr:to>
    <xdr:sp macro="" textlink="">
      <xdr:nvSpPr>
        <xdr:cNvPr id="300158" name="Text Box 126" hidden="1">
          <a:extLst>
            <a:ext uri="{FF2B5EF4-FFF2-40B4-BE49-F238E27FC236}">
              <a16:creationId xmlns:a16="http://schemas.microsoft.com/office/drawing/2014/main" id="{A2D741AB-96E8-4C07-832D-F229F02B42FD}"/>
            </a:ext>
          </a:extLst>
        </xdr:cNvPr>
        <xdr:cNvSpPr txBox="1">
          <a:spLocks noChangeArrowheads="1"/>
        </xdr:cNvSpPr>
      </xdr:nvSpPr>
      <xdr:spPr bwMode="auto">
        <a:xfrm>
          <a:off x="3994150" y="368998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45381</xdr:rowOff>
    </xdr:from>
    <xdr:to>
      <xdr:col>5</xdr:col>
      <xdr:colOff>609600</xdr:colOff>
      <xdr:row>190</xdr:row>
      <xdr:rowOff>83479</xdr:rowOff>
    </xdr:to>
    <xdr:sp macro="" textlink="">
      <xdr:nvSpPr>
        <xdr:cNvPr id="300157" name="Text Box 125" hidden="1">
          <a:extLst>
            <a:ext uri="{FF2B5EF4-FFF2-40B4-BE49-F238E27FC236}">
              <a16:creationId xmlns:a16="http://schemas.microsoft.com/office/drawing/2014/main" id="{ADFB33F6-3A05-4E00-967D-96FA60E68E62}"/>
            </a:ext>
          </a:extLst>
        </xdr:cNvPr>
        <xdr:cNvSpPr txBox="1">
          <a:spLocks noChangeArrowheads="1"/>
        </xdr:cNvSpPr>
      </xdr:nvSpPr>
      <xdr:spPr bwMode="auto">
        <a:xfrm>
          <a:off x="3994150" y="373380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158093</xdr:rowOff>
    </xdr:from>
    <xdr:to>
      <xdr:col>5</xdr:col>
      <xdr:colOff>609600</xdr:colOff>
      <xdr:row>191</xdr:row>
      <xdr:rowOff>92212</xdr:rowOff>
    </xdr:to>
    <xdr:sp macro="" textlink="">
      <xdr:nvSpPr>
        <xdr:cNvPr id="300156" name="Text Box 124" hidden="1">
          <a:extLst>
            <a:ext uri="{FF2B5EF4-FFF2-40B4-BE49-F238E27FC236}">
              <a16:creationId xmlns:a16="http://schemas.microsoft.com/office/drawing/2014/main" id="{4972ADF8-134C-477C-A3CF-140B17884474}"/>
            </a:ext>
          </a:extLst>
        </xdr:cNvPr>
        <xdr:cNvSpPr txBox="1">
          <a:spLocks noChangeArrowheads="1"/>
        </xdr:cNvSpPr>
      </xdr:nvSpPr>
      <xdr:spPr bwMode="auto">
        <a:xfrm>
          <a:off x="3994150" y="37706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104117</xdr:rowOff>
    </xdr:from>
    <xdr:to>
      <xdr:col>5</xdr:col>
      <xdr:colOff>609600</xdr:colOff>
      <xdr:row>198</xdr:row>
      <xdr:rowOff>16422</xdr:rowOff>
    </xdr:to>
    <xdr:sp macro="" textlink="">
      <xdr:nvSpPr>
        <xdr:cNvPr id="300155" name="Text Box 123" hidden="1">
          <a:extLst>
            <a:ext uri="{FF2B5EF4-FFF2-40B4-BE49-F238E27FC236}">
              <a16:creationId xmlns:a16="http://schemas.microsoft.com/office/drawing/2014/main" id="{72AFF5F6-8541-459F-BB00-6F0F1B60882F}"/>
            </a:ext>
          </a:extLst>
        </xdr:cNvPr>
        <xdr:cNvSpPr txBox="1">
          <a:spLocks noChangeArrowheads="1"/>
        </xdr:cNvSpPr>
      </xdr:nvSpPr>
      <xdr:spPr bwMode="auto">
        <a:xfrm>
          <a:off x="3994150" y="380746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54" name="Text Box 122" hidden="1">
          <a:extLst>
            <a:ext uri="{FF2B5EF4-FFF2-40B4-BE49-F238E27FC236}">
              <a16:creationId xmlns:a16="http://schemas.microsoft.com/office/drawing/2014/main" id="{D343C7E4-BB51-4F2C-84F8-C29285C309D3}"/>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1828</xdr:rowOff>
    </xdr:from>
    <xdr:to>
      <xdr:col>5</xdr:col>
      <xdr:colOff>609600</xdr:colOff>
      <xdr:row>52</xdr:row>
      <xdr:rowOff>18809</xdr:rowOff>
    </xdr:to>
    <xdr:sp macro="" textlink="">
      <xdr:nvSpPr>
        <xdr:cNvPr id="300153" name="Text Box 121" hidden="1">
          <a:extLst>
            <a:ext uri="{FF2B5EF4-FFF2-40B4-BE49-F238E27FC236}">
              <a16:creationId xmlns:a16="http://schemas.microsoft.com/office/drawing/2014/main" id="{031F7546-36A8-417B-B27A-4E949A618587}"/>
            </a:ext>
          </a:extLst>
        </xdr:cNvPr>
        <xdr:cNvSpPr txBox="1">
          <a:spLocks noChangeArrowheads="1"/>
        </xdr:cNvSpPr>
      </xdr:nvSpPr>
      <xdr:spPr bwMode="auto">
        <a:xfrm>
          <a:off x="3994150" y="10617200"/>
          <a:ext cx="1314450" cy="19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189054</xdr:rowOff>
    </xdr:from>
    <xdr:to>
      <xdr:col>5</xdr:col>
      <xdr:colOff>609600</xdr:colOff>
      <xdr:row>52</xdr:row>
      <xdr:rowOff>454877</xdr:rowOff>
    </xdr:to>
    <xdr:sp macro="" textlink="">
      <xdr:nvSpPr>
        <xdr:cNvPr id="300152" name="Text Box 120" hidden="1">
          <a:extLst>
            <a:ext uri="{FF2B5EF4-FFF2-40B4-BE49-F238E27FC236}">
              <a16:creationId xmlns:a16="http://schemas.microsoft.com/office/drawing/2014/main" id="{8638A1AB-F3F5-447F-A0A3-B04791768E64}"/>
            </a:ext>
          </a:extLst>
        </xdr:cNvPr>
        <xdr:cNvSpPr txBox="1">
          <a:spLocks noChangeArrowheads="1"/>
        </xdr:cNvSpPr>
      </xdr:nvSpPr>
      <xdr:spPr bwMode="auto">
        <a:xfrm>
          <a:off x="3994150" y="10966450"/>
          <a:ext cx="131445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228667</xdr:rowOff>
    </xdr:from>
    <xdr:to>
      <xdr:col>5</xdr:col>
      <xdr:colOff>609600</xdr:colOff>
      <xdr:row>56</xdr:row>
      <xdr:rowOff>101694</xdr:rowOff>
    </xdr:to>
    <xdr:sp macro="" textlink="">
      <xdr:nvSpPr>
        <xdr:cNvPr id="300151" name="Text Box 119" hidden="1">
          <a:extLst>
            <a:ext uri="{FF2B5EF4-FFF2-40B4-BE49-F238E27FC236}">
              <a16:creationId xmlns:a16="http://schemas.microsoft.com/office/drawing/2014/main" id="{5C8A115F-6FA1-451F-BD5C-7B171D9EBA6F}"/>
            </a:ext>
          </a:extLst>
        </xdr:cNvPr>
        <xdr:cNvSpPr txBox="1">
          <a:spLocks noChangeArrowheads="1"/>
        </xdr:cNvSpPr>
      </xdr:nvSpPr>
      <xdr:spPr bwMode="auto">
        <a:xfrm>
          <a:off x="3994150" y="115252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25754</xdr:rowOff>
    </xdr:from>
    <xdr:to>
      <xdr:col>5</xdr:col>
      <xdr:colOff>609600</xdr:colOff>
      <xdr:row>59</xdr:row>
      <xdr:rowOff>95610</xdr:rowOff>
    </xdr:to>
    <xdr:sp macro="" textlink="">
      <xdr:nvSpPr>
        <xdr:cNvPr id="300150" name="Text Box 118" hidden="1">
          <a:extLst>
            <a:ext uri="{FF2B5EF4-FFF2-40B4-BE49-F238E27FC236}">
              <a16:creationId xmlns:a16="http://schemas.microsoft.com/office/drawing/2014/main" id="{01492D36-B812-49BE-AF1F-F53ECA0D5B01}"/>
            </a:ext>
          </a:extLst>
        </xdr:cNvPr>
        <xdr:cNvSpPr txBox="1">
          <a:spLocks noChangeArrowheads="1"/>
        </xdr:cNvSpPr>
      </xdr:nvSpPr>
      <xdr:spPr bwMode="auto">
        <a:xfrm>
          <a:off x="3994150" y="117094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208321</xdr:rowOff>
    </xdr:from>
    <xdr:to>
      <xdr:col>5</xdr:col>
      <xdr:colOff>609600</xdr:colOff>
      <xdr:row>61</xdr:row>
      <xdr:rowOff>49317</xdr:rowOff>
    </xdr:to>
    <xdr:sp macro="" textlink="">
      <xdr:nvSpPr>
        <xdr:cNvPr id="300149" name="Text Box 117" hidden="1">
          <a:extLst>
            <a:ext uri="{FF2B5EF4-FFF2-40B4-BE49-F238E27FC236}">
              <a16:creationId xmlns:a16="http://schemas.microsoft.com/office/drawing/2014/main" id="{D1787A2E-D454-4951-9015-099D2FE99609}"/>
            </a:ext>
          </a:extLst>
        </xdr:cNvPr>
        <xdr:cNvSpPr txBox="1">
          <a:spLocks noChangeArrowheads="1"/>
        </xdr:cNvSpPr>
      </xdr:nvSpPr>
      <xdr:spPr bwMode="auto">
        <a:xfrm>
          <a:off x="3994150" y="11931650"/>
          <a:ext cx="13144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182156</xdr:rowOff>
    </xdr:from>
    <xdr:to>
      <xdr:col>5</xdr:col>
      <xdr:colOff>609600</xdr:colOff>
      <xdr:row>75</xdr:row>
      <xdr:rowOff>31661</xdr:rowOff>
    </xdr:to>
    <xdr:sp macro="" textlink="">
      <xdr:nvSpPr>
        <xdr:cNvPr id="300148" name="Text Box 116" hidden="1">
          <a:extLst>
            <a:ext uri="{FF2B5EF4-FFF2-40B4-BE49-F238E27FC236}">
              <a16:creationId xmlns:a16="http://schemas.microsoft.com/office/drawing/2014/main" id="{2549166D-1EE4-48A9-AB4F-DFDEAF6B9D1E}"/>
            </a:ext>
          </a:extLst>
        </xdr:cNvPr>
        <xdr:cNvSpPr txBox="1">
          <a:spLocks noChangeArrowheads="1"/>
        </xdr:cNvSpPr>
      </xdr:nvSpPr>
      <xdr:spPr bwMode="auto">
        <a:xfrm>
          <a:off x="3994150" y="155829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152787</xdr:rowOff>
    </xdr:from>
    <xdr:to>
      <xdr:col>5</xdr:col>
      <xdr:colOff>609600</xdr:colOff>
      <xdr:row>76</xdr:row>
      <xdr:rowOff>9435</xdr:rowOff>
    </xdr:to>
    <xdr:sp macro="" textlink="">
      <xdr:nvSpPr>
        <xdr:cNvPr id="300147" name="Text Box 115" hidden="1">
          <a:extLst>
            <a:ext uri="{FF2B5EF4-FFF2-40B4-BE49-F238E27FC236}">
              <a16:creationId xmlns:a16="http://schemas.microsoft.com/office/drawing/2014/main" id="{CB452094-E929-47CE-BE87-EF9E7FC09CC8}"/>
            </a:ext>
          </a:extLst>
        </xdr:cNvPr>
        <xdr:cNvSpPr txBox="1">
          <a:spLocks noChangeArrowheads="1"/>
        </xdr:cNvSpPr>
      </xdr:nvSpPr>
      <xdr:spPr bwMode="auto">
        <a:xfrm>
          <a:off x="3994150" y="157670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143759</xdr:rowOff>
    </xdr:from>
    <xdr:to>
      <xdr:col>5</xdr:col>
      <xdr:colOff>609600</xdr:colOff>
      <xdr:row>76</xdr:row>
      <xdr:rowOff>194269</xdr:rowOff>
    </xdr:to>
    <xdr:sp macro="" textlink="">
      <xdr:nvSpPr>
        <xdr:cNvPr id="300146" name="Text Box 114" hidden="1">
          <a:extLst>
            <a:ext uri="{FF2B5EF4-FFF2-40B4-BE49-F238E27FC236}">
              <a16:creationId xmlns:a16="http://schemas.microsoft.com/office/drawing/2014/main" id="{C0EC714C-A61A-4753-A6B1-18277BF14981}"/>
            </a:ext>
          </a:extLst>
        </xdr:cNvPr>
        <xdr:cNvSpPr txBox="1">
          <a:spLocks noChangeArrowheads="1"/>
        </xdr:cNvSpPr>
      </xdr:nvSpPr>
      <xdr:spPr bwMode="auto">
        <a:xfrm>
          <a:off x="3994150" y="15951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125617</xdr:rowOff>
    </xdr:from>
    <xdr:to>
      <xdr:col>5</xdr:col>
      <xdr:colOff>609600</xdr:colOff>
      <xdr:row>76</xdr:row>
      <xdr:rowOff>375243</xdr:rowOff>
    </xdr:to>
    <xdr:sp macro="" textlink="">
      <xdr:nvSpPr>
        <xdr:cNvPr id="300145" name="Text Box 113" hidden="1">
          <a:extLst>
            <a:ext uri="{FF2B5EF4-FFF2-40B4-BE49-F238E27FC236}">
              <a16:creationId xmlns:a16="http://schemas.microsoft.com/office/drawing/2014/main" id="{B3045FF9-E015-4CCE-B099-1A2CEE408061}"/>
            </a:ext>
          </a:extLst>
        </xdr:cNvPr>
        <xdr:cNvSpPr txBox="1">
          <a:spLocks noChangeArrowheads="1"/>
        </xdr:cNvSpPr>
      </xdr:nvSpPr>
      <xdr:spPr bwMode="auto">
        <a:xfrm>
          <a:off x="3994150" y="161353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166089</xdr:rowOff>
    </xdr:from>
    <xdr:to>
      <xdr:col>5</xdr:col>
      <xdr:colOff>609600</xdr:colOff>
      <xdr:row>97</xdr:row>
      <xdr:rowOff>150911</xdr:rowOff>
    </xdr:to>
    <xdr:sp macro="" textlink="">
      <xdr:nvSpPr>
        <xdr:cNvPr id="300144" name="Text Box 112" hidden="1">
          <a:extLst>
            <a:ext uri="{FF2B5EF4-FFF2-40B4-BE49-F238E27FC236}">
              <a16:creationId xmlns:a16="http://schemas.microsoft.com/office/drawing/2014/main" id="{5D03C6E5-05D5-416B-BEDA-C75901EB4969}"/>
            </a:ext>
          </a:extLst>
        </xdr:cNvPr>
        <xdr:cNvSpPr txBox="1">
          <a:spLocks noChangeArrowheads="1"/>
        </xdr:cNvSpPr>
      </xdr:nvSpPr>
      <xdr:spPr bwMode="auto">
        <a:xfrm>
          <a:off x="3994150" y="2023745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101494</xdr:rowOff>
    </xdr:from>
    <xdr:to>
      <xdr:col>5</xdr:col>
      <xdr:colOff>609600</xdr:colOff>
      <xdr:row>97</xdr:row>
      <xdr:rowOff>150911</xdr:rowOff>
    </xdr:to>
    <xdr:sp macro="" textlink="">
      <xdr:nvSpPr>
        <xdr:cNvPr id="300143" name="Text Box 111" hidden="1">
          <a:extLst>
            <a:ext uri="{FF2B5EF4-FFF2-40B4-BE49-F238E27FC236}">
              <a16:creationId xmlns:a16="http://schemas.microsoft.com/office/drawing/2014/main" id="{E954E1BE-8ABB-40E1-8BA1-335B604FB26B}"/>
            </a:ext>
          </a:extLst>
        </xdr:cNvPr>
        <xdr:cNvSpPr txBox="1">
          <a:spLocks noChangeArrowheads="1"/>
        </xdr:cNvSpPr>
      </xdr:nvSpPr>
      <xdr:spPr bwMode="auto">
        <a:xfrm>
          <a:off x="3994150" y="20421600"/>
          <a:ext cx="13144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56278</xdr:rowOff>
    </xdr:from>
    <xdr:to>
      <xdr:col>5</xdr:col>
      <xdr:colOff>609600</xdr:colOff>
      <xdr:row>98</xdr:row>
      <xdr:rowOff>95939</xdr:rowOff>
    </xdr:to>
    <xdr:sp macro="" textlink="">
      <xdr:nvSpPr>
        <xdr:cNvPr id="300142" name="Text Box 110" hidden="1">
          <a:extLst>
            <a:ext uri="{FF2B5EF4-FFF2-40B4-BE49-F238E27FC236}">
              <a16:creationId xmlns:a16="http://schemas.microsoft.com/office/drawing/2014/main" id="{37B59FD8-C20C-4D92-B543-5E861AA06164}"/>
            </a:ext>
          </a:extLst>
        </xdr:cNvPr>
        <xdr:cNvSpPr txBox="1">
          <a:spLocks noChangeArrowheads="1"/>
        </xdr:cNvSpPr>
      </xdr:nvSpPr>
      <xdr:spPr bwMode="auto">
        <a:xfrm>
          <a:off x="3994150" y="20605750"/>
          <a:ext cx="131445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19532</xdr:rowOff>
    </xdr:from>
    <xdr:to>
      <xdr:col>5</xdr:col>
      <xdr:colOff>609600</xdr:colOff>
      <xdr:row>99</xdr:row>
      <xdr:rowOff>1484</xdr:rowOff>
    </xdr:to>
    <xdr:sp macro="" textlink="">
      <xdr:nvSpPr>
        <xdr:cNvPr id="300141" name="Text Box 109" hidden="1">
          <a:extLst>
            <a:ext uri="{FF2B5EF4-FFF2-40B4-BE49-F238E27FC236}">
              <a16:creationId xmlns:a16="http://schemas.microsoft.com/office/drawing/2014/main" id="{B6FF44E3-492B-435C-B780-DBD8B1B9DC70}"/>
            </a:ext>
          </a:extLst>
        </xdr:cNvPr>
        <xdr:cNvSpPr txBox="1">
          <a:spLocks noChangeArrowheads="1"/>
        </xdr:cNvSpPr>
      </xdr:nvSpPr>
      <xdr:spPr bwMode="auto">
        <a:xfrm>
          <a:off x="3994150" y="2057400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186" name="Text Box 154" hidden="1">
          <a:extLst>
            <a:ext uri="{FF2B5EF4-FFF2-40B4-BE49-F238E27FC236}">
              <a16:creationId xmlns:a16="http://schemas.microsoft.com/office/drawing/2014/main" id="{7D335DC8-0572-46C7-8399-FA67069490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44586</xdr:rowOff>
    </xdr:from>
    <xdr:to>
      <xdr:col>5</xdr:col>
      <xdr:colOff>609600</xdr:colOff>
      <xdr:row>224</xdr:row>
      <xdr:rowOff>18803</xdr:rowOff>
    </xdr:to>
    <xdr:sp macro="" textlink="">
      <xdr:nvSpPr>
        <xdr:cNvPr id="300185" name="Text Box 153" hidden="1">
          <a:extLst>
            <a:ext uri="{FF2B5EF4-FFF2-40B4-BE49-F238E27FC236}">
              <a16:creationId xmlns:a16="http://schemas.microsoft.com/office/drawing/2014/main" id="{7817C20E-9289-4D5C-9AB4-0D28C84248F3}"/>
            </a:ext>
          </a:extLst>
        </xdr:cNvPr>
        <xdr:cNvSpPr txBox="1">
          <a:spLocks noChangeArrowheads="1"/>
        </xdr:cNvSpPr>
      </xdr:nvSpPr>
      <xdr:spPr bwMode="auto">
        <a:xfrm>
          <a:off x="3848100" y="41138475"/>
          <a:ext cx="1276350" cy="438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166824</xdr:rowOff>
    </xdr:from>
    <xdr:to>
      <xdr:col>5</xdr:col>
      <xdr:colOff>609600</xdr:colOff>
      <xdr:row>223</xdr:row>
      <xdr:rowOff>128724</xdr:rowOff>
    </xdr:to>
    <xdr:sp macro="" textlink="">
      <xdr:nvSpPr>
        <xdr:cNvPr id="300184" name="Text Box 152" hidden="1">
          <a:extLst>
            <a:ext uri="{FF2B5EF4-FFF2-40B4-BE49-F238E27FC236}">
              <a16:creationId xmlns:a16="http://schemas.microsoft.com/office/drawing/2014/main" id="{64159A84-6DBD-4972-87A8-70A5B75389B7}"/>
            </a:ext>
          </a:extLst>
        </xdr:cNvPr>
        <xdr:cNvSpPr txBox="1">
          <a:spLocks noChangeArrowheads="1"/>
        </xdr:cNvSpPr>
      </xdr:nvSpPr>
      <xdr:spPr bwMode="auto">
        <a:xfrm>
          <a:off x="3848100" y="41481375"/>
          <a:ext cx="1276350" cy="396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166824</xdr:rowOff>
    </xdr:from>
    <xdr:to>
      <xdr:col>5</xdr:col>
      <xdr:colOff>609600</xdr:colOff>
      <xdr:row>225</xdr:row>
      <xdr:rowOff>18803</xdr:rowOff>
    </xdr:to>
    <xdr:sp macro="" textlink="">
      <xdr:nvSpPr>
        <xdr:cNvPr id="300183" name="Text Box 151" hidden="1">
          <a:extLst>
            <a:ext uri="{FF2B5EF4-FFF2-40B4-BE49-F238E27FC236}">
              <a16:creationId xmlns:a16="http://schemas.microsoft.com/office/drawing/2014/main" id="{7A26B745-AA0B-4A61-9A0D-64E9AF7393C9}"/>
            </a:ext>
          </a:extLst>
        </xdr:cNvPr>
        <xdr:cNvSpPr txBox="1">
          <a:spLocks noChangeArrowheads="1"/>
        </xdr:cNvSpPr>
      </xdr:nvSpPr>
      <xdr:spPr bwMode="auto">
        <a:xfrm>
          <a:off x="3848100" y="42052875"/>
          <a:ext cx="1276350" cy="3657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166825</xdr:rowOff>
    </xdr:from>
    <xdr:to>
      <xdr:col>5</xdr:col>
      <xdr:colOff>609600</xdr:colOff>
      <xdr:row>212</xdr:row>
      <xdr:rowOff>128724</xdr:rowOff>
    </xdr:to>
    <xdr:sp macro="" textlink="">
      <xdr:nvSpPr>
        <xdr:cNvPr id="300182" name="Text Box 150" hidden="1">
          <a:extLst>
            <a:ext uri="{FF2B5EF4-FFF2-40B4-BE49-F238E27FC236}">
              <a16:creationId xmlns:a16="http://schemas.microsoft.com/office/drawing/2014/main" id="{3DD44C58-C1CF-4611-A02F-70376414B574}"/>
            </a:ext>
          </a:extLst>
        </xdr:cNvPr>
        <xdr:cNvSpPr txBox="1">
          <a:spLocks noChangeArrowheads="1"/>
        </xdr:cNvSpPr>
      </xdr:nvSpPr>
      <xdr:spPr bwMode="auto">
        <a:xfrm>
          <a:off x="3848100" y="42243375"/>
          <a:ext cx="12763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129518</xdr:rowOff>
    </xdr:from>
    <xdr:to>
      <xdr:col>5</xdr:col>
      <xdr:colOff>609600</xdr:colOff>
      <xdr:row>190</xdr:row>
      <xdr:rowOff>50935</xdr:rowOff>
    </xdr:to>
    <xdr:sp macro="" textlink="">
      <xdr:nvSpPr>
        <xdr:cNvPr id="300181" name="Text Box 149" hidden="1">
          <a:extLst>
            <a:ext uri="{FF2B5EF4-FFF2-40B4-BE49-F238E27FC236}">
              <a16:creationId xmlns:a16="http://schemas.microsoft.com/office/drawing/2014/main" id="{787EFC1A-0432-406B-8676-E8B2B79773FB}"/>
            </a:ext>
          </a:extLst>
        </xdr:cNvPr>
        <xdr:cNvSpPr txBox="1">
          <a:spLocks noChangeArrowheads="1"/>
        </xdr:cNvSpPr>
      </xdr:nvSpPr>
      <xdr:spPr bwMode="auto">
        <a:xfrm>
          <a:off x="3848100" y="37785675"/>
          <a:ext cx="127635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185080</xdr:rowOff>
    </xdr:from>
    <xdr:to>
      <xdr:col>5</xdr:col>
      <xdr:colOff>609600</xdr:colOff>
      <xdr:row>191</xdr:row>
      <xdr:rowOff>54112</xdr:rowOff>
    </xdr:to>
    <xdr:sp macro="" textlink="">
      <xdr:nvSpPr>
        <xdr:cNvPr id="300180" name="Text Box 148" hidden="1">
          <a:extLst>
            <a:ext uri="{FF2B5EF4-FFF2-40B4-BE49-F238E27FC236}">
              <a16:creationId xmlns:a16="http://schemas.microsoft.com/office/drawing/2014/main" id="{B159C490-05FE-44C6-AB18-872C83BE1829}"/>
            </a:ext>
          </a:extLst>
        </xdr:cNvPr>
        <xdr:cNvSpPr txBox="1">
          <a:spLocks noChangeArrowheads="1"/>
        </xdr:cNvSpPr>
      </xdr:nvSpPr>
      <xdr:spPr bwMode="auto">
        <a:xfrm>
          <a:off x="3848100" y="382428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149362</xdr:rowOff>
    </xdr:from>
    <xdr:to>
      <xdr:col>5</xdr:col>
      <xdr:colOff>609600</xdr:colOff>
      <xdr:row>192</xdr:row>
      <xdr:rowOff>70781</xdr:rowOff>
    </xdr:to>
    <xdr:sp macro="" textlink="">
      <xdr:nvSpPr>
        <xdr:cNvPr id="300179" name="Text Box 147" hidden="1">
          <a:extLst>
            <a:ext uri="{FF2B5EF4-FFF2-40B4-BE49-F238E27FC236}">
              <a16:creationId xmlns:a16="http://schemas.microsoft.com/office/drawing/2014/main" id="{91ECDA2E-3AAB-4E3C-9E22-269D26FBCE75}"/>
            </a:ext>
          </a:extLst>
        </xdr:cNvPr>
        <xdr:cNvSpPr txBox="1">
          <a:spLocks noChangeArrowheads="1"/>
        </xdr:cNvSpPr>
      </xdr:nvSpPr>
      <xdr:spPr bwMode="auto">
        <a:xfrm>
          <a:off x="3848100" y="386238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83479</xdr:rowOff>
    </xdr:from>
    <xdr:to>
      <xdr:col>5</xdr:col>
      <xdr:colOff>609600</xdr:colOff>
      <xdr:row>199</xdr:row>
      <xdr:rowOff>16422</xdr:rowOff>
    </xdr:to>
    <xdr:sp macro="" textlink="">
      <xdr:nvSpPr>
        <xdr:cNvPr id="300178" name="Text Box 146" hidden="1">
          <a:extLst>
            <a:ext uri="{FF2B5EF4-FFF2-40B4-BE49-F238E27FC236}">
              <a16:creationId xmlns:a16="http://schemas.microsoft.com/office/drawing/2014/main" id="{8FEAFFF0-EAFC-4F83-A14C-D30830CBD65F}"/>
            </a:ext>
          </a:extLst>
        </xdr:cNvPr>
        <xdr:cNvSpPr txBox="1">
          <a:spLocks noChangeArrowheads="1"/>
        </xdr:cNvSpPr>
      </xdr:nvSpPr>
      <xdr:spPr bwMode="auto">
        <a:xfrm>
          <a:off x="3848100" y="39004875"/>
          <a:ext cx="12763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77" name="Text Box 145" hidden="1">
          <a:extLst>
            <a:ext uri="{FF2B5EF4-FFF2-40B4-BE49-F238E27FC236}">
              <a16:creationId xmlns:a16="http://schemas.microsoft.com/office/drawing/2014/main" id="{49E1267C-F12A-4407-97DA-03037EEC5E1E}"/>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239863</xdr:rowOff>
    </xdr:from>
    <xdr:to>
      <xdr:col>5</xdr:col>
      <xdr:colOff>609600</xdr:colOff>
      <xdr:row>53</xdr:row>
      <xdr:rowOff>48363</xdr:rowOff>
    </xdr:to>
    <xdr:sp macro="" textlink="">
      <xdr:nvSpPr>
        <xdr:cNvPr id="300176" name="Text Box 144" hidden="1">
          <a:extLst>
            <a:ext uri="{FF2B5EF4-FFF2-40B4-BE49-F238E27FC236}">
              <a16:creationId xmlns:a16="http://schemas.microsoft.com/office/drawing/2014/main" id="{F2B56962-4DAE-45BB-B439-206271EF856C}"/>
            </a:ext>
          </a:extLst>
        </xdr:cNvPr>
        <xdr:cNvSpPr txBox="1">
          <a:spLocks noChangeArrowheads="1"/>
        </xdr:cNvSpPr>
      </xdr:nvSpPr>
      <xdr:spPr bwMode="auto">
        <a:xfrm>
          <a:off x="3848100" y="11039475"/>
          <a:ext cx="1276350" cy="34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48363</xdr:rowOff>
    </xdr:from>
    <xdr:to>
      <xdr:col>5</xdr:col>
      <xdr:colOff>609600</xdr:colOff>
      <xdr:row>53</xdr:row>
      <xdr:rowOff>140625</xdr:rowOff>
    </xdr:to>
    <xdr:sp macro="" textlink="">
      <xdr:nvSpPr>
        <xdr:cNvPr id="300175" name="Text Box 143" hidden="1">
          <a:extLst>
            <a:ext uri="{FF2B5EF4-FFF2-40B4-BE49-F238E27FC236}">
              <a16:creationId xmlns:a16="http://schemas.microsoft.com/office/drawing/2014/main" id="{8DFC739B-B5A4-45F8-86B8-EF9F5B8F86B9}"/>
            </a:ext>
          </a:extLst>
        </xdr:cNvPr>
        <xdr:cNvSpPr txBox="1">
          <a:spLocks noChangeArrowheads="1"/>
        </xdr:cNvSpPr>
      </xdr:nvSpPr>
      <xdr:spPr bwMode="auto">
        <a:xfrm>
          <a:off x="3848100" y="11382375"/>
          <a:ext cx="1276350" cy="104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25754</xdr:rowOff>
    </xdr:from>
    <xdr:to>
      <xdr:col>5</xdr:col>
      <xdr:colOff>609600</xdr:colOff>
      <xdr:row>57</xdr:row>
      <xdr:rowOff>121563</xdr:rowOff>
    </xdr:to>
    <xdr:sp macro="" textlink="">
      <xdr:nvSpPr>
        <xdr:cNvPr id="300174" name="Text Box 142" hidden="1">
          <a:extLst>
            <a:ext uri="{FF2B5EF4-FFF2-40B4-BE49-F238E27FC236}">
              <a16:creationId xmlns:a16="http://schemas.microsoft.com/office/drawing/2014/main" id="{B0AD930A-69A8-4E39-B0EF-7935D16E9D1A}"/>
            </a:ext>
          </a:extLst>
        </xdr:cNvPr>
        <xdr:cNvSpPr txBox="1">
          <a:spLocks noChangeArrowheads="1"/>
        </xdr:cNvSpPr>
      </xdr:nvSpPr>
      <xdr:spPr bwMode="auto">
        <a:xfrm>
          <a:off x="3848100" y="117538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170866</xdr:rowOff>
    </xdr:from>
    <xdr:to>
      <xdr:col>5</xdr:col>
      <xdr:colOff>609600</xdr:colOff>
      <xdr:row>60</xdr:row>
      <xdr:rowOff>27589</xdr:rowOff>
    </xdr:to>
    <xdr:sp macro="" textlink="">
      <xdr:nvSpPr>
        <xdr:cNvPr id="300173" name="Text Box 141" hidden="1">
          <a:extLst>
            <a:ext uri="{FF2B5EF4-FFF2-40B4-BE49-F238E27FC236}">
              <a16:creationId xmlns:a16="http://schemas.microsoft.com/office/drawing/2014/main" id="{24FAB9A6-BA8D-40DF-B3E3-84AF9F0AE6F0}"/>
            </a:ext>
          </a:extLst>
        </xdr:cNvPr>
        <xdr:cNvSpPr txBox="1">
          <a:spLocks noChangeArrowheads="1"/>
        </xdr:cNvSpPr>
      </xdr:nvSpPr>
      <xdr:spPr bwMode="auto">
        <a:xfrm>
          <a:off x="3848100" y="11944350"/>
          <a:ext cx="1276350" cy="1381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10422</xdr:rowOff>
    </xdr:from>
    <xdr:to>
      <xdr:col>5</xdr:col>
      <xdr:colOff>609600</xdr:colOff>
      <xdr:row>62</xdr:row>
      <xdr:rowOff>9245</xdr:rowOff>
    </xdr:to>
    <xdr:sp macro="" textlink="">
      <xdr:nvSpPr>
        <xdr:cNvPr id="300172" name="Text Box 140" hidden="1">
          <a:extLst>
            <a:ext uri="{FF2B5EF4-FFF2-40B4-BE49-F238E27FC236}">
              <a16:creationId xmlns:a16="http://schemas.microsoft.com/office/drawing/2014/main" id="{E2D28B84-888E-4655-8B0F-C7CC26EC4E9C}"/>
            </a:ext>
          </a:extLst>
        </xdr:cNvPr>
        <xdr:cNvSpPr txBox="1">
          <a:spLocks noChangeArrowheads="1"/>
        </xdr:cNvSpPr>
      </xdr:nvSpPr>
      <xdr:spPr bwMode="auto">
        <a:xfrm>
          <a:off x="3848100" y="12192000"/>
          <a:ext cx="1276350" cy="1533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152787</xdr:rowOff>
    </xdr:from>
    <xdr:to>
      <xdr:col>5</xdr:col>
      <xdr:colOff>609600</xdr:colOff>
      <xdr:row>76</xdr:row>
      <xdr:rowOff>9435</xdr:rowOff>
    </xdr:to>
    <xdr:sp macro="" textlink="">
      <xdr:nvSpPr>
        <xdr:cNvPr id="300171" name="Text Box 139" hidden="1">
          <a:extLst>
            <a:ext uri="{FF2B5EF4-FFF2-40B4-BE49-F238E27FC236}">
              <a16:creationId xmlns:a16="http://schemas.microsoft.com/office/drawing/2014/main" id="{265EF26C-9A18-4919-BFBD-9DB62C1DA74C}"/>
            </a:ext>
          </a:extLst>
        </xdr:cNvPr>
        <xdr:cNvSpPr txBox="1">
          <a:spLocks noChangeArrowheads="1"/>
        </xdr:cNvSpPr>
      </xdr:nvSpPr>
      <xdr:spPr bwMode="auto">
        <a:xfrm>
          <a:off x="3848100" y="15897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143759</xdr:rowOff>
    </xdr:from>
    <xdr:to>
      <xdr:col>5</xdr:col>
      <xdr:colOff>609600</xdr:colOff>
      <xdr:row>76</xdr:row>
      <xdr:rowOff>194269</xdr:rowOff>
    </xdr:to>
    <xdr:sp macro="" textlink="">
      <xdr:nvSpPr>
        <xdr:cNvPr id="300170" name="Text Box 138" hidden="1">
          <a:extLst>
            <a:ext uri="{FF2B5EF4-FFF2-40B4-BE49-F238E27FC236}">
              <a16:creationId xmlns:a16="http://schemas.microsoft.com/office/drawing/2014/main" id="{F2951846-6E73-4A22-B379-405CB7411D62}"/>
            </a:ext>
          </a:extLst>
        </xdr:cNvPr>
        <xdr:cNvSpPr txBox="1">
          <a:spLocks noChangeArrowheads="1"/>
        </xdr:cNvSpPr>
      </xdr:nvSpPr>
      <xdr:spPr bwMode="auto">
        <a:xfrm>
          <a:off x="3848100" y="16087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125617</xdr:rowOff>
    </xdr:from>
    <xdr:to>
      <xdr:col>5</xdr:col>
      <xdr:colOff>609600</xdr:colOff>
      <xdr:row>76</xdr:row>
      <xdr:rowOff>375243</xdr:rowOff>
    </xdr:to>
    <xdr:sp macro="" textlink="">
      <xdr:nvSpPr>
        <xdr:cNvPr id="300169" name="Text Box 137" hidden="1">
          <a:extLst>
            <a:ext uri="{FF2B5EF4-FFF2-40B4-BE49-F238E27FC236}">
              <a16:creationId xmlns:a16="http://schemas.microsoft.com/office/drawing/2014/main" id="{A2655596-A238-4D5A-882C-DBF44CED545A}"/>
            </a:ext>
          </a:extLst>
        </xdr:cNvPr>
        <xdr:cNvSpPr txBox="1">
          <a:spLocks noChangeArrowheads="1"/>
        </xdr:cNvSpPr>
      </xdr:nvSpPr>
      <xdr:spPr bwMode="auto">
        <a:xfrm>
          <a:off x="3848100" y="16278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106272</xdr:rowOff>
    </xdr:from>
    <xdr:to>
      <xdr:col>5</xdr:col>
      <xdr:colOff>609600</xdr:colOff>
      <xdr:row>77</xdr:row>
      <xdr:rowOff>153186</xdr:rowOff>
    </xdr:to>
    <xdr:sp macro="" textlink="">
      <xdr:nvSpPr>
        <xdr:cNvPr id="300168" name="Text Box 136" hidden="1">
          <a:extLst>
            <a:ext uri="{FF2B5EF4-FFF2-40B4-BE49-F238E27FC236}">
              <a16:creationId xmlns:a16="http://schemas.microsoft.com/office/drawing/2014/main" id="{62B212E0-400C-4C28-B416-F520FFA76BB7}"/>
            </a:ext>
          </a:extLst>
        </xdr:cNvPr>
        <xdr:cNvSpPr txBox="1">
          <a:spLocks noChangeArrowheads="1"/>
        </xdr:cNvSpPr>
      </xdr:nvSpPr>
      <xdr:spPr bwMode="auto">
        <a:xfrm>
          <a:off x="3848100" y="16468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101494</xdr:rowOff>
    </xdr:from>
    <xdr:to>
      <xdr:col>5</xdr:col>
      <xdr:colOff>609600</xdr:colOff>
      <xdr:row>99</xdr:row>
      <xdr:rowOff>38050</xdr:rowOff>
    </xdr:to>
    <xdr:sp macro="" textlink="">
      <xdr:nvSpPr>
        <xdr:cNvPr id="300167" name="Text Box 135" hidden="1">
          <a:extLst>
            <a:ext uri="{FF2B5EF4-FFF2-40B4-BE49-F238E27FC236}">
              <a16:creationId xmlns:a16="http://schemas.microsoft.com/office/drawing/2014/main" id="{6D19925F-5AAB-4507-BD73-36EED6014229}"/>
            </a:ext>
          </a:extLst>
        </xdr:cNvPr>
        <xdr:cNvSpPr txBox="1">
          <a:spLocks noChangeArrowheads="1"/>
        </xdr:cNvSpPr>
      </xdr:nvSpPr>
      <xdr:spPr bwMode="auto">
        <a:xfrm>
          <a:off x="3848100" y="206787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56278</xdr:rowOff>
    </xdr:from>
    <xdr:to>
      <xdr:col>5</xdr:col>
      <xdr:colOff>609600</xdr:colOff>
      <xdr:row>99</xdr:row>
      <xdr:rowOff>38050</xdr:rowOff>
    </xdr:to>
    <xdr:sp macro="" textlink="">
      <xdr:nvSpPr>
        <xdr:cNvPr id="300166" name="Text Box 134" hidden="1">
          <a:extLst>
            <a:ext uri="{FF2B5EF4-FFF2-40B4-BE49-F238E27FC236}">
              <a16:creationId xmlns:a16="http://schemas.microsoft.com/office/drawing/2014/main" id="{A669C438-4134-412C-9C85-FF1ADE3A954C}"/>
            </a:ext>
          </a:extLst>
        </xdr:cNvPr>
        <xdr:cNvSpPr txBox="1">
          <a:spLocks noChangeArrowheads="1"/>
        </xdr:cNvSpPr>
      </xdr:nvSpPr>
      <xdr:spPr bwMode="auto">
        <a:xfrm>
          <a:off x="3848100" y="20869275"/>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1538</xdr:rowOff>
    </xdr:from>
    <xdr:to>
      <xdr:col>5</xdr:col>
      <xdr:colOff>609600</xdr:colOff>
      <xdr:row>99</xdr:row>
      <xdr:rowOff>49163</xdr:rowOff>
    </xdr:to>
    <xdr:sp macro="" textlink="">
      <xdr:nvSpPr>
        <xdr:cNvPr id="300165" name="Text Box 133" hidden="1">
          <a:extLst>
            <a:ext uri="{FF2B5EF4-FFF2-40B4-BE49-F238E27FC236}">
              <a16:creationId xmlns:a16="http://schemas.microsoft.com/office/drawing/2014/main" id="{A3238887-8DE3-466D-AA6C-8325B7333505}"/>
            </a:ext>
          </a:extLst>
        </xdr:cNvPr>
        <xdr:cNvSpPr txBox="1">
          <a:spLocks noChangeArrowheads="1"/>
        </xdr:cNvSpPr>
      </xdr:nvSpPr>
      <xdr:spPr bwMode="auto">
        <a:xfrm>
          <a:off x="3848100" y="21059775"/>
          <a:ext cx="1276350" cy="619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205654</xdr:rowOff>
    </xdr:from>
    <xdr:to>
      <xdr:col>5</xdr:col>
      <xdr:colOff>609600</xdr:colOff>
      <xdr:row>99</xdr:row>
      <xdr:rowOff>158850</xdr:rowOff>
    </xdr:to>
    <xdr:sp macro="" textlink="">
      <xdr:nvSpPr>
        <xdr:cNvPr id="300164" name="Text Box 132" hidden="1">
          <a:extLst>
            <a:ext uri="{FF2B5EF4-FFF2-40B4-BE49-F238E27FC236}">
              <a16:creationId xmlns:a16="http://schemas.microsoft.com/office/drawing/2014/main" id="{034A9325-B1E8-4168-BE79-A6D894C6B7CF}"/>
            </a:ext>
          </a:extLst>
        </xdr:cNvPr>
        <xdr:cNvSpPr txBox="1">
          <a:spLocks noChangeArrowheads="1"/>
        </xdr:cNvSpPr>
      </xdr:nvSpPr>
      <xdr:spPr bwMode="auto">
        <a:xfrm>
          <a:off x="3848100" y="21021675"/>
          <a:ext cx="1276350" cy="733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696119</xdr:colOff>
      <xdr:row>8</xdr:row>
      <xdr:rowOff>76200</xdr:rowOff>
    </xdr:from>
    <xdr:to>
      <xdr:col>21</xdr:col>
      <xdr:colOff>619919</xdr:colOff>
      <xdr:row>12</xdr:row>
      <xdr:rowOff>92075</xdr:rowOff>
    </xdr:to>
    <xdr:sp macro="" textlink="">
      <xdr:nvSpPr>
        <xdr:cNvPr id="300187" name="Text Box 155" hidden="1">
          <a:extLst>
            <a:ext uri="{FF2B5EF4-FFF2-40B4-BE49-F238E27FC236}">
              <a16:creationId xmlns:a16="http://schemas.microsoft.com/office/drawing/2014/main" id="{342BBCE1-6545-4617-9C75-9F51804FF4A1}"/>
            </a:ext>
          </a:extLst>
        </xdr:cNvPr>
        <xdr:cNvSpPr txBox="1">
          <a:spLocks noChangeArrowheads="1"/>
        </xdr:cNvSpPr>
      </xdr:nvSpPr>
      <xdr:spPr bwMode="auto">
        <a:xfrm>
          <a:off x="17192625" y="2476500"/>
          <a:ext cx="14478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658019</xdr:colOff>
      <xdr:row>13</xdr:row>
      <xdr:rowOff>130175</xdr:rowOff>
    </xdr:from>
    <xdr:to>
      <xdr:col>21</xdr:col>
      <xdr:colOff>448469</xdr:colOff>
      <xdr:row>17</xdr:row>
      <xdr:rowOff>168275</xdr:rowOff>
    </xdr:to>
    <xdr:sp macro="" textlink="">
      <xdr:nvSpPr>
        <xdr:cNvPr id="300188" name="Text Box 156" hidden="1">
          <a:extLst>
            <a:ext uri="{FF2B5EF4-FFF2-40B4-BE49-F238E27FC236}">
              <a16:creationId xmlns:a16="http://schemas.microsoft.com/office/drawing/2014/main" id="{E1A16396-85F9-4121-BDD2-9FD5192C8013}"/>
            </a:ext>
          </a:extLst>
        </xdr:cNvPr>
        <xdr:cNvSpPr txBox="1">
          <a:spLocks noChangeArrowheads="1"/>
        </xdr:cNvSpPr>
      </xdr:nvSpPr>
      <xdr:spPr bwMode="auto">
        <a:xfrm>
          <a:off x="17154525" y="34575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658019</xdr:colOff>
      <xdr:row>24</xdr:row>
      <xdr:rowOff>57649</xdr:rowOff>
    </xdr:from>
    <xdr:to>
      <xdr:col>21</xdr:col>
      <xdr:colOff>448469</xdr:colOff>
      <xdr:row>28</xdr:row>
      <xdr:rowOff>120820</xdr:rowOff>
    </xdr:to>
    <xdr:sp macro="" textlink="">
      <xdr:nvSpPr>
        <xdr:cNvPr id="300189" name="Text Box 157" hidden="1">
          <a:extLst>
            <a:ext uri="{FF2B5EF4-FFF2-40B4-BE49-F238E27FC236}">
              <a16:creationId xmlns:a16="http://schemas.microsoft.com/office/drawing/2014/main" id="{B72126FC-B130-4C94-959E-3307E1A10C21}"/>
            </a:ext>
          </a:extLst>
        </xdr:cNvPr>
        <xdr:cNvSpPr txBox="1">
          <a:spLocks noChangeArrowheads="1"/>
        </xdr:cNvSpPr>
      </xdr:nvSpPr>
      <xdr:spPr bwMode="auto">
        <a:xfrm>
          <a:off x="17154525" y="5867400"/>
          <a:ext cx="13144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658019</xdr:colOff>
      <xdr:row>119</xdr:row>
      <xdr:rowOff>95413</xdr:rowOff>
    </xdr:from>
    <xdr:to>
      <xdr:col>21</xdr:col>
      <xdr:colOff>448469</xdr:colOff>
      <xdr:row>123</xdr:row>
      <xdr:rowOff>142245</xdr:rowOff>
    </xdr:to>
    <xdr:sp macro="" textlink="">
      <xdr:nvSpPr>
        <xdr:cNvPr id="300196" name="Text Box 164" hidden="1">
          <a:extLst>
            <a:ext uri="{FF2B5EF4-FFF2-40B4-BE49-F238E27FC236}">
              <a16:creationId xmlns:a16="http://schemas.microsoft.com/office/drawing/2014/main" id="{DFC68AE1-8461-4AAB-A7FA-65D4CA4D36B9}"/>
            </a:ext>
          </a:extLst>
        </xdr:cNvPr>
        <xdr:cNvSpPr txBox="1">
          <a:spLocks noChangeArrowheads="1"/>
        </xdr:cNvSpPr>
      </xdr:nvSpPr>
      <xdr:spPr bwMode="auto">
        <a:xfrm>
          <a:off x="17154525" y="255936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12347" name="Text Box 27" hidden="1">
          <a:extLst>
            <a:ext uri="{FF2B5EF4-FFF2-40B4-BE49-F238E27FC236}">
              <a16:creationId xmlns:a16="http://schemas.microsoft.com/office/drawing/2014/main" id="{24B7A5F1-FD00-49CE-A402-05693900F39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18804</xdr:rowOff>
    </xdr:from>
    <xdr:to>
      <xdr:col>5</xdr:col>
      <xdr:colOff>609600</xdr:colOff>
      <xdr:row>249</xdr:row>
      <xdr:rowOff>18803</xdr:rowOff>
    </xdr:to>
    <xdr:sp macro="" textlink="">
      <xdr:nvSpPr>
        <xdr:cNvPr id="312346" name="Text Box 26" hidden="1">
          <a:extLst>
            <a:ext uri="{FF2B5EF4-FFF2-40B4-BE49-F238E27FC236}">
              <a16:creationId xmlns:a16="http://schemas.microsoft.com/office/drawing/2014/main" id="{90F7B677-0BE3-4769-A802-33C3FFF98E71}"/>
            </a:ext>
          </a:extLst>
        </xdr:cNvPr>
        <xdr:cNvSpPr txBox="1">
          <a:spLocks noChangeArrowheads="1"/>
        </xdr:cNvSpPr>
      </xdr:nvSpPr>
      <xdr:spPr bwMode="auto">
        <a:xfrm>
          <a:off x="3994150" y="44926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166824</xdr:rowOff>
    </xdr:from>
    <xdr:to>
      <xdr:col>5</xdr:col>
      <xdr:colOff>609600</xdr:colOff>
      <xdr:row>248</xdr:row>
      <xdr:rowOff>128724</xdr:rowOff>
    </xdr:to>
    <xdr:sp macro="" textlink="">
      <xdr:nvSpPr>
        <xdr:cNvPr id="312345" name="Text Box 25" hidden="1">
          <a:extLst>
            <a:ext uri="{FF2B5EF4-FFF2-40B4-BE49-F238E27FC236}">
              <a16:creationId xmlns:a16="http://schemas.microsoft.com/office/drawing/2014/main" id="{87DCCA14-7AEF-488C-AFE5-84EF0A52B32A}"/>
            </a:ext>
          </a:extLst>
        </xdr:cNvPr>
        <xdr:cNvSpPr txBox="1">
          <a:spLocks noChangeArrowheads="1"/>
        </xdr:cNvSpPr>
      </xdr:nvSpPr>
      <xdr:spPr bwMode="auto">
        <a:xfrm>
          <a:off x="3994150" y="452564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230</xdr:row>
      <xdr:rowOff>166824</xdr:rowOff>
    </xdr:from>
    <xdr:to>
      <xdr:col>5</xdr:col>
      <xdr:colOff>609600</xdr:colOff>
      <xdr:row>250</xdr:row>
      <xdr:rowOff>18803</xdr:rowOff>
    </xdr:to>
    <xdr:sp macro="" textlink="">
      <xdr:nvSpPr>
        <xdr:cNvPr id="312344" name="Text Box 24" hidden="1">
          <a:extLst>
            <a:ext uri="{FF2B5EF4-FFF2-40B4-BE49-F238E27FC236}">
              <a16:creationId xmlns:a16="http://schemas.microsoft.com/office/drawing/2014/main" id="{CEBEC7BE-1570-47A7-981B-4A18CD024042}"/>
            </a:ext>
          </a:extLst>
        </xdr:cNvPr>
        <xdr:cNvSpPr txBox="1">
          <a:spLocks noChangeArrowheads="1"/>
        </xdr:cNvSpPr>
      </xdr:nvSpPr>
      <xdr:spPr bwMode="auto">
        <a:xfrm>
          <a:off x="3994150" y="458089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231</xdr:row>
      <xdr:rowOff>166824</xdr:rowOff>
    </xdr:from>
    <xdr:to>
      <xdr:col>5</xdr:col>
      <xdr:colOff>609600</xdr:colOff>
      <xdr:row>237</xdr:row>
      <xdr:rowOff>128724</xdr:rowOff>
    </xdr:to>
    <xdr:sp macro="" textlink="">
      <xdr:nvSpPr>
        <xdr:cNvPr id="312343" name="Text Box 23" hidden="1">
          <a:extLst>
            <a:ext uri="{FF2B5EF4-FFF2-40B4-BE49-F238E27FC236}">
              <a16:creationId xmlns:a16="http://schemas.microsoft.com/office/drawing/2014/main" id="{2EB2FC6E-05DD-4265-97BF-2D7B293A1A1B}"/>
            </a:ext>
          </a:extLst>
        </xdr:cNvPr>
        <xdr:cNvSpPr txBox="1">
          <a:spLocks noChangeArrowheads="1"/>
        </xdr:cNvSpPr>
      </xdr:nvSpPr>
      <xdr:spPr bwMode="auto">
        <a:xfrm>
          <a:off x="3994150" y="459930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90624</xdr:rowOff>
    </xdr:from>
    <xdr:to>
      <xdr:col>5</xdr:col>
      <xdr:colOff>609600</xdr:colOff>
      <xdr:row>214</xdr:row>
      <xdr:rowOff>128724</xdr:rowOff>
    </xdr:to>
    <xdr:sp macro="" textlink="">
      <xdr:nvSpPr>
        <xdr:cNvPr id="312342" name="Text Box 22" hidden="1">
          <a:extLst>
            <a:ext uri="{FF2B5EF4-FFF2-40B4-BE49-F238E27FC236}">
              <a16:creationId xmlns:a16="http://schemas.microsoft.com/office/drawing/2014/main" id="{10CC6170-32F4-4FC7-BA21-342EC3EB44E9}"/>
            </a:ext>
          </a:extLst>
        </xdr:cNvPr>
        <xdr:cNvSpPr txBox="1">
          <a:spLocks noChangeArrowheads="1"/>
        </xdr:cNvSpPr>
      </xdr:nvSpPr>
      <xdr:spPr bwMode="auto">
        <a:xfrm>
          <a:off x="3994150" y="41687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166824</xdr:rowOff>
    </xdr:from>
    <xdr:to>
      <xdr:col>5</xdr:col>
      <xdr:colOff>609600</xdr:colOff>
      <xdr:row>215</xdr:row>
      <xdr:rowOff>166824</xdr:rowOff>
    </xdr:to>
    <xdr:sp macro="" textlink="">
      <xdr:nvSpPr>
        <xdr:cNvPr id="312341" name="Text Box 21" hidden="1">
          <a:extLst>
            <a:ext uri="{FF2B5EF4-FFF2-40B4-BE49-F238E27FC236}">
              <a16:creationId xmlns:a16="http://schemas.microsoft.com/office/drawing/2014/main" id="{9E1DFC1B-5E0C-4098-9606-13C2A8F7658A}"/>
            </a:ext>
          </a:extLst>
        </xdr:cNvPr>
        <xdr:cNvSpPr txBox="1">
          <a:spLocks noChangeArrowheads="1"/>
        </xdr:cNvSpPr>
      </xdr:nvSpPr>
      <xdr:spPr bwMode="auto">
        <a:xfrm>
          <a:off x="3994150" y="421259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166824</xdr:rowOff>
    </xdr:from>
    <xdr:to>
      <xdr:col>5</xdr:col>
      <xdr:colOff>609600</xdr:colOff>
      <xdr:row>217</xdr:row>
      <xdr:rowOff>18803</xdr:rowOff>
    </xdr:to>
    <xdr:sp macro="" textlink="">
      <xdr:nvSpPr>
        <xdr:cNvPr id="312340" name="Text Box 20" hidden="1">
          <a:extLst>
            <a:ext uri="{FF2B5EF4-FFF2-40B4-BE49-F238E27FC236}">
              <a16:creationId xmlns:a16="http://schemas.microsoft.com/office/drawing/2014/main" id="{377D7A44-1B1E-4E94-AD5A-DCAC89A3F208}"/>
            </a:ext>
          </a:extLst>
        </xdr:cNvPr>
        <xdr:cNvSpPr txBox="1">
          <a:spLocks noChangeArrowheads="1"/>
        </xdr:cNvSpPr>
      </xdr:nvSpPr>
      <xdr:spPr bwMode="auto">
        <a:xfrm>
          <a:off x="3994150" y="424942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166824</xdr:rowOff>
    </xdr:from>
    <xdr:to>
      <xdr:col>5</xdr:col>
      <xdr:colOff>609600</xdr:colOff>
      <xdr:row>223</xdr:row>
      <xdr:rowOff>166824</xdr:rowOff>
    </xdr:to>
    <xdr:sp macro="" textlink="">
      <xdr:nvSpPr>
        <xdr:cNvPr id="312339" name="Text Box 19" hidden="1">
          <a:extLst>
            <a:ext uri="{FF2B5EF4-FFF2-40B4-BE49-F238E27FC236}">
              <a16:creationId xmlns:a16="http://schemas.microsoft.com/office/drawing/2014/main" id="{E0FCF23C-E105-40FC-86A8-5E96813A6BAE}"/>
            </a:ext>
          </a:extLst>
        </xdr:cNvPr>
        <xdr:cNvSpPr txBox="1">
          <a:spLocks noChangeArrowheads="1"/>
        </xdr:cNvSpPr>
      </xdr:nvSpPr>
      <xdr:spPr bwMode="auto">
        <a:xfrm>
          <a:off x="3994150" y="428625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12338" name="Text Box 18" hidden="1">
          <a:extLst>
            <a:ext uri="{FF2B5EF4-FFF2-40B4-BE49-F238E27FC236}">
              <a16:creationId xmlns:a16="http://schemas.microsoft.com/office/drawing/2014/main" id="{DA728862-80AD-4483-A29F-A7A162307DA2}"/>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152988</xdr:rowOff>
    </xdr:from>
    <xdr:to>
      <xdr:col>5</xdr:col>
      <xdr:colOff>609600</xdr:colOff>
      <xdr:row>76</xdr:row>
      <xdr:rowOff>271029</xdr:rowOff>
    </xdr:to>
    <xdr:sp macro="" textlink="">
      <xdr:nvSpPr>
        <xdr:cNvPr id="312337" name="Text Box 17" hidden="1">
          <a:extLst>
            <a:ext uri="{FF2B5EF4-FFF2-40B4-BE49-F238E27FC236}">
              <a16:creationId xmlns:a16="http://schemas.microsoft.com/office/drawing/2014/main" id="{CCCD26B6-3D83-4717-AA41-51504AAF6AFF}"/>
            </a:ext>
          </a:extLst>
        </xdr:cNvPr>
        <xdr:cNvSpPr txBox="1">
          <a:spLocks noChangeArrowheads="1"/>
        </xdr:cNvSpPr>
      </xdr:nvSpPr>
      <xdr:spPr bwMode="auto">
        <a:xfrm>
          <a:off x="3994150" y="161988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152988</xdr:rowOff>
    </xdr:from>
    <xdr:to>
      <xdr:col>5</xdr:col>
      <xdr:colOff>609600</xdr:colOff>
      <xdr:row>77</xdr:row>
      <xdr:rowOff>134136</xdr:rowOff>
    </xdr:to>
    <xdr:sp macro="" textlink="">
      <xdr:nvSpPr>
        <xdr:cNvPr id="312336" name="Text Box 16" hidden="1">
          <a:extLst>
            <a:ext uri="{FF2B5EF4-FFF2-40B4-BE49-F238E27FC236}">
              <a16:creationId xmlns:a16="http://schemas.microsoft.com/office/drawing/2014/main" id="{A7C4382E-86A3-4046-8E7C-15086E743C9F}"/>
            </a:ext>
          </a:extLst>
        </xdr:cNvPr>
        <xdr:cNvSpPr txBox="1">
          <a:spLocks noChangeArrowheads="1"/>
        </xdr:cNvSpPr>
      </xdr:nvSpPr>
      <xdr:spPr bwMode="auto">
        <a:xfrm>
          <a:off x="3994150" y="161988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88577</xdr:rowOff>
    </xdr:from>
    <xdr:to>
      <xdr:col>5</xdr:col>
      <xdr:colOff>609600</xdr:colOff>
      <xdr:row>78</xdr:row>
      <xdr:rowOff>66886</xdr:rowOff>
    </xdr:to>
    <xdr:sp macro="" textlink="">
      <xdr:nvSpPr>
        <xdr:cNvPr id="312335" name="Text Box 15" hidden="1">
          <a:extLst>
            <a:ext uri="{FF2B5EF4-FFF2-40B4-BE49-F238E27FC236}">
              <a16:creationId xmlns:a16="http://schemas.microsoft.com/office/drawing/2014/main" id="{B3546F50-B39A-416B-94A1-422D11D6C82A}"/>
            </a:ext>
          </a:extLst>
        </xdr:cNvPr>
        <xdr:cNvSpPr txBox="1">
          <a:spLocks noChangeArrowheads="1"/>
        </xdr:cNvSpPr>
      </xdr:nvSpPr>
      <xdr:spPr bwMode="auto">
        <a:xfrm>
          <a:off x="3994150" y="163131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79052</xdr:rowOff>
    </xdr:from>
    <xdr:to>
      <xdr:col>5</xdr:col>
      <xdr:colOff>609600</xdr:colOff>
      <xdr:row>81</xdr:row>
      <xdr:rowOff>74093</xdr:rowOff>
    </xdr:to>
    <xdr:sp macro="" textlink="">
      <xdr:nvSpPr>
        <xdr:cNvPr id="312334" name="Text Box 14" hidden="1">
          <a:extLst>
            <a:ext uri="{FF2B5EF4-FFF2-40B4-BE49-F238E27FC236}">
              <a16:creationId xmlns:a16="http://schemas.microsoft.com/office/drawing/2014/main" id="{F218059C-462B-471B-B2C8-716D8B59A3EA}"/>
            </a:ext>
          </a:extLst>
        </xdr:cNvPr>
        <xdr:cNvSpPr txBox="1">
          <a:spLocks noChangeArrowheads="1"/>
        </xdr:cNvSpPr>
      </xdr:nvSpPr>
      <xdr:spPr bwMode="auto">
        <a:xfrm>
          <a:off x="3994150" y="164973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9737</xdr:rowOff>
    </xdr:from>
    <xdr:to>
      <xdr:col>5</xdr:col>
      <xdr:colOff>609600</xdr:colOff>
      <xdr:row>87</xdr:row>
      <xdr:rowOff>7309</xdr:rowOff>
    </xdr:to>
    <xdr:sp macro="" textlink="">
      <xdr:nvSpPr>
        <xdr:cNvPr id="312333" name="Text Box 13" hidden="1">
          <a:extLst>
            <a:ext uri="{FF2B5EF4-FFF2-40B4-BE49-F238E27FC236}">
              <a16:creationId xmlns:a16="http://schemas.microsoft.com/office/drawing/2014/main" id="{252B37E3-4EF9-4736-8F7D-29CF0FFDF632}"/>
            </a:ext>
          </a:extLst>
        </xdr:cNvPr>
        <xdr:cNvSpPr txBox="1">
          <a:spLocks noChangeArrowheads="1"/>
        </xdr:cNvSpPr>
      </xdr:nvSpPr>
      <xdr:spPr bwMode="auto">
        <a:xfrm>
          <a:off x="3994150" y="17195800"/>
          <a:ext cx="1314450" cy="170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24445</xdr:rowOff>
    </xdr:from>
    <xdr:to>
      <xdr:col>5</xdr:col>
      <xdr:colOff>609600</xdr:colOff>
      <xdr:row>98</xdr:row>
      <xdr:rowOff>1536</xdr:rowOff>
    </xdr:to>
    <xdr:sp macro="" textlink="">
      <xdr:nvSpPr>
        <xdr:cNvPr id="312332" name="Text Box 12" hidden="1">
          <a:extLst>
            <a:ext uri="{FF2B5EF4-FFF2-40B4-BE49-F238E27FC236}">
              <a16:creationId xmlns:a16="http://schemas.microsoft.com/office/drawing/2014/main" id="{7EC3AE11-B17A-4F23-875C-8057673863A1}"/>
            </a:ext>
          </a:extLst>
        </xdr:cNvPr>
        <xdr:cNvSpPr txBox="1">
          <a:spLocks noChangeArrowheads="1"/>
        </xdr:cNvSpPr>
      </xdr:nvSpPr>
      <xdr:spPr bwMode="auto">
        <a:xfrm>
          <a:off x="3994150" y="20370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197538</xdr:rowOff>
    </xdr:from>
    <xdr:to>
      <xdr:col>5</xdr:col>
      <xdr:colOff>609600</xdr:colOff>
      <xdr:row>98</xdr:row>
      <xdr:rowOff>186070</xdr:rowOff>
    </xdr:to>
    <xdr:sp macro="" textlink="">
      <xdr:nvSpPr>
        <xdr:cNvPr id="312331" name="Text Box 11" hidden="1">
          <a:extLst>
            <a:ext uri="{FF2B5EF4-FFF2-40B4-BE49-F238E27FC236}">
              <a16:creationId xmlns:a16="http://schemas.microsoft.com/office/drawing/2014/main" id="{B3AA88FA-DC57-47BA-A3C6-D9147E95F6E2}"/>
            </a:ext>
          </a:extLst>
        </xdr:cNvPr>
        <xdr:cNvSpPr txBox="1">
          <a:spLocks noChangeArrowheads="1"/>
        </xdr:cNvSpPr>
      </xdr:nvSpPr>
      <xdr:spPr bwMode="auto">
        <a:xfrm>
          <a:off x="3994150" y="205549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149147</xdr:rowOff>
    </xdr:from>
    <xdr:to>
      <xdr:col>5</xdr:col>
      <xdr:colOff>609600</xdr:colOff>
      <xdr:row>99</xdr:row>
      <xdr:rowOff>186071</xdr:rowOff>
    </xdr:to>
    <xdr:sp macro="" textlink="">
      <xdr:nvSpPr>
        <xdr:cNvPr id="312330" name="Text Box 10" hidden="1">
          <a:extLst>
            <a:ext uri="{FF2B5EF4-FFF2-40B4-BE49-F238E27FC236}">
              <a16:creationId xmlns:a16="http://schemas.microsoft.com/office/drawing/2014/main" id="{84DFF8CB-6854-40A1-A05F-9B3D6D17187F}"/>
            </a:ext>
          </a:extLst>
        </xdr:cNvPr>
        <xdr:cNvSpPr txBox="1">
          <a:spLocks noChangeArrowheads="1"/>
        </xdr:cNvSpPr>
      </xdr:nvSpPr>
      <xdr:spPr bwMode="auto">
        <a:xfrm>
          <a:off x="3994150" y="207391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94407</xdr:rowOff>
    </xdr:from>
    <xdr:to>
      <xdr:col>5</xdr:col>
      <xdr:colOff>609600</xdr:colOff>
      <xdr:row>100</xdr:row>
      <xdr:rowOff>184101</xdr:rowOff>
    </xdr:to>
    <xdr:sp macro="" textlink="">
      <xdr:nvSpPr>
        <xdr:cNvPr id="312329" name="Text Box 9" hidden="1">
          <a:extLst>
            <a:ext uri="{FF2B5EF4-FFF2-40B4-BE49-F238E27FC236}">
              <a16:creationId xmlns:a16="http://schemas.microsoft.com/office/drawing/2014/main" id="{C4E0B211-9B7F-4B48-AC2A-D6C1FAD35617}"/>
            </a:ext>
          </a:extLst>
        </xdr:cNvPr>
        <xdr:cNvSpPr txBox="1">
          <a:spLocks noChangeArrowheads="1"/>
        </xdr:cNvSpPr>
      </xdr:nvSpPr>
      <xdr:spPr bwMode="auto">
        <a:xfrm>
          <a:off x="3994150" y="209232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118</xdr:row>
      <xdr:rowOff>111879</xdr:rowOff>
    </xdr:from>
    <xdr:to>
      <xdr:col>5</xdr:col>
      <xdr:colOff>609600</xdr:colOff>
      <xdr:row>123</xdr:row>
      <xdr:rowOff>131926</xdr:rowOff>
    </xdr:to>
    <xdr:sp macro="" textlink="">
      <xdr:nvSpPr>
        <xdr:cNvPr id="312328" name="Text Box 8" hidden="1">
          <a:extLst>
            <a:ext uri="{FF2B5EF4-FFF2-40B4-BE49-F238E27FC236}">
              <a16:creationId xmlns:a16="http://schemas.microsoft.com/office/drawing/2014/main" id="{866AAD52-1FFD-44F0-9CAA-D29FEACF3BC9}"/>
            </a:ext>
          </a:extLst>
        </xdr:cNvPr>
        <xdr:cNvSpPr txBox="1">
          <a:spLocks noChangeArrowheads="1"/>
        </xdr:cNvSpPr>
      </xdr:nvSpPr>
      <xdr:spPr bwMode="auto">
        <a:xfrm>
          <a:off x="3994150" y="250253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119</xdr:row>
      <xdr:rowOff>95413</xdr:rowOff>
    </xdr:from>
    <xdr:to>
      <xdr:col>5</xdr:col>
      <xdr:colOff>609600</xdr:colOff>
      <xdr:row>123</xdr:row>
      <xdr:rowOff>131926</xdr:rowOff>
    </xdr:to>
    <xdr:sp macro="" textlink="">
      <xdr:nvSpPr>
        <xdr:cNvPr id="312327" name="Text Box 7" hidden="1">
          <a:extLst>
            <a:ext uri="{FF2B5EF4-FFF2-40B4-BE49-F238E27FC236}">
              <a16:creationId xmlns:a16="http://schemas.microsoft.com/office/drawing/2014/main" id="{B3E2ED39-5CF3-4144-9BBE-D680989986B7}"/>
            </a:ext>
          </a:extLst>
        </xdr:cNvPr>
        <xdr:cNvSpPr txBox="1">
          <a:spLocks noChangeArrowheads="1"/>
        </xdr:cNvSpPr>
      </xdr:nvSpPr>
      <xdr:spPr bwMode="auto">
        <a:xfrm>
          <a:off x="3994150" y="252095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66045</xdr:rowOff>
    </xdr:from>
    <xdr:to>
      <xdr:col>5</xdr:col>
      <xdr:colOff>609600</xdr:colOff>
      <xdr:row>123</xdr:row>
      <xdr:rowOff>131926</xdr:rowOff>
    </xdr:to>
    <xdr:sp macro="" textlink="">
      <xdr:nvSpPr>
        <xdr:cNvPr id="312326" name="Text Box 6" hidden="1">
          <a:extLst>
            <a:ext uri="{FF2B5EF4-FFF2-40B4-BE49-F238E27FC236}">
              <a16:creationId xmlns:a16="http://schemas.microsoft.com/office/drawing/2014/main" id="{D621EBD7-4FD6-42A9-B56F-07785B99FDCE}"/>
            </a:ext>
          </a:extLst>
        </xdr:cNvPr>
        <xdr:cNvSpPr txBox="1">
          <a:spLocks noChangeArrowheads="1"/>
        </xdr:cNvSpPr>
      </xdr:nvSpPr>
      <xdr:spPr bwMode="auto">
        <a:xfrm>
          <a:off x="3994150" y="25393650"/>
          <a:ext cx="1314450" cy="596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45407</xdr:rowOff>
    </xdr:from>
    <xdr:to>
      <xdr:col>5</xdr:col>
      <xdr:colOff>609600</xdr:colOff>
      <xdr:row>123</xdr:row>
      <xdr:rowOff>131926</xdr:rowOff>
    </xdr:to>
    <xdr:sp macro="" textlink="">
      <xdr:nvSpPr>
        <xdr:cNvPr id="312325" name="Text Box 5" hidden="1">
          <a:extLst>
            <a:ext uri="{FF2B5EF4-FFF2-40B4-BE49-F238E27FC236}">
              <a16:creationId xmlns:a16="http://schemas.microsoft.com/office/drawing/2014/main" id="{C60A3970-7BA3-4252-9EC3-15C3FD244C28}"/>
            </a:ext>
          </a:extLst>
        </xdr:cNvPr>
        <xdr:cNvSpPr txBox="1">
          <a:spLocks noChangeArrowheads="1"/>
        </xdr:cNvSpPr>
      </xdr:nvSpPr>
      <xdr:spPr bwMode="auto">
        <a:xfrm>
          <a:off x="3994150" y="25361900"/>
          <a:ext cx="1314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24</xdr:row>
      <xdr:rowOff>57649</xdr:rowOff>
    </xdr:from>
    <xdr:to>
      <xdr:col>21</xdr:col>
      <xdr:colOff>448469</xdr:colOff>
      <xdr:row>28</xdr:row>
      <xdr:rowOff>120820</xdr:rowOff>
    </xdr:to>
    <xdr:sp macro="" textlink="">
      <xdr:nvSpPr>
        <xdr:cNvPr id="312322" name="Text Box 2" hidden="1">
          <a:extLst>
            <a:ext uri="{FF2B5EF4-FFF2-40B4-BE49-F238E27FC236}">
              <a16:creationId xmlns:a16="http://schemas.microsoft.com/office/drawing/2014/main" id="{C3534DDB-508C-41FE-B150-11F7E31A5E2B}"/>
            </a:ext>
          </a:extLst>
        </xdr:cNvPr>
        <xdr:cNvSpPr txBox="1">
          <a:spLocks noChangeArrowheads="1"/>
        </xdr:cNvSpPr>
      </xdr:nvSpPr>
      <xdr:spPr bwMode="auto">
        <a:xfrm>
          <a:off x="17526000" y="57785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144</xdr:row>
      <xdr:rowOff>35882</xdr:rowOff>
    </xdr:from>
    <xdr:to>
      <xdr:col>21</xdr:col>
      <xdr:colOff>448469</xdr:colOff>
      <xdr:row>148</xdr:row>
      <xdr:rowOff>73983</xdr:rowOff>
    </xdr:to>
    <xdr:sp macro="" textlink="">
      <xdr:nvSpPr>
        <xdr:cNvPr id="312321" name="Text Box 1" hidden="1">
          <a:extLst>
            <a:ext uri="{FF2B5EF4-FFF2-40B4-BE49-F238E27FC236}">
              <a16:creationId xmlns:a16="http://schemas.microsoft.com/office/drawing/2014/main" id="{F7A85577-42A2-48D6-953F-4F95ED7B7DCB}"/>
            </a:ext>
          </a:extLst>
        </xdr:cNvPr>
        <xdr:cNvSpPr txBox="1">
          <a:spLocks noChangeArrowheads="1"/>
        </xdr:cNvSpPr>
      </xdr:nvSpPr>
      <xdr:spPr bwMode="auto">
        <a:xfrm>
          <a:off x="17526000" y="29794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677069</xdr:colOff>
      <xdr:row>30</xdr:row>
      <xdr:rowOff>65088</xdr:rowOff>
    </xdr:from>
    <xdr:to>
      <xdr:col>21</xdr:col>
      <xdr:colOff>410369</xdr:colOff>
      <xdr:row>35</xdr:row>
      <xdr:rowOff>1587</xdr:rowOff>
    </xdr:to>
    <xdr:sp macro="" textlink="">
      <xdr:nvSpPr>
        <xdr:cNvPr id="312352" name="Text Box 32" hidden="1">
          <a:extLst>
            <a:ext uri="{FF2B5EF4-FFF2-40B4-BE49-F238E27FC236}">
              <a16:creationId xmlns:a16="http://schemas.microsoft.com/office/drawing/2014/main" id="{C3B50093-3956-44EE-AEC7-FA28E6561D97}"/>
            </a:ext>
          </a:extLst>
        </xdr:cNvPr>
        <xdr:cNvSpPr txBox="1">
          <a:spLocks noChangeArrowheads="1"/>
        </xdr:cNvSpPr>
      </xdr:nvSpPr>
      <xdr:spPr bwMode="auto">
        <a:xfrm>
          <a:off x="17564100" y="684530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866775</xdr:colOff>
      <xdr:row>31</xdr:row>
      <xdr:rowOff>83344</xdr:rowOff>
    </xdr:from>
    <xdr:to>
      <xdr:col>16</xdr:col>
      <xdr:colOff>410369</xdr:colOff>
      <xdr:row>36</xdr:row>
      <xdr:rowOff>1587</xdr:rowOff>
    </xdr:to>
    <xdr:sp macro="" textlink="">
      <xdr:nvSpPr>
        <xdr:cNvPr id="312353" name="Text Box 33" hidden="1">
          <a:extLst>
            <a:ext uri="{FF2B5EF4-FFF2-40B4-BE49-F238E27FC236}">
              <a16:creationId xmlns:a16="http://schemas.microsoft.com/office/drawing/2014/main" id="{36EC1BD6-6892-4A76-9A40-6AB759BF6AED}"/>
            </a:ext>
          </a:extLst>
        </xdr:cNvPr>
        <xdr:cNvSpPr txBox="1">
          <a:spLocks noChangeArrowheads="1"/>
        </xdr:cNvSpPr>
      </xdr:nvSpPr>
      <xdr:spPr bwMode="auto">
        <a:xfrm>
          <a:off x="13677900" y="702945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12380" name="Text Box 60" hidden="1">
          <a:extLst>
            <a:ext uri="{FF2B5EF4-FFF2-40B4-BE49-F238E27FC236}">
              <a16:creationId xmlns:a16="http://schemas.microsoft.com/office/drawing/2014/main" id="{53624875-A8CA-4383-B3E5-1DCB6657BB78}"/>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2929</xdr:rowOff>
    </xdr:from>
    <xdr:to>
      <xdr:col>5</xdr:col>
      <xdr:colOff>609600</xdr:colOff>
      <xdr:row>245</xdr:row>
      <xdr:rowOff>2929</xdr:rowOff>
    </xdr:to>
    <xdr:sp macro="" textlink="">
      <xdr:nvSpPr>
        <xdr:cNvPr id="312379" name="Text Box 59" hidden="1">
          <a:extLst>
            <a:ext uri="{FF2B5EF4-FFF2-40B4-BE49-F238E27FC236}">
              <a16:creationId xmlns:a16="http://schemas.microsoft.com/office/drawing/2014/main" id="{3FA73798-BCAE-40BD-B929-BDAAA4E266D8}"/>
            </a:ext>
          </a:extLst>
        </xdr:cNvPr>
        <xdr:cNvSpPr txBox="1">
          <a:spLocks noChangeArrowheads="1"/>
        </xdr:cNvSpPr>
      </xdr:nvSpPr>
      <xdr:spPr bwMode="auto">
        <a:xfrm>
          <a:off x="3994150" y="441769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223</xdr:row>
      <xdr:rowOff>150949</xdr:rowOff>
    </xdr:from>
    <xdr:to>
      <xdr:col>5</xdr:col>
      <xdr:colOff>609600</xdr:colOff>
      <xdr:row>244</xdr:row>
      <xdr:rowOff>112849</xdr:rowOff>
    </xdr:to>
    <xdr:sp macro="" textlink="">
      <xdr:nvSpPr>
        <xdr:cNvPr id="312378" name="Text Box 58" hidden="1">
          <a:extLst>
            <a:ext uri="{FF2B5EF4-FFF2-40B4-BE49-F238E27FC236}">
              <a16:creationId xmlns:a16="http://schemas.microsoft.com/office/drawing/2014/main" id="{373B89C6-EA34-4523-89DC-4A7C805F5286}"/>
            </a:ext>
          </a:extLst>
        </xdr:cNvPr>
        <xdr:cNvSpPr txBox="1">
          <a:spLocks noChangeArrowheads="1"/>
        </xdr:cNvSpPr>
      </xdr:nvSpPr>
      <xdr:spPr bwMode="auto">
        <a:xfrm>
          <a:off x="3994150" y="445071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150949</xdr:rowOff>
    </xdr:from>
    <xdr:to>
      <xdr:col>5</xdr:col>
      <xdr:colOff>609600</xdr:colOff>
      <xdr:row>246</xdr:row>
      <xdr:rowOff>2928</xdr:rowOff>
    </xdr:to>
    <xdr:sp macro="" textlink="">
      <xdr:nvSpPr>
        <xdr:cNvPr id="312377" name="Text Box 57" hidden="1">
          <a:extLst>
            <a:ext uri="{FF2B5EF4-FFF2-40B4-BE49-F238E27FC236}">
              <a16:creationId xmlns:a16="http://schemas.microsoft.com/office/drawing/2014/main" id="{66236043-EF53-4FB0-A0FF-3434B5AF95E0}"/>
            </a:ext>
          </a:extLst>
        </xdr:cNvPr>
        <xdr:cNvSpPr txBox="1">
          <a:spLocks noChangeArrowheads="1"/>
        </xdr:cNvSpPr>
      </xdr:nvSpPr>
      <xdr:spPr bwMode="auto">
        <a:xfrm>
          <a:off x="3994150" y="450596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150949</xdr:rowOff>
    </xdr:from>
    <xdr:to>
      <xdr:col>5</xdr:col>
      <xdr:colOff>609600</xdr:colOff>
      <xdr:row>233</xdr:row>
      <xdr:rowOff>112849</xdr:rowOff>
    </xdr:to>
    <xdr:sp macro="" textlink="">
      <xdr:nvSpPr>
        <xdr:cNvPr id="312376" name="Text Box 56" hidden="1">
          <a:extLst>
            <a:ext uri="{FF2B5EF4-FFF2-40B4-BE49-F238E27FC236}">
              <a16:creationId xmlns:a16="http://schemas.microsoft.com/office/drawing/2014/main" id="{FBDDAAEF-CC92-4ABF-8C0E-87D2136BD04C}"/>
            </a:ext>
          </a:extLst>
        </xdr:cNvPr>
        <xdr:cNvSpPr txBox="1">
          <a:spLocks noChangeArrowheads="1"/>
        </xdr:cNvSpPr>
      </xdr:nvSpPr>
      <xdr:spPr bwMode="auto">
        <a:xfrm>
          <a:off x="3994150" y="452437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74749</xdr:rowOff>
    </xdr:from>
    <xdr:to>
      <xdr:col>5</xdr:col>
      <xdr:colOff>609600</xdr:colOff>
      <xdr:row>210</xdr:row>
      <xdr:rowOff>112849</xdr:rowOff>
    </xdr:to>
    <xdr:sp macro="" textlink="">
      <xdr:nvSpPr>
        <xdr:cNvPr id="312375" name="Text Box 55" hidden="1">
          <a:extLst>
            <a:ext uri="{FF2B5EF4-FFF2-40B4-BE49-F238E27FC236}">
              <a16:creationId xmlns:a16="http://schemas.microsoft.com/office/drawing/2014/main" id="{9671EAD1-CF55-4CE8-878D-59C2C34AAF02}"/>
            </a:ext>
          </a:extLst>
        </xdr:cNvPr>
        <xdr:cNvSpPr txBox="1">
          <a:spLocks noChangeArrowheads="1"/>
        </xdr:cNvSpPr>
      </xdr:nvSpPr>
      <xdr:spPr bwMode="auto">
        <a:xfrm>
          <a:off x="3994150" y="409384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150950</xdr:rowOff>
    </xdr:from>
    <xdr:to>
      <xdr:col>5</xdr:col>
      <xdr:colOff>609600</xdr:colOff>
      <xdr:row>211</xdr:row>
      <xdr:rowOff>169999</xdr:rowOff>
    </xdr:to>
    <xdr:sp macro="" textlink="">
      <xdr:nvSpPr>
        <xdr:cNvPr id="312374" name="Text Box 54" hidden="1">
          <a:extLst>
            <a:ext uri="{FF2B5EF4-FFF2-40B4-BE49-F238E27FC236}">
              <a16:creationId xmlns:a16="http://schemas.microsoft.com/office/drawing/2014/main" id="{B8CB7696-6CBD-4D4B-939D-2D3592DFBA48}"/>
            </a:ext>
          </a:extLst>
        </xdr:cNvPr>
        <xdr:cNvSpPr txBox="1">
          <a:spLocks noChangeArrowheads="1"/>
        </xdr:cNvSpPr>
      </xdr:nvSpPr>
      <xdr:spPr bwMode="auto">
        <a:xfrm>
          <a:off x="3994150" y="413766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150949</xdr:rowOff>
    </xdr:from>
    <xdr:to>
      <xdr:col>5</xdr:col>
      <xdr:colOff>609600</xdr:colOff>
      <xdr:row>213</xdr:row>
      <xdr:rowOff>2929</xdr:rowOff>
    </xdr:to>
    <xdr:sp macro="" textlink="">
      <xdr:nvSpPr>
        <xdr:cNvPr id="312373" name="Text Box 53" hidden="1">
          <a:extLst>
            <a:ext uri="{FF2B5EF4-FFF2-40B4-BE49-F238E27FC236}">
              <a16:creationId xmlns:a16="http://schemas.microsoft.com/office/drawing/2014/main" id="{F5DC6244-C4CA-4CD9-B958-B537659060E9}"/>
            </a:ext>
          </a:extLst>
        </xdr:cNvPr>
        <xdr:cNvSpPr txBox="1">
          <a:spLocks noChangeArrowheads="1"/>
        </xdr:cNvSpPr>
      </xdr:nvSpPr>
      <xdr:spPr bwMode="auto">
        <a:xfrm>
          <a:off x="3994150" y="41744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150949</xdr:rowOff>
    </xdr:from>
    <xdr:to>
      <xdr:col>5</xdr:col>
      <xdr:colOff>609600</xdr:colOff>
      <xdr:row>219</xdr:row>
      <xdr:rowOff>169999</xdr:rowOff>
    </xdr:to>
    <xdr:sp macro="" textlink="">
      <xdr:nvSpPr>
        <xdr:cNvPr id="312372" name="Text Box 52" hidden="1">
          <a:extLst>
            <a:ext uri="{FF2B5EF4-FFF2-40B4-BE49-F238E27FC236}">
              <a16:creationId xmlns:a16="http://schemas.microsoft.com/office/drawing/2014/main" id="{C5E945D5-3986-4643-8B19-D5EF73FA79D0}"/>
            </a:ext>
          </a:extLst>
        </xdr:cNvPr>
        <xdr:cNvSpPr txBox="1">
          <a:spLocks noChangeArrowheads="1"/>
        </xdr:cNvSpPr>
      </xdr:nvSpPr>
      <xdr:spPr bwMode="auto">
        <a:xfrm>
          <a:off x="3994150" y="421132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149612</xdr:rowOff>
    </xdr:from>
    <xdr:to>
      <xdr:col>5</xdr:col>
      <xdr:colOff>609600</xdr:colOff>
      <xdr:row>73</xdr:row>
      <xdr:rowOff>107127</xdr:rowOff>
    </xdr:to>
    <xdr:sp macro="" textlink="">
      <xdr:nvSpPr>
        <xdr:cNvPr id="312370" name="Text Box 50" hidden="1">
          <a:extLst>
            <a:ext uri="{FF2B5EF4-FFF2-40B4-BE49-F238E27FC236}">
              <a16:creationId xmlns:a16="http://schemas.microsoft.com/office/drawing/2014/main" id="{51B3F5F0-03CB-446F-BAC8-7D93232BA013}"/>
            </a:ext>
          </a:extLst>
        </xdr:cNvPr>
        <xdr:cNvSpPr txBox="1">
          <a:spLocks noChangeArrowheads="1"/>
        </xdr:cNvSpPr>
      </xdr:nvSpPr>
      <xdr:spPr bwMode="auto">
        <a:xfrm>
          <a:off x="3994150" y="154495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149612</xdr:rowOff>
    </xdr:from>
    <xdr:to>
      <xdr:col>5</xdr:col>
      <xdr:colOff>609600</xdr:colOff>
      <xdr:row>74</xdr:row>
      <xdr:rowOff>171744</xdr:rowOff>
    </xdr:to>
    <xdr:sp macro="" textlink="">
      <xdr:nvSpPr>
        <xdr:cNvPr id="312369" name="Text Box 49" hidden="1">
          <a:extLst>
            <a:ext uri="{FF2B5EF4-FFF2-40B4-BE49-F238E27FC236}">
              <a16:creationId xmlns:a16="http://schemas.microsoft.com/office/drawing/2014/main" id="{4E27CBC6-FA75-43E0-B44B-AC1D7EF341E6}"/>
            </a:ext>
          </a:extLst>
        </xdr:cNvPr>
        <xdr:cNvSpPr txBox="1">
          <a:spLocks noChangeArrowheads="1"/>
        </xdr:cNvSpPr>
      </xdr:nvSpPr>
      <xdr:spPr bwMode="auto">
        <a:xfrm>
          <a:off x="3994150" y="154495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69620</xdr:rowOff>
    </xdr:from>
    <xdr:to>
      <xdr:col>5</xdr:col>
      <xdr:colOff>609600</xdr:colOff>
      <xdr:row>75</xdr:row>
      <xdr:rowOff>124529</xdr:rowOff>
    </xdr:to>
    <xdr:sp macro="" textlink="">
      <xdr:nvSpPr>
        <xdr:cNvPr id="312368" name="Text Box 48" hidden="1">
          <a:extLst>
            <a:ext uri="{FF2B5EF4-FFF2-40B4-BE49-F238E27FC236}">
              <a16:creationId xmlns:a16="http://schemas.microsoft.com/office/drawing/2014/main" id="{44734B09-1C6B-41DD-848B-1823D2D6C72D}"/>
            </a:ext>
          </a:extLst>
        </xdr:cNvPr>
        <xdr:cNvSpPr txBox="1">
          <a:spLocks noChangeArrowheads="1"/>
        </xdr:cNvSpPr>
      </xdr:nvSpPr>
      <xdr:spPr bwMode="auto">
        <a:xfrm>
          <a:off x="3994150" y="155638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69621</xdr:rowOff>
    </xdr:from>
    <xdr:to>
      <xdr:col>5</xdr:col>
      <xdr:colOff>609600</xdr:colOff>
      <xdr:row>77</xdr:row>
      <xdr:rowOff>123024</xdr:rowOff>
    </xdr:to>
    <xdr:sp macro="" textlink="">
      <xdr:nvSpPr>
        <xdr:cNvPr id="312367" name="Text Box 47" hidden="1">
          <a:extLst>
            <a:ext uri="{FF2B5EF4-FFF2-40B4-BE49-F238E27FC236}">
              <a16:creationId xmlns:a16="http://schemas.microsoft.com/office/drawing/2014/main" id="{3887D86D-B178-43D9-9133-AACC3A09759A}"/>
            </a:ext>
          </a:extLst>
        </xdr:cNvPr>
        <xdr:cNvSpPr txBox="1">
          <a:spLocks noChangeArrowheads="1"/>
        </xdr:cNvSpPr>
      </xdr:nvSpPr>
      <xdr:spPr bwMode="auto">
        <a:xfrm>
          <a:off x="3994150" y="157480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50711</xdr:rowOff>
    </xdr:from>
    <xdr:to>
      <xdr:col>5</xdr:col>
      <xdr:colOff>609600</xdr:colOff>
      <xdr:row>83</xdr:row>
      <xdr:rowOff>4928</xdr:rowOff>
    </xdr:to>
    <xdr:sp macro="" textlink="">
      <xdr:nvSpPr>
        <xdr:cNvPr id="312366" name="Text Box 46" hidden="1">
          <a:extLst>
            <a:ext uri="{FF2B5EF4-FFF2-40B4-BE49-F238E27FC236}">
              <a16:creationId xmlns:a16="http://schemas.microsoft.com/office/drawing/2014/main" id="{481989A4-E870-45A7-9E09-1B67AC6AC4DB}"/>
            </a:ext>
          </a:extLst>
        </xdr:cNvPr>
        <xdr:cNvSpPr txBox="1">
          <a:spLocks noChangeArrowheads="1"/>
        </xdr:cNvSpPr>
      </xdr:nvSpPr>
      <xdr:spPr bwMode="auto">
        <a:xfrm>
          <a:off x="3994150" y="16446500"/>
          <a:ext cx="1314450" cy="1720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958</xdr:rowOff>
    </xdr:from>
    <xdr:to>
      <xdr:col>5</xdr:col>
      <xdr:colOff>609600</xdr:colOff>
      <xdr:row>94</xdr:row>
      <xdr:rowOff>101494</xdr:rowOff>
    </xdr:to>
    <xdr:sp macro="" textlink="">
      <xdr:nvSpPr>
        <xdr:cNvPr id="312365" name="Text Box 45" hidden="1">
          <a:extLst>
            <a:ext uri="{FF2B5EF4-FFF2-40B4-BE49-F238E27FC236}">
              <a16:creationId xmlns:a16="http://schemas.microsoft.com/office/drawing/2014/main" id="{63F665F0-FF13-40B1-8042-24C19FF5E7CA}"/>
            </a:ext>
          </a:extLst>
        </xdr:cNvPr>
        <xdr:cNvSpPr txBox="1">
          <a:spLocks noChangeArrowheads="1"/>
        </xdr:cNvSpPr>
      </xdr:nvSpPr>
      <xdr:spPr bwMode="auto">
        <a:xfrm>
          <a:off x="3994150" y="196215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158338</xdr:rowOff>
    </xdr:from>
    <xdr:to>
      <xdr:col>5</xdr:col>
      <xdr:colOff>609600</xdr:colOff>
      <xdr:row>95</xdr:row>
      <xdr:rowOff>56278</xdr:rowOff>
    </xdr:to>
    <xdr:sp macro="" textlink="">
      <xdr:nvSpPr>
        <xdr:cNvPr id="312364" name="Text Box 44" hidden="1">
          <a:extLst>
            <a:ext uri="{FF2B5EF4-FFF2-40B4-BE49-F238E27FC236}">
              <a16:creationId xmlns:a16="http://schemas.microsoft.com/office/drawing/2014/main" id="{BE88554A-90A8-42E3-859D-AE3FB0BF1FC4}"/>
            </a:ext>
          </a:extLst>
        </xdr:cNvPr>
        <xdr:cNvSpPr txBox="1">
          <a:spLocks noChangeArrowheads="1"/>
        </xdr:cNvSpPr>
      </xdr:nvSpPr>
      <xdr:spPr bwMode="auto">
        <a:xfrm>
          <a:off x="3994150" y="198056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133529</xdr:rowOff>
    </xdr:from>
    <xdr:to>
      <xdr:col>5</xdr:col>
      <xdr:colOff>609600</xdr:colOff>
      <xdr:row>96</xdr:row>
      <xdr:rowOff>1538</xdr:rowOff>
    </xdr:to>
    <xdr:sp macro="" textlink="">
      <xdr:nvSpPr>
        <xdr:cNvPr id="312363" name="Text Box 43" hidden="1">
          <a:extLst>
            <a:ext uri="{FF2B5EF4-FFF2-40B4-BE49-F238E27FC236}">
              <a16:creationId xmlns:a16="http://schemas.microsoft.com/office/drawing/2014/main" id="{E4D59710-5CE5-48DA-A30F-D9724E10D4CD}"/>
            </a:ext>
          </a:extLst>
        </xdr:cNvPr>
        <xdr:cNvSpPr txBox="1">
          <a:spLocks noChangeArrowheads="1"/>
        </xdr:cNvSpPr>
      </xdr:nvSpPr>
      <xdr:spPr bwMode="auto">
        <a:xfrm>
          <a:off x="3994150" y="199898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54114</xdr:rowOff>
    </xdr:from>
    <xdr:to>
      <xdr:col>5</xdr:col>
      <xdr:colOff>609600</xdr:colOff>
      <xdr:row>97</xdr:row>
      <xdr:rowOff>1537</xdr:rowOff>
    </xdr:to>
    <xdr:sp macro="" textlink="">
      <xdr:nvSpPr>
        <xdr:cNvPr id="312362" name="Text Box 42" hidden="1">
          <a:extLst>
            <a:ext uri="{FF2B5EF4-FFF2-40B4-BE49-F238E27FC236}">
              <a16:creationId xmlns:a16="http://schemas.microsoft.com/office/drawing/2014/main" id="{D35225BE-8C92-4CE8-BB2C-A325CB0F4E63}"/>
            </a:ext>
          </a:extLst>
        </xdr:cNvPr>
        <xdr:cNvSpPr txBox="1">
          <a:spLocks noChangeArrowheads="1"/>
        </xdr:cNvSpPr>
      </xdr:nvSpPr>
      <xdr:spPr bwMode="auto">
        <a:xfrm>
          <a:off x="3994150" y="201739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129371</xdr:rowOff>
    </xdr:from>
    <xdr:to>
      <xdr:col>5</xdr:col>
      <xdr:colOff>609600</xdr:colOff>
      <xdr:row>119</xdr:row>
      <xdr:rowOff>131926</xdr:rowOff>
    </xdr:to>
    <xdr:sp macro="" textlink="">
      <xdr:nvSpPr>
        <xdr:cNvPr id="312361" name="Text Box 41" hidden="1">
          <a:extLst>
            <a:ext uri="{FF2B5EF4-FFF2-40B4-BE49-F238E27FC236}">
              <a16:creationId xmlns:a16="http://schemas.microsoft.com/office/drawing/2014/main" id="{47139516-3EDA-4C7C-89C0-CEF4FF83C015}"/>
            </a:ext>
          </a:extLst>
        </xdr:cNvPr>
        <xdr:cNvSpPr txBox="1">
          <a:spLocks noChangeArrowheads="1"/>
        </xdr:cNvSpPr>
      </xdr:nvSpPr>
      <xdr:spPr bwMode="auto">
        <a:xfrm>
          <a:off x="3994150" y="24276050"/>
          <a:ext cx="13144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125374</xdr:rowOff>
    </xdr:from>
    <xdr:to>
      <xdr:col>5</xdr:col>
      <xdr:colOff>609600</xdr:colOff>
      <xdr:row>119</xdr:row>
      <xdr:rowOff>131926</xdr:rowOff>
    </xdr:to>
    <xdr:sp macro="" textlink="">
      <xdr:nvSpPr>
        <xdr:cNvPr id="312360" name="Text Box 40" hidden="1">
          <a:extLst>
            <a:ext uri="{FF2B5EF4-FFF2-40B4-BE49-F238E27FC236}">
              <a16:creationId xmlns:a16="http://schemas.microsoft.com/office/drawing/2014/main" id="{3969DDE0-8CEA-4E63-B6CA-C84325F4E0D0}"/>
            </a:ext>
          </a:extLst>
        </xdr:cNvPr>
        <xdr:cNvSpPr txBox="1">
          <a:spLocks noChangeArrowheads="1"/>
        </xdr:cNvSpPr>
      </xdr:nvSpPr>
      <xdr:spPr bwMode="auto">
        <a:xfrm>
          <a:off x="3994150" y="244602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103943</xdr:rowOff>
    </xdr:from>
    <xdr:to>
      <xdr:col>5</xdr:col>
      <xdr:colOff>609600</xdr:colOff>
      <xdr:row>119</xdr:row>
      <xdr:rowOff>131926</xdr:rowOff>
    </xdr:to>
    <xdr:sp macro="" textlink="">
      <xdr:nvSpPr>
        <xdr:cNvPr id="312359" name="Text Box 39" hidden="1">
          <a:extLst>
            <a:ext uri="{FF2B5EF4-FFF2-40B4-BE49-F238E27FC236}">
              <a16:creationId xmlns:a16="http://schemas.microsoft.com/office/drawing/2014/main" id="{B284DA57-3D67-453E-9B06-7B25BF3F5B78}"/>
            </a:ext>
          </a:extLst>
        </xdr:cNvPr>
        <xdr:cNvSpPr txBox="1">
          <a:spLocks noChangeArrowheads="1"/>
        </xdr:cNvSpPr>
      </xdr:nvSpPr>
      <xdr:spPr bwMode="auto">
        <a:xfrm>
          <a:off x="3994150" y="24644350"/>
          <a:ext cx="1314450" cy="60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65843</xdr:rowOff>
    </xdr:from>
    <xdr:to>
      <xdr:col>5</xdr:col>
      <xdr:colOff>609600</xdr:colOff>
      <xdr:row>119</xdr:row>
      <xdr:rowOff>131926</xdr:rowOff>
    </xdr:to>
    <xdr:sp macro="" textlink="">
      <xdr:nvSpPr>
        <xdr:cNvPr id="312358" name="Text Box 38" hidden="1">
          <a:extLst>
            <a:ext uri="{FF2B5EF4-FFF2-40B4-BE49-F238E27FC236}">
              <a16:creationId xmlns:a16="http://schemas.microsoft.com/office/drawing/2014/main" id="{89699A45-0B0B-49D4-B74E-DF88C2859BEB}"/>
            </a:ext>
          </a:extLst>
        </xdr:cNvPr>
        <xdr:cNvSpPr txBox="1">
          <a:spLocks noChangeArrowheads="1"/>
        </xdr:cNvSpPr>
      </xdr:nvSpPr>
      <xdr:spPr bwMode="auto">
        <a:xfrm>
          <a:off x="3994150" y="24612600"/>
          <a:ext cx="1314450" cy="63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20</xdr:row>
      <xdr:rowOff>84463</xdr:rowOff>
    </xdr:from>
    <xdr:to>
      <xdr:col>21</xdr:col>
      <xdr:colOff>448469</xdr:colOff>
      <xdr:row>24</xdr:row>
      <xdr:rowOff>73524</xdr:rowOff>
    </xdr:to>
    <xdr:sp macro="" textlink="">
      <xdr:nvSpPr>
        <xdr:cNvPr id="312357" name="Text Box 37" hidden="1">
          <a:extLst>
            <a:ext uri="{FF2B5EF4-FFF2-40B4-BE49-F238E27FC236}">
              <a16:creationId xmlns:a16="http://schemas.microsoft.com/office/drawing/2014/main" id="{2BC2CE78-6C5C-4DF0-9894-3CB3E614EEAA}"/>
            </a:ext>
          </a:extLst>
        </xdr:cNvPr>
        <xdr:cNvSpPr txBox="1">
          <a:spLocks noChangeArrowheads="1"/>
        </xdr:cNvSpPr>
      </xdr:nvSpPr>
      <xdr:spPr bwMode="auto">
        <a:xfrm>
          <a:off x="17526000" y="5029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140</xdr:row>
      <xdr:rowOff>28739</xdr:rowOff>
    </xdr:from>
    <xdr:to>
      <xdr:col>21</xdr:col>
      <xdr:colOff>448469</xdr:colOff>
      <xdr:row>144</xdr:row>
      <xdr:rowOff>58107</xdr:rowOff>
    </xdr:to>
    <xdr:sp macro="" textlink="">
      <xdr:nvSpPr>
        <xdr:cNvPr id="312356" name="Text Box 36" hidden="1">
          <a:extLst>
            <a:ext uri="{FF2B5EF4-FFF2-40B4-BE49-F238E27FC236}">
              <a16:creationId xmlns:a16="http://schemas.microsoft.com/office/drawing/2014/main" id="{86805420-FE8C-4984-B483-B20003062D2E}"/>
            </a:ext>
          </a:extLst>
        </xdr:cNvPr>
        <xdr:cNvSpPr txBox="1">
          <a:spLocks noChangeArrowheads="1"/>
        </xdr:cNvSpPr>
      </xdr:nvSpPr>
      <xdr:spPr bwMode="auto">
        <a:xfrm>
          <a:off x="17526000" y="290449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677069</xdr:colOff>
      <xdr:row>26</xdr:row>
      <xdr:rowOff>31454</xdr:rowOff>
    </xdr:from>
    <xdr:to>
      <xdr:col>21</xdr:col>
      <xdr:colOff>410369</xdr:colOff>
      <xdr:row>30</xdr:row>
      <xdr:rowOff>125413</xdr:rowOff>
    </xdr:to>
    <xdr:sp macro="" textlink="">
      <xdr:nvSpPr>
        <xdr:cNvPr id="312355" name="Text Box 35" hidden="1">
          <a:extLst>
            <a:ext uri="{FF2B5EF4-FFF2-40B4-BE49-F238E27FC236}">
              <a16:creationId xmlns:a16="http://schemas.microsoft.com/office/drawing/2014/main" id="{DE0F2A7B-0539-49AB-9D3F-EB0C72E34AB9}"/>
            </a:ext>
          </a:extLst>
        </xdr:cNvPr>
        <xdr:cNvSpPr txBox="1">
          <a:spLocks noChangeArrowheads="1"/>
        </xdr:cNvSpPr>
      </xdr:nvSpPr>
      <xdr:spPr bwMode="auto">
        <a:xfrm>
          <a:off x="17564100" y="611505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866775</xdr:colOff>
      <xdr:row>27</xdr:row>
      <xdr:rowOff>45975</xdr:rowOff>
    </xdr:from>
    <xdr:to>
      <xdr:col>16</xdr:col>
      <xdr:colOff>410369</xdr:colOff>
      <xdr:row>31</xdr:row>
      <xdr:rowOff>143669</xdr:rowOff>
    </xdr:to>
    <xdr:sp macro="" textlink="">
      <xdr:nvSpPr>
        <xdr:cNvPr id="312354" name="Text Box 34" hidden="1">
          <a:extLst>
            <a:ext uri="{FF2B5EF4-FFF2-40B4-BE49-F238E27FC236}">
              <a16:creationId xmlns:a16="http://schemas.microsoft.com/office/drawing/2014/main" id="{DD7C907B-85BF-425F-A2FD-F17C61AB290C}"/>
            </a:ext>
          </a:extLst>
        </xdr:cNvPr>
        <xdr:cNvSpPr txBox="1">
          <a:spLocks noChangeArrowheads="1"/>
        </xdr:cNvSpPr>
      </xdr:nvSpPr>
      <xdr:spPr bwMode="auto">
        <a:xfrm>
          <a:off x="13677900" y="629920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12406" name="Text Box 86" hidden="1">
          <a:extLst>
            <a:ext uri="{FF2B5EF4-FFF2-40B4-BE49-F238E27FC236}">
              <a16:creationId xmlns:a16="http://schemas.microsoft.com/office/drawing/2014/main" id="{311C77C6-9F40-423A-7B6A-10ECF8774BA7}"/>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70781</xdr:rowOff>
    </xdr:from>
    <xdr:to>
      <xdr:col>5</xdr:col>
      <xdr:colOff>609600</xdr:colOff>
      <xdr:row>222</xdr:row>
      <xdr:rowOff>43794</xdr:rowOff>
    </xdr:to>
    <xdr:sp macro="" textlink="">
      <xdr:nvSpPr>
        <xdr:cNvPr id="312405" name="Text Box 85" hidden="1">
          <a:extLst>
            <a:ext uri="{FF2B5EF4-FFF2-40B4-BE49-F238E27FC236}">
              <a16:creationId xmlns:a16="http://schemas.microsoft.com/office/drawing/2014/main" id="{2193B999-E7D5-1093-C534-6AB0289CA23C}"/>
            </a:ext>
          </a:extLst>
        </xdr:cNvPr>
        <xdr:cNvSpPr txBox="1">
          <a:spLocks noChangeArrowheads="1"/>
        </xdr:cNvSpPr>
      </xdr:nvSpPr>
      <xdr:spPr bwMode="auto">
        <a:xfrm>
          <a:off x="3994150" y="39719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18803</xdr:rowOff>
    </xdr:from>
    <xdr:to>
      <xdr:col>5</xdr:col>
      <xdr:colOff>609600</xdr:colOff>
      <xdr:row>221</xdr:row>
      <xdr:rowOff>158093</xdr:rowOff>
    </xdr:to>
    <xdr:sp macro="" textlink="">
      <xdr:nvSpPr>
        <xdr:cNvPr id="312404" name="Text Box 84" hidden="1">
          <a:extLst>
            <a:ext uri="{FF2B5EF4-FFF2-40B4-BE49-F238E27FC236}">
              <a16:creationId xmlns:a16="http://schemas.microsoft.com/office/drawing/2014/main" id="{DE04D550-AB70-3411-E6A3-38CADB6CE996}"/>
            </a:ext>
          </a:extLst>
        </xdr:cNvPr>
        <xdr:cNvSpPr txBox="1">
          <a:spLocks noChangeArrowheads="1"/>
        </xdr:cNvSpPr>
      </xdr:nvSpPr>
      <xdr:spPr bwMode="auto">
        <a:xfrm>
          <a:off x="3994150" y="400558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10072</xdr:rowOff>
    </xdr:from>
    <xdr:to>
      <xdr:col>5</xdr:col>
      <xdr:colOff>609600</xdr:colOff>
      <xdr:row>223</xdr:row>
      <xdr:rowOff>43793</xdr:rowOff>
    </xdr:to>
    <xdr:sp macro="" textlink="">
      <xdr:nvSpPr>
        <xdr:cNvPr id="312403" name="Text Box 83" hidden="1">
          <a:extLst>
            <a:ext uri="{FF2B5EF4-FFF2-40B4-BE49-F238E27FC236}">
              <a16:creationId xmlns:a16="http://schemas.microsoft.com/office/drawing/2014/main" id="{8501CE79-5C60-B93D-350B-BC474F21CCE2}"/>
            </a:ext>
          </a:extLst>
        </xdr:cNvPr>
        <xdr:cNvSpPr txBox="1">
          <a:spLocks noChangeArrowheads="1"/>
        </xdr:cNvSpPr>
      </xdr:nvSpPr>
      <xdr:spPr bwMode="auto">
        <a:xfrm>
          <a:off x="3994150" y="406082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10072</xdr:rowOff>
    </xdr:from>
    <xdr:to>
      <xdr:col>5</xdr:col>
      <xdr:colOff>609600</xdr:colOff>
      <xdr:row>210</xdr:row>
      <xdr:rowOff>158093</xdr:rowOff>
    </xdr:to>
    <xdr:sp macro="" textlink="">
      <xdr:nvSpPr>
        <xdr:cNvPr id="312402" name="Text Box 82" hidden="1">
          <a:extLst>
            <a:ext uri="{FF2B5EF4-FFF2-40B4-BE49-F238E27FC236}">
              <a16:creationId xmlns:a16="http://schemas.microsoft.com/office/drawing/2014/main" id="{A3B20700-3A7F-F771-F362-1333A77D4788}"/>
            </a:ext>
          </a:extLst>
        </xdr:cNvPr>
        <xdr:cNvSpPr txBox="1">
          <a:spLocks noChangeArrowheads="1"/>
        </xdr:cNvSpPr>
      </xdr:nvSpPr>
      <xdr:spPr bwMode="auto">
        <a:xfrm>
          <a:off x="3994150" y="407924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84274</xdr:rowOff>
    </xdr:from>
    <xdr:to>
      <xdr:col>5</xdr:col>
      <xdr:colOff>609600</xdr:colOff>
      <xdr:row>188</xdr:row>
      <xdr:rowOff>111262</xdr:rowOff>
    </xdr:to>
    <xdr:sp macro="" textlink="">
      <xdr:nvSpPr>
        <xdr:cNvPr id="312401" name="Text Box 81" hidden="1">
          <a:extLst>
            <a:ext uri="{FF2B5EF4-FFF2-40B4-BE49-F238E27FC236}">
              <a16:creationId xmlns:a16="http://schemas.microsoft.com/office/drawing/2014/main" id="{90C7049E-6B68-93CD-AC6B-2B8FA25F18B9}"/>
            </a:ext>
          </a:extLst>
        </xdr:cNvPr>
        <xdr:cNvSpPr txBox="1">
          <a:spLocks noChangeArrowheads="1"/>
        </xdr:cNvSpPr>
      </xdr:nvSpPr>
      <xdr:spPr bwMode="auto">
        <a:xfrm>
          <a:off x="3994150" y="36480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169206</xdr:rowOff>
    </xdr:from>
    <xdr:to>
      <xdr:col>5</xdr:col>
      <xdr:colOff>609600</xdr:colOff>
      <xdr:row>189</xdr:row>
      <xdr:rowOff>128724</xdr:rowOff>
    </xdr:to>
    <xdr:sp macro="" textlink="">
      <xdr:nvSpPr>
        <xdr:cNvPr id="312400" name="Text Box 80" hidden="1">
          <a:extLst>
            <a:ext uri="{FF2B5EF4-FFF2-40B4-BE49-F238E27FC236}">
              <a16:creationId xmlns:a16="http://schemas.microsoft.com/office/drawing/2014/main" id="{98490EBA-CBA5-0FF7-0741-72E920D2FEF3}"/>
            </a:ext>
          </a:extLst>
        </xdr:cNvPr>
        <xdr:cNvSpPr txBox="1">
          <a:spLocks noChangeArrowheads="1"/>
        </xdr:cNvSpPr>
      </xdr:nvSpPr>
      <xdr:spPr bwMode="auto">
        <a:xfrm>
          <a:off x="3994150" y="369252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185080</xdr:rowOff>
    </xdr:from>
    <xdr:to>
      <xdr:col>5</xdr:col>
      <xdr:colOff>609600</xdr:colOff>
      <xdr:row>190</xdr:row>
      <xdr:rowOff>112056</xdr:rowOff>
    </xdr:to>
    <xdr:sp macro="" textlink="">
      <xdr:nvSpPr>
        <xdr:cNvPr id="312399" name="Text Box 79" hidden="1">
          <a:extLst>
            <a:ext uri="{FF2B5EF4-FFF2-40B4-BE49-F238E27FC236}">
              <a16:creationId xmlns:a16="http://schemas.microsoft.com/office/drawing/2014/main" id="{9954C361-C187-1CC2-E2F8-9E76CFA83CD6}"/>
            </a:ext>
          </a:extLst>
        </xdr:cNvPr>
        <xdr:cNvSpPr txBox="1">
          <a:spLocks noChangeArrowheads="1"/>
        </xdr:cNvSpPr>
      </xdr:nvSpPr>
      <xdr:spPr bwMode="auto">
        <a:xfrm>
          <a:off x="3994150" y="372935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149362</xdr:rowOff>
    </xdr:from>
    <xdr:to>
      <xdr:col>5</xdr:col>
      <xdr:colOff>609600</xdr:colOff>
      <xdr:row>197</xdr:row>
      <xdr:rowOff>60462</xdr:rowOff>
    </xdr:to>
    <xdr:sp macro="" textlink="">
      <xdr:nvSpPr>
        <xdr:cNvPr id="312398" name="Text Box 78" hidden="1">
          <a:extLst>
            <a:ext uri="{FF2B5EF4-FFF2-40B4-BE49-F238E27FC236}">
              <a16:creationId xmlns:a16="http://schemas.microsoft.com/office/drawing/2014/main" id="{0F454F12-2AFE-F47C-C852-D20A73F9C149}"/>
            </a:ext>
          </a:extLst>
        </xdr:cNvPr>
        <xdr:cNvSpPr txBox="1">
          <a:spLocks noChangeArrowheads="1"/>
        </xdr:cNvSpPr>
      </xdr:nvSpPr>
      <xdr:spPr bwMode="auto">
        <a:xfrm>
          <a:off x="3994150" y="376618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52</xdr:row>
      <xdr:rowOff>225576</xdr:rowOff>
    </xdr:to>
    <xdr:sp macro="" textlink="">
      <xdr:nvSpPr>
        <xdr:cNvPr id="312397" name="Text Box 77" hidden="1">
          <a:extLst>
            <a:ext uri="{FF2B5EF4-FFF2-40B4-BE49-F238E27FC236}">
              <a16:creationId xmlns:a16="http://schemas.microsoft.com/office/drawing/2014/main" id="{98F37360-62A5-F4DC-A167-A6E66ED9599A}"/>
            </a:ext>
          </a:extLst>
        </xdr:cNvPr>
        <xdr:cNvSpPr txBox="1">
          <a:spLocks noChangeArrowheads="1"/>
        </xdr:cNvSpPr>
      </xdr:nvSpPr>
      <xdr:spPr bwMode="auto">
        <a:xfrm>
          <a:off x="3994150" y="10325100"/>
          <a:ext cx="131445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52</xdr:row>
      <xdr:rowOff>482899</xdr:rowOff>
    </xdr:to>
    <xdr:sp macro="" textlink="">
      <xdr:nvSpPr>
        <xdr:cNvPr id="312396" name="Text Box 76" hidden="1">
          <a:extLst>
            <a:ext uri="{FF2B5EF4-FFF2-40B4-BE49-F238E27FC236}">
              <a16:creationId xmlns:a16="http://schemas.microsoft.com/office/drawing/2014/main" id="{43E4FE32-7592-CFE7-178A-5B11895ED830}"/>
            </a:ext>
          </a:extLst>
        </xdr:cNvPr>
        <xdr:cNvSpPr txBox="1">
          <a:spLocks noChangeArrowheads="1"/>
        </xdr:cNvSpPr>
      </xdr:nvSpPr>
      <xdr:spPr bwMode="auto">
        <a:xfrm>
          <a:off x="3994150" y="1032510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50006</xdr:rowOff>
    </xdr:from>
    <xdr:to>
      <xdr:col>5</xdr:col>
      <xdr:colOff>609600</xdr:colOff>
      <xdr:row>53</xdr:row>
      <xdr:rowOff>320955</xdr:rowOff>
    </xdr:to>
    <xdr:sp macro="" textlink="">
      <xdr:nvSpPr>
        <xdr:cNvPr id="312395" name="Text Box 75" hidden="1">
          <a:extLst>
            <a:ext uri="{FF2B5EF4-FFF2-40B4-BE49-F238E27FC236}">
              <a16:creationId xmlns:a16="http://schemas.microsoft.com/office/drawing/2014/main" id="{77AF5DCB-7825-9E3A-399E-19ADE4D21A56}"/>
            </a:ext>
          </a:extLst>
        </xdr:cNvPr>
        <xdr:cNvSpPr txBox="1">
          <a:spLocks noChangeArrowheads="1"/>
        </xdr:cNvSpPr>
      </xdr:nvSpPr>
      <xdr:spPr bwMode="auto">
        <a:xfrm>
          <a:off x="3994150" y="106362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244626</xdr:rowOff>
    </xdr:from>
    <xdr:to>
      <xdr:col>5</xdr:col>
      <xdr:colOff>609600</xdr:colOff>
      <xdr:row>56</xdr:row>
      <xdr:rowOff>82670</xdr:rowOff>
    </xdr:to>
    <xdr:sp macro="" textlink="">
      <xdr:nvSpPr>
        <xdr:cNvPr id="312394" name="Text Box 74" hidden="1">
          <a:extLst>
            <a:ext uri="{FF2B5EF4-FFF2-40B4-BE49-F238E27FC236}">
              <a16:creationId xmlns:a16="http://schemas.microsoft.com/office/drawing/2014/main" id="{FB5DFABC-373E-46A6-DDF3-A15C6D4FD20F}"/>
            </a:ext>
          </a:extLst>
        </xdr:cNvPr>
        <xdr:cNvSpPr txBox="1">
          <a:spLocks noChangeArrowheads="1"/>
        </xdr:cNvSpPr>
      </xdr:nvSpPr>
      <xdr:spPr bwMode="auto">
        <a:xfrm>
          <a:off x="3994150" y="11023600"/>
          <a:ext cx="1314450" cy="1358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55771</xdr:rowOff>
    </xdr:from>
    <xdr:to>
      <xdr:col>5</xdr:col>
      <xdr:colOff>609600</xdr:colOff>
      <xdr:row>61</xdr:row>
      <xdr:rowOff>126869</xdr:rowOff>
    </xdr:to>
    <xdr:sp macro="" textlink="">
      <xdr:nvSpPr>
        <xdr:cNvPr id="312393" name="Text Box 73" hidden="1">
          <a:extLst>
            <a:ext uri="{FF2B5EF4-FFF2-40B4-BE49-F238E27FC236}">
              <a16:creationId xmlns:a16="http://schemas.microsoft.com/office/drawing/2014/main" id="{0BE90657-0D9E-5190-6236-AF48B5D6DF8F}"/>
            </a:ext>
          </a:extLst>
        </xdr:cNvPr>
        <xdr:cNvSpPr txBox="1">
          <a:spLocks noChangeArrowheads="1"/>
        </xdr:cNvSpPr>
      </xdr:nvSpPr>
      <xdr:spPr bwMode="auto">
        <a:xfrm>
          <a:off x="3994150" y="11734800"/>
          <a:ext cx="13144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307221</xdr:rowOff>
    </xdr:from>
    <xdr:to>
      <xdr:col>5</xdr:col>
      <xdr:colOff>609600</xdr:colOff>
      <xdr:row>72</xdr:row>
      <xdr:rowOff>154871</xdr:rowOff>
    </xdr:to>
    <xdr:sp macro="" textlink="">
      <xdr:nvSpPr>
        <xdr:cNvPr id="312392" name="Text Box 72" hidden="1">
          <a:extLst>
            <a:ext uri="{FF2B5EF4-FFF2-40B4-BE49-F238E27FC236}">
              <a16:creationId xmlns:a16="http://schemas.microsoft.com/office/drawing/2014/main" id="{C60C22F5-8DE9-89EF-BA05-39741D5B7272}"/>
            </a:ext>
          </a:extLst>
        </xdr:cNvPr>
        <xdr:cNvSpPr txBox="1">
          <a:spLocks noChangeArrowheads="1"/>
        </xdr:cNvSpPr>
      </xdr:nvSpPr>
      <xdr:spPr bwMode="auto">
        <a:xfrm>
          <a:off x="3994150" y="149669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75504</xdr:rowOff>
    </xdr:from>
    <xdr:to>
      <xdr:col>5</xdr:col>
      <xdr:colOff>609600</xdr:colOff>
      <xdr:row>73</xdr:row>
      <xdr:rowOff>153781</xdr:rowOff>
    </xdr:to>
    <xdr:sp macro="" textlink="">
      <xdr:nvSpPr>
        <xdr:cNvPr id="312391" name="Text Box 71" hidden="1">
          <a:extLst>
            <a:ext uri="{FF2B5EF4-FFF2-40B4-BE49-F238E27FC236}">
              <a16:creationId xmlns:a16="http://schemas.microsoft.com/office/drawing/2014/main" id="{1A46EF72-6EBE-A59D-E316-A4FA5CE17515}"/>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68826</xdr:rowOff>
    </xdr:from>
    <xdr:to>
      <xdr:col>5</xdr:col>
      <xdr:colOff>609600</xdr:colOff>
      <xdr:row>74</xdr:row>
      <xdr:rowOff>170950</xdr:rowOff>
    </xdr:to>
    <xdr:sp macro="" textlink="">
      <xdr:nvSpPr>
        <xdr:cNvPr id="312390" name="Text Box 70" hidden="1">
          <a:extLst>
            <a:ext uri="{FF2B5EF4-FFF2-40B4-BE49-F238E27FC236}">
              <a16:creationId xmlns:a16="http://schemas.microsoft.com/office/drawing/2014/main" id="{A721BE0A-2A7A-1CAA-A955-53D4B8CF7098}"/>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46602</xdr:rowOff>
    </xdr:from>
    <xdr:to>
      <xdr:col>5</xdr:col>
      <xdr:colOff>609600</xdr:colOff>
      <xdr:row>75</xdr:row>
      <xdr:rowOff>164600</xdr:rowOff>
    </xdr:to>
    <xdr:sp macro="" textlink="">
      <xdr:nvSpPr>
        <xdr:cNvPr id="312389" name="Text Box 69" hidden="1">
          <a:extLst>
            <a:ext uri="{FF2B5EF4-FFF2-40B4-BE49-F238E27FC236}">
              <a16:creationId xmlns:a16="http://schemas.microsoft.com/office/drawing/2014/main" id="{D8A1B67A-6D3D-FFD2-D48D-2EA120363997}"/>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181537</xdr:rowOff>
    </xdr:from>
    <xdr:to>
      <xdr:col>5</xdr:col>
      <xdr:colOff>609600</xdr:colOff>
      <xdr:row>96</xdr:row>
      <xdr:rowOff>162818</xdr:rowOff>
    </xdr:to>
    <xdr:sp macro="" textlink="">
      <xdr:nvSpPr>
        <xdr:cNvPr id="312388" name="Text Box 68" hidden="1">
          <a:extLst>
            <a:ext uri="{FF2B5EF4-FFF2-40B4-BE49-F238E27FC236}">
              <a16:creationId xmlns:a16="http://schemas.microsoft.com/office/drawing/2014/main" id="{54179F96-58E8-7AD3-51F6-8FDE00422009}"/>
            </a:ext>
          </a:extLst>
        </xdr:cNvPr>
        <xdr:cNvSpPr txBox="1">
          <a:spLocks noChangeArrowheads="1"/>
        </xdr:cNvSpPr>
      </xdr:nvSpPr>
      <xdr:spPr bwMode="auto">
        <a:xfrm>
          <a:off x="3994150" y="1978660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111134</xdr:rowOff>
    </xdr:from>
    <xdr:to>
      <xdr:col>5</xdr:col>
      <xdr:colOff>609600</xdr:colOff>
      <xdr:row>96</xdr:row>
      <xdr:rowOff>162818</xdr:rowOff>
    </xdr:to>
    <xdr:sp macro="" textlink="">
      <xdr:nvSpPr>
        <xdr:cNvPr id="312387" name="Text Box 67" hidden="1">
          <a:extLst>
            <a:ext uri="{FF2B5EF4-FFF2-40B4-BE49-F238E27FC236}">
              <a16:creationId xmlns:a16="http://schemas.microsoft.com/office/drawing/2014/main" id="{4AF25F54-5739-DB06-373D-4134376AB0F4}"/>
            </a:ext>
          </a:extLst>
        </xdr:cNvPr>
        <xdr:cNvSpPr txBox="1">
          <a:spLocks noChangeArrowheads="1"/>
        </xdr:cNvSpPr>
      </xdr:nvSpPr>
      <xdr:spPr bwMode="auto">
        <a:xfrm>
          <a:off x="3994150" y="19970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33176</xdr:rowOff>
    </xdr:from>
    <xdr:to>
      <xdr:col>5</xdr:col>
      <xdr:colOff>609600</xdr:colOff>
      <xdr:row>96</xdr:row>
      <xdr:rowOff>162818</xdr:rowOff>
    </xdr:to>
    <xdr:sp macro="" textlink="">
      <xdr:nvSpPr>
        <xdr:cNvPr id="312386" name="Text Box 66" hidden="1">
          <a:extLst>
            <a:ext uri="{FF2B5EF4-FFF2-40B4-BE49-F238E27FC236}">
              <a16:creationId xmlns:a16="http://schemas.microsoft.com/office/drawing/2014/main" id="{16CA8962-80AA-AF99-990C-794F405503EA}"/>
            </a:ext>
          </a:extLst>
        </xdr:cNvPr>
        <xdr:cNvSpPr txBox="1">
          <a:spLocks noChangeArrowheads="1"/>
        </xdr:cNvSpPr>
      </xdr:nvSpPr>
      <xdr:spPr bwMode="auto">
        <a:xfrm>
          <a:off x="3994150" y="2015490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1426</xdr:rowOff>
    </xdr:from>
    <xdr:to>
      <xdr:col>5</xdr:col>
      <xdr:colOff>609600</xdr:colOff>
      <xdr:row>96</xdr:row>
      <xdr:rowOff>162818</xdr:rowOff>
    </xdr:to>
    <xdr:sp macro="" textlink="">
      <xdr:nvSpPr>
        <xdr:cNvPr id="312385" name="Text Box 65" hidden="1">
          <a:extLst>
            <a:ext uri="{FF2B5EF4-FFF2-40B4-BE49-F238E27FC236}">
              <a16:creationId xmlns:a16="http://schemas.microsoft.com/office/drawing/2014/main" id="{78224BFF-B2D9-E2D5-AE6A-90755DB2D7D2}"/>
            </a:ext>
          </a:extLst>
        </xdr:cNvPr>
        <xdr:cNvSpPr txBox="1">
          <a:spLocks noChangeArrowheads="1"/>
        </xdr:cNvSpPr>
      </xdr:nvSpPr>
      <xdr:spPr bwMode="auto">
        <a:xfrm>
          <a:off x="3994150" y="2011680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117</xdr:row>
      <xdr:rowOff>103148</xdr:rowOff>
    </xdr:from>
    <xdr:to>
      <xdr:col>21</xdr:col>
      <xdr:colOff>448469</xdr:colOff>
      <xdr:row>121</xdr:row>
      <xdr:rowOff>143040</xdr:rowOff>
    </xdr:to>
    <xdr:sp macro="" textlink="">
      <xdr:nvSpPr>
        <xdr:cNvPr id="312383" name="Text Box 63" hidden="1">
          <a:extLst>
            <a:ext uri="{FF2B5EF4-FFF2-40B4-BE49-F238E27FC236}">
              <a16:creationId xmlns:a16="http://schemas.microsoft.com/office/drawing/2014/main" id="{C8E89293-D42B-9139-1E51-BCEED87A48C8}"/>
            </a:ext>
          </a:extLst>
        </xdr:cNvPr>
        <xdr:cNvSpPr txBox="1">
          <a:spLocks noChangeArrowheads="1"/>
        </xdr:cNvSpPr>
      </xdr:nvSpPr>
      <xdr:spPr bwMode="auto">
        <a:xfrm>
          <a:off x="17526000" y="24587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14</xdr:row>
      <xdr:rowOff>95250</xdr:rowOff>
    </xdr:from>
    <xdr:to>
      <xdr:col>22</xdr:col>
      <xdr:colOff>619919</xdr:colOff>
      <xdr:row>18</xdr:row>
      <xdr:rowOff>92868</xdr:rowOff>
    </xdr:to>
    <xdr:sp macro="" textlink="">
      <xdr:nvSpPr>
        <xdr:cNvPr id="312407" name="Text Box 87" hidden="1">
          <a:extLst>
            <a:ext uri="{FF2B5EF4-FFF2-40B4-BE49-F238E27FC236}">
              <a16:creationId xmlns:a16="http://schemas.microsoft.com/office/drawing/2014/main" id="{5FB0B8AF-8E9A-5382-A0C9-F96B4F1CF81E}"/>
            </a:ext>
          </a:extLst>
        </xdr:cNvPr>
        <xdr:cNvSpPr txBox="1">
          <a:spLocks noChangeArrowheads="1"/>
        </xdr:cNvSpPr>
      </xdr:nvSpPr>
      <xdr:spPr bwMode="auto">
        <a:xfrm>
          <a:off x="18351500" y="35560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22</xdr:row>
      <xdr:rowOff>31454</xdr:rowOff>
    </xdr:from>
    <xdr:to>
      <xdr:col>22</xdr:col>
      <xdr:colOff>619919</xdr:colOff>
      <xdr:row>26</xdr:row>
      <xdr:rowOff>66379</xdr:rowOff>
    </xdr:to>
    <xdr:sp macro="" textlink="">
      <xdr:nvSpPr>
        <xdr:cNvPr id="312408" name="Text Box 88" hidden="1">
          <a:extLst>
            <a:ext uri="{FF2B5EF4-FFF2-40B4-BE49-F238E27FC236}">
              <a16:creationId xmlns:a16="http://schemas.microsoft.com/office/drawing/2014/main" id="{743065B2-ED9E-4814-9DF9-9436A3C9D184}"/>
            </a:ext>
          </a:extLst>
        </xdr:cNvPr>
        <xdr:cNvSpPr txBox="1">
          <a:spLocks noChangeArrowheads="1"/>
        </xdr:cNvSpPr>
      </xdr:nvSpPr>
      <xdr:spPr bwMode="auto">
        <a:xfrm>
          <a:off x="18351500" y="537845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121</xdr:row>
      <xdr:rowOff>93034</xdr:rowOff>
    </xdr:from>
    <xdr:to>
      <xdr:col>22</xdr:col>
      <xdr:colOff>619919</xdr:colOff>
      <xdr:row>125</xdr:row>
      <xdr:rowOff>86683</xdr:rowOff>
    </xdr:to>
    <xdr:sp macro="" textlink="">
      <xdr:nvSpPr>
        <xdr:cNvPr id="312452" name="Text Box 132" hidden="1">
          <a:extLst>
            <a:ext uri="{FF2B5EF4-FFF2-40B4-BE49-F238E27FC236}">
              <a16:creationId xmlns:a16="http://schemas.microsoft.com/office/drawing/2014/main" id="{4712543A-9159-D352-6632-85DD6A71BE06}"/>
            </a:ext>
          </a:extLst>
        </xdr:cNvPr>
        <xdr:cNvSpPr txBox="1">
          <a:spLocks noChangeArrowheads="1"/>
        </xdr:cNvSpPr>
      </xdr:nvSpPr>
      <xdr:spPr bwMode="auto">
        <a:xfrm>
          <a:off x="18351500" y="25342850"/>
          <a:ext cx="14414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12478" name="Text Box 158" hidden="1">
          <a:extLst>
            <a:ext uri="{FF2B5EF4-FFF2-40B4-BE49-F238E27FC236}">
              <a16:creationId xmlns:a16="http://schemas.microsoft.com/office/drawing/2014/main" id="{845267AF-BF8B-CB2C-3BA3-985A3DFEEB6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52524</xdr:rowOff>
    </xdr:from>
    <xdr:to>
      <xdr:col>5</xdr:col>
      <xdr:colOff>609600</xdr:colOff>
      <xdr:row>223</xdr:row>
      <xdr:rowOff>43793</xdr:rowOff>
    </xdr:to>
    <xdr:sp macro="" textlink="">
      <xdr:nvSpPr>
        <xdr:cNvPr id="312477" name="Text Box 157" hidden="1">
          <a:extLst>
            <a:ext uri="{FF2B5EF4-FFF2-40B4-BE49-F238E27FC236}">
              <a16:creationId xmlns:a16="http://schemas.microsoft.com/office/drawing/2014/main" id="{C534468E-2626-8EFA-AE62-5DC39719B638}"/>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10072</xdr:rowOff>
    </xdr:from>
    <xdr:to>
      <xdr:col>5</xdr:col>
      <xdr:colOff>609600</xdr:colOff>
      <xdr:row>222</xdr:row>
      <xdr:rowOff>158094</xdr:rowOff>
    </xdr:to>
    <xdr:sp macro="" textlink="">
      <xdr:nvSpPr>
        <xdr:cNvPr id="312476" name="Text Box 156" hidden="1">
          <a:extLst>
            <a:ext uri="{FF2B5EF4-FFF2-40B4-BE49-F238E27FC236}">
              <a16:creationId xmlns:a16="http://schemas.microsoft.com/office/drawing/2014/main" id="{3C064C7C-C04B-B960-6EB2-BB90768E40C2}"/>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10072</xdr:rowOff>
    </xdr:from>
    <xdr:to>
      <xdr:col>5</xdr:col>
      <xdr:colOff>609600</xdr:colOff>
      <xdr:row>224</xdr:row>
      <xdr:rowOff>43793</xdr:rowOff>
    </xdr:to>
    <xdr:sp macro="" textlink="">
      <xdr:nvSpPr>
        <xdr:cNvPr id="312475" name="Text Box 155" hidden="1">
          <a:extLst>
            <a:ext uri="{FF2B5EF4-FFF2-40B4-BE49-F238E27FC236}">
              <a16:creationId xmlns:a16="http://schemas.microsoft.com/office/drawing/2014/main" id="{73BB9345-E304-089F-6193-57C3A5F58509}"/>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10073</xdr:rowOff>
    </xdr:from>
    <xdr:to>
      <xdr:col>5</xdr:col>
      <xdr:colOff>609600</xdr:colOff>
      <xdr:row>211</xdr:row>
      <xdr:rowOff>158093</xdr:rowOff>
    </xdr:to>
    <xdr:sp macro="" textlink="">
      <xdr:nvSpPr>
        <xdr:cNvPr id="312474" name="Text Box 154" hidden="1">
          <a:extLst>
            <a:ext uri="{FF2B5EF4-FFF2-40B4-BE49-F238E27FC236}">
              <a16:creationId xmlns:a16="http://schemas.microsoft.com/office/drawing/2014/main" id="{39B8AF94-BDBC-8C76-CE23-D87D28437683}"/>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90624</xdr:rowOff>
    </xdr:from>
    <xdr:to>
      <xdr:col>5</xdr:col>
      <xdr:colOff>609600</xdr:colOff>
      <xdr:row>189</xdr:row>
      <xdr:rowOff>71574</xdr:rowOff>
    </xdr:to>
    <xdr:sp macro="" textlink="">
      <xdr:nvSpPr>
        <xdr:cNvPr id="312473" name="Text Box 153" hidden="1">
          <a:extLst>
            <a:ext uri="{FF2B5EF4-FFF2-40B4-BE49-F238E27FC236}">
              <a16:creationId xmlns:a16="http://schemas.microsoft.com/office/drawing/2014/main" id="{1E8377F0-0A5C-81E2-F72F-C5CC0054A490}"/>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7691</xdr:rowOff>
    </xdr:from>
    <xdr:to>
      <xdr:col>5</xdr:col>
      <xdr:colOff>609600</xdr:colOff>
      <xdr:row>190</xdr:row>
      <xdr:rowOff>112963</xdr:rowOff>
    </xdr:to>
    <xdr:sp macro="" textlink="">
      <xdr:nvSpPr>
        <xdr:cNvPr id="312472" name="Text Box 152" hidden="1">
          <a:extLst>
            <a:ext uri="{FF2B5EF4-FFF2-40B4-BE49-F238E27FC236}">
              <a16:creationId xmlns:a16="http://schemas.microsoft.com/office/drawing/2014/main" id="{976A5749-690B-4C07-224A-C60A67D4B537}"/>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158093</xdr:rowOff>
    </xdr:from>
    <xdr:to>
      <xdr:col>5</xdr:col>
      <xdr:colOff>609600</xdr:colOff>
      <xdr:row>191</xdr:row>
      <xdr:rowOff>109675</xdr:rowOff>
    </xdr:to>
    <xdr:sp macro="" textlink="">
      <xdr:nvSpPr>
        <xdr:cNvPr id="312471" name="Text Box 151" hidden="1">
          <a:extLst>
            <a:ext uri="{FF2B5EF4-FFF2-40B4-BE49-F238E27FC236}">
              <a16:creationId xmlns:a16="http://schemas.microsoft.com/office/drawing/2014/main" id="{8185C859-B82E-6C2E-4423-385430DB322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109674</xdr:rowOff>
    </xdr:from>
    <xdr:to>
      <xdr:col>5</xdr:col>
      <xdr:colOff>609600</xdr:colOff>
      <xdr:row>198</xdr:row>
      <xdr:rowOff>60462</xdr:rowOff>
    </xdr:to>
    <xdr:sp macro="" textlink="">
      <xdr:nvSpPr>
        <xdr:cNvPr id="312470" name="Text Box 150" hidden="1">
          <a:extLst>
            <a:ext uri="{FF2B5EF4-FFF2-40B4-BE49-F238E27FC236}">
              <a16:creationId xmlns:a16="http://schemas.microsoft.com/office/drawing/2014/main" id="{B58EC60B-4C67-760F-130A-5474FB471022}"/>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52</xdr:row>
      <xdr:rowOff>513061</xdr:rowOff>
    </xdr:to>
    <xdr:sp macro="" textlink="">
      <xdr:nvSpPr>
        <xdr:cNvPr id="312469" name="Text Box 149" hidden="1">
          <a:extLst>
            <a:ext uri="{FF2B5EF4-FFF2-40B4-BE49-F238E27FC236}">
              <a16:creationId xmlns:a16="http://schemas.microsoft.com/office/drawing/2014/main" id="{1F4201A8-0053-A269-9098-DBBA9106F362}"/>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54</xdr:row>
      <xdr:rowOff>217845</xdr:rowOff>
    </xdr:to>
    <xdr:sp macro="" textlink="">
      <xdr:nvSpPr>
        <xdr:cNvPr id="312468" name="Text Box 148" hidden="1">
          <a:extLst>
            <a:ext uri="{FF2B5EF4-FFF2-40B4-BE49-F238E27FC236}">
              <a16:creationId xmlns:a16="http://schemas.microsoft.com/office/drawing/2014/main" id="{52485202-0A48-1D63-4A6D-5F684F4EF2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436861</xdr:rowOff>
    </xdr:from>
    <xdr:to>
      <xdr:col>5</xdr:col>
      <xdr:colOff>609600</xdr:colOff>
      <xdr:row>55</xdr:row>
      <xdr:rowOff>130464</xdr:rowOff>
    </xdr:to>
    <xdr:sp macro="" textlink="">
      <xdr:nvSpPr>
        <xdr:cNvPr id="312467" name="Text Box 147" hidden="1">
          <a:extLst>
            <a:ext uri="{FF2B5EF4-FFF2-40B4-BE49-F238E27FC236}">
              <a16:creationId xmlns:a16="http://schemas.microsoft.com/office/drawing/2014/main" id="{E682F73F-77D1-060E-4F5B-852C269F3631}"/>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474961</xdr:rowOff>
    </xdr:from>
    <xdr:to>
      <xdr:col>5</xdr:col>
      <xdr:colOff>609600</xdr:colOff>
      <xdr:row>59</xdr:row>
      <xdr:rowOff>57510</xdr:rowOff>
    </xdr:to>
    <xdr:sp macro="" textlink="">
      <xdr:nvSpPr>
        <xdr:cNvPr id="312466" name="Text Box 146" hidden="1">
          <a:extLst>
            <a:ext uri="{FF2B5EF4-FFF2-40B4-BE49-F238E27FC236}">
              <a16:creationId xmlns:a16="http://schemas.microsoft.com/office/drawing/2014/main" id="{1C1D455E-40B1-9967-304D-6776DD78CF27}"/>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236895</xdr:rowOff>
    </xdr:from>
    <xdr:to>
      <xdr:col>5</xdr:col>
      <xdr:colOff>609600</xdr:colOff>
      <xdr:row>62</xdr:row>
      <xdr:rowOff>154144</xdr:rowOff>
    </xdr:to>
    <xdr:sp macro="" textlink="">
      <xdr:nvSpPr>
        <xdr:cNvPr id="312465" name="Text Box 145" hidden="1">
          <a:extLst>
            <a:ext uri="{FF2B5EF4-FFF2-40B4-BE49-F238E27FC236}">
              <a16:creationId xmlns:a16="http://schemas.microsoft.com/office/drawing/2014/main" id="{8C945AA5-162D-AC38-34C9-D2D0B368ED04}"/>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75504</xdr:rowOff>
    </xdr:from>
    <xdr:to>
      <xdr:col>5</xdr:col>
      <xdr:colOff>609600</xdr:colOff>
      <xdr:row>73</xdr:row>
      <xdr:rowOff>153781</xdr:rowOff>
    </xdr:to>
    <xdr:sp macro="" textlink="">
      <xdr:nvSpPr>
        <xdr:cNvPr id="312464" name="Text Box 144" hidden="1">
          <a:extLst>
            <a:ext uri="{FF2B5EF4-FFF2-40B4-BE49-F238E27FC236}">
              <a16:creationId xmlns:a16="http://schemas.microsoft.com/office/drawing/2014/main" id="{BBE51AC7-D972-50CF-9BD5-AC3F15A7F693}"/>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68826</xdr:rowOff>
    </xdr:from>
    <xdr:to>
      <xdr:col>5</xdr:col>
      <xdr:colOff>609600</xdr:colOff>
      <xdr:row>74</xdr:row>
      <xdr:rowOff>170950</xdr:rowOff>
    </xdr:to>
    <xdr:sp macro="" textlink="">
      <xdr:nvSpPr>
        <xdr:cNvPr id="312463" name="Text Box 143" hidden="1">
          <a:extLst>
            <a:ext uri="{FF2B5EF4-FFF2-40B4-BE49-F238E27FC236}">
              <a16:creationId xmlns:a16="http://schemas.microsoft.com/office/drawing/2014/main" id="{E2061A42-ADE5-F57C-2817-B1F895E02F7E}"/>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46602</xdr:rowOff>
    </xdr:from>
    <xdr:to>
      <xdr:col>5</xdr:col>
      <xdr:colOff>609600</xdr:colOff>
      <xdr:row>75</xdr:row>
      <xdr:rowOff>164600</xdr:rowOff>
    </xdr:to>
    <xdr:sp macro="" textlink="">
      <xdr:nvSpPr>
        <xdr:cNvPr id="312462" name="Text Box 142" hidden="1">
          <a:extLst>
            <a:ext uri="{FF2B5EF4-FFF2-40B4-BE49-F238E27FC236}">
              <a16:creationId xmlns:a16="http://schemas.microsoft.com/office/drawing/2014/main" id="{8F453C92-FCF0-4D18-51E0-DE894F5E5DF9}"/>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58211</xdr:rowOff>
    </xdr:from>
    <xdr:to>
      <xdr:col>5</xdr:col>
      <xdr:colOff>609600</xdr:colOff>
      <xdr:row>76</xdr:row>
      <xdr:rowOff>183950</xdr:rowOff>
    </xdr:to>
    <xdr:sp macro="" textlink="">
      <xdr:nvSpPr>
        <xdr:cNvPr id="312461" name="Text Box 141" hidden="1">
          <a:extLst>
            <a:ext uri="{FF2B5EF4-FFF2-40B4-BE49-F238E27FC236}">
              <a16:creationId xmlns:a16="http://schemas.microsoft.com/office/drawing/2014/main" id="{D1CFB6AB-F62C-4861-5253-59152F41259A}"/>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111134</xdr:rowOff>
    </xdr:from>
    <xdr:to>
      <xdr:col>5</xdr:col>
      <xdr:colOff>609600</xdr:colOff>
      <xdr:row>97</xdr:row>
      <xdr:rowOff>162817</xdr:rowOff>
    </xdr:to>
    <xdr:sp macro="" textlink="">
      <xdr:nvSpPr>
        <xdr:cNvPr id="312460" name="Text Box 140" hidden="1">
          <a:extLst>
            <a:ext uri="{FF2B5EF4-FFF2-40B4-BE49-F238E27FC236}">
              <a16:creationId xmlns:a16="http://schemas.microsoft.com/office/drawing/2014/main" id="{6D348F64-9BD5-E0B9-2E72-F172C9BB3625}"/>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33176</xdr:rowOff>
    </xdr:from>
    <xdr:to>
      <xdr:col>5</xdr:col>
      <xdr:colOff>609600</xdr:colOff>
      <xdr:row>97</xdr:row>
      <xdr:rowOff>162817</xdr:rowOff>
    </xdr:to>
    <xdr:sp macro="" textlink="">
      <xdr:nvSpPr>
        <xdr:cNvPr id="312459" name="Text Box 139" hidden="1">
          <a:extLst>
            <a:ext uri="{FF2B5EF4-FFF2-40B4-BE49-F238E27FC236}">
              <a16:creationId xmlns:a16="http://schemas.microsoft.com/office/drawing/2014/main" id="{2818E02D-DA51-199A-1C2E-09234F60242F}"/>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215794</xdr:rowOff>
    </xdr:from>
    <xdr:to>
      <xdr:col>5</xdr:col>
      <xdr:colOff>609600</xdr:colOff>
      <xdr:row>97</xdr:row>
      <xdr:rowOff>162817</xdr:rowOff>
    </xdr:to>
    <xdr:sp macro="" textlink="">
      <xdr:nvSpPr>
        <xdr:cNvPr id="312458" name="Text Box 138" hidden="1">
          <a:extLst>
            <a:ext uri="{FF2B5EF4-FFF2-40B4-BE49-F238E27FC236}">
              <a16:creationId xmlns:a16="http://schemas.microsoft.com/office/drawing/2014/main" id="{417BF8A8-CED5-FF4D-C4FD-BF0BF89E7A4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177694</xdr:rowOff>
    </xdr:from>
    <xdr:to>
      <xdr:col>5</xdr:col>
      <xdr:colOff>609600</xdr:colOff>
      <xdr:row>97</xdr:row>
      <xdr:rowOff>162817</xdr:rowOff>
    </xdr:to>
    <xdr:sp macro="" textlink="">
      <xdr:nvSpPr>
        <xdr:cNvPr id="312457" name="Text Box 137" hidden="1">
          <a:extLst>
            <a:ext uri="{FF2B5EF4-FFF2-40B4-BE49-F238E27FC236}">
              <a16:creationId xmlns:a16="http://schemas.microsoft.com/office/drawing/2014/main" id="{803C42D5-C5CC-1851-DE36-1629EE010267}"/>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118</xdr:row>
      <xdr:rowOff>84892</xdr:rowOff>
    </xdr:from>
    <xdr:to>
      <xdr:col>21</xdr:col>
      <xdr:colOff>448469</xdr:colOff>
      <xdr:row>122</xdr:row>
      <xdr:rowOff>143039</xdr:rowOff>
    </xdr:to>
    <xdr:sp macro="" textlink="">
      <xdr:nvSpPr>
        <xdr:cNvPr id="312456" name="Text Box 136" hidden="1">
          <a:extLst>
            <a:ext uri="{FF2B5EF4-FFF2-40B4-BE49-F238E27FC236}">
              <a16:creationId xmlns:a16="http://schemas.microsoft.com/office/drawing/2014/main" id="{1B7361AC-F063-C0BC-C9FD-2ED3940D34FD}"/>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14</xdr:row>
      <xdr:rowOff>95250</xdr:rowOff>
    </xdr:from>
    <xdr:to>
      <xdr:col>22</xdr:col>
      <xdr:colOff>619919</xdr:colOff>
      <xdr:row>18</xdr:row>
      <xdr:rowOff>86518</xdr:rowOff>
    </xdr:to>
    <xdr:sp macro="" textlink="">
      <xdr:nvSpPr>
        <xdr:cNvPr id="312455" name="Text Box 135" hidden="1">
          <a:extLst>
            <a:ext uri="{FF2B5EF4-FFF2-40B4-BE49-F238E27FC236}">
              <a16:creationId xmlns:a16="http://schemas.microsoft.com/office/drawing/2014/main" id="{7AF7C879-429A-9C1A-B63C-9032FC37A07B}"/>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23</xdr:row>
      <xdr:rowOff>16373</xdr:rowOff>
    </xdr:from>
    <xdr:to>
      <xdr:col>22</xdr:col>
      <xdr:colOff>619919</xdr:colOff>
      <xdr:row>27</xdr:row>
      <xdr:rowOff>65025</xdr:rowOff>
    </xdr:to>
    <xdr:sp macro="" textlink="">
      <xdr:nvSpPr>
        <xdr:cNvPr id="312454" name="Text Box 134" hidden="1">
          <a:extLst>
            <a:ext uri="{FF2B5EF4-FFF2-40B4-BE49-F238E27FC236}">
              <a16:creationId xmlns:a16="http://schemas.microsoft.com/office/drawing/2014/main" id="{25F6315A-DE7C-AE21-9B36-57BDBE98B5C3}"/>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122</xdr:row>
      <xdr:rowOff>93033</xdr:rowOff>
    </xdr:from>
    <xdr:to>
      <xdr:col>22</xdr:col>
      <xdr:colOff>619919</xdr:colOff>
      <xdr:row>126</xdr:row>
      <xdr:rowOff>73983</xdr:rowOff>
    </xdr:to>
    <xdr:sp macro="" textlink="">
      <xdr:nvSpPr>
        <xdr:cNvPr id="312453" name="Text Box 133" hidden="1">
          <a:extLst>
            <a:ext uri="{FF2B5EF4-FFF2-40B4-BE49-F238E27FC236}">
              <a16:creationId xmlns:a16="http://schemas.microsoft.com/office/drawing/2014/main" id="{D35B94F4-CAC4-28F5-F853-621B706E9E0C}"/>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75860" name="Text Box 52" hidden="1">
          <a:extLst>
            <a:ext uri="{FF2B5EF4-FFF2-40B4-BE49-F238E27FC236}">
              <a16:creationId xmlns:a16="http://schemas.microsoft.com/office/drawing/2014/main" id="{9BB0D879-7766-BA29-C5CD-2B2FF210C313}"/>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52524</xdr:rowOff>
    </xdr:from>
    <xdr:to>
      <xdr:col>5</xdr:col>
      <xdr:colOff>609600</xdr:colOff>
      <xdr:row>223</xdr:row>
      <xdr:rowOff>43793</xdr:rowOff>
    </xdr:to>
    <xdr:sp macro="" textlink="">
      <xdr:nvSpPr>
        <xdr:cNvPr id="375859" name="Text Box 51" hidden="1">
          <a:extLst>
            <a:ext uri="{FF2B5EF4-FFF2-40B4-BE49-F238E27FC236}">
              <a16:creationId xmlns:a16="http://schemas.microsoft.com/office/drawing/2014/main" id="{54AF25F4-1B9B-1D56-BB9C-4EAAB778397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10072</xdr:rowOff>
    </xdr:from>
    <xdr:to>
      <xdr:col>5</xdr:col>
      <xdr:colOff>609600</xdr:colOff>
      <xdr:row>222</xdr:row>
      <xdr:rowOff>158094</xdr:rowOff>
    </xdr:to>
    <xdr:sp macro="" textlink="">
      <xdr:nvSpPr>
        <xdr:cNvPr id="375858" name="Text Box 50" hidden="1">
          <a:extLst>
            <a:ext uri="{FF2B5EF4-FFF2-40B4-BE49-F238E27FC236}">
              <a16:creationId xmlns:a16="http://schemas.microsoft.com/office/drawing/2014/main" id="{779D5990-8C31-E68F-BA0D-420FBC8D4C31}"/>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10072</xdr:rowOff>
    </xdr:from>
    <xdr:to>
      <xdr:col>5</xdr:col>
      <xdr:colOff>609600</xdr:colOff>
      <xdr:row>224</xdr:row>
      <xdr:rowOff>43793</xdr:rowOff>
    </xdr:to>
    <xdr:sp macro="" textlink="">
      <xdr:nvSpPr>
        <xdr:cNvPr id="375857" name="Text Box 49" hidden="1">
          <a:extLst>
            <a:ext uri="{FF2B5EF4-FFF2-40B4-BE49-F238E27FC236}">
              <a16:creationId xmlns:a16="http://schemas.microsoft.com/office/drawing/2014/main" id="{13F168C6-C549-C884-27AF-AE275C8A29E2}"/>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10073</xdr:rowOff>
    </xdr:from>
    <xdr:to>
      <xdr:col>5</xdr:col>
      <xdr:colOff>609600</xdr:colOff>
      <xdr:row>211</xdr:row>
      <xdr:rowOff>158093</xdr:rowOff>
    </xdr:to>
    <xdr:sp macro="" textlink="">
      <xdr:nvSpPr>
        <xdr:cNvPr id="375856" name="Text Box 48" hidden="1">
          <a:extLst>
            <a:ext uri="{FF2B5EF4-FFF2-40B4-BE49-F238E27FC236}">
              <a16:creationId xmlns:a16="http://schemas.microsoft.com/office/drawing/2014/main" id="{41CB1053-87EA-1F97-5CAB-7611510B4E8B}"/>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90624</xdr:rowOff>
    </xdr:from>
    <xdr:to>
      <xdr:col>5</xdr:col>
      <xdr:colOff>609600</xdr:colOff>
      <xdr:row>189</xdr:row>
      <xdr:rowOff>71574</xdr:rowOff>
    </xdr:to>
    <xdr:sp macro="" textlink="">
      <xdr:nvSpPr>
        <xdr:cNvPr id="375855" name="Text Box 47" hidden="1">
          <a:extLst>
            <a:ext uri="{FF2B5EF4-FFF2-40B4-BE49-F238E27FC236}">
              <a16:creationId xmlns:a16="http://schemas.microsoft.com/office/drawing/2014/main" id="{005B4CBF-F7B7-DC20-0026-D830EF4317D1}"/>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7691</xdr:rowOff>
    </xdr:from>
    <xdr:to>
      <xdr:col>5</xdr:col>
      <xdr:colOff>609600</xdr:colOff>
      <xdr:row>190</xdr:row>
      <xdr:rowOff>112963</xdr:rowOff>
    </xdr:to>
    <xdr:sp macro="" textlink="">
      <xdr:nvSpPr>
        <xdr:cNvPr id="375854" name="Text Box 46" hidden="1">
          <a:extLst>
            <a:ext uri="{FF2B5EF4-FFF2-40B4-BE49-F238E27FC236}">
              <a16:creationId xmlns:a16="http://schemas.microsoft.com/office/drawing/2014/main" id="{8F18C1EC-D132-4BCA-E42D-773377474E4D}"/>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158093</xdr:rowOff>
    </xdr:from>
    <xdr:to>
      <xdr:col>5</xdr:col>
      <xdr:colOff>609600</xdr:colOff>
      <xdr:row>191</xdr:row>
      <xdr:rowOff>109675</xdr:rowOff>
    </xdr:to>
    <xdr:sp macro="" textlink="">
      <xdr:nvSpPr>
        <xdr:cNvPr id="375853" name="Text Box 45" hidden="1">
          <a:extLst>
            <a:ext uri="{FF2B5EF4-FFF2-40B4-BE49-F238E27FC236}">
              <a16:creationId xmlns:a16="http://schemas.microsoft.com/office/drawing/2014/main" id="{030225DF-20C9-D1E5-9D1E-D0EBBE44AAF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109674</xdr:rowOff>
    </xdr:from>
    <xdr:to>
      <xdr:col>5</xdr:col>
      <xdr:colOff>609600</xdr:colOff>
      <xdr:row>198</xdr:row>
      <xdr:rowOff>60462</xdr:rowOff>
    </xdr:to>
    <xdr:sp macro="" textlink="">
      <xdr:nvSpPr>
        <xdr:cNvPr id="375852" name="Text Box 44" hidden="1">
          <a:extLst>
            <a:ext uri="{FF2B5EF4-FFF2-40B4-BE49-F238E27FC236}">
              <a16:creationId xmlns:a16="http://schemas.microsoft.com/office/drawing/2014/main" id="{C9F84F35-4BEC-8000-089F-60F1B2525BFD}"/>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52</xdr:row>
      <xdr:rowOff>513061</xdr:rowOff>
    </xdr:to>
    <xdr:sp macro="" textlink="">
      <xdr:nvSpPr>
        <xdr:cNvPr id="375851" name="Text Box 43" hidden="1">
          <a:extLst>
            <a:ext uri="{FF2B5EF4-FFF2-40B4-BE49-F238E27FC236}">
              <a16:creationId xmlns:a16="http://schemas.microsoft.com/office/drawing/2014/main" id="{569BDF41-FC98-5D04-FCC0-C9C57A1DBAAC}"/>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54</xdr:row>
      <xdr:rowOff>217845</xdr:rowOff>
    </xdr:to>
    <xdr:sp macro="" textlink="">
      <xdr:nvSpPr>
        <xdr:cNvPr id="375850" name="Text Box 42" hidden="1">
          <a:extLst>
            <a:ext uri="{FF2B5EF4-FFF2-40B4-BE49-F238E27FC236}">
              <a16:creationId xmlns:a16="http://schemas.microsoft.com/office/drawing/2014/main" id="{946AF4FC-C6A5-CFD5-7106-2DD8A0F2CC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436861</xdr:rowOff>
    </xdr:from>
    <xdr:to>
      <xdr:col>5</xdr:col>
      <xdr:colOff>609600</xdr:colOff>
      <xdr:row>55</xdr:row>
      <xdr:rowOff>130464</xdr:rowOff>
    </xdr:to>
    <xdr:sp macro="" textlink="">
      <xdr:nvSpPr>
        <xdr:cNvPr id="375849" name="Text Box 41" hidden="1">
          <a:extLst>
            <a:ext uri="{FF2B5EF4-FFF2-40B4-BE49-F238E27FC236}">
              <a16:creationId xmlns:a16="http://schemas.microsoft.com/office/drawing/2014/main" id="{934DBEBB-6A49-8579-BA58-59F7C1E1FD39}"/>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474961</xdr:rowOff>
    </xdr:from>
    <xdr:to>
      <xdr:col>5</xdr:col>
      <xdr:colOff>609600</xdr:colOff>
      <xdr:row>59</xdr:row>
      <xdr:rowOff>57510</xdr:rowOff>
    </xdr:to>
    <xdr:sp macro="" textlink="">
      <xdr:nvSpPr>
        <xdr:cNvPr id="375848" name="Text Box 40" hidden="1">
          <a:extLst>
            <a:ext uri="{FF2B5EF4-FFF2-40B4-BE49-F238E27FC236}">
              <a16:creationId xmlns:a16="http://schemas.microsoft.com/office/drawing/2014/main" id="{F65A18DB-EDD8-7D4F-2AE5-042C3189403A}"/>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236895</xdr:rowOff>
    </xdr:from>
    <xdr:to>
      <xdr:col>5</xdr:col>
      <xdr:colOff>609600</xdr:colOff>
      <xdr:row>62</xdr:row>
      <xdr:rowOff>154144</xdr:rowOff>
    </xdr:to>
    <xdr:sp macro="" textlink="">
      <xdr:nvSpPr>
        <xdr:cNvPr id="375847" name="Text Box 39" hidden="1">
          <a:extLst>
            <a:ext uri="{FF2B5EF4-FFF2-40B4-BE49-F238E27FC236}">
              <a16:creationId xmlns:a16="http://schemas.microsoft.com/office/drawing/2014/main" id="{E4B1E98E-FB5F-2FEE-81EF-2AC28E6DF417}"/>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75504</xdr:rowOff>
    </xdr:from>
    <xdr:to>
      <xdr:col>5</xdr:col>
      <xdr:colOff>609600</xdr:colOff>
      <xdr:row>73</xdr:row>
      <xdr:rowOff>153781</xdr:rowOff>
    </xdr:to>
    <xdr:sp macro="" textlink="">
      <xdr:nvSpPr>
        <xdr:cNvPr id="375846" name="Text Box 38" hidden="1">
          <a:extLst>
            <a:ext uri="{FF2B5EF4-FFF2-40B4-BE49-F238E27FC236}">
              <a16:creationId xmlns:a16="http://schemas.microsoft.com/office/drawing/2014/main" id="{642D6D38-7351-AFDB-C370-BAA4B457F522}"/>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68826</xdr:rowOff>
    </xdr:from>
    <xdr:to>
      <xdr:col>5</xdr:col>
      <xdr:colOff>609600</xdr:colOff>
      <xdr:row>74</xdr:row>
      <xdr:rowOff>170950</xdr:rowOff>
    </xdr:to>
    <xdr:sp macro="" textlink="">
      <xdr:nvSpPr>
        <xdr:cNvPr id="375845" name="Text Box 37" hidden="1">
          <a:extLst>
            <a:ext uri="{FF2B5EF4-FFF2-40B4-BE49-F238E27FC236}">
              <a16:creationId xmlns:a16="http://schemas.microsoft.com/office/drawing/2014/main" id="{E6C71401-D8A1-0CD0-CAD0-688236CF87C3}"/>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46602</xdr:rowOff>
    </xdr:from>
    <xdr:to>
      <xdr:col>5</xdr:col>
      <xdr:colOff>609600</xdr:colOff>
      <xdr:row>75</xdr:row>
      <xdr:rowOff>164600</xdr:rowOff>
    </xdr:to>
    <xdr:sp macro="" textlink="">
      <xdr:nvSpPr>
        <xdr:cNvPr id="375844" name="Text Box 36" hidden="1">
          <a:extLst>
            <a:ext uri="{FF2B5EF4-FFF2-40B4-BE49-F238E27FC236}">
              <a16:creationId xmlns:a16="http://schemas.microsoft.com/office/drawing/2014/main" id="{33FFD8A1-E924-1101-4800-F64DDD92591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58211</xdr:rowOff>
    </xdr:from>
    <xdr:to>
      <xdr:col>5</xdr:col>
      <xdr:colOff>609600</xdr:colOff>
      <xdr:row>76</xdr:row>
      <xdr:rowOff>183950</xdr:rowOff>
    </xdr:to>
    <xdr:sp macro="" textlink="">
      <xdr:nvSpPr>
        <xdr:cNvPr id="375843" name="Text Box 35" hidden="1">
          <a:extLst>
            <a:ext uri="{FF2B5EF4-FFF2-40B4-BE49-F238E27FC236}">
              <a16:creationId xmlns:a16="http://schemas.microsoft.com/office/drawing/2014/main" id="{A2A88B2E-F1EA-023F-2A37-2C0517D30844}"/>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111134</xdr:rowOff>
    </xdr:from>
    <xdr:to>
      <xdr:col>5</xdr:col>
      <xdr:colOff>609600</xdr:colOff>
      <xdr:row>97</xdr:row>
      <xdr:rowOff>162817</xdr:rowOff>
    </xdr:to>
    <xdr:sp macro="" textlink="">
      <xdr:nvSpPr>
        <xdr:cNvPr id="375842" name="Text Box 34" hidden="1">
          <a:extLst>
            <a:ext uri="{FF2B5EF4-FFF2-40B4-BE49-F238E27FC236}">
              <a16:creationId xmlns:a16="http://schemas.microsoft.com/office/drawing/2014/main" id="{999D79A8-53E4-362E-D424-2662B60C6319}"/>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33176</xdr:rowOff>
    </xdr:from>
    <xdr:to>
      <xdr:col>5</xdr:col>
      <xdr:colOff>609600</xdr:colOff>
      <xdr:row>97</xdr:row>
      <xdr:rowOff>162817</xdr:rowOff>
    </xdr:to>
    <xdr:sp macro="" textlink="">
      <xdr:nvSpPr>
        <xdr:cNvPr id="375841" name="Text Box 33" hidden="1">
          <a:extLst>
            <a:ext uri="{FF2B5EF4-FFF2-40B4-BE49-F238E27FC236}">
              <a16:creationId xmlns:a16="http://schemas.microsoft.com/office/drawing/2014/main" id="{6B07B8A8-383C-E12D-6D2B-EE5B7C85D185}"/>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215794</xdr:rowOff>
    </xdr:from>
    <xdr:to>
      <xdr:col>5</xdr:col>
      <xdr:colOff>609600</xdr:colOff>
      <xdr:row>97</xdr:row>
      <xdr:rowOff>162817</xdr:rowOff>
    </xdr:to>
    <xdr:sp macro="" textlink="">
      <xdr:nvSpPr>
        <xdr:cNvPr id="375840" name="Text Box 32" hidden="1">
          <a:extLst>
            <a:ext uri="{FF2B5EF4-FFF2-40B4-BE49-F238E27FC236}">
              <a16:creationId xmlns:a16="http://schemas.microsoft.com/office/drawing/2014/main" id="{E42AC223-9CCD-C156-9EEB-702DF63A446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177694</xdr:rowOff>
    </xdr:from>
    <xdr:to>
      <xdr:col>5</xdr:col>
      <xdr:colOff>609600</xdr:colOff>
      <xdr:row>97</xdr:row>
      <xdr:rowOff>162817</xdr:rowOff>
    </xdr:to>
    <xdr:sp macro="" textlink="">
      <xdr:nvSpPr>
        <xdr:cNvPr id="375839" name="Text Box 31" hidden="1">
          <a:extLst>
            <a:ext uri="{FF2B5EF4-FFF2-40B4-BE49-F238E27FC236}">
              <a16:creationId xmlns:a16="http://schemas.microsoft.com/office/drawing/2014/main" id="{E0DA22E3-BFF2-BE25-0190-DB4AAAFDF07B}"/>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118</xdr:row>
      <xdr:rowOff>84892</xdr:rowOff>
    </xdr:from>
    <xdr:to>
      <xdr:col>21</xdr:col>
      <xdr:colOff>448469</xdr:colOff>
      <xdr:row>122</xdr:row>
      <xdr:rowOff>143039</xdr:rowOff>
    </xdr:to>
    <xdr:sp macro="" textlink="">
      <xdr:nvSpPr>
        <xdr:cNvPr id="375838" name="Text Box 30" hidden="1">
          <a:extLst>
            <a:ext uri="{FF2B5EF4-FFF2-40B4-BE49-F238E27FC236}">
              <a16:creationId xmlns:a16="http://schemas.microsoft.com/office/drawing/2014/main" id="{8884078D-B363-5302-AF76-DEAF3C9BB4E3}"/>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14</xdr:row>
      <xdr:rowOff>95250</xdr:rowOff>
    </xdr:from>
    <xdr:to>
      <xdr:col>22</xdr:col>
      <xdr:colOff>619919</xdr:colOff>
      <xdr:row>18</xdr:row>
      <xdr:rowOff>86518</xdr:rowOff>
    </xdr:to>
    <xdr:sp macro="" textlink="">
      <xdr:nvSpPr>
        <xdr:cNvPr id="375837" name="Text Box 29" hidden="1">
          <a:extLst>
            <a:ext uri="{FF2B5EF4-FFF2-40B4-BE49-F238E27FC236}">
              <a16:creationId xmlns:a16="http://schemas.microsoft.com/office/drawing/2014/main" id="{C3A613E3-05E9-F80A-1D9A-80788981F5A4}"/>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23</xdr:row>
      <xdr:rowOff>16373</xdr:rowOff>
    </xdr:from>
    <xdr:to>
      <xdr:col>22</xdr:col>
      <xdr:colOff>619919</xdr:colOff>
      <xdr:row>27</xdr:row>
      <xdr:rowOff>65025</xdr:rowOff>
    </xdr:to>
    <xdr:sp macro="" textlink="">
      <xdr:nvSpPr>
        <xdr:cNvPr id="375836" name="Text Box 28" hidden="1">
          <a:extLst>
            <a:ext uri="{FF2B5EF4-FFF2-40B4-BE49-F238E27FC236}">
              <a16:creationId xmlns:a16="http://schemas.microsoft.com/office/drawing/2014/main" id="{6DE4DCD4-4056-F9F2-F0B8-05E28EE17480}"/>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122</xdr:row>
      <xdr:rowOff>93033</xdr:rowOff>
    </xdr:from>
    <xdr:to>
      <xdr:col>22</xdr:col>
      <xdr:colOff>619919</xdr:colOff>
      <xdr:row>126</xdr:row>
      <xdr:rowOff>73983</xdr:rowOff>
    </xdr:to>
    <xdr:sp macro="" textlink="">
      <xdr:nvSpPr>
        <xdr:cNvPr id="375835" name="Text Box 27" hidden="1">
          <a:extLst>
            <a:ext uri="{FF2B5EF4-FFF2-40B4-BE49-F238E27FC236}">
              <a16:creationId xmlns:a16="http://schemas.microsoft.com/office/drawing/2014/main" id="{E9E26D3B-0228-E004-9E0F-0626BA833C9F}"/>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75834" name="Text Box 26" hidden="1">
          <a:extLst>
            <a:ext uri="{FF2B5EF4-FFF2-40B4-BE49-F238E27FC236}">
              <a16:creationId xmlns:a16="http://schemas.microsoft.com/office/drawing/2014/main" id="{3022296A-0C69-DA5A-90A2-95EABD49BF41}"/>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52524</xdr:rowOff>
    </xdr:from>
    <xdr:to>
      <xdr:col>5</xdr:col>
      <xdr:colOff>609600</xdr:colOff>
      <xdr:row>223</xdr:row>
      <xdr:rowOff>43793</xdr:rowOff>
    </xdr:to>
    <xdr:sp macro="" textlink="">
      <xdr:nvSpPr>
        <xdr:cNvPr id="375833" name="Text Box 25" hidden="1">
          <a:extLst>
            <a:ext uri="{FF2B5EF4-FFF2-40B4-BE49-F238E27FC236}">
              <a16:creationId xmlns:a16="http://schemas.microsoft.com/office/drawing/2014/main" id="{4B5C7AF0-2BB6-1684-4C1C-B37C6082236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10072</xdr:rowOff>
    </xdr:from>
    <xdr:to>
      <xdr:col>5</xdr:col>
      <xdr:colOff>609600</xdr:colOff>
      <xdr:row>222</xdr:row>
      <xdr:rowOff>158094</xdr:rowOff>
    </xdr:to>
    <xdr:sp macro="" textlink="">
      <xdr:nvSpPr>
        <xdr:cNvPr id="375832" name="Text Box 24" hidden="1">
          <a:extLst>
            <a:ext uri="{FF2B5EF4-FFF2-40B4-BE49-F238E27FC236}">
              <a16:creationId xmlns:a16="http://schemas.microsoft.com/office/drawing/2014/main" id="{822FD925-FFB5-0DD3-AA2B-A1C26DDABCDF}"/>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10072</xdr:rowOff>
    </xdr:from>
    <xdr:to>
      <xdr:col>5</xdr:col>
      <xdr:colOff>609600</xdr:colOff>
      <xdr:row>224</xdr:row>
      <xdr:rowOff>43793</xdr:rowOff>
    </xdr:to>
    <xdr:sp macro="" textlink="">
      <xdr:nvSpPr>
        <xdr:cNvPr id="375831" name="Text Box 23" hidden="1">
          <a:extLst>
            <a:ext uri="{FF2B5EF4-FFF2-40B4-BE49-F238E27FC236}">
              <a16:creationId xmlns:a16="http://schemas.microsoft.com/office/drawing/2014/main" id="{1138CCD9-A4C9-5598-7FFD-268B1A3B461D}"/>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10073</xdr:rowOff>
    </xdr:from>
    <xdr:to>
      <xdr:col>5</xdr:col>
      <xdr:colOff>609600</xdr:colOff>
      <xdr:row>211</xdr:row>
      <xdr:rowOff>158093</xdr:rowOff>
    </xdr:to>
    <xdr:sp macro="" textlink="">
      <xdr:nvSpPr>
        <xdr:cNvPr id="375830" name="Text Box 22" hidden="1">
          <a:extLst>
            <a:ext uri="{FF2B5EF4-FFF2-40B4-BE49-F238E27FC236}">
              <a16:creationId xmlns:a16="http://schemas.microsoft.com/office/drawing/2014/main" id="{9E35B8A7-E487-D549-B0C8-31DF93668931}"/>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90624</xdr:rowOff>
    </xdr:from>
    <xdr:to>
      <xdr:col>5</xdr:col>
      <xdr:colOff>609600</xdr:colOff>
      <xdr:row>189</xdr:row>
      <xdr:rowOff>71574</xdr:rowOff>
    </xdr:to>
    <xdr:sp macro="" textlink="">
      <xdr:nvSpPr>
        <xdr:cNvPr id="375829" name="Text Box 21" hidden="1">
          <a:extLst>
            <a:ext uri="{FF2B5EF4-FFF2-40B4-BE49-F238E27FC236}">
              <a16:creationId xmlns:a16="http://schemas.microsoft.com/office/drawing/2014/main" id="{99B33BD4-3440-CA33-3C4A-CE3154F76FF6}"/>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7691</xdr:rowOff>
    </xdr:from>
    <xdr:to>
      <xdr:col>5</xdr:col>
      <xdr:colOff>609600</xdr:colOff>
      <xdr:row>190</xdr:row>
      <xdr:rowOff>112963</xdr:rowOff>
    </xdr:to>
    <xdr:sp macro="" textlink="">
      <xdr:nvSpPr>
        <xdr:cNvPr id="375828" name="Text Box 20" hidden="1">
          <a:extLst>
            <a:ext uri="{FF2B5EF4-FFF2-40B4-BE49-F238E27FC236}">
              <a16:creationId xmlns:a16="http://schemas.microsoft.com/office/drawing/2014/main" id="{3BEC16E4-FBBB-C88C-CB90-7A5FF6F2F2F1}"/>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158093</xdr:rowOff>
    </xdr:from>
    <xdr:to>
      <xdr:col>5</xdr:col>
      <xdr:colOff>609600</xdr:colOff>
      <xdr:row>191</xdr:row>
      <xdr:rowOff>109675</xdr:rowOff>
    </xdr:to>
    <xdr:sp macro="" textlink="">
      <xdr:nvSpPr>
        <xdr:cNvPr id="375827" name="Text Box 19" hidden="1">
          <a:extLst>
            <a:ext uri="{FF2B5EF4-FFF2-40B4-BE49-F238E27FC236}">
              <a16:creationId xmlns:a16="http://schemas.microsoft.com/office/drawing/2014/main" id="{69D4C724-0434-13A7-4863-5BC7E9EBE0A3}"/>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109674</xdr:rowOff>
    </xdr:from>
    <xdr:to>
      <xdr:col>5</xdr:col>
      <xdr:colOff>609600</xdr:colOff>
      <xdr:row>198</xdr:row>
      <xdr:rowOff>60462</xdr:rowOff>
    </xdr:to>
    <xdr:sp macro="" textlink="">
      <xdr:nvSpPr>
        <xdr:cNvPr id="375826" name="Text Box 18" hidden="1">
          <a:extLst>
            <a:ext uri="{FF2B5EF4-FFF2-40B4-BE49-F238E27FC236}">
              <a16:creationId xmlns:a16="http://schemas.microsoft.com/office/drawing/2014/main" id="{63D9F8BC-F3B6-A0AD-C16F-07A03249B59F}"/>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52</xdr:row>
      <xdr:rowOff>513061</xdr:rowOff>
    </xdr:to>
    <xdr:sp macro="" textlink="">
      <xdr:nvSpPr>
        <xdr:cNvPr id="375825" name="Text Box 17" hidden="1">
          <a:extLst>
            <a:ext uri="{FF2B5EF4-FFF2-40B4-BE49-F238E27FC236}">
              <a16:creationId xmlns:a16="http://schemas.microsoft.com/office/drawing/2014/main" id="{CC35A40E-81DD-A5DA-22F6-D625E6E03329}"/>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54</xdr:row>
      <xdr:rowOff>217845</xdr:rowOff>
    </xdr:to>
    <xdr:sp macro="" textlink="">
      <xdr:nvSpPr>
        <xdr:cNvPr id="375824" name="Text Box 16" hidden="1">
          <a:extLst>
            <a:ext uri="{FF2B5EF4-FFF2-40B4-BE49-F238E27FC236}">
              <a16:creationId xmlns:a16="http://schemas.microsoft.com/office/drawing/2014/main" id="{5253BBB6-1743-BAF3-93B4-67ED2F7BDB4F}"/>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436861</xdr:rowOff>
    </xdr:from>
    <xdr:to>
      <xdr:col>5</xdr:col>
      <xdr:colOff>609600</xdr:colOff>
      <xdr:row>55</xdr:row>
      <xdr:rowOff>130464</xdr:rowOff>
    </xdr:to>
    <xdr:sp macro="" textlink="">
      <xdr:nvSpPr>
        <xdr:cNvPr id="375823" name="Text Box 15" hidden="1">
          <a:extLst>
            <a:ext uri="{FF2B5EF4-FFF2-40B4-BE49-F238E27FC236}">
              <a16:creationId xmlns:a16="http://schemas.microsoft.com/office/drawing/2014/main" id="{C9453DAD-4746-C17A-6C43-FAF0A0E7156B}"/>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474961</xdr:rowOff>
    </xdr:from>
    <xdr:to>
      <xdr:col>5</xdr:col>
      <xdr:colOff>609600</xdr:colOff>
      <xdr:row>59</xdr:row>
      <xdr:rowOff>57510</xdr:rowOff>
    </xdr:to>
    <xdr:sp macro="" textlink="">
      <xdr:nvSpPr>
        <xdr:cNvPr id="375822" name="Text Box 14" hidden="1">
          <a:extLst>
            <a:ext uri="{FF2B5EF4-FFF2-40B4-BE49-F238E27FC236}">
              <a16:creationId xmlns:a16="http://schemas.microsoft.com/office/drawing/2014/main" id="{34B97C51-8DC3-26E0-2DFB-0A2EFF617730}"/>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236895</xdr:rowOff>
    </xdr:from>
    <xdr:to>
      <xdr:col>5</xdr:col>
      <xdr:colOff>609600</xdr:colOff>
      <xdr:row>62</xdr:row>
      <xdr:rowOff>154144</xdr:rowOff>
    </xdr:to>
    <xdr:sp macro="" textlink="">
      <xdr:nvSpPr>
        <xdr:cNvPr id="375821" name="Text Box 13" hidden="1">
          <a:extLst>
            <a:ext uri="{FF2B5EF4-FFF2-40B4-BE49-F238E27FC236}">
              <a16:creationId xmlns:a16="http://schemas.microsoft.com/office/drawing/2014/main" id="{AE465D29-72E9-B30C-E3D3-D80C358A4E6A}"/>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75504</xdr:rowOff>
    </xdr:from>
    <xdr:to>
      <xdr:col>5</xdr:col>
      <xdr:colOff>609600</xdr:colOff>
      <xdr:row>73</xdr:row>
      <xdr:rowOff>153781</xdr:rowOff>
    </xdr:to>
    <xdr:sp macro="" textlink="">
      <xdr:nvSpPr>
        <xdr:cNvPr id="375820" name="Text Box 12" hidden="1">
          <a:extLst>
            <a:ext uri="{FF2B5EF4-FFF2-40B4-BE49-F238E27FC236}">
              <a16:creationId xmlns:a16="http://schemas.microsoft.com/office/drawing/2014/main" id="{A9D92175-0E83-3B46-5B3D-818F52B814A4}"/>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68826</xdr:rowOff>
    </xdr:from>
    <xdr:to>
      <xdr:col>5</xdr:col>
      <xdr:colOff>609600</xdr:colOff>
      <xdr:row>74</xdr:row>
      <xdr:rowOff>170950</xdr:rowOff>
    </xdr:to>
    <xdr:sp macro="" textlink="">
      <xdr:nvSpPr>
        <xdr:cNvPr id="375819" name="Text Box 11" hidden="1">
          <a:extLst>
            <a:ext uri="{FF2B5EF4-FFF2-40B4-BE49-F238E27FC236}">
              <a16:creationId xmlns:a16="http://schemas.microsoft.com/office/drawing/2014/main" id="{BA7C2936-8AB1-44BC-35E3-2D8D615D378F}"/>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46602</xdr:rowOff>
    </xdr:from>
    <xdr:to>
      <xdr:col>5</xdr:col>
      <xdr:colOff>609600</xdr:colOff>
      <xdr:row>75</xdr:row>
      <xdr:rowOff>164600</xdr:rowOff>
    </xdr:to>
    <xdr:sp macro="" textlink="">
      <xdr:nvSpPr>
        <xdr:cNvPr id="375818" name="Text Box 10" hidden="1">
          <a:extLst>
            <a:ext uri="{FF2B5EF4-FFF2-40B4-BE49-F238E27FC236}">
              <a16:creationId xmlns:a16="http://schemas.microsoft.com/office/drawing/2014/main" id="{480BF800-D1E6-EA02-8F41-0989E551A8A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58211</xdr:rowOff>
    </xdr:from>
    <xdr:to>
      <xdr:col>5</xdr:col>
      <xdr:colOff>609600</xdr:colOff>
      <xdr:row>76</xdr:row>
      <xdr:rowOff>183950</xdr:rowOff>
    </xdr:to>
    <xdr:sp macro="" textlink="">
      <xdr:nvSpPr>
        <xdr:cNvPr id="375817" name="Text Box 9" hidden="1">
          <a:extLst>
            <a:ext uri="{FF2B5EF4-FFF2-40B4-BE49-F238E27FC236}">
              <a16:creationId xmlns:a16="http://schemas.microsoft.com/office/drawing/2014/main" id="{4FAB4BF9-6EB3-51CA-5A2A-33779128A38D}"/>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111134</xdr:rowOff>
    </xdr:from>
    <xdr:to>
      <xdr:col>5</xdr:col>
      <xdr:colOff>609600</xdr:colOff>
      <xdr:row>97</xdr:row>
      <xdr:rowOff>162817</xdr:rowOff>
    </xdr:to>
    <xdr:sp macro="" textlink="">
      <xdr:nvSpPr>
        <xdr:cNvPr id="375816" name="Text Box 8" hidden="1">
          <a:extLst>
            <a:ext uri="{FF2B5EF4-FFF2-40B4-BE49-F238E27FC236}">
              <a16:creationId xmlns:a16="http://schemas.microsoft.com/office/drawing/2014/main" id="{B912171B-B130-4FA3-F862-D62919EF310C}"/>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33176</xdr:rowOff>
    </xdr:from>
    <xdr:to>
      <xdr:col>5</xdr:col>
      <xdr:colOff>609600</xdr:colOff>
      <xdr:row>97</xdr:row>
      <xdr:rowOff>162817</xdr:rowOff>
    </xdr:to>
    <xdr:sp macro="" textlink="">
      <xdr:nvSpPr>
        <xdr:cNvPr id="375815" name="Text Box 7" hidden="1">
          <a:extLst>
            <a:ext uri="{FF2B5EF4-FFF2-40B4-BE49-F238E27FC236}">
              <a16:creationId xmlns:a16="http://schemas.microsoft.com/office/drawing/2014/main" id="{9ACD6825-9C4F-5283-524B-F2D630D53DE9}"/>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215794</xdr:rowOff>
    </xdr:from>
    <xdr:to>
      <xdr:col>5</xdr:col>
      <xdr:colOff>609600</xdr:colOff>
      <xdr:row>97</xdr:row>
      <xdr:rowOff>162817</xdr:rowOff>
    </xdr:to>
    <xdr:sp macro="" textlink="">
      <xdr:nvSpPr>
        <xdr:cNvPr id="375814" name="Text Box 6" hidden="1">
          <a:extLst>
            <a:ext uri="{FF2B5EF4-FFF2-40B4-BE49-F238E27FC236}">
              <a16:creationId xmlns:a16="http://schemas.microsoft.com/office/drawing/2014/main" id="{245EA03C-D59A-2EE6-7797-77B58C9B0C77}"/>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177694</xdr:rowOff>
    </xdr:from>
    <xdr:to>
      <xdr:col>5</xdr:col>
      <xdr:colOff>609600</xdr:colOff>
      <xdr:row>97</xdr:row>
      <xdr:rowOff>162817</xdr:rowOff>
    </xdr:to>
    <xdr:sp macro="" textlink="">
      <xdr:nvSpPr>
        <xdr:cNvPr id="375813" name="Text Box 5" hidden="1">
          <a:extLst>
            <a:ext uri="{FF2B5EF4-FFF2-40B4-BE49-F238E27FC236}">
              <a16:creationId xmlns:a16="http://schemas.microsoft.com/office/drawing/2014/main" id="{A6F89D68-CB6B-6CD8-F766-E9DD99A9EB96}"/>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118</xdr:row>
      <xdr:rowOff>84892</xdr:rowOff>
    </xdr:from>
    <xdr:to>
      <xdr:col>21</xdr:col>
      <xdr:colOff>448469</xdr:colOff>
      <xdr:row>122</xdr:row>
      <xdr:rowOff>143039</xdr:rowOff>
    </xdr:to>
    <xdr:sp macro="" textlink="">
      <xdr:nvSpPr>
        <xdr:cNvPr id="375812" name="Text Box 4" hidden="1">
          <a:extLst>
            <a:ext uri="{FF2B5EF4-FFF2-40B4-BE49-F238E27FC236}">
              <a16:creationId xmlns:a16="http://schemas.microsoft.com/office/drawing/2014/main" id="{64F9AA27-C9E4-7622-5D38-8A5C9C852838}"/>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14</xdr:row>
      <xdr:rowOff>95250</xdr:rowOff>
    </xdr:from>
    <xdr:to>
      <xdr:col>22</xdr:col>
      <xdr:colOff>619919</xdr:colOff>
      <xdr:row>18</xdr:row>
      <xdr:rowOff>86518</xdr:rowOff>
    </xdr:to>
    <xdr:sp macro="" textlink="">
      <xdr:nvSpPr>
        <xdr:cNvPr id="375811" name="Text Box 3" hidden="1">
          <a:extLst>
            <a:ext uri="{FF2B5EF4-FFF2-40B4-BE49-F238E27FC236}">
              <a16:creationId xmlns:a16="http://schemas.microsoft.com/office/drawing/2014/main" id="{240378C1-7DBF-144D-3F07-AA9AF848FFC3}"/>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23</xdr:row>
      <xdr:rowOff>16373</xdr:rowOff>
    </xdr:from>
    <xdr:to>
      <xdr:col>22</xdr:col>
      <xdr:colOff>619919</xdr:colOff>
      <xdr:row>27</xdr:row>
      <xdr:rowOff>65025</xdr:rowOff>
    </xdr:to>
    <xdr:sp macro="" textlink="">
      <xdr:nvSpPr>
        <xdr:cNvPr id="375810" name="Text Box 2" hidden="1">
          <a:extLst>
            <a:ext uri="{FF2B5EF4-FFF2-40B4-BE49-F238E27FC236}">
              <a16:creationId xmlns:a16="http://schemas.microsoft.com/office/drawing/2014/main" id="{F036D932-0543-954F-D851-6131B4CEFF98}"/>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122</xdr:row>
      <xdr:rowOff>93033</xdr:rowOff>
    </xdr:from>
    <xdr:to>
      <xdr:col>22</xdr:col>
      <xdr:colOff>619919</xdr:colOff>
      <xdr:row>126</xdr:row>
      <xdr:rowOff>73983</xdr:rowOff>
    </xdr:to>
    <xdr:sp macro="" textlink="">
      <xdr:nvSpPr>
        <xdr:cNvPr id="375809" name="Text Box 1" hidden="1">
          <a:extLst>
            <a:ext uri="{FF2B5EF4-FFF2-40B4-BE49-F238E27FC236}">
              <a16:creationId xmlns:a16="http://schemas.microsoft.com/office/drawing/2014/main" id="{04C33CE1-4E84-6780-DA42-711BAF590574}"/>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886" name="Text Box 78" hidden="1">
          <a:extLst>
            <a:ext uri="{FF2B5EF4-FFF2-40B4-BE49-F238E27FC236}">
              <a16:creationId xmlns:a16="http://schemas.microsoft.com/office/drawing/2014/main" id="{679F7B95-5434-264E-13DF-9AE506C4620C}"/>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43793</xdr:rowOff>
    </xdr:from>
    <xdr:to>
      <xdr:col>5</xdr:col>
      <xdr:colOff>609600</xdr:colOff>
      <xdr:row>228</xdr:row>
      <xdr:rowOff>43793</xdr:rowOff>
    </xdr:to>
    <xdr:sp macro="" textlink="">
      <xdr:nvSpPr>
        <xdr:cNvPr id="375885" name="Text Box 77" hidden="1">
          <a:extLst>
            <a:ext uri="{FF2B5EF4-FFF2-40B4-BE49-F238E27FC236}">
              <a16:creationId xmlns:a16="http://schemas.microsoft.com/office/drawing/2014/main" id="{3D9376BA-800C-B7F3-29A9-B799A49ED420}"/>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10073</xdr:rowOff>
    </xdr:from>
    <xdr:to>
      <xdr:col>5</xdr:col>
      <xdr:colOff>609600</xdr:colOff>
      <xdr:row>227</xdr:row>
      <xdr:rowOff>167618</xdr:rowOff>
    </xdr:to>
    <xdr:sp macro="" textlink="">
      <xdr:nvSpPr>
        <xdr:cNvPr id="375884" name="Text Box 76" hidden="1">
          <a:extLst>
            <a:ext uri="{FF2B5EF4-FFF2-40B4-BE49-F238E27FC236}">
              <a16:creationId xmlns:a16="http://schemas.microsoft.com/office/drawing/2014/main" id="{72FE50D5-6536-E247-265E-92E41734ADBB}"/>
            </a:ext>
          </a:extLst>
        </xdr:cNvPr>
        <xdr:cNvSpPr txBox="1">
          <a:spLocks noChangeArrowheads="1"/>
        </xdr:cNvSpPr>
      </xdr:nvSpPr>
      <xdr:spPr bwMode="auto">
        <a:xfrm>
          <a:off x="3994150" y="4116070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10073</xdr:rowOff>
    </xdr:from>
    <xdr:to>
      <xdr:col>5</xdr:col>
      <xdr:colOff>609600</xdr:colOff>
      <xdr:row>229</xdr:row>
      <xdr:rowOff>43793</xdr:rowOff>
    </xdr:to>
    <xdr:sp macro="" textlink="">
      <xdr:nvSpPr>
        <xdr:cNvPr id="375883" name="Text Box 75" hidden="1">
          <a:extLst>
            <a:ext uri="{FF2B5EF4-FFF2-40B4-BE49-F238E27FC236}">
              <a16:creationId xmlns:a16="http://schemas.microsoft.com/office/drawing/2014/main" id="{AD145783-0DC9-6B4B-93F3-25A92C3838AD}"/>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10072</xdr:rowOff>
    </xdr:from>
    <xdr:to>
      <xdr:col>5</xdr:col>
      <xdr:colOff>609600</xdr:colOff>
      <xdr:row>216</xdr:row>
      <xdr:rowOff>167618</xdr:rowOff>
    </xdr:to>
    <xdr:sp macro="" textlink="">
      <xdr:nvSpPr>
        <xdr:cNvPr id="375882" name="Text Box 74" hidden="1">
          <a:extLst>
            <a:ext uri="{FF2B5EF4-FFF2-40B4-BE49-F238E27FC236}">
              <a16:creationId xmlns:a16="http://schemas.microsoft.com/office/drawing/2014/main" id="{A655FB3A-20E4-9B5F-99BB-957BBA1AD730}"/>
            </a:ext>
          </a:extLst>
        </xdr:cNvPr>
        <xdr:cNvSpPr txBox="1">
          <a:spLocks noChangeArrowheads="1"/>
        </xdr:cNvSpPr>
      </xdr:nvSpPr>
      <xdr:spPr bwMode="auto">
        <a:xfrm>
          <a:off x="3994150" y="4189730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17217</xdr:rowOff>
    </xdr:to>
    <xdr:sp macro="" textlink="">
      <xdr:nvSpPr>
        <xdr:cNvPr id="375881" name="Text Box 73" hidden="1">
          <a:extLst>
            <a:ext uri="{FF2B5EF4-FFF2-40B4-BE49-F238E27FC236}">
              <a16:creationId xmlns:a16="http://schemas.microsoft.com/office/drawing/2014/main" id="{64580842-18B6-3EBE-C04B-22DA2E4502B7}"/>
            </a:ext>
          </a:extLst>
        </xdr:cNvPr>
        <xdr:cNvSpPr txBox="1">
          <a:spLocks noChangeArrowheads="1"/>
        </xdr:cNvSpPr>
      </xdr:nvSpPr>
      <xdr:spPr bwMode="auto">
        <a:xfrm>
          <a:off x="3994150" y="37585650"/>
          <a:ext cx="1314450" cy="1149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60462</xdr:rowOff>
    </xdr:to>
    <xdr:sp macro="" textlink="">
      <xdr:nvSpPr>
        <xdr:cNvPr id="375880" name="Text Box 72" hidden="1">
          <a:extLst>
            <a:ext uri="{FF2B5EF4-FFF2-40B4-BE49-F238E27FC236}">
              <a16:creationId xmlns:a16="http://schemas.microsoft.com/office/drawing/2014/main" id="{33DC4FA7-4E2F-224B-41E7-712557D55992}"/>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71575</xdr:rowOff>
    </xdr:from>
    <xdr:to>
      <xdr:col>5</xdr:col>
      <xdr:colOff>609600</xdr:colOff>
      <xdr:row>196</xdr:row>
      <xdr:rowOff>79512</xdr:rowOff>
    </xdr:to>
    <xdr:sp macro="" textlink="">
      <xdr:nvSpPr>
        <xdr:cNvPr id="375879" name="Text Box 71" hidden="1">
          <a:extLst>
            <a:ext uri="{FF2B5EF4-FFF2-40B4-BE49-F238E27FC236}">
              <a16:creationId xmlns:a16="http://schemas.microsoft.com/office/drawing/2014/main" id="{071349C9-271F-0405-05DB-D2BFC7D58937}"/>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43794</xdr:rowOff>
    </xdr:from>
    <xdr:to>
      <xdr:col>5</xdr:col>
      <xdr:colOff>609600</xdr:colOff>
      <xdr:row>203</xdr:row>
      <xdr:rowOff>29123</xdr:rowOff>
    </xdr:to>
    <xdr:sp macro="" textlink="">
      <xdr:nvSpPr>
        <xdr:cNvPr id="375878" name="Text Box 70" hidden="1">
          <a:extLst>
            <a:ext uri="{FF2B5EF4-FFF2-40B4-BE49-F238E27FC236}">
              <a16:creationId xmlns:a16="http://schemas.microsoft.com/office/drawing/2014/main" id="{D8DA05B9-DB7C-7BEC-636D-D2395642F0BD}"/>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53</xdr:row>
      <xdr:rowOff>48362</xdr:rowOff>
    </xdr:to>
    <xdr:sp macro="" textlink="">
      <xdr:nvSpPr>
        <xdr:cNvPr id="375877" name="Text Box 69" hidden="1">
          <a:extLst>
            <a:ext uri="{FF2B5EF4-FFF2-40B4-BE49-F238E27FC236}">
              <a16:creationId xmlns:a16="http://schemas.microsoft.com/office/drawing/2014/main" id="{53E04E3D-EA08-BC34-DE1C-2D0E2AD90DAD}"/>
            </a:ext>
          </a:extLst>
        </xdr:cNvPr>
        <xdr:cNvSpPr txBox="1">
          <a:spLocks noChangeArrowheads="1"/>
        </xdr:cNvSpPr>
      </xdr:nvSpPr>
      <xdr:spPr bwMode="auto">
        <a:xfrm>
          <a:off x="3994150" y="11334750"/>
          <a:ext cx="1314450" cy="2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64</xdr:row>
      <xdr:rowOff>58363</xdr:rowOff>
    </xdr:to>
    <xdr:sp macro="" textlink="">
      <xdr:nvSpPr>
        <xdr:cNvPr id="375876" name="Text Box 68" hidden="1">
          <a:extLst>
            <a:ext uri="{FF2B5EF4-FFF2-40B4-BE49-F238E27FC236}">
              <a16:creationId xmlns:a16="http://schemas.microsoft.com/office/drawing/2014/main" id="{4F0939EA-E708-9510-9ACE-17AF22C1D70C}"/>
            </a:ext>
          </a:extLst>
        </xdr:cNvPr>
        <xdr:cNvSpPr txBox="1">
          <a:spLocks noChangeArrowheads="1"/>
        </xdr:cNvSpPr>
      </xdr:nvSpPr>
      <xdr:spPr bwMode="auto">
        <a:xfrm>
          <a:off x="3994150" y="11334750"/>
          <a:ext cx="1314450" cy="261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102524</xdr:rowOff>
    </xdr:from>
    <xdr:to>
      <xdr:col>5</xdr:col>
      <xdr:colOff>609600</xdr:colOff>
      <xdr:row>68</xdr:row>
      <xdr:rowOff>88309</xdr:rowOff>
    </xdr:to>
    <xdr:sp macro="" textlink="">
      <xdr:nvSpPr>
        <xdr:cNvPr id="375875" name="Text Box 67" hidden="1">
          <a:extLst>
            <a:ext uri="{FF2B5EF4-FFF2-40B4-BE49-F238E27FC236}">
              <a16:creationId xmlns:a16="http://schemas.microsoft.com/office/drawing/2014/main" id="{E3C1E128-0C18-051A-1A16-B84B2887543F}"/>
            </a:ext>
          </a:extLst>
        </xdr:cNvPr>
        <xdr:cNvSpPr txBox="1">
          <a:spLocks noChangeArrowheads="1"/>
        </xdr:cNvSpPr>
      </xdr:nvSpPr>
      <xdr:spPr bwMode="auto">
        <a:xfrm>
          <a:off x="3994150" y="1143000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121574</xdr:rowOff>
    </xdr:from>
    <xdr:to>
      <xdr:col>5</xdr:col>
      <xdr:colOff>609600</xdr:colOff>
      <xdr:row>68</xdr:row>
      <xdr:rowOff>107359</xdr:rowOff>
    </xdr:to>
    <xdr:sp macro="" textlink="">
      <xdr:nvSpPr>
        <xdr:cNvPr id="375874" name="Text Box 66" hidden="1">
          <a:extLst>
            <a:ext uri="{FF2B5EF4-FFF2-40B4-BE49-F238E27FC236}">
              <a16:creationId xmlns:a16="http://schemas.microsoft.com/office/drawing/2014/main" id="{C91672DD-02B9-EB7B-FA40-1F2B7C1D9690}"/>
            </a:ext>
          </a:extLst>
        </xdr:cNvPr>
        <xdr:cNvSpPr txBox="1">
          <a:spLocks noChangeArrowheads="1"/>
        </xdr:cNvSpPr>
      </xdr:nvSpPr>
      <xdr:spPr bwMode="auto">
        <a:xfrm>
          <a:off x="3994150" y="1144905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47191</xdr:rowOff>
    </xdr:from>
    <xdr:to>
      <xdr:col>5</xdr:col>
      <xdr:colOff>609600</xdr:colOff>
      <xdr:row>68</xdr:row>
      <xdr:rowOff>66084</xdr:rowOff>
    </xdr:to>
    <xdr:sp macro="" textlink="">
      <xdr:nvSpPr>
        <xdr:cNvPr id="375873" name="Text Box 65" hidden="1">
          <a:extLst>
            <a:ext uri="{FF2B5EF4-FFF2-40B4-BE49-F238E27FC236}">
              <a16:creationId xmlns:a16="http://schemas.microsoft.com/office/drawing/2014/main" id="{70C9E381-3BC2-6948-057F-E334D7400D5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69261</xdr:rowOff>
    </xdr:from>
    <xdr:to>
      <xdr:col>5</xdr:col>
      <xdr:colOff>609600</xdr:colOff>
      <xdr:row>79</xdr:row>
      <xdr:rowOff>209</xdr:rowOff>
    </xdr:to>
    <xdr:sp macro="" textlink="">
      <xdr:nvSpPr>
        <xdr:cNvPr id="375872" name="Text Box 64" hidden="1">
          <a:extLst>
            <a:ext uri="{FF2B5EF4-FFF2-40B4-BE49-F238E27FC236}">
              <a16:creationId xmlns:a16="http://schemas.microsoft.com/office/drawing/2014/main" id="{4F3F9146-45EF-BCEA-3AE9-DEF58C5EAC03}"/>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170950</xdr:rowOff>
    </xdr:from>
    <xdr:to>
      <xdr:col>5</xdr:col>
      <xdr:colOff>609600</xdr:colOff>
      <xdr:row>78</xdr:row>
      <xdr:rowOff>105780</xdr:rowOff>
    </xdr:to>
    <xdr:sp macro="" textlink="">
      <xdr:nvSpPr>
        <xdr:cNvPr id="375871" name="Text Box 63" hidden="1">
          <a:extLst>
            <a:ext uri="{FF2B5EF4-FFF2-40B4-BE49-F238E27FC236}">
              <a16:creationId xmlns:a16="http://schemas.microsoft.com/office/drawing/2014/main" id="{1C166D5A-52FC-EA79-61D2-0C5FB276A52C}"/>
            </a:ext>
          </a:extLst>
        </xdr:cNvPr>
        <xdr:cNvSpPr txBox="1">
          <a:spLocks noChangeArrowheads="1"/>
        </xdr:cNvSpPr>
      </xdr:nvSpPr>
      <xdr:spPr bwMode="auto">
        <a:xfrm>
          <a:off x="3994150" y="1617980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125322</xdr:rowOff>
    </xdr:from>
    <xdr:to>
      <xdr:col>5</xdr:col>
      <xdr:colOff>609600</xdr:colOff>
      <xdr:row>80</xdr:row>
      <xdr:rowOff>178223</xdr:rowOff>
    </xdr:to>
    <xdr:sp macro="" textlink="">
      <xdr:nvSpPr>
        <xdr:cNvPr id="375870" name="Text Box 62" hidden="1">
          <a:extLst>
            <a:ext uri="{FF2B5EF4-FFF2-40B4-BE49-F238E27FC236}">
              <a16:creationId xmlns:a16="http://schemas.microsoft.com/office/drawing/2014/main" id="{60F4B0B1-0856-1224-664C-C42347A819B0}"/>
            </a:ext>
          </a:extLst>
        </xdr:cNvPr>
        <xdr:cNvSpPr txBox="1">
          <a:spLocks noChangeArrowheads="1"/>
        </xdr:cNvSpPr>
      </xdr:nvSpPr>
      <xdr:spPr bwMode="auto">
        <a:xfrm>
          <a:off x="3994150" y="163131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82</xdr:row>
      <xdr:rowOff>5035</xdr:rowOff>
    </xdr:to>
    <xdr:sp macro="" textlink="">
      <xdr:nvSpPr>
        <xdr:cNvPr id="375869" name="Text Box 61" hidden="1">
          <a:extLst>
            <a:ext uri="{FF2B5EF4-FFF2-40B4-BE49-F238E27FC236}">
              <a16:creationId xmlns:a16="http://schemas.microsoft.com/office/drawing/2014/main" id="{3DB740B5-1B3C-1DE3-FC27-91C258600CA0}"/>
            </a:ext>
          </a:extLst>
        </xdr:cNvPr>
        <xdr:cNvSpPr txBox="1">
          <a:spLocks noChangeArrowheads="1"/>
        </xdr:cNvSpPr>
      </xdr:nvSpPr>
      <xdr:spPr bwMode="auto">
        <a:xfrm>
          <a:off x="3994150" y="16490950"/>
          <a:ext cx="1314450" cy="122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87261</xdr:rowOff>
    </xdr:from>
    <xdr:to>
      <xdr:col>5</xdr:col>
      <xdr:colOff>609600</xdr:colOff>
      <xdr:row>104</xdr:row>
      <xdr:rowOff>111036</xdr:rowOff>
    </xdr:to>
    <xdr:sp macro="" textlink="">
      <xdr:nvSpPr>
        <xdr:cNvPr id="375868" name="Text Box 60" hidden="1">
          <a:extLst>
            <a:ext uri="{FF2B5EF4-FFF2-40B4-BE49-F238E27FC236}">
              <a16:creationId xmlns:a16="http://schemas.microsoft.com/office/drawing/2014/main" id="{03CCD19D-F9A0-1F6A-30F1-31A1C1B37333}"/>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143768</xdr:rowOff>
    </xdr:from>
    <xdr:to>
      <xdr:col>5</xdr:col>
      <xdr:colOff>609600</xdr:colOff>
      <xdr:row>104</xdr:row>
      <xdr:rowOff>53886</xdr:rowOff>
    </xdr:to>
    <xdr:sp macro="" textlink="">
      <xdr:nvSpPr>
        <xdr:cNvPr id="375867" name="Text Box 59" hidden="1">
          <a:extLst>
            <a:ext uri="{FF2B5EF4-FFF2-40B4-BE49-F238E27FC236}">
              <a16:creationId xmlns:a16="http://schemas.microsoft.com/office/drawing/2014/main" id="{38E776EE-BD98-3CAF-E32D-8DADA44C00A5}"/>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152500</xdr:rowOff>
    </xdr:from>
    <xdr:to>
      <xdr:col>5</xdr:col>
      <xdr:colOff>609600</xdr:colOff>
      <xdr:row>104</xdr:row>
      <xdr:rowOff>20518</xdr:rowOff>
    </xdr:to>
    <xdr:sp macro="" textlink="">
      <xdr:nvSpPr>
        <xdr:cNvPr id="375866" name="Text Box 58" hidden="1">
          <a:extLst>
            <a:ext uri="{FF2B5EF4-FFF2-40B4-BE49-F238E27FC236}">
              <a16:creationId xmlns:a16="http://schemas.microsoft.com/office/drawing/2014/main" id="{F9D20BFD-4193-C82A-51DE-65D482BEA7D1}"/>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106313</xdr:rowOff>
    </xdr:from>
    <xdr:to>
      <xdr:col>5</xdr:col>
      <xdr:colOff>609600</xdr:colOff>
      <xdr:row>104</xdr:row>
      <xdr:rowOff>20518</xdr:rowOff>
    </xdr:to>
    <xdr:sp macro="" textlink="">
      <xdr:nvSpPr>
        <xdr:cNvPr id="375865" name="Text Box 57" hidden="1">
          <a:extLst>
            <a:ext uri="{FF2B5EF4-FFF2-40B4-BE49-F238E27FC236}">
              <a16:creationId xmlns:a16="http://schemas.microsoft.com/office/drawing/2014/main" id="{17EDF8B4-3753-4A8E-CBFB-B10C276AF0A9}"/>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148595</xdr:rowOff>
    </xdr:to>
    <xdr:sp macro="" textlink="">
      <xdr:nvSpPr>
        <xdr:cNvPr id="375864" name="Text Box 56" hidden="1">
          <a:extLst>
            <a:ext uri="{FF2B5EF4-FFF2-40B4-BE49-F238E27FC236}">
              <a16:creationId xmlns:a16="http://schemas.microsoft.com/office/drawing/2014/main" id="{4CC3D817-0B0C-6326-1008-C857DF345F57}"/>
            </a:ext>
          </a:extLst>
        </xdr:cNvPr>
        <xdr:cNvSpPr txBox="1">
          <a:spLocks noChangeArrowheads="1"/>
        </xdr:cNvSpPr>
      </xdr:nvSpPr>
      <xdr:spPr bwMode="auto">
        <a:xfrm>
          <a:off x="17519650" y="256921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863" name="Text Box 55" hidden="1">
          <a:extLst>
            <a:ext uri="{FF2B5EF4-FFF2-40B4-BE49-F238E27FC236}">
              <a16:creationId xmlns:a16="http://schemas.microsoft.com/office/drawing/2014/main" id="{2EEFA84B-5377-1CB5-E59B-F988FA72B48D}"/>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62" name="Text Box 54" hidden="1">
          <a:extLst>
            <a:ext uri="{FF2B5EF4-FFF2-40B4-BE49-F238E27FC236}">
              <a16:creationId xmlns:a16="http://schemas.microsoft.com/office/drawing/2014/main" id="{A9C8D5C5-848E-5ED8-2BC8-930055E7F8D9}"/>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861" name="Text Box 53" hidden="1">
          <a:extLst>
            <a:ext uri="{FF2B5EF4-FFF2-40B4-BE49-F238E27FC236}">
              <a16:creationId xmlns:a16="http://schemas.microsoft.com/office/drawing/2014/main" id="{DC114991-8955-4B92-68B5-2BE375D32495}"/>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103981</xdr:rowOff>
    </xdr:from>
    <xdr:to>
      <xdr:col>11</xdr:col>
      <xdr:colOff>1409700</xdr:colOff>
      <xdr:row>39</xdr:row>
      <xdr:rowOff>46831</xdr:rowOff>
    </xdr:to>
    <xdr:sp macro="" textlink="">
      <xdr:nvSpPr>
        <xdr:cNvPr id="375890" name="Text Box 82" hidden="1">
          <a:extLst>
            <a:ext uri="{FF2B5EF4-FFF2-40B4-BE49-F238E27FC236}">
              <a16:creationId xmlns:a16="http://schemas.microsoft.com/office/drawing/2014/main" id="{4360794E-E690-B56D-7B25-2EE78FDDAF4A}"/>
            </a:ext>
          </a:extLst>
        </xdr:cNvPr>
        <xdr:cNvSpPr txBox="1">
          <a:spLocks noChangeArrowheads="1"/>
        </xdr:cNvSpPr>
      </xdr:nvSpPr>
      <xdr:spPr bwMode="auto">
        <a:xfrm>
          <a:off x="936625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104775</xdr:rowOff>
    </xdr:from>
    <xdr:to>
      <xdr:col>24</xdr:col>
      <xdr:colOff>657225</xdr:colOff>
      <xdr:row>18</xdr:row>
      <xdr:rowOff>163512</xdr:rowOff>
    </xdr:to>
    <xdr:sp macro="" textlink="">
      <xdr:nvSpPr>
        <xdr:cNvPr id="375891" name="Text Box 83" hidden="1">
          <a:extLst>
            <a:ext uri="{FF2B5EF4-FFF2-40B4-BE49-F238E27FC236}">
              <a16:creationId xmlns:a16="http://schemas.microsoft.com/office/drawing/2014/main" id="{7D44F9D2-1D57-65C5-F1B5-EC650A796C8C}"/>
            </a:ext>
          </a:extLst>
        </xdr:cNvPr>
        <xdr:cNvSpPr txBox="1">
          <a:spLocks noChangeArrowheads="1"/>
        </xdr:cNvSpPr>
      </xdr:nvSpPr>
      <xdr:spPr bwMode="auto">
        <a:xfrm>
          <a:off x="20034250" y="356235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25899</xdr:rowOff>
    </xdr:from>
    <xdr:to>
      <xdr:col>24</xdr:col>
      <xdr:colOff>657225</xdr:colOff>
      <xdr:row>28</xdr:row>
      <xdr:rowOff>139700</xdr:rowOff>
    </xdr:to>
    <xdr:sp macro="" textlink="">
      <xdr:nvSpPr>
        <xdr:cNvPr id="375892" name="Text Box 84" hidden="1">
          <a:extLst>
            <a:ext uri="{FF2B5EF4-FFF2-40B4-BE49-F238E27FC236}">
              <a16:creationId xmlns:a16="http://schemas.microsoft.com/office/drawing/2014/main" id="{29122F4A-FFD1-5628-93C4-6FD5E488A5C4}"/>
            </a:ext>
          </a:extLst>
        </xdr:cNvPr>
        <xdr:cNvSpPr txBox="1">
          <a:spLocks noChangeArrowheads="1"/>
        </xdr:cNvSpPr>
      </xdr:nvSpPr>
      <xdr:spPr bwMode="auto">
        <a:xfrm>
          <a:off x="20034250" y="5753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657225</xdr:colOff>
      <xdr:row>131</xdr:row>
      <xdr:rowOff>183903</xdr:rowOff>
    </xdr:to>
    <xdr:sp macro="" textlink="">
      <xdr:nvSpPr>
        <xdr:cNvPr id="375893" name="Text Box 85" hidden="1">
          <a:extLst>
            <a:ext uri="{FF2B5EF4-FFF2-40B4-BE49-F238E27FC236}">
              <a16:creationId xmlns:a16="http://schemas.microsoft.com/office/drawing/2014/main" id="{444C4E1F-6595-D8E7-EB8F-1993A239585B}"/>
            </a:ext>
          </a:extLst>
        </xdr:cNvPr>
        <xdr:cNvSpPr txBox="1">
          <a:spLocks noChangeArrowheads="1"/>
        </xdr:cNvSpPr>
      </xdr:nvSpPr>
      <xdr:spPr bwMode="auto">
        <a:xfrm>
          <a:off x="20034250" y="26454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23" name="Text Box 115" hidden="1">
          <a:extLst>
            <a:ext uri="{FF2B5EF4-FFF2-40B4-BE49-F238E27FC236}">
              <a16:creationId xmlns:a16="http://schemas.microsoft.com/office/drawing/2014/main" id="{0B851AE6-E5CF-9605-3051-2AFCD5BF057A}"/>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43793</xdr:rowOff>
    </xdr:from>
    <xdr:to>
      <xdr:col>5</xdr:col>
      <xdr:colOff>609600</xdr:colOff>
      <xdr:row>228</xdr:row>
      <xdr:rowOff>43793</xdr:rowOff>
    </xdr:to>
    <xdr:sp macro="" textlink="">
      <xdr:nvSpPr>
        <xdr:cNvPr id="375922" name="Text Box 114" hidden="1">
          <a:extLst>
            <a:ext uri="{FF2B5EF4-FFF2-40B4-BE49-F238E27FC236}">
              <a16:creationId xmlns:a16="http://schemas.microsoft.com/office/drawing/2014/main" id="{A9F0A090-7671-FCF8-2F0C-CAFE573D738F}"/>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10073</xdr:rowOff>
    </xdr:from>
    <xdr:to>
      <xdr:col>5</xdr:col>
      <xdr:colOff>609600</xdr:colOff>
      <xdr:row>227</xdr:row>
      <xdr:rowOff>158093</xdr:rowOff>
    </xdr:to>
    <xdr:sp macro="" textlink="">
      <xdr:nvSpPr>
        <xdr:cNvPr id="375921" name="Text Box 113" hidden="1">
          <a:extLst>
            <a:ext uri="{FF2B5EF4-FFF2-40B4-BE49-F238E27FC236}">
              <a16:creationId xmlns:a16="http://schemas.microsoft.com/office/drawing/2014/main" id="{69622A66-0E1D-101C-78BE-8363EF463123}"/>
            </a:ext>
          </a:extLst>
        </xdr:cNvPr>
        <xdr:cNvSpPr txBox="1">
          <a:spLocks noChangeArrowheads="1"/>
        </xdr:cNvSpPr>
      </xdr:nvSpPr>
      <xdr:spPr bwMode="auto">
        <a:xfrm>
          <a:off x="3994150" y="411607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10073</xdr:rowOff>
    </xdr:from>
    <xdr:to>
      <xdr:col>5</xdr:col>
      <xdr:colOff>609600</xdr:colOff>
      <xdr:row>229</xdr:row>
      <xdr:rowOff>43793</xdr:rowOff>
    </xdr:to>
    <xdr:sp macro="" textlink="">
      <xdr:nvSpPr>
        <xdr:cNvPr id="375920" name="Text Box 112" hidden="1">
          <a:extLst>
            <a:ext uri="{FF2B5EF4-FFF2-40B4-BE49-F238E27FC236}">
              <a16:creationId xmlns:a16="http://schemas.microsoft.com/office/drawing/2014/main" id="{08D21B0F-2F82-31D6-A761-BC37F1F58744}"/>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10072</xdr:rowOff>
    </xdr:from>
    <xdr:to>
      <xdr:col>5</xdr:col>
      <xdr:colOff>609600</xdr:colOff>
      <xdr:row>216</xdr:row>
      <xdr:rowOff>158093</xdr:rowOff>
    </xdr:to>
    <xdr:sp macro="" textlink="">
      <xdr:nvSpPr>
        <xdr:cNvPr id="375919" name="Text Box 111" hidden="1">
          <a:extLst>
            <a:ext uri="{FF2B5EF4-FFF2-40B4-BE49-F238E27FC236}">
              <a16:creationId xmlns:a16="http://schemas.microsoft.com/office/drawing/2014/main" id="{CDA1EE3C-CF72-E12D-121D-57C90A024E95}"/>
            </a:ext>
          </a:extLst>
        </xdr:cNvPr>
        <xdr:cNvSpPr txBox="1">
          <a:spLocks noChangeArrowheads="1"/>
        </xdr:cNvSpPr>
      </xdr:nvSpPr>
      <xdr:spPr bwMode="auto">
        <a:xfrm>
          <a:off x="3994150" y="418973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7692</xdr:rowOff>
    </xdr:to>
    <xdr:sp macro="" textlink="">
      <xdr:nvSpPr>
        <xdr:cNvPr id="375918" name="Text Box 110" hidden="1">
          <a:extLst>
            <a:ext uri="{FF2B5EF4-FFF2-40B4-BE49-F238E27FC236}">
              <a16:creationId xmlns:a16="http://schemas.microsoft.com/office/drawing/2014/main" id="{E5FBA9DC-F08F-4FE2-D724-068E0209C097}"/>
            </a:ext>
          </a:extLst>
        </xdr:cNvPr>
        <xdr:cNvSpPr txBox="1">
          <a:spLocks noChangeArrowheads="1"/>
        </xdr:cNvSpPr>
      </xdr:nvSpPr>
      <xdr:spPr bwMode="auto">
        <a:xfrm>
          <a:off x="3994150" y="375856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60462</xdr:rowOff>
    </xdr:to>
    <xdr:sp macro="" textlink="">
      <xdr:nvSpPr>
        <xdr:cNvPr id="375917" name="Text Box 109" hidden="1">
          <a:extLst>
            <a:ext uri="{FF2B5EF4-FFF2-40B4-BE49-F238E27FC236}">
              <a16:creationId xmlns:a16="http://schemas.microsoft.com/office/drawing/2014/main" id="{C1FDBBE8-0523-B855-3C46-8B75ECA5E1E3}"/>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71575</xdr:rowOff>
    </xdr:from>
    <xdr:to>
      <xdr:col>5</xdr:col>
      <xdr:colOff>609600</xdr:colOff>
      <xdr:row>196</xdr:row>
      <xdr:rowOff>79512</xdr:rowOff>
    </xdr:to>
    <xdr:sp macro="" textlink="">
      <xdr:nvSpPr>
        <xdr:cNvPr id="375916" name="Text Box 108" hidden="1">
          <a:extLst>
            <a:ext uri="{FF2B5EF4-FFF2-40B4-BE49-F238E27FC236}">
              <a16:creationId xmlns:a16="http://schemas.microsoft.com/office/drawing/2014/main" id="{91E5D39C-716B-C539-0BEB-587680BC913E}"/>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43794</xdr:rowOff>
    </xdr:from>
    <xdr:to>
      <xdr:col>5</xdr:col>
      <xdr:colOff>609600</xdr:colOff>
      <xdr:row>203</xdr:row>
      <xdr:rowOff>29123</xdr:rowOff>
    </xdr:to>
    <xdr:sp macro="" textlink="">
      <xdr:nvSpPr>
        <xdr:cNvPr id="375915" name="Text Box 107" hidden="1">
          <a:extLst>
            <a:ext uri="{FF2B5EF4-FFF2-40B4-BE49-F238E27FC236}">
              <a16:creationId xmlns:a16="http://schemas.microsoft.com/office/drawing/2014/main" id="{F29A053D-3092-8561-EBAF-EFE50E32383C}"/>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53</xdr:row>
      <xdr:rowOff>48362</xdr:rowOff>
    </xdr:to>
    <xdr:sp macro="" textlink="">
      <xdr:nvSpPr>
        <xdr:cNvPr id="375914" name="Text Box 106" hidden="1">
          <a:extLst>
            <a:ext uri="{FF2B5EF4-FFF2-40B4-BE49-F238E27FC236}">
              <a16:creationId xmlns:a16="http://schemas.microsoft.com/office/drawing/2014/main" id="{101BB53F-B551-7EF6-78C2-71B69A661DEA}"/>
            </a:ext>
          </a:extLst>
        </xdr:cNvPr>
        <xdr:cNvSpPr txBox="1">
          <a:spLocks noChangeArrowheads="1"/>
        </xdr:cNvSpPr>
      </xdr:nvSpPr>
      <xdr:spPr bwMode="auto">
        <a:xfrm>
          <a:off x="3994150" y="11334750"/>
          <a:ext cx="13144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64</xdr:row>
      <xdr:rowOff>45663</xdr:rowOff>
    </xdr:to>
    <xdr:sp macro="" textlink="">
      <xdr:nvSpPr>
        <xdr:cNvPr id="375913" name="Text Box 105" hidden="1">
          <a:extLst>
            <a:ext uri="{FF2B5EF4-FFF2-40B4-BE49-F238E27FC236}">
              <a16:creationId xmlns:a16="http://schemas.microsoft.com/office/drawing/2014/main" id="{0EB126BD-7322-1C2A-D5F8-30EA46AC8DFB}"/>
            </a:ext>
          </a:extLst>
        </xdr:cNvPr>
        <xdr:cNvSpPr txBox="1">
          <a:spLocks noChangeArrowheads="1"/>
        </xdr:cNvSpPr>
      </xdr:nvSpPr>
      <xdr:spPr bwMode="auto">
        <a:xfrm>
          <a:off x="3994150" y="11334750"/>
          <a:ext cx="1314450" cy="2609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102524</xdr:rowOff>
    </xdr:from>
    <xdr:to>
      <xdr:col>5</xdr:col>
      <xdr:colOff>609600</xdr:colOff>
      <xdr:row>68</xdr:row>
      <xdr:rowOff>85134</xdr:rowOff>
    </xdr:to>
    <xdr:sp macro="" textlink="">
      <xdr:nvSpPr>
        <xdr:cNvPr id="375912" name="Text Box 104" hidden="1">
          <a:extLst>
            <a:ext uri="{FF2B5EF4-FFF2-40B4-BE49-F238E27FC236}">
              <a16:creationId xmlns:a16="http://schemas.microsoft.com/office/drawing/2014/main" id="{794F27E4-19B6-464E-80D3-0433F642EC0D}"/>
            </a:ext>
          </a:extLst>
        </xdr:cNvPr>
        <xdr:cNvSpPr txBox="1">
          <a:spLocks noChangeArrowheads="1"/>
        </xdr:cNvSpPr>
      </xdr:nvSpPr>
      <xdr:spPr bwMode="auto">
        <a:xfrm>
          <a:off x="3994150" y="1143000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121574</xdr:rowOff>
    </xdr:from>
    <xdr:to>
      <xdr:col>5</xdr:col>
      <xdr:colOff>609600</xdr:colOff>
      <xdr:row>68</xdr:row>
      <xdr:rowOff>104184</xdr:rowOff>
    </xdr:to>
    <xdr:sp macro="" textlink="">
      <xdr:nvSpPr>
        <xdr:cNvPr id="375911" name="Text Box 103" hidden="1">
          <a:extLst>
            <a:ext uri="{FF2B5EF4-FFF2-40B4-BE49-F238E27FC236}">
              <a16:creationId xmlns:a16="http://schemas.microsoft.com/office/drawing/2014/main" id="{C43FF1ED-E0E4-EDFB-DD0E-18972E56EFE9}"/>
            </a:ext>
          </a:extLst>
        </xdr:cNvPr>
        <xdr:cNvSpPr txBox="1">
          <a:spLocks noChangeArrowheads="1"/>
        </xdr:cNvSpPr>
      </xdr:nvSpPr>
      <xdr:spPr bwMode="auto">
        <a:xfrm>
          <a:off x="3994150" y="1144905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47191</xdr:rowOff>
    </xdr:from>
    <xdr:to>
      <xdr:col>5</xdr:col>
      <xdr:colOff>609600</xdr:colOff>
      <xdr:row>68</xdr:row>
      <xdr:rowOff>66084</xdr:rowOff>
    </xdr:to>
    <xdr:sp macro="" textlink="">
      <xdr:nvSpPr>
        <xdr:cNvPr id="375910" name="Text Box 102" hidden="1">
          <a:extLst>
            <a:ext uri="{FF2B5EF4-FFF2-40B4-BE49-F238E27FC236}">
              <a16:creationId xmlns:a16="http://schemas.microsoft.com/office/drawing/2014/main" id="{DA8B00A9-3100-C25A-C6D0-C780DDFA14D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69261</xdr:rowOff>
    </xdr:from>
    <xdr:to>
      <xdr:col>5</xdr:col>
      <xdr:colOff>609600</xdr:colOff>
      <xdr:row>79</xdr:row>
      <xdr:rowOff>209</xdr:rowOff>
    </xdr:to>
    <xdr:sp macro="" textlink="">
      <xdr:nvSpPr>
        <xdr:cNvPr id="375909" name="Text Box 101" hidden="1">
          <a:extLst>
            <a:ext uri="{FF2B5EF4-FFF2-40B4-BE49-F238E27FC236}">
              <a16:creationId xmlns:a16="http://schemas.microsoft.com/office/drawing/2014/main" id="{942034FF-A541-4883-45A5-782D504092F7}"/>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170950</xdr:rowOff>
    </xdr:from>
    <xdr:to>
      <xdr:col>5</xdr:col>
      <xdr:colOff>609600</xdr:colOff>
      <xdr:row>78</xdr:row>
      <xdr:rowOff>83555</xdr:rowOff>
    </xdr:to>
    <xdr:sp macro="" textlink="">
      <xdr:nvSpPr>
        <xdr:cNvPr id="375908" name="Text Box 100" hidden="1">
          <a:extLst>
            <a:ext uri="{FF2B5EF4-FFF2-40B4-BE49-F238E27FC236}">
              <a16:creationId xmlns:a16="http://schemas.microsoft.com/office/drawing/2014/main" id="{D1AAB25D-5300-72CD-C8EB-E40C387EF240}"/>
            </a:ext>
          </a:extLst>
        </xdr:cNvPr>
        <xdr:cNvSpPr txBox="1">
          <a:spLocks noChangeArrowheads="1"/>
        </xdr:cNvSpPr>
      </xdr:nvSpPr>
      <xdr:spPr bwMode="auto">
        <a:xfrm>
          <a:off x="3994150" y="161798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115797</xdr:rowOff>
    </xdr:from>
    <xdr:to>
      <xdr:col>5</xdr:col>
      <xdr:colOff>609600</xdr:colOff>
      <xdr:row>80</xdr:row>
      <xdr:rowOff>178223</xdr:rowOff>
    </xdr:to>
    <xdr:sp macro="" textlink="">
      <xdr:nvSpPr>
        <xdr:cNvPr id="375907" name="Text Box 99" hidden="1">
          <a:extLst>
            <a:ext uri="{FF2B5EF4-FFF2-40B4-BE49-F238E27FC236}">
              <a16:creationId xmlns:a16="http://schemas.microsoft.com/office/drawing/2014/main" id="{27CD9360-36DD-4068-A217-5D03A9C10236}"/>
            </a:ext>
          </a:extLst>
        </xdr:cNvPr>
        <xdr:cNvSpPr txBox="1">
          <a:spLocks noChangeArrowheads="1"/>
        </xdr:cNvSpPr>
      </xdr:nvSpPr>
      <xdr:spPr bwMode="auto">
        <a:xfrm>
          <a:off x="3994150" y="1630680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181631</xdr:rowOff>
    </xdr:to>
    <xdr:sp macro="" textlink="">
      <xdr:nvSpPr>
        <xdr:cNvPr id="375906" name="Text Box 98" hidden="1">
          <a:extLst>
            <a:ext uri="{FF2B5EF4-FFF2-40B4-BE49-F238E27FC236}">
              <a16:creationId xmlns:a16="http://schemas.microsoft.com/office/drawing/2014/main" id="{0998EE4F-DA05-623E-DC93-83A7670AEDC9}"/>
            </a:ext>
          </a:extLst>
        </xdr:cNvPr>
        <xdr:cNvSpPr txBox="1">
          <a:spLocks noChangeArrowheads="1"/>
        </xdr:cNvSpPr>
      </xdr:nvSpPr>
      <xdr:spPr bwMode="auto">
        <a:xfrm>
          <a:off x="3994150" y="164909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87261</xdr:rowOff>
    </xdr:from>
    <xdr:to>
      <xdr:col>5</xdr:col>
      <xdr:colOff>609600</xdr:colOff>
      <xdr:row>104</xdr:row>
      <xdr:rowOff>111036</xdr:rowOff>
    </xdr:to>
    <xdr:sp macro="" textlink="">
      <xdr:nvSpPr>
        <xdr:cNvPr id="375905" name="Text Box 97" hidden="1">
          <a:extLst>
            <a:ext uri="{FF2B5EF4-FFF2-40B4-BE49-F238E27FC236}">
              <a16:creationId xmlns:a16="http://schemas.microsoft.com/office/drawing/2014/main" id="{D091AB2C-0016-3AE7-3CDA-511DD6E2862E}"/>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143768</xdr:rowOff>
    </xdr:from>
    <xdr:to>
      <xdr:col>5</xdr:col>
      <xdr:colOff>609600</xdr:colOff>
      <xdr:row>104</xdr:row>
      <xdr:rowOff>53886</xdr:rowOff>
    </xdr:to>
    <xdr:sp macro="" textlink="">
      <xdr:nvSpPr>
        <xdr:cNvPr id="375904" name="Text Box 96" hidden="1">
          <a:extLst>
            <a:ext uri="{FF2B5EF4-FFF2-40B4-BE49-F238E27FC236}">
              <a16:creationId xmlns:a16="http://schemas.microsoft.com/office/drawing/2014/main" id="{AB7FA3C7-FFBC-08BC-A09E-56DEF836CC79}"/>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152500</xdr:rowOff>
    </xdr:from>
    <xdr:to>
      <xdr:col>5</xdr:col>
      <xdr:colOff>609600</xdr:colOff>
      <xdr:row>104</xdr:row>
      <xdr:rowOff>20518</xdr:rowOff>
    </xdr:to>
    <xdr:sp macro="" textlink="">
      <xdr:nvSpPr>
        <xdr:cNvPr id="375903" name="Text Box 95" hidden="1">
          <a:extLst>
            <a:ext uri="{FF2B5EF4-FFF2-40B4-BE49-F238E27FC236}">
              <a16:creationId xmlns:a16="http://schemas.microsoft.com/office/drawing/2014/main" id="{B634E961-4089-16E4-C15B-6A1A7EE774F6}"/>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106313</xdr:rowOff>
    </xdr:from>
    <xdr:to>
      <xdr:col>5</xdr:col>
      <xdr:colOff>609600</xdr:colOff>
      <xdr:row>104</xdr:row>
      <xdr:rowOff>20518</xdr:rowOff>
    </xdr:to>
    <xdr:sp macro="" textlink="">
      <xdr:nvSpPr>
        <xdr:cNvPr id="375902" name="Text Box 94" hidden="1">
          <a:extLst>
            <a:ext uri="{FF2B5EF4-FFF2-40B4-BE49-F238E27FC236}">
              <a16:creationId xmlns:a16="http://schemas.microsoft.com/office/drawing/2014/main" id="{F0755C43-9A70-366D-E2EE-A3ECC187F3FF}"/>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01" name="Text Box 93" hidden="1">
          <a:extLst>
            <a:ext uri="{FF2B5EF4-FFF2-40B4-BE49-F238E27FC236}">
              <a16:creationId xmlns:a16="http://schemas.microsoft.com/office/drawing/2014/main" id="{2D6E15EF-2053-7331-3FC6-F7DD2EACB2B8}"/>
            </a:ext>
          </a:extLst>
        </xdr:cNvPr>
        <xdr:cNvSpPr txBox="1">
          <a:spLocks noChangeArrowheads="1"/>
        </xdr:cNvSpPr>
      </xdr:nvSpPr>
      <xdr:spPr bwMode="auto">
        <a:xfrm>
          <a:off x="17519650" y="256921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900" name="Text Box 92" hidden="1">
          <a:extLst>
            <a:ext uri="{FF2B5EF4-FFF2-40B4-BE49-F238E27FC236}">
              <a16:creationId xmlns:a16="http://schemas.microsoft.com/office/drawing/2014/main" id="{B5667A02-88FC-3C6E-0127-CBD62A0905C2}"/>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99" name="Text Box 91" hidden="1">
          <a:extLst>
            <a:ext uri="{FF2B5EF4-FFF2-40B4-BE49-F238E27FC236}">
              <a16:creationId xmlns:a16="http://schemas.microsoft.com/office/drawing/2014/main" id="{8F2A9109-09E1-D2DF-837A-C0B7117761FF}"/>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898" name="Text Box 90" hidden="1">
          <a:extLst>
            <a:ext uri="{FF2B5EF4-FFF2-40B4-BE49-F238E27FC236}">
              <a16:creationId xmlns:a16="http://schemas.microsoft.com/office/drawing/2014/main" id="{C2733543-54DC-0013-8FAB-3FCCFA11486F}"/>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103981</xdr:rowOff>
    </xdr:from>
    <xdr:to>
      <xdr:col>11</xdr:col>
      <xdr:colOff>1409700</xdr:colOff>
      <xdr:row>39</xdr:row>
      <xdr:rowOff>46831</xdr:rowOff>
    </xdr:to>
    <xdr:sp macro="" textlink="">
      <xdr:nvSpPr>
        <xdr:cNvPr id="375897" name="Text Box 89" hidden="1">
          <a:extLst>
            <a:ext uri="{FF2B5EF4-FFF2-40B4-BE49-F238E27FC236}">
              <a16:creationId xmlns:a16="http://schemas.microsoft.com/office/drawing/2014/main" id="{63740A62-4A83-CA3D-17FF-7EAD1E220E5F}"/>
            </a:ext>
          </a:extLst>
        </xdr:cNvPr>
        <xdr:cNvSpPr txBox="1">
          <a:spLocks noChangeArrowheads="1"/>
        </xdr:cNvSpPr>
      </xdr:nvSpPr>
      <xdr:spPr bwMode="auto">
        <a:xfrm>
          <a:off x="9366250" y="75882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5896" name="Text Box 88" hidden="1">
          <a:extLst>
            <a:ext uri="{FF2B5EF4-FFF2-40B4-BE49-F238E27FC236}">
              <a16:creationId xmlns:a16="http://schemas.microsoft.com/office/drawing/2014/main" id="{A88BA161-C5A2-DF1A-FC12-16193BFF41DD}"/>
            </a:ext>
          </a:extLst>
        </xdr:cNvPr>
        <xdr:cNvSpPr txBox="1">
          <a:spLocks noChangeArrowheads="1"/>
        </xdr:cNvSpPr>
      </xdr:nvSpPr>
      <xdr:spPr bwMode="auto">
        <a:xfrm>
          <a:off x="2003425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139700</xdr:rowOff>
    </xdr:to>
    <xdr:sp macro="" textlink="">
      <xdr:nvSpPr>
        <xdr:cNvPr id="375895" name="Text Box 87" hidden="1">
          <a:extLst>
            <a:ext uri="{FF2B5EF4-FFF2-40B4-BE49-F238E27FC236}">
              <a16:creationId xmlns:a16="http://schemas.microsoft.com/office/drawing/2014/main" id="{DDAB76A3-CBBB-20C6-89FE-1A3186DC5E82}"/>
            </a:ext>
          </a:extLst>
        </xdr:cNvPr>
        <xdr:cNvSpPr txBox="1">
          <a:spLocks noChangeArrowheads="1"/>
        </xdr:cNvSpPr>
      </xdr:nvSpPr>
      <xdr:spPr bwMode="auto">
        <a:xfrm>
          <a:off x="20034250" y="5746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183903</xdr:rowOff>
    </xdr:to>
    <xdr:sp macro="" textlink="">
      <xdr:nvSpPr>
        <xdr:cNvPr id="375894" name="Text Box 86" hidden="1">
          <a:extLst>
            <a:ext uri="{FF2B5EF4-FFF2-40B4-BE49-F238E27FC236}">
              <a16:creationId xmlns:a16="http://schemas.microsoft.com/office/drawing/2014/main" id="{EFB92CEA-0683-9059-AEC5-6EF18E608C4F}"/>
            </a:ext>
          </a:extLst>
        </xdr:cNvPr>
        <xdr:cNvSpPr txBox="1">
          <a:spLocks noChangeArrowheads="1"/>
        </xdr:cNvSpPr>
      </xdr:nvSpPr>
      <xdr:spPr bwMode="auto">
        <a:xfrm>
          <a:off x="20034250" y="26447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53" name="Text Box 145" hidden="1">
          <a:extLst>
            <a:ext uri="{FF2B5EF4-FFF2-40B4-BE49-F238E27FC236}">
              <a16:creationId xmlns:a16="http://schemas.microsoft.com/office/drawing/2014/main" id="{AFAB564F-BC57-6F89-59A1-9336DBE954C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43793</xdr:rowOff>
    </xdr:from>
    <xdr:to>
      <xdr:col>5</xdr:col>
      <xdr:colOff>609600</xdr:colOff>
      <xdr:row>228</xdr:row>
      <xdr:rowOff>43793</xdr:rowOff>
    </xdr:to>
    <xdr:sp macro="" textlink="">
      <xdr:nvSpPr>
        <xdr:cNvPr id="375952" name="Text Box 144" hidden="1">
          <a:extLst>
            <a:ext uri="{FF2B5EF4-FFF2-40B4-BE49-F238E27FC236}">
              <a16:creationId xmlns:a16="http://schemas.microsoft.com/office/drawing/2014/main" id="{91B686DF-388E-AAD2-A22C-F881891AB67D}"/>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10073</xdr:rowOff>
    </xdr:from>
    <xdr:to>
      <xdr:col>5</xdr:col>
      <xdr:colOff>609600</xdr:colOff>
      <xdr:row>227</xdr:row>
      <xdr:rowOff>158093</xdr:rowOff>
    </xdr:to>
    <xdr:sp macro="" textlink="">
      <xdr:nvSpPr>
        <xdr:cNvPr id="375951" name="Text Box 143" hidden="1">
          <a:extLst>
            <a:ext uri="{FF2B5EF4-FFF2-40B4-BE49-F238E27FC236}">
              <a16:creationId xmlns:a16="http://schemas.microsoft.com/office/drawing/2014/main" id="{7A3B0374-F8BE-D6D3-9A6D-6E023E918DCE}"/>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10073</xdr:rowOff>
    </xdr:from>
    <xdr:to>
      <xdr:col>5</xdr:col>
      <xdr:colOff>609600</xdr:colOff>
      <xdr:row>229</xdr:row>
      <xdr:rowOff>43793</xdr:rowOff>
    </xdr:to>
    <xdr:sp macro="" textlink="">
      <xdr:nvSpPr>
        <xdr:cNvPr id="375950" name="Text Box 142" hidden="1">
          <a:extLst>
            <a:ext uri="{FF2B5EF4-FFF2-40B4-BE49-F238E27FC236}">
              <a16:creationId xmlns:a16="http://schemas.microsoft.com/office/drawing/2014/main" id="{BEF7188E-5D0D-F4D4-9AD8-F7FA2212BA8C}"/>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10072</xdr:rowOff>
    </xdr:from>
    <xdr:to>
      <xdr:col>5</xdr:col>
      <xdr:colOff>609600</xdr:colOff>
      <xdr:row>216</xdr:row>
      <xdr:rowOff>158093</xdr:rowOff>
    </xdr:to>
    <xdr:sp macro="" textlink="">
      <xdr:nvSpPr>
        <xdr:cNvPr id="375949" name="Text Box 141" hidden="1">
          <a:extLst>
            <a:ext uri="{FF2B5EF4-FFF2-40B4-BE49-F238E27FC236}">
              <a16:creationId xmlns:a16="http://schemas.microsoft.com/office/drawing/2014/main" id="{37CCA463-B563-7968-9087-4AA7CAA71C9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7692</xdr:rowOff>
    </xdr:to>
    <xdr:sp macro="" textlink="">
      <xdr:nvSpPr>
        <xdr:cNvPr id="375948" name="Text Box 140" hidden="1">
          <a:extLst>
            <a:ext uri="{FF2B5EF4-FFF2-40B4-BE49-F238E27FC236}">
              <a16:creationId xmlns:a16="http://schemas.microsoft.com/office/drawing/2014/main" id="{EC37C7C4-36D1-3862-7E83-88AB418BB180}"/>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60462</xdr:rowOff>
    </xdr:to>
    <xdr:sp macro="" textlink="">
      <xdr:nvSpPr>
        <xdr:cNvPr id="375947" name="Text Box 139" hidden="1">
          <a:extLst>
            <a:ext uri="{FF2B5EF4-FFF2-40B4-BE49-F238E27FC236}">
              <a16:creationId xmlns:a16="http://schemas.microsoft.com/office/drawing/2014/main" id="{74CCB67F-D272-CEF4-005E-965322170C87}"/>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71575</xdr:rowOff>
    </xdr:from>
    <xdr:to>
      <xdr:col>5</xdr:col>
      <xdr:colOff>609600</xdr:colOff>
      <xdr:row>196</xdr:row>
      <xdr:rowOff>79512</xdr:rowOff>
    </xdr:to>
    <xdr:sp macro="" textlink="">
      <xdr:nvSpPr>
        <xdr:cNvPr id="375946" name="Text Box 138" hidden="1">
          <a:extLst>
            <a:ext uri="{FF2B5EF4-FFF2-40B4-BE49-F238E27FC236}">
              <a16:creationId xmlns:a16="http://schemas.microsoft.com/office/drawing/2014/main" id="{6A887F85-C22D-FF79-00FE-F6698D7AA4DE}"/>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43794</xdr:rowOff>
    </xdr:from>
    <xdr:to>
      <xdr:col>5</xdr:col>
      <xdr:colOff>609600</xdr:colOff>
      <xdr:row>203</xdr:row>
      <xdr:rowOff>29123</xdr:rowOff>
    </xdr:to>
    <xdr:sp macro="" textlink="">
      <xdr:nvSpPr>
        <xdr:cNvPr id="375945" name="Text Box 137" hidden="1">
          <a:extLst>
            <a:ext uri="{FF2B5EF4-FFF2-40B4-BE49-F238E27FC236}">
              <a16:creationId xmlns:a16="http://schemas.microsoft.com/office/drawing/2014/main" id="{625CC563-8542-8B62-CD65-1AC9F66E3893}"/>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53</xdr:row>
      <xdr:rowOff>48362</xdr:rowOff>
    </xdr:to>
    <xdr:sp macro="" textlink="">
      <xdr:nvSpPr>
        <xdr:cNvPr id="375944" name="Text Box 136" hidden="1">
          <a:extLst>
            <a:ext uri="{FF2B5EF4-FFF2-40B4-BE49-F238E27FC236}">
              <a16:creationId xmlns:a16="http://schemas.microsoft.com/office/drawing/2014/main" id="{B548ED0B-5C36-A26E-8922-8DEA8047B0A3}"/>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64</xdr:row>
      <xdr:rowOff>45663</xdr:rowOff>
    </xdr:to>
    <xdr:sp macro="" textlink="">
      <xdr:nvSpPr>
        <xdr:cNvPr id="375943" name="Text Box 135" hidden="1">
          <a:extLst>
            <a:ext uri="{FF2B5EF4-FFF2-40B4-BE49-F238E27FC236}">
              <a16:creationId xmlns:a16="http://schemas.microsoft.com/office/drawing/2014/main" id="{075964B5-B16A-22F3-981D-1E57EBDA1CB7}"/>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102524</xdr:rowOff>
    </xdr:from>
    <xdr:to>
      <xdr:col>5</xdr:col>
      <xdr:colOff>609600</xdr:colOff>
      <xdr:row>68</xdr:row>
      <xdr:rowOff>85134</xdr:rowOff>
    </xdr:to>
    <xdr:sp macro="" textlink="">
      <xdr:nvSpPr>
        <xdr:cNvPr id="375942" name="Text Box 134" hidden="1">
          <a:extLst>
            <a:ext uri="{FF2B5EF4-FFF2-40B4-BE49-F238E27FC236}">
              <a16:creationId xmlns:a16="http://schemas.microsoft.com/office/drawing/2014/main" id="{DE9C68D9-A398-25FC-F371-9D3548489A9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121574</xdr:rowOff>
    </xdr:from>
    <xdr:to>
      <xdr:col>5</xdr:col>
      <xdr:colOff>609600</xdr:colOff>
      <xdr:row>68</xdr:row>
      <xdr:rowOff>104184</xdr:rowOff>
    </xdr:to>
    <xdr:sp macro="" textlink="">
      <xdr:nvSpPr>
        <xdr:cNvPr id="375941" name="Text Box 133" hidden="1">
          <a:extLst>
            <a:ext uri="{FF2B5EF4-FFF2-40B4-BE49-F238E27FC236}">
              <a16:creationId xmlns:a16="http://schemas.microsoft.com/office/drawing/2014/main" id="{A1E70EA2-BB78-BBEC-4581-BF16FDBB1FC2}"/>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47191</xdr:rowOff>
    </xdr:from>
    <xdr:to>
      <xdr:col>5</xdr:col>
      <xdr:colOff>609600</xdr:colOff>
      <xdr:row>68</xdr:row>
      <xdr:rowOff>66084</xdr:rowOff>
    </xdr:to>
    <xdr:sp macro="" textlink="">
      <xdr:nvSpPr>
        <xdr:cNvPr id="375940" name="Text Box 132" hidden="1">
          <a:extLst>
            <a:ext uri="{FF2B5EF4-FFF2-40B4-BE49-F238E27FC236}">
              <a16:creationId xmlns:a16="http://schemas.microsoft.com/office/drawing/2014/main" id="{8722ECB3-E2E6-78F5-B634-5867D2F21EE7}"/>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69261</xdr:rowOff>
    </xdr:from>
    <xdr:to>
      <xdr:col>5</xdr:col>
      <xdr:colOff>609600</xdr:colOff>
      <xdr:row>79</xdr:row>
      <xdr:rowOff>209</xdr:rowOff>
    </xdr:to>
    <xdr:sp macro="" textlink="">
      <xdr:nvSpPr>
        <xdr:cNvPr id="375939" name="Text Box 131" hidden="1">
          <a:extLst>
            <a:ext uri="{FF2B5EF4-FFF2-40B4-BE49-F238E27FC236}">
              <a16:creationId xmlns:a16="http://schemas.microsoft.com/office/drawing/2014/main" id="{5353114D-A872-A0F4-0DC2-6F67EF5DCF0A}"/>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170950</xdr:rowOff>
    </xdr:from>
    <xdr:to>
      <xdr:col>5</xdr:col>
      <xdr:colOff>609600</xdr:colOff>
      <xdr:row>78</xdr:row>
      <xdr:rowOff>83555</xdr:rowOff>
    </xdr:to>
    <xdr:sp macro="" textlink="">
      <xdr:nvSpPr>
        <xdr:cNvPr id="375938" name="Text Box 130" hidden="1">
          <a:extLst>
            <a:ext uri="{FF2B5EF4-FFF2-40B4-BE49-F238E27FC236}">
              <a16:creationId xmlns:a16="http://schemas.microsoft.com/office/drawing/2014/main" id="{227660FD-C430-088B-6F65-37542D21F912}"/>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115797</xdr:rowOff>
    </xdr:from>
    <xdr:to>
      <xdr:col>5</xdr:col>
      <xdr:colOff>609600</xdr:colOff>
      <xdr:row>80</xdr:row>
      <xdr:rowOff>178223</xdr:rowOff>
    </xdr:to>
    <xdr:sp macro="" textlink="">
      <xdr:nvSpPr>
        <xdr:cNvPr id="375937" name="Text Box 129" hidden="1">
          <a:extLst>
            <a:ext uri="{FF2B5EF4-FFF2-40B4-BE49-F238E27FC236}">
              <a16:creationId xmlns:a16="http://schemas.microsoft.com/office/drawing/2014/main" id="{A38F248E-8940-7BC9-9DDA-D05C2FA16D6C}"/>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181631</xdr:rowOff>
    </xdr:to>
    <xdr:sp macro="" textlink="">
      <xdr:nvSpPr>
        <xdr:cNvPr id="375936" name="Text Box 128" hidden="1">
          <a:extLst>
            <a:ext uri="{FF2B5EF4-FFF2-40B4-BE49-F238E27FC236}">
              <a16:creationId xmlns:a16="http://schemas.microsoft.com/office/drawing/2014/main" id="{F5A152E9-B8D8-F3A8-261F-DD6339ABDD0D}"/>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87261</xdr:rowOff>
    </xdr:from>
    <xdr:to>
      <xdr:col>5</xdr:col>
      <xdr:colOff>609600</xdr:colOff>
      <xdr:row>104</xdr:row>
      <xdr:rowOff>111036</xdr:rowOff>
    </xdr:to>
    <xdr:sp macro="" textlink="">
      <xdr:nvSpPr>
        <xdr:cNvPr id="375935" name="Text Box 127" hidden="1">
          <a:extLst>
            <a:ext uri="{FF2B5EF4-FFF2-40B4-BE49-F238E27FC236}">
              <a16:creationId xmlns:a16="http://schemas.microsoft.com/office/drawing/2014/main" id="{30F3BE31-FA1D-3635-91F1-932F0CABAD13}"/>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143768</xdr:rowOff>
    </xdr:from>
    <xdr:to>
      <xdr:col>5</xdr:col>
      <xdr:colOff>609600</xdr:colOff>
      <xdr:row>104</xdr:row>
      <xdr:rowOff>53886</xdr:rowOff>
    </xdr:to>
    <xdr:sp macro="" textlink="">
      <xdr:nvSpPr>
        <xdr:cNvPr id="375934" name="Text Box 126" hidden="1">
          <a:extLst>
            <a:ext uri="{FF2B5EF4-FFF2-40B4-BE49-F238E27FC236}">
              <a16:creationId xmlns:a16="http://schemas.microsoft.com/office/drawing/2014/main" id="{1B12DFA8-2B8D-F355-05C8-CB3BCFFA4EC7}"/>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152500</xdr:rowOff>
    </xdr:from>
    <xdr:to>
      <xdr:col>5</xdr:col>
      <xdr:colOff>609600</xdr:colOff>
      <xdr:row>104</xdr:row>
      <xdr:rowOff>20518</xdr:rowOff>
    </xdr:to>
    <xdr:sp macro="" textlink="">
      <xdr:nvSpPr>
        <xdr:cNvPr id="375933" name="Text Box 125" hidden="1">
          <a:extLst>
            <a:ext uri="{FF2B5EF4-FFF2-40B4-BE49-F238E27FC236}">
              <a16:creationId xmlns:a16="http://schemas.microsoft.com/office/drawing/2014/main" id="{437B4AFB-0EC8-AADC-096A-44EC19E0D421}"/>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106313</xdr:rowOff>
    </xdr:from>
    <xdr:to>
      <xdr:col>5</xdr:col>
      <xdr:colOff>609600</xdr:colOff>
      <xdr:row>104</xdr:row>
      <xdr:rowOff>20518</xdr:rowOff>
    </xdr:to>
    <xdr:sp macro="" textlink="">
      <xdr:nvSpPr>
        <xdr:cNvPr id="375932" name="Text Box 124" hidden="1">
          <a:extLst>
            <a:ext uri="{FF2B5EF4-FFF2-40B4-BE49-F238E27FC236}">
              <a16:creationId xmlns:a16="http://schemas.microsoft.com/office/drawing/2014/main" id="{B07A994F-B360-7D42-99B2-D151409FF42D}"/>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31" name="Text Box 123" hidden="1">
          <a:extLst>
            <a:ext uri="{FF2B5EF4-FFF2-40B4-BE49-F238E27FC236}">
              <a16:creationId xmlns:a16="http://schemas.microsoft.com/office/drawing/2014/main" id="{C68BDD8B-6F09-31D6-F34A-262A05137F41}"/>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930" name="Text Box 122" hidden="1">
          <a:extLst>
            <a:ext uri="{FF2B5EF4-FFF2-40B4-BE49-F238E27FC236}">
              <a16:creationId xmlns:a16="http://schemas.microsoft.com/office/drawing/2014/main" id="{C10AB60D-256B-04F5-D046-01230C2AF916}"/>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29" name="Text Box 121" hidden="1">
          <a:extLst>
            <a:ext uri="{FF2B5EF4-FFF2-40B4-BE49-F238E27FC236}">
              <a16:creationId xmlns:a16="http://schemas.microsoft.com/office/drawing/2014/main" id="{A7DCB2D0-6063-25B8-F902-80B50155419F}"/>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928" name="Text Box 120" hidden="1">
          <a:extLst>
            <a:ext uri="{FF2B5EF4-FFF2-40B4-BE49-F238E27FC236}">
              <a16:creationId xmlns:a16="http://schemas.microsoft.com/office/drawing/2014/main" id="{729C288C-2D89-90AE-A818-7BF18756FB43}"/>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103981</xdr:rowOff>
    </xdr:from>
    <xdr:to>
      <xdr:col>11</xdr:col>
      <xdr:colOff>1409700</xdr:colOff>
      <xdr:row>39</xdr:row>
      <xdr:rowOff>46831</xdr:rowOff>
    </xdr:to>
    <xdr:sp macro="" textlink="">
      <xdr:nvSpPr>
        <xdr:cNvPr id="375927" name="Text Box 119" hidden="1">
          <a:extLst>
            <a:ext uri="{FF2B5EF4-FFF2-40B4-BE49-F238E27FC236}">
              <a16:creationId xmlns:a16="http://schemas.microsoft.com/office/drawing/2014/main" id="{D2992C62-1B9B-4DE6-F40F-41D2048DDBFD}"/>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5926" name="Text Box 118" hidden="1">
          <a:extLst>
            <a:ext uri="{FF2B5EF4-FFF2-40B4-BE49-F238E27FC236}">
              <a16:creationId xmlns:a16="http://schemas.microsoft.com/office/drawing/2014/main" id="{3A415EE0-A6F5-378A-45BA-758849D69494}"/>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139700</xdr:rowOff>
    </xdr:to>
    <xdr:sp macro="" textlink="">
      <xdr:nvSpPr>
        <xdr:cNvPr id="375925" name="Text Box 117" hidden="1">
          <a:extLst>
            <a:ext uri="{FF2B5EF4-FFF2-40B4-BE49-F238E27FC236}">
              <a16:creationId xmlns:a16="http://schemas.microsoft.com/office/drawing/2014/main" id="{9C81C5F2-109C-2892-1719-CB8B7D81DD53}"/>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183903</xdr:rowOff>
    </xdr:to>
    <xdr:sp macro="" textlink="">
      <xdr:nvSpPr>
        <xdr:cNvPr id="375924" name="Text Box 116" hidden="1">
          <a:extLst>
            <a:ext uri="{FF2B5EF4-FFF2-40B4-BE49-F238E27FC236}">
              <a16:creationId xmlns:a16="http://schemas.microsoft.com/office/drawing/2014/main" id="{D848D0A5-714E-5B2B-DAB0-89AE96418637}"/>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83" name="Text Box 175" hidden="1">
          <a:extLst>
            <a:ext uri="{FF2B5EF4-FFF2-40B4-BE49-F238E27FC236}">
              <a16:creationId xmlns:a16="http://schemas.microsoft.com/office/drawing/2014/main" id="{803CB105-DA05-36B8-59A0-A46DAE83B02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43793</xdr:rowOff>
    </xdr:from>
    <xdr:to>
      <xdr:col>5</xdr:col>
      <xdr:colOff>609600</xdr:colOff>
      <xdr:row>228</xdr:row>
      <xdr:rowOff>43793</xdr:rowOff>
    </xdr:to>
    <xdr:sp macro="" textlink="">
      <xdr:nvSpPr>
        <xdr:cNvPr id="375982" name="Text Box 174" hidden="1">
          <a:extLst>
            <a:ext uri="{FF2B5EF4-FFF2-40B4-BE49-F238E27FC236}">
              <a16:creationId xmlns:a16="http://schemas.microsoft.com/office/drawing/2014/main" id="{A141038D-8045-E1A1-C6AA-FD53967CC93A}"/>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10073</xdr:rowOff>
    </xdr:from>
    <xdr:to>
      <xdr:col>5</xdr:col>
      <xdr:colOff>609600</xdr:colOff>
      <xdr:row>227</xdr:row>
      <xdr:rowOff>158093</xdr:rowOff>
    </xdr:to>
    <xdr:sp macro="" textlink="">
      <xdr:nvSpPr>
        <xdr:cNvPr id="375981" name="Text Box 173" hidden="1">
          <a:extLst>
            <a:ext uri="{FF2B5EF4-FFF2-40B4-BE49-F238E27FC236}">
              <a16:creationId xmlns:a16="http://schemas.microsoft.com/office/drawing/2014/main" id="{A1C2BF6C-13B7-BCE3-6C34-9A9AB1970598}"/>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10073</xdr:rowOff>
    </xdr:from>
    <xdr:to>
      <xdr:col>5</xdr:col>
      <xdr:colOff>609600</xdr:colOff>
      <xdr:row>229</xdr:row>
      <xdr:rowOff>43793</xdr:rowOff>
    </xdr:to>
    <xdr:sp macro="" textlink="">
      <xdr:nvSpPr>
        <xdr:cNvPr id="375980" name="Text Box 172" hidden="1">
          <a:extLst>
            <a:ext uri="{FF2B5EF4-FFF2-40B4-BE49-F238E27FC236}">
              <a16:creationId xmlns:a16="http://schemas.microsoft.com/office/drawing/2014/main" id="{F4EA7B0E-54B2-4212-F9E6-7E0D6666BF7A}"/>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10072</xdr:rowOff>
    </xdr:from>
    <xdr:to>
      <xdr:col>5</xdr:col>
      <xdr:colOff>609600</xdr:colOff>
      <xdr:row>216</xdr:row>
      <xdr:rowOff>158093</xdr:rowOff>
    </xdr:to>
    <xdr:sp macro="" textlink="">
      <xdr:nvSpPr>
        <xdr:cNvPr id="375979" name="Text Box 171" hidden="1">
          <a:extLst>
            <a:ext uri="{FF2B5EF4-FFF2-40B4-BE49-F238E27FC236}">
              <a16:creationId xmlns:a16="http://schemas.microsoft.com/office/drawing/2014/main" id="{4B849349-E46D-B2BB-9303-A136BA7AA2C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7692</xdr:rowOff>
    </xdr:to>
    <xdr:sp macro="" textlink="">
      <xdr:nvSpPr>
        <xdr:cNvPr id="375978" name="Text Box 170" hidden="1">
          <a:extLst>
            <a:ext uri="{FF2B5EF4-FFF2-40B4-BE49-F238E27FC236}">
              <a16:creationId xmlns:a16="http://schemas.microsoft.com/office/drawing/2014/main" id="{CD46FE38-D34C-BDB3-CB85-AA8A3487503E}"/>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60462</xdr:rowOff>
    </xdr:to>
    <xdr:sp macro="" textlink="">
      <xdr:nvSpPr>
        <xdr:cNvPr id="375977" name="Text Box 169" hidden="1">
          <a:extLst>
            <a:ext uri="{FF2B5EF4-FFF2-40B4-BE49-F238E27FC236}">
              <a16:creationId xmlns:a16="http://schemas.microsoft.com/office/drawing/2014/main" id="{03C6498C-1EA6-7C05-88F7-4E3AEBA77881}"/>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71575</xdr:rowOff>
    </xdr:from>
    <xdr:to>
      <xdr:col>5</xdr:col>
      <xdr:colOff>609600</xdr:colOff>
      <xdr:row>196</xdr:row>
      <xdr:rowOff>79512</xdr:rowOff>
    </xdr:to>
    <xdr:sp macro="" textlink="">
      <xdr:nvSpPr>
        <xdr:cNvPr id="375976" name="Text Box 168" hidden="1">
          <a:extLst>
            <a:ext uri="{FF2B5EF4-FFF2-40B4-BE49-F238E27FC236}">
              <a16:creationId xmlns:a16="http://schemas.microsoft.com/office/drawing/2014/main" id="{305084BA-BD52-B40D-C5BA-513561A485C9}"/>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43794</xdr:rowOff>
    </xdr:from>
    <xdr:to>
      <xdr:col>5</xdr:col>
      <xdr:colOff>609600</xdr:colOff>
      <xdr:row>203</xdr:row>
      <xdr:rowOff>29123</xdr:rowOff>
    </xdr:to>
    <xdr:sp macro="" textlink="">
      <xdr:nvSpPr>
        <xdr:cNvPr id="375975" name="Text Box 167" hidden="1">
          <a:extLst>
            <a:ext uri="{FF2B5EF4-FFF2-40B4-BE49-F238E27FC236}">
              <a16:creationId xmlns:a16="http://schemas.microsoft.com/office/drawing/2014/main" id="{BC9E4A6F-8CE2-5756-4231-A6EBA9F1C1BE}"/>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53</xdr:row>
      <xdr:rowOff>48362</xdr:rowOff>
    </xdr:to>
    <xdr:sp macro="" textlink="">
      <xdr:nvSpPr>
        <xdr:cNvPr id="375974" name="Text Box 166" hidden="1">
          <a:extLst>
            <a:ext uri="{FF2B5EF4-FFF2-40B4-BE49-F238E27FC236}">
              <a16:creationId xmlns:a16="http://schemas.microsoft.com/office/drawing/2014/main" id="{9CEEDF96-439D-7704-3018-1F933B0DCC10}"/>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64</xdr:row>
      <xdr:rowOff>45663</xdr:rowOff>
    </xdr:to>
    <xdr:sp macro="" textlink="">
      <xdr:nvSpPr>
        <xdr:cNvPr id="375973" name="Text Box 165" hidden="1">
          <a:extLst>
            <a:ext uri="{FF2B5EF4-FFF2-40B4-BE49-F238E27FC236}">
              <a16:creationId xmlns:a16="http://schemas.microsoft.com/office/drawing/2014/main" id="{57F8BDEB-FCC1-3AF6-DE59-1F02845F7BBA}"/>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102524</xdr:rowOff>
    </xdr:from>
    <xdr:to>
      <xdr:col>5</xdr:col>
      <xdr:colOff>609600</xdr:colOff>
      <xdr:row>68</xdr:row>
      <xdr:rowOff>85134</xdr:rowOff>
    </xdr:to>
    <xdr:sp macro="" textlink="">
      <xdr:nvSpPr>
        <xdr:cNvPr id="375972" name="Text Box 164" hidden="1">
          <a:extLst>
            <a:ext uri="{FF2B5EF4-FFF2-40B4-BE49-F238E27FC236}">
              <a16:creationId xmlns:a16="http://schemas.microsoft.com/office/drawing/2014/main" id="{6B9874A2-2830-FABD-F542-A5731CF9998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121574</xdr:rowOff>
    </xdr:from>
    <xdr:to>
      <xdr:col>5</xdr:col>
      <xdr:colOff>609600</xdr:colOff>
      <xdr:row>68</xdr:row>
      <xdr:rowOff>104184</xdr:rowOff>
    </xdr:to>
    <xdr:sp macro="" textlink="">
      <xdr:nvSpPr>
        <xdr:cNvPr id="375971" name="Text Box 163" hidden="1">
          <a:extLst>
            <a:ext uri="{FF2B5EF4-FFF2-40B4-BE49-F238E27FC236}">
              <a16:creationId xmlns:a16="http://schemas.microsoft.com/office/drawing/2014/main" id="{04C68E9C-76EF-589F-8E5E-E239B08D7384}"/>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47191</xdr:rowOff>
    </xdr:from>
    <xdr:to>
      <xdr:col>5</xdr:col>
      <xdr:colOff>609600</xdr:colOff>
      <xdr:row>68</xdr:row>
      <xdr:rowOff>66084</xdr:rowOff>
    </xdr:to>
    <xdr:sp macro="" textlink="">
      <xdr:nvSpPr>
        <xdr:cNvPr id="375970" name="Text Box 162" hidden="1">
          <a:extLst>
            <a:ext uri="{FF2B5EF4-FFF2-40B4-BE49-F238E27FC236}">
              <a16:creationId xmlns:a16="http://schemas.microsoft.com/office/drawing/2014/main" id="{9F63C317-9531-76AB-46FB-4D003054678B}"/>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69261</xdr:rowOff>
    </xdr:from>
    <xdr:to>
      <xdr:col>5</xdr:col>
      <xdr:colOff>609600</xdr:colOff>
      <xdr:row>79</xdr:row>
      <xdr:rowOff>209</xdr:rowOff>
    </xdr:to>
    <xdr:sp macro="" textlink="">
      <xdr:nvSpPr>
        <xdr:cNvPr id="375969" name="Text Box 161" hidden="1">
          <a:extLst>
            <a:ext uri="{FF2B5EF4-FFF2-40B4-BE49-F238E27FC236}">
              <a16:creationId xmlns:a16="http://schemas.microsoft.com/office/drawing/2014/main" id="{F808C4C6-88DC-B75D-17BC-302F3E145B98}"/>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170950</xdr:rowOff>
    </xdr:from>
    <xdr:to>
      <xdr:col>5</xdr:col>
      <xdr:colOff>609600</xdr:colOff>
      <xdr:row>78</xdr:row>
      <xdr:rowOff>83555</xdr:rowOff>
    </xdr:to>
    <xdr:sp macro="" textlink="">
      <xdr:nvSpPr>
        <xdr:cNvPr id="375968" name="Text Box 160" hidden="1">
          <a:extLst>
            <a:ext uri="{FF2B5EF4-FFF2-40B4-BE49-F238E27FC236}">
              <a16:creationId xmlns:a16="http://schemas.microsoft.com/office/drawing/2014/main" id="{CCA93F76-126D-8ADE-7293-79080283A728}"/>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115797</xdr:rowOff>
    </xdr:from>
    <xdr:to>
      <xdr:col>5</xdr:col>
      <xdr:colOff>609600</xdr:colOff>
      <xdr:row>80</xdr:row>
      <xdr:rowOff>178223</xdr:rowOff>
    </xdr:to>
    <xdr:sp macro="" textlink="">
      <xdr:nvSpPr>
        <xdr:cNvPr id="375967" name="Text Box 159" hidden="1">
          <a:extLst>
            <a:ext uri="{FF2B5EF4-FFF2-40B4-BE49-F238E27FC236}">
              <a16:creationId xmlns:a16="http://schemas.microsoft.com/office/drawing/2014/main" id="{FA7DBA68-BFA4-F504-22AC-EA2A2B55986B}"/>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181631</xdr:rowOff>
    </xdr:to>
    <xdr:sp macro="" textlink="">
      <xdr:nvSpPr>
        <xdr:cNvPr id="375966" name="Text Box 158" hidden="1">
          <a:extLst>
            <a:ext uri="{FF2B5EF4-FFF2-40B4-BE49-F238E27FC236}">
              <a16:creationId xmlns:a16="http://schemas.microsoft.com/office/drawing/2014/main" id="{548FFCDE-2FC2-46AC-66C9-7321A5BDA925}"/>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87261</xdr:rowOff>
    </xdr:from>
    <xdr:to>
      <xdr:col>5</xdr:col>
      <xdr:colOff>609600</xdr:colOff>
      <xdr:row>104</xdr:row>
      <xdr:rowOff>111036</xdr:rowOff>
    </xdr:to>
    <xdr:sp macro="" textlink="">
      <xdr:nvSpPr>
        <xdr:cNvPr id="375965" name="Text Box 157" hidden="1">
          <a:extLst>
            <a:ext uri="{FF2B5EF4-FFF2-40B4-BE49-F238E27FC236}">
              <a16:creationId xmlns:a16="http://schemas.microsoft.com/office/drawing/2014/main" id="{5ABE033D-19AA-C7EA-04BB-9B88C13149EA}"/>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143768</xdr:rowOff>
    </xdr:from>
    <xdr:to>
      <xdr:col>5</xdr:col>
      <xdr:colOff>609600</xdr:colOff>
      <xdr:row>104</xdr:row>
      <xdr:rowOff>53886</xdr:rowOff>
    </xdr:to>
    <xdr:sp macro="" textlink="">
      <xdr:nvSpPr>
        <xdr:cNvPr id="375964" name="Text Box 156" hidden="1">
          <a:extLst>
            <a:ext uri="{FF2B5EF4-FFF2-40B4-BE49-F238E27FC236}">
              <a16:creationId xmlns:a16="http://schemas.microsoft.com/office/drawing/2014/main" id="{C47A4A8A-CF63-6B5C-4A09-32FC34423054}"/>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152500</xdr:rowOff>
    </xdr:from>
    <xdr:to>
      <xdr:col>5</xdr:col>
      <xdr:colOff>609600</xdr:colOff>
      <xdr:row>104</xdr:row>
      <xdr:rowOff>20518</xdr:rowOff>
    </xdr:to>
    <xdr:sp macro="" textlink="">
      <xdr:nvSpPr>
        <xdr:cNvPr id="375963" name="Text Box 155" hidden="1">
          <a:extLst>
            <a:ext uri="{FF2B5EF4-FFF2-40B4-BE49-F238E27FC236}">
              <a16:creationId xmlns:a16="http://schemas.microsoft.com/office/drawing/2014/main" id="{715378B3-6083-8599-0348-7402FBB43A36}"/>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106313</xdr:rowOff>
    </xdr:from>
    <xdr:to>
      <xdr:col>5</xdr:col>
      <xdr:colOff>609600</xdr:colOff>
      <xdr:row>104</xdr:row>
      <xdr:rowOff>20518</xdr:rowOff>
    </xdr:to>
    <xdr:sp macro="" textlink="">
      <xdr:nvSpPr>
        <xdr:cNvPr id="375962" name="Text Box 154" hidden="1">
          <a:extLst>
            <a:ext uri="{FF2B5EF4-FFF2-40B4-BE49-F238E27FC236}">
              <a16:creationId xmlns:a16="http://schemas.microsoft.com/office/drawing/2014/main" id="{AFA7273E-CBBD-894F-0262-50CEB5B02B6E}"/>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61" name="Text Box 153" hidden="1">
          <a:extLst>
            <a:ext uri="{FF2B5EF4-FFF2-40B4-BE49-F238E27FC236}">
              <a16:creationId xmlns:a16="http://schemas.microsoft.com/office/drawing/2014/main" id="{534F5159-385C-45F4-E1B5-5E1072BC0D2B}"/>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960" name="Text Box 152" hidden="1">
          <a:extLst>
            <a:ext uri="{FF2B5EF4-FFF2-40B4-BE49-F238E27FC236}">
              <a16:creationId xmlns:a16="http://schemas.microsoft.com/office/drawing/2014/main" id="{97E4913C-737E-710D-6CF3-27E4858E844F}"/>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59" name="Text Box 151" hidden="1">
          <a:extLst>
            <a:ext uri="{FF2B5EF4-FFF2-40B4-BE49-F238E27FC236}">
              <a16:creationId xmlns:a16="http://schemas.microsoft.com/office/drawing/2014/main" id="{58E4EF65-A8A1-23E5-FC17-98786BDDB5AE}"/>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958" name="Text Box 150" hidden="1">
          <a:extLst>
            <a:ext uri="{FF2B5EF4-FFF2-40B4-BE49-F238E27FC236}">
              <a16:creationId xmlns:a16="http://schemas.microsoft.com/office/drawing/2014/main" id="{CE92BBB1-5135-681F-22A7-8A14866C5F9F}"/>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103981</xdr:rowOff>
    </xdr:from>
    <xdr:to>
      <xdr:col>11</xdr:col>
      <xdr:colOff>1409700</xdr:colOff>
      <xdr:row>39</xdr:row>
      <xdr:rowOff>46831</xdr:rowOff>
    </xdr:to>
    <xdr:sp macro="" textlink="">
      <xdr:nvSpPr>
        <xdr:cNvPr id="375957" name="Text Box 149" hidden="1">
          <a:extLst>
            <a:ext uri="{FF2B5EF4-FFF2-40B4-BE49-F238E27FC236}">
              <a16:creationId xmlns:a16="http://schemas.microsoft.com/office/drawing/2014/main" id="{77598CC2-B56E-5319-AC9A-7300FF7AA642}"/>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5956" name="Text Box 148" hidden="1">
          <a:extLst>
            <a:ext uri="{FF2B5EF4-FFF2-40B4-BE49-F238E27FC236}">
              <a16:creationId xmlns:a16="http://schemas.microsoft.com/office/drawing/2014/main" id="{B6B06366-A62C-DF2A-891C-D69521A42B89}"/>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139700</xdr:rowOff>
    </xdr:to>
    <xdr:sp macro="" textlink="">
      <xdr:nvSpPr>
        <xdr:cNvPr id="375955" name="Text Box 147" hidden="1">
          <a:extLst>
            <a:ext uri="{FF2B5EF4-FFF2-40B4-BE49-F238E27FC236}">
              <a16:creationId xmlns:a16="http://schemas.microsoft.com/office/drawing/2014/main" id="{DC7A2932-D6DD-C643-BF21-9EBA2EDFBC99}"/>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183903</xdr:rowOff>
    </xdr:to>
    <xdr:sp macro="" textlink="">
      <xdr:nvSpPr>
        <xdr:cNvPr id="375954" name="Text Box 146" hidden="1">
          <a:extLst>
            <a:ext uri="{FF2B5EF4-FFF2-40B4-BE49-F238E27FC236}">
              <a16:creationId xmlns:a16="http://schemas.microsoft.com/office/drawing/2014/main" id="{5E7AC962-4985-2771-4273-3948FF23C985}"/>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657225</xdr:colOff>
      <xdr:row>18</xdr:row>
      <xdr:rowOff>143668</xdr:rowOff>
    </xdr:to>
    <xdr:sp macro="" textlink="">
      <xdr:nvSpPr>
        <xdr:cNvPr id="375984" name="Text Box 176" hidden="1">
          <a:extLst>
            <a:ext uri="{FF2B5EF4-FFF2-40B4-BE49-F238E27FC236}">
              <a16:creationId xmlns:a16="http://schemas.microsoft.com/office/drawing/2014/main" id="{AE1D7549-0259-B4B6-9114-5B299780C280}"/>
            </a:ext>
          </a:extLst>
        </xdr:cNvPr>
        <xdr:cNvSpPr txBox="1">
          <a:spLocks noChangeArrowheads="1"/>
        </xdr:cNvSpPr>
      </xdr:nvSpPr>
      <xdr:spPr bwMode="auto">
        <a:xfrm>
          <a:off x="20789900" y="35750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35424</xdr:rowOff>
    </xdr:from>
    <xdr:to>
      <xdr:col>25</xdr:col>
      <xdr:colOff>657225</xdr:colOff>
      <xdr:row>28</xdr:row>
      <xdr:rowOff>114470</xdr:rowOff>
    </xdr:to>
    <xdr:sp macro="" textlink="">
      <xdr:nvSpPr>
        <xdr:cNvPr id="375985" name="Text Box 177" hidden="1">
          <a:extLst>
            <a:ext uri="{FF2B5EF4-FFF2-40B4-BE49-F238E27FC236}">
              <a16:creationId xmlns:a16="http://schemas.microsoft.com/office/drawing/2014/main" id="{85391003-A2C0-483F-C093-C42F3011C66A}"/>
            </a:ext>
          </a:extLst>
        </xdr:cNvPr>
        <xdr:cNvSpPr txBox="1">
          <a:spLocks noChangeArrowheads="1"/>
        </xdr:cNvSpPr>
      </xdr:nvSpPr>
      <xdr:spPr bwMode="auto">
        <a:xfrm>
          <a:off x="20789900" y="5765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151770</xdr:rowOff>
    </xdr:from>
    <xdr:to>
      <xdr:col>25</xdr:col>
      <xdr:colOff>657225</xdr:colOff>
      <xdr:row>131</xdr:row>
      <xdr:rowOff>150182</xdr:rowOff>
    </xdr:to>
    <xdr:sp macro="" textlink="">
      <xdr:nvSpPr>
        <xdr:cNvPr id="375986" name="Text Box 178" hidden="1">
          <a:extLst>
            <a:ext uri="{FF2B5EF4-FFF2-40B4-BE49-F238E27FC236}">
              <a16:creationId xmlns:a16="http://schemas.microsoft.com/office/drawing/2014/main" id="{558E45C6-092E-A41B-16DB-425D9C7A201F}"/>
            </a:ext>
          </a:extLst>
        </xdr:cNvPr>
        <xdr:cNvSpPr txBox="1">
          <a:spLocks noChangeArrowheads="1"/>
        </xdr:cNvSpPr>
      </xdr:nvSpPr>
      <xdr:spPr bwMode="auto">
        <a:xfrm>
          <a:off x="20789900" y="26466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52" name="Text Box 244" hidden="1">
          <a:extLst>
            <a:ext uri="{FF2B5EF4-FFF2-40B4-BE49-F238E27FC236}">
              <a16:creationId xmlns:a16="http://schemas.microsoft.com/office/drawing/2014/main" id="{23AC36C6-0247-BE1A-47F2-E97E12560934}"/>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43793</xdr:rowOff>
    </xdr:from>
    <xdr:to>
      <xdr:col>5</xdr:col>
      <xdr:colOff>609600</xdr:colOff>
      <xdr:row>243</xdr:row>
      <xdr:rowOff>43793</xdr:rowOff>
    </xdr:to>
    <xdr:sp macro="" textlink="">
      <xdr:nvSpPr>
        <xdr:cNvPr id="376051" name="Text Box 243" hidden="1">
          <a:extLst>
            <a:ext uri="{FF2B5EF4-FFF2-40B4-BE49-F238E27FC236}">
              <a16:creationId xmlns:a16="http://schemas.microsoft.com/office/drawing/2014/main" id="{D055DF9F-F28D-6C3B-BD1A-0BE2A88AE19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10073</xdr:rowOff>
    </xdr:from>
    <xdr:to>
      <xdr:col>5</xdr:col>
      <xdr:colOff>609600</xdr:colOff>
      <xdr:row>242</xdr:row>
      <xdr:rowOff>158093</xdr:rowOff>
    </xdr:to>
    <xdr:sp macro="" textlink="">
      <xdr:nvSpPr>
        <xdr:cNvPr id="376050" name="Text Box 242" hidden="1">
          <a:extLst>
            <a:ext uri="{FF2B5EF4-FFF2-40B4-BE49-F238E27FC236}">
              <a16:creationId xmlns:a16="http://schemas.microsoft.com/office/drawing/2014/main" id="{D6D12E7E-065A-019E-6188-AE5B8A24E3C4}"/>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10072</xdr:rowOff>
    </xdr:from>
    <xdr:to>
      <xdr:col>5</xdr:col>
      <xdr:colOff>609600</xdr:colOff>
      <xdr:row>244</xdr:row>
      <xdr:rowOff>43793</xdr:rowOff>
    </xdr:to>
    <xdr:sp macro="" textlink="">
      <xdr:nvSpPr>
        <xdr:cNvPr id="376049" name="Text Box 241" hidden="1">
          <a:extLst>
            <a:ext uri="{FF2B5EF4-FFF2-40B4-BE49-F238E27FC236}">
              <a16:creationId xmlns:a16="http://schemas.microsoft.com/office/drawing/2014/main" id="{9676CD5E-E04A-5414-CC22-3E406A7E4E8C}"/>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10073</xdr:rowOff>
    </xdr:from>
    <xdr:to>
      <xdr:col>5</xdr:col>
      <xdr:colOff>609600</xdr:colOff>
      <xdr:row>231</xdr:row>
      <xdr:rowOff>158093</xdr:rowOff>
    </xdr:to>
    <xdr:sp macro="" textlink="">
      <xdr:nvSpPr>
        <xdr:cNvPr id="376048" name="Text Box 240" hidden="1">
          <a:extLst>
            <a:ext uri="{FF2B5EF4-FFF2-40B4-BE49-F238E27FC236}">
              <a16:creationId xmlns:a16="http://schemas.microsoft.com/office/drawing/2014/main" id="{817D18A4-77FB-ACB4-191B-2EC077BDF52E}"/>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119993</xdr:rowOff>
    </xdr:from>
    <xdr:to>
      <xdr:col>5</xdr:col>
      <xdr:colOff>609600</xdr:colOff>
      <xdr:row>208</xdr:row>
      <xdr:rowOff>158093</xdr:rowOff>
    </xdr:to>
    <xdr:sp macro="" textlink="">
      <xdr:nvSpPr>
        <xdr:cNvPr id="376047" name="Text Box 239" hidden="1">
          <a:extLst>
            <a:ext uri="{FF2B5EF4-FFF2-40B4-BE49-F238E27FC236}">
              <a16:creationId xmlns:a16="http://schemas.microsoft.com/office/drawing/2014/main" id="{5F7632AB-E87C-13B3-CF69-ADBA78E71500}"/>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10072</xdr:rowOff>
    </xdr:from>
    <xdr:to>
      <xdr:col>5</xdr:col>
      <xdr:colOff>609600</xdr:colOff>
      <xdr:row>210</xdr:row>
      <xdr:rowOff>29123</xdr:rowOff>
    </xdr:to>
    <xdr:sp macro="" textlink="">
      <xdr:nvSpPr>
        <xdr:cNvPr id="376046" name="Text Box 238" hidden="1">
          <a:extLst>
            <a:ext uri="{FF2B5EF4-FFF2-40B4-BE49-F238E27FC236}">
              <a16:creationId xmlns:a16="http://schemas.microsoft.com/office/drawing/2014/main" id="{50700D75-5D84-502B-9AD0-3F13D965378E}"/>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10073</xdr:rowOff>
    </xdr:from>
    <xdr:to>
      <xdr:col>5</xdr:col>
      <xdr:colOff>609600</xdr:colOff>
      <xdr:row>211</xdr:row>
      <xdr:rowOff>43793</xdr:rowOff>
    </xdr:to>
    <xdr:sp macro="" textlink="">
      <xdr:nvSpPr>
        <xdr:cNvPr id="376045" name="Text Box 237" hidden="1">
          <a:extLst>
            <a:ext uri="{FF2B5EF4-FFF2-40B4-BE49-F238E27FC236}">
              <a16:creationId xmlns:a16="http://schemas.microsoft.com/office/drawing/2014/main" id="{F88325FF-AB64-6BD3-AD6E-31B79C3691C3}"/>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10073</xdr:rowOff>
    </xdr:from>
    <xdr:to>
      <xdr:col>5</xdr:col>
      <xdr:colOff>609600</xdr:colOff>
      <xdr:row>218</xdr:row>
      <xdr:rowOff>29122</xdr:rowOff>
    </xdr:to>
    <xdr:sp macro="" textlink="">
      <xdr:nvSpPr>
        <xdr:cNvPr id="376044" name="Text Box 236" hidden="1">
          <a:extLst>
            <a:ext uri="{FF2B5EF4-FFF2-40B4-BE49-F238E27FC236}">
              <a16:creationId xmlns:a16="http://schemas.microsoft.com/office/drawing/2014/main" id="{FA153D4F-A572-E63F-94FA-6AB1306A48E9}"/>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293633</xdr:rowOff>
    </xdr:from>
    <xdr:to>
      <xdr:col>5</xdr:col>
      <xdr:colOff>609600</xdr:colOff>
      <xdr:row>68</xdr:row>
      <xdr:rowOff>293633</xdr:rowOff>
    </xdr:to>
    <xdr:sp macro="" textlink="">
      <xdr:nvSpPr>
        <xdr:cNvPr id="376043" name="Text Box 235" hidden="1">
          <a:extLst>
            <a:ext uri="{FF2B5EF4-FFF2-40B4-BE49-F238E27FC236}">
              <a16:creationId xmlns:a16="http://schemas.microsoft.com/office/drawing/2014/main" id="{BCC2EDC3-B5B4-8C7D-F865-D1B19A33D054}"/>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69</xdr:row>
      <xdr:rowOff>35910</xdr:rowOff>
    </xdr:from>
    <xdr:to>
      <xdr:col>5</xdr:col>
      <xdr:colOff>628650</xdr:colOff>
      <xdr:row>85</xdr:row>
      <xdr:rowOff>35089</xdr:rowOff>
    </xdr:to>
    <xdr:sp macro="" textlink="">
      <xdr:nvSpPr>
        <xdr:cNvPr id="376042" name="Text Box 234" hidden="1">
          <a:extLst>
            <a:ext uri="{FF2B5EF4-FFF2-40B4-BE49-F238E27FC236}">
              <a16:creationId xmlns:a16="http://schemas.microsoft.com/office/drawing/2014/main" id="{822592F6-C9E9-A6FF-A532-E414C1288FC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293633</xdr:rowOff>
    </xdr:from>
    <xdr:to>
      <xdr:col>5</xdr:col>
      <xdr:colOff>609600</xdr:colOff>
      <xdr:row>85</xdr:row>
      <xdr:rowOff>48583</xdr:rowOff>
    </xdr:to>
    <xdr:sp macro="" textlink="">
      <xdr:nvSpPr>
        <xdr:cNvPr id="376041" name="Text Box 233" hidden="1">
          <a:extLst>
            <a:ext uri="{FF2B5EF4-FFF2-40B4-BE49-F238E27FC236}">
              <a16:creationId xmlns:a16="http://schemas.microsoft.com/office/drawing/2014/main" id="{10708BC8-792A-7695-F789-DF2D4B89560B}"/>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312683</xdr:rowOff>
    </xdr:from>
    <xdr:to>
      <xdr:col>5</xdr:col>
      <xdr:colOff>609600</xdr:colOff>
      <xdr:row>85</xdr:row>
      <xdr:rowOff>67633</xdr:rowOff>
    </xdr:to>
    <xdr:sp macro="" textlink="">
      <xdr:nvSpPr>
        <xdr:cNvPr id="376040" name="Text Box 232" hidden="1">
          <a:extLst>
            <a:ext uri="{FF2B5EF4-FFF2-40B4-BE49-F238E27FC236}">
              <a16:creationId xmlns:a16="http://schemas.microsoft.com/office/drawing/2014/main" id="{4524E07A-2FB6-276E-0844-35921C0E66B9}"/>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11768</xdr:rowOff>
    </xdr:from>
    <xdr:to>
      <xdr:col>5</xdr:col>
      <xdr:colOff>609600</xdr:colOff>
      <xdr:row>88</xdr:row>
      <xdr:rowOff>7308</xdr:rowOff>
    </xdr:to>
    <xdr:sp macro="" textlink="">
      <xdr:nvSpPr>
        <xdr:cNvPr id="376039" name="Text Box 231" hidden="1">
          <a:extLst>
            <a:ext uri="{FF2B5EF4-FFF2-40B4-BE49-F238E27FC236}">
              <a16:creationId xmlns:a16="http://schemas.microsoft.com/office/drawing/2014/main" id="{AD5BD6C6-F726-5A04-89E3-977A7EF8BE3A}"/>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7308</xdr:rowOff>
    </xdr:from>
    <xdr:to>
      <xdr:col>5</xdr:col>
      <xdr:colOff>609600</xdr:colOff>
      <xdr:row>94</xdr:row>
      <xdr:rowOff>207141</xdr:rowOff>
    </xdr:to>
    <xdr:sp macro="" textlink="">
      <xdr:nvSpPr>
        <xdr:cNvPr id="376038" name="Text Box 230" hidden="1">
          <a:extLst>
            <a:ext uri="{FF2B5EF4-FFF2-40B4-BE49-F238E27FC236}">
              <a16:creationId xmlns:a16="http://schemas.microsoft.com/office/drawing/2014/main" id="{0C4991F2-A7AE-9799-7A7C-8FDC70E3D67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90652</xdr:rowOff>
    </xdr:from>
    <xdr:to>
      <xdr:col>5</xdr:col>
      <xdr:colOff>609600</xdr:colOff>
      <xdr:row>94</xdr:row>
      <xdr:rowOff>73791</xdr:rowOff>
    </xdr:to>
    <xdr:sp macro="" textlink="">
      <xdr:nvSpPr>
        <xdr:cNvPr id="376037" name="Text Box 229" hidden="1">
          <a:extLst>
            <a:ext uri="{FF2B5EF4-FFF2-40B4-BE49-F238E27FC236}">
              <a16:creationId xmlns:a16="http://schemas.microsoft.com/office/drawing/2014/main" id="{CEB68F79-6F7F-6812-0DB8-1A96656E58D4}"/>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33501</xdr:rowOff>
    </xdr:from>
    <xdr:to>
      <xdr:col>5</xdr:col>
      <xdr:colOff>609600</xdr:colOff>
      <xdr:row>94</xdr:row>
      <xdr:rowOff>149991</xdr:rowOff>
    </xdr:to>
    <xdr:sp macro="" textlink="">
      <xdr:nvSpPr>
        <xdr:cNvPr id="376036" name="Text Box 228" hidden="1">
          <a:extLst>
            <a:ext uri="{FF2B5EF4-FFF2-40B4-BE49-F238E27FC236}">
              <a16:creationId xmlns:a16="http://schemas.microsoft.com/office/drawing/2014/main" id="{74DF94C4-E41A-D6DD-2ACF-87360381762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24771</xdr:rowOff>
    </xdr:from>
    <xdr:to>
      <xdr:col>5</xdr:col>
      <xdr:colOff>609600</xdr:colOff>
      <xdr:row>95</xdr:row>
      <xdr:rowOff>107950</xdr:rowOff>
    </xdr:to>
    <xdr:sp macro="" textlink="">
      <xdr:nvSpPr>
        <xdr:cNvPr id="376035" name="Text Box 227" hidden="1">
          <a:extLst>
            <a:ext uri="{FF2B5EF4-FFF2-40B4-BE49-F238E27FC236}">
              <a16:creationId xmlns:a16="http://schemas.microsoft.com/office/drawing/2014/main" id="{752EDF00-4960-246E-7B07-D048B5446990}"/>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168737</xdr:rowOff>
    </xdr:from>
    <xdr:to>
      <xdr:col>5</xdr:col>
      <xdr:colOff>609600</xdr:colOff>
      <xdr:row>121</xdr:row>
      <xdr:rowOff>35884</xdr:rowOff>
    </xdr:to>
    <xdr:sp macro="" textlink="">
      <xdr:nvSpPr>
        <xdr:cNvPr id="376034" name="Text Box 226" hidden="1">
          <a:extLst>
            <a:ext uri="{FF2B5EF4-FFF2-40B4-BE49-F238E27FC236}">
              <a16:creationId xmlns:a16="http://schemas.microsoft.com/office/drawing/2014/main" id="{A25EAE4B-C74F-DB33-75DB-4D2DEEA36D72}"/>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143039</xdr:rowOff>
    </xdr:to>
    <xdr:sp macro="" textlink="">
      <xdr:nvSpPr>
        <xdr:cNvPr id="376033" name="Text Box 225" hidden="1">
          <a:extLst>
            <a:ext uri="{FF2B5EF4-FFF2-40B4-BE49-F238E27FC236}">
              <a16:creationId xmlns:a16="http://schemas.microsoft.com/office/drawing/2014/main" id="{FA33C289-972B-7F41-AC71-EDE61DB9147D}"/>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48583</xdr:rowOff>
    </xdr:from>
    <xdr:to>
      <xdr:col>5</xdr:col>
      <xdr:colOff>609600</xdr:colOff>
      <xdr:row>119</xdr:row>
      <xdr:rowOff>35089</xdr:rowOff>
    </xdr:to>
    <xdr:sp macro="" textlink="">
      <xdr:nvSpPr>
        <xdr:cNvPr id="376032" name="Text Box 224" hidden="1">
          <a:extLst>
            <a:ext uri="{FF2B5EF4-FFF2-40B4-BE49-F238E27FC236}">
              <a16:creationId xmlns:a16="http://schemas.microsoft.com/office/drawing/2014/main" id="{8B09F8B0-655E-946E-97AA-4692DB3B2101}"/>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10483</xdr:rowOff>
    </xdr:from>
    <xdr:to>
      <xdr:col>5</xdr:col>
      <xdr:colOff>609600</xdr:colOff>
      <xdr:row>119</xdr:row>
      <xdr:rowOff>92239</xdr:rowOff>
    </xdr:to>
    <xdr:sp macro="" textlink="">
      <xdr:nvSpPr>
        <xdr:cNvPr id="376031" name="Text Box 223" hidden="1">
          <a:extLst>
            <a:ext uri="{FF2B5EF4-FFF2-40B4-BE49-F238E27FC236}">
              <a16:creationId xmlns:a16="http://schemas.microsoft.com/office/drawing/2014/main" id="{AD34C2A5-F6C4-E5EF-3AFB-664D154D840D}"/>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6030" name="Text Box 222" hidden="1">
          <a:extLst>
            <a:ext uri="{FF2B5EF4-FFF2-40B4-BE49-F238E27FC236}">
              <a16:creationId xmlns:a16="http://schemas.microsoft.com/office/drawing/2014/main" id="{F7BCCE25-6D4B-4969-7A97-FD9EDE1B3A57}"/>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6029" name="Text Box 221" hidden="1">
          <a:extLst>
            <a:ext uri="{FF2B5EF4-FFF2-40B4-BE49-F238E27FC236}">
              <a16:creationId xmlns:a16="http://schemas.microsoft.com/office/drawing/2014/main" id="{C39C2523-BDA4-0F2E-883E-47B217C01F41}"/>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84931</xdr:rowOff>
    </xdr:to>
    <xdr:sp macro="" textlink="">
      <xdr:nvSpPr>
        <xdr:cNvPr id="376028" name="Text Box 220" hidden="1">
          <a:extLst>
            <a:ext uri="{FF2B5EF4-FFF2-40B4-BE49-F238E27FC236}">
              <a16:creationId xmlns:a16="http://schemas.microsoft.com/office/drawing/2014/main" id="{BA4A7BDE-D02B-8B74-331D-A02D4C962DAB}"/>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65252</xdr:rowOff>
    </xdr:to>
    <xdr:sp macro="" textlink="">
      <xdr:nvSpPr>
        <xdr:cNvPr id="376027" name="Text Box 219" hidden="1">
          <a:extLst>
            <a:ext uri="{FF2B5EF4-FFF2-40B4-BE49-F238E27FC236}">
              <a16:creationId xmlns:a16="http://schemas.microsoft.com/office/drawing/2014/main" id="{40563A20-89E3-FA88-05C5-17F34E4AA2AD}"/>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103982</xdr:rowOff>
    </xdr:from>
    <xdr:to>
      <xdr:col>11</xdr:col>
      <xdr:colOff>1409700</xdr:colOff>
      <xdr:row>52</xdr:row>
      <xdr:rowOff>419072</xdr:rowOff>
    </xdr:to>
    <xdr:sp macro="" textlink="">
      <xdr:nvSpPr>
        <xdr:cNvPr id="376026" name="Text Box 218" hidden="1">
          <a:extLst>
            <a:ext uri="{FF2B5EF4-FFF2-40B4-BE49-F238E27FC236}">
              <a16:creationId xmlns:a16="http://schemas.microsoft.com/office/drawing/2014/main" id="{5D3EA2E0-5004-6AFD-F9AD-7175013731AF}"/>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6025" name="Text Box 217" hidden="1">
          <a:extLst>
            <a:ext uri="{FF2B5EF4-FFF2-40B4-BE49-F238E27FC236}">
              <a16:creationId xmlns:a16="http://schemas.microsoft.com/office/drawing/2014/main" id="{918B06E0-F889-24D3-3EBA-C14FB1C99CDB}"/>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161131</xdr:rowOff>
    </xdr:to>
    <xdr:sp macro="" textlink="">
      <xdr:nvSpPr>
        <xdr:cNvPr id="376024" name="Text Box 216" hidden="1">
          <a:extLst>
            <a:ext uri="{FF2B5EF4-FFF2-40B4-BE49-F238E27FC236}">
              <a16:creationId xmlns:a16="http://schemas.microsoft.com/office/drawing/2014/main" id="{3185BD81-108D-A078-FD81-08528434A4A1}"/>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175172</xdr:rowOff>
    </xdr:to>
    <xdr:sp macro="" textlink="">
      <xdr:nvSpPr>
        <xdr:cNvPr id="376023" name="Text Box 215" hidden="1">
          <a:extLst>
            <a:ext uri="{FF2B5EF4-FFF2-40B4-BE49-F238E27FC236}">
              <a16:creationId xmlns:a16="http://schemas.microsoft.com/office/drawing/2014/main" id="{3D115E36-3835-6CD4-46E1-716C5B6094FF}"/>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143668</xdr:rowOff>
    </xdr:to>
    <xdr:sp macro="" textlink="">
      <xdr:nvSpPr>
        <xdr:cNvPr id="376022" name="Text Box 214" hidden="1">
          <a:extLst>
            <a:ext uri="{FF2B5EF4-FFF2-40B4-BE49-F238E27FC236}">
              <a16:creationId xmlns:a16="http://schemas.microsoft.com/office/drawing/2014/main" id="{A33431E6-B8B9-3158-3539-4E62B2360C05}"/>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123031</xdr:rowOff>
    </xdr:to>
    <xdr:sp macro="" textlink="">
      <xdr:nvSpPr>
        <xdr:cNvPr id="376021" name="Text Box 213" hidden="1">
          <a:extLst>
            <a:ext uri="{FF2B5EF4-FFF2-40B4-BE49-F238E27FC236}">
              <a16:creationId xmlns:a16="http://schemas.microsoft.com/office/drawing/2014/main" id="{B1391F9C-E45B-19E8-9CF6-A24BCC8C1802}"/>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141452</xdr:rowOff>
    </xdr:to>
    <xdr:sp macro="" textlink="">
      <xdr:nvSpPr>
        <xdr:cNvPr id="376020" name="Text Box 212" hidden="1">
          <a:extLst>
            <a:ext uri="{FF2B5EF4-FFF2-40B4-BE49-F238E27FC236}">
              <a16:creationId xmlns:a16="http://schemas.microsoft.com/office/drawing/2014/main" id="{1B9CF232-8EA1-037A-631A-35014607AA1F}"/>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19" name="Text Box 211" hidden="1">
          <a:extLst>
            <a:ext uri="{FF2B5EF4-FFF2-40B4-BE49-F238E27FC236}">
              <a16:creationId xmlns:a16="http://schemas.microsoft.com/office/drawing/2014/main" id="{7827C708-1343-ED4E-C8BF-2F41A681AE7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43793</xdr:rowOff>
    </xdr:from>
    <xdr:to>
      <xdr:col>5</xdr:col>
      <xdr:colOff>609600</xdr:colOff>
      <xdr:row>243</xdr:row>
      <xdr:rowOff>43793</xdr:rowOff>
    </xdr:to>
    <xdr:sp macro="" textlink="">
      <xdr:nvSpPr>
        <xdr:cNvPr id="376018" name="Text Box 210" hidden="1">
          <a:extLst>
            <a:ext uri="{FF2B5EF4-FFF2-40B4-BE49-F238E27FC236}">
              <a16:creationId xmlns:a16="http://schemas.microsoft.com/office/drawing/2014/main" id="{3BB614E6-C87F-0BCB-DF60-C5E788330A9F}"/>
            </a:ext>
          </a:extLst>
        </xdr:cNvPr>
        <xdr:cNvSpPr txBox="1">
          <a:spLocks noChangeArrowheads="1"/>
        </xdr:cNvSpPr>
      </xdr:nvSpPr>
      <xdr:spPr bwMode="auto">
        <a:xfrm>
          <a:off x="3994150" y="4358640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10073</xdr:rowOff>
    </xdr:from>
    <xdr:to>
      <xdr:col>5</xdr:col>
      <xdr:colOff>609600</xdr:colOff>
      <xdr:row>242</xdr:row>
      <xdr:rowOff>158093</xdr:rowOff>
    </xdr:to>
    <xdr:sp macro="" textlink="">
      <xdr:nvSpPr>
        <xdr:cNvPr id="376017" name="Text Box 209" hidden="1">
          <a:extLst>
            <a:ext uri="{FF2B5EF4-FFF2-40B4-BE49-F238E27FC236}">
              <a16:creationId xmlns:a16="http://schemas.microsoft.com/office/drawing/2014/main" id="{48B9684E-A846-A1AD-0133-C5CAEAFC28FE}"/>
            </a:ext>
          </a:extLst>
        </xdr:cNvPr>
        <xdr:cNvSpPr txBox="1">
          <a:spLocks noChangeArrowheads="1"/>
        </xdr:cNvSpPr>
      </xdr:nvSpPr>
      <xdr:spPr bwMode="auto">
        <a:xfrm>
          <a:off x="3994150" y="4392295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10072</xdr:rowOff>
    </xdr:from>
    <xdr:to>
      <xdr:col>5</xdr:col>
      <xdr:colOff>609600</xdr:colOff>
      <xdr:row>244</xdr:row>
      <xdr:rowOff>43793</xdr:rowOff>
    </xdr:to>
    <xdr:sp macro="" textlink="">
      <xdr:nvSpPr>
        <xdr:cNvPr id="376016" name="Text Box 208" hidden="1">
          <a:extLst>
            <a:ext uri="{FF2B5EF4-FFF2-40B4-BE49-F238E27FC236}">
              <a16:creationId xmlns:a16="http://schemas.microsoft.com/office/drawing/2014/main" id="{0FF422CC-F95A-D79F-B1FA-0E101C8FC0CA}"/>
            </a:ext>
          </a:extLst>
        </xdr:cNvPr>
        <xdr:cNvSpPr txBox="1">
          <a:spLocks noChangeArrowheads="1"/>
        </xdr:cNvSpPr>
      </xdr:nvSpPr>
      <xdr:spPr bwMode="auto">
        <a:xfrm>
          <a:off x="3994150" y="4447540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10073</xdr:rowOff>
    </xdr:from>
    <xdr:to>
      <xdr:col>5</xdr:col>
      <xdr:colOff>609600</xdr:colOff>
      <xdr:row>231</xdr:row>
      <xdr:rowOff>158093</xdr:rowOff>
    </xdr:to>
    <xdr:sp macro="" textlink="">
      <xdr:nvSpPr>
        <xdr:cNvPr id="376015" name="Text Box 207" hidden="1">
          <a:extLst>
            <a:ext uri="{FF2B5EF4-FFF2-40B4-BE49-F238E27FC236}">
              <a16:creationId xmlns:a16="http://schemas.microsoft.com/office/drawing/2014/main" id="{3851E0AA-9545-4063-1CFD-28793F619585}"/>
            </a:ext>
          </a:extLst>
        </xdr:cNvPr>
        <xdr:cNvSpPr txBox="1">
          <a:spLocks noChangeArrowheads="1"/>
        </xdr:cNvSpPr>
      </xdr:nvSpPr>
      <xdr:spPr bwMode="auto">
        <a:xfrm>
          <a:off x="3994150" y="446595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119993</xdr:rowOff>
    </xdr:from>
    <xdr:to>
      <xdr:col>5</xdr:col>
      <xdr:colOff>609600</xdr:colOff>
      <xdr:row>208</xdr:row>
      <xdr:rowOff>158093</xdr:rowOff>
    </xdr:to>
    <xdr:sp macro="" textlink="">
      <xdr:nvSpPr>
        <xdr:cNvPr id="376014" name="Text Box 206" hidden="1">
          <a:extLst>
            <a:ext uri="{FF2B5EF4-FFF2-40B4-BE49-F238E27FC236}">
              <a16:creationId xmlns:a16="http://schemas.microsoft.com/office/drawing/2014/main" id="{DAB3B773-9B97-3603-8649-A31BC5115A43}"/>
            </a:ext>
          </a:extLst>
        </xdr:cNvPr>
        <xdr:cNvSpPr txBox="1">
          <a:spLocks noChangeArrowheads="1"/>
        </xdr:cNvSpPr>
      </xdr:nvSpPr>
      <xdr:spPr bwMode="auto">
        <a:xfrm>
          <a:off x="3994150" y="4034790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10072</xdr:rowOff>
    </xdr:from>
    <xdr:to>
      <xdr:col>5</xdr:col>
      <xdr:colOff>609600</xdr:colOff>
      <xdr:row>210</xdr:row>
      <xdr:rowOff>29123</xdr:rowOff>
    </xdr:to>
    <xdr:sp macro="" textlink="">
      <xdr:nvSpPr>
        <xdr:cNvPr id="376013" name="Text Box 205" hidden="1">
          <a:extLst>
            <a:ext uri="{FF2B5EF4-FFF2-40B4-BE49-F238E27FC236}">
              <a16:creationId xmlns:a16="http://schemas.microsoft.com/office/drawing/2014/main" id="{B0C57A4D-FF8C-BB33-C0AA-0908AFAF7344}"/>
            </a:ext>
          </a:extLst>
        </xdr:cNvPr>
        <xdr:cNvSpPr txBox="1">
          <a:spLocks noChangeArrowheads="1"/>
        </xdr:cNvSpPr>
      </xdr:nvSpPr>
      <xdr:spPr bwMode="auto">
        <a:xfrm>
          <a:off x="3994150" y="4079240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10073</xdr:rowOff>
    </xdr:from>
    <xdr:to>
      <xdr:col>5</xdr:col>
      <xdr:colOff>609600</xdr:colOff>
      <xdr:row>211</xdr:row>
      <xdr:rowOff>43793</xdr:rowOff>
    </xdr:to>
    <xdr:sp macro="" textlink="">
      <xdr:nvSpPr>
        <xdr:cNvPr id="376012" name="Text Box 204" hidden="1">
          <a:extLst>
            <a:ext uri="{FF2B5EF4-FFF2-40B4-BE49-F238E27FC236}">
              <a16:creationId xmlns:a16="http://schemas.microsoft.com/office/drawing/2014/main" id="{F343F1E7-E988-5752-39F0-0F9F6083D91B}"/>
            </a:ext>
          </a:extLst>
        </xdr:cNvPr>
        <xdr:cNvSpPr txBox="1">
          <a:spLocks noChangeArrowheads="1"/>
        </xdr:cNvSpPr>
      </xdr:nvSpPr>
      <xdr:spPr bwMode="auto">
        <a:xfrm>
          <a:off x="3994150" y="411607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10073</xdr:rowOff>
    </xdr:from>
    <xdr:to>
      <xdr:col>5</xdr:col>
      <xdr:colOff>609600</xdr:colOff>
      <xdr:row>218</xdr:row>
      <xdr:rowOff>29122</xdr:rowOff>
    </xdr:to>
    <xdr:sp macro="" textlink="">
      <xdr:nvSpPr>
        <xdr:cNvPr id="376011" name="Text Box 203" hidden="1">
          <a:extLst>
            <a:ext uri="{FF2B5EF4-FFF2-40B4-BE49-F238E27FC236}">
              <a16:creationId xmlns:a16="http://schemas.microsoft.com/office/drawing/2014/main" id="{F29F6E63-C9AA-96F8-31AF-AD0D111B12CC}"/>
            </a:ext>
          </a:extLst>
        </xdr:cNvPr>
        <xdr:cNvSpPr txBox="1">
          <a:spLocks noChangeArrowheads="1"/>
        </xdr:cNvSpPr>
      </xdr:nvSpPr>
      <xdr:spPr bwMode="auto">
        <a:xfrm>
          <a:off x="3994150" y="415290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293633</xdr:rowOff>
    </xdr:from>
    <xdr:to>
      <xdr:col>5</xdr:col>
      <xdr:colOff>609600</xdr:colOff>
      <xdr:row>68</xdr:row>
      <xdr:rowOff>293633</xdr:rowOff>
    </xdr:to>
    <xdr:sp macro="" textlink="">
      <xdr:nvSpPr>
        <xdr:cNvPr id="376010" name="Text Box 202" hidden="1">
          <a:extLst>
            <a:ext uri="{FF2B5EF4-FFF2-40B4-BE49-F238E27FC236}">
              <a16:creationId xmlns:a16="http://schemas.microsoft.com/office/drawing/2014/main" id="{5FA736F8-F8C9-ED85-26A5-CB1140D97D6A}"/>
            </a:ext>
          </a:extLst>
        </xdr:cNvPr>
        <xdr:cNvSpPr txBox="1">
          <a:spLocks noChangeArrowheads="1"/>
        </xdr:cNvSpPr>
      </xdr:nvSpPr>
      <xdr:spPr bwMode="auto">
        <a:xfrm>
          <a:off x="3994150" y="149669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69</xdr:row>
      <xdr:rowOff>35910</xdr:rowOff>
    </xdr:from>
    <xdr:to>
      <xdr:col>5</xdr:col>
      <xdr:colOff>628650</xdr:colOff>
      <xdr:row>85</xdr:row>
      <xdr:rowOff>35089</xdr:rowOff>
    </xdr:to>
    <xdr:sp macro="" textlink="">
      <xdr:nvSpPr>
        <xdr:cNvPr id="376009" name="Text Box 201" hidden="1">
          <a:extLst>
            <a:ext uri="{FF2B5EF4-FFF2-40B4-BE49-F238E27FC236}">
              <a16:creationId xmlns:a16="http://schemas.microsoft.com/office/drawing/2014/main" id="{562E978E-9079-9A85-C081-2B92E4105F94}"/>
            </a:ext>
          </a:extLst>
        </xdr:cNvPr>
        <xdr:cNvSpPr txBox="1">
          <a:spLocks noChangeArrowheads="1"/>
        </xdr:cNvSpPr>
      </xdr:nvSpPr>
      <xdr:spPr bwMode="auto">
        <a:xfrm>
          <a:off x="4013200" y="15100300"/>
          <a:ext cx="1314450" cy="320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293633</xdr:rowOff>
    </xdr:from>
    <xdr:to>
      <xdr:col>5</xdr:col>
      <xdr:colOff>609600</xdr:colOff>
      <xdr:row>85</xdr:row>
      <xdr:rowOff>48583</xdr:rowOff>
    </xdr:to>
    <xdr:sp macro="" textlink="">
      <xdr:nvSpPr>
        <xdr:cNvPr id="376008" name="Text Box 200" hidden="1">
          <a:extLst>
            <a:ext uri="{FF2B5EF4-FFF2-40B4-BE49-F238E27FC236}">
              <a16:creationId xmlns:a16="http://schemas.microsoft.com/office/drawing/2014/main" id="{90BEDE08-BBFE-8E9F-2818-4618EBF6952F}"/>
            </a:ext>
          </a:extLst>
        </xdr:cNvPr>
        <xdr:cNvSpPr txBox="1">
          <a:spLocks noChangeArrowheads="1"/>
        </xdr:cNvSpPr>
      </xdr:nvSpPr>
      <xdr:spPr bwMode="auto">
        <a:xfrm>
          <a:off x="3994150" y="1496695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312683</xdr:rowOff>
    </xdr:from>
    <xdr:to>
      <xdr:col>5</xdr:col>
      <xdr:colOff>609600</xdr:colOff>
      <xdr:row>85</xdr:row>
      <xdr:rowOff>67633</xdr:rowOff>
    </xdr:to>
    <xdr:sp macro="" textlink="">
      <xdr:nvSpPr>
        <xdr:cNvPr id="376007" name="Text Box 199" hidden="1">
          <a:extLst>
            <a:ext uri="{FF2B5EF4-FFF2-40B4-BE49-F238E27FC236}">
              <a16:creationId xmlns:a16="http://schemas.microsoft.com/office/drawing/2014/main" id="{0D490CC0-A0AC-E251-3BBA-789003710B78}"/>
            </a:ext>
          </a:extLst>
        </xdr:cNvPr>
        <xdr:cNvSpPr txBox="1">
          <a:spLocks noChangeArrowheads="1"/>
        </xdr:cNvSpPr>
      </xdr:nvSpPr>
      <xdr:spPr bwMode="auto">
        <a:xfrm>
          <a:off x="3994150" y="1498600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11768</xdr:rowOff>
    </xdr:from>
    <xdr:to>
      <xdr:col>5</xdr:col>
      <xdr:colOff>609600</xdr:colOff>
      <xdr:row>88</xdr:row>
      <xdr:rowOff>7308</xdr:rowOff>
    </xdr:to>
    <xdr:sp macro="" textlink="">
      <xdr:nvSpPr>
        <xdr:cNvPr id="376006" name="Text Box 198" hidden="1">
          <a:extLst>
            <a:ext uri="{FF2B5EF4-FFF2-40B4-BE49-F238E27FC236}">
              <a16:creationId xmlns:a16="http://schemas.microsoft.com/office/drawing/2014/main" id="{9D2BCF73-5444-FD75-7443-CA9875720E65}"/>
            </a:ext>
          </a:extLst>
        </xdr:cNvPr>
        <xdr:cNvSpPr txBox="1">
          <a:spLocks noChangeArrowheads="1"/>
        </xdr:cNvSpPr>
      </xdr:nvSpPr>
      <xdr:spPr bwMode="auto">
        <a:xfrm>
          <a:off x="3994150" y="158305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7308</xdr:rowOff>
    </xdr:from>
    <xdr:to>
      <xdr:col>5</xdr:col>
      <xdr:colOff>609600</xdr:colOff>
      <xdr:row>94</xdr:row>
      <xdr:rowOff>207141</xdr:rowOff>
    </xdr:to>
    <xdr:sp macro="" textlink="">
      <xdr:nvSpPr>
        <xdr:cNvPr id="376005" name="Text Box 197" hidden="1">
          <a:extLst>
            <a:ext uri="{FF2B5EF4-FFF2-40B4-BE49-F238E27FC236}">
              <a16:creationId xmlns:a16="http://schemas.microsoft.com/office/drawing/2014/main" id="{3150CCE5-31A6-89F2-841E-5B7E789EABF5}"/>
            </a:ext>
          </a:extLst>
        </xdr:cNvPr>
        <xdr:cNvSpPr txBox="1">
          <a:spLocks noChangeArrowheads="1"/>
        </xdr:cNvSpPr>
      </xdr:nvSpPr>
      <xdr:spPr bwMode="auto">
        <a:xfrm>
          <a:off x="3994150" y="18834100"/>
          <a:ext cx="1314450" cy="149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90652</xdr:rowOff>
    </xdr:from>
    <xdr:to>
      <xdr:col>5</xdr:col>
      <xdr:colOff>609600</xdr:colOff>
      <xdr:row>94</xdr:row>
      <xdr:rowOff>73791</xdr:rowOff>
    </xdr:to>
    <xdr:sp macro="" textlink="">
      <xdr:nvSpPr>
        <xdr:cNvPr id="376004" name="Text Box 196" hidden="1">
          <a:extLst>
            <a:ext uri="{FF2B5EF4-FFF2-40B4-BE49-F238E27FC236}">
              <a16:creationId xmlns:a16="http://schemas.microsoft.com/office/drawing/2014/main" id="{2C0F2ADC-419C-1F6F-5EF9-7F1CFF991EDA}"/>
            </a:ext>
          </a:extLst>
        </xdr:cNvPr>
        <xdr:cNvSpPr txBox="1">
          <a:spLocks noChangeArrowheads="1"/>
        </xdr:cNvSpPr>
      </xdr:nvSpPr>
      <xdr:spPr bwMode="auto">
        <a:xfrm>
          <a:off x="3994150" y="18942050"/>
          <a:ext cx="1314450" cy="1250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33501</xdr:rowOff>
    </xdr:from>
    <xdr:to>
      <xdr:col>5</xdr:col>
      <xdr:colOff>609600</xdr:colOff>
      <xdr:row>94</xdr:row>
      <xdr:rowOff>149991</xdr:rowOff>
    </xdr:to>
    <xdr:sp macro="" textlink="">
      <xdr:nvSpPr>
        <xdr:cNvPr id="376003" name="Text Box 195" hidden="1">
          <a:extLst>
            <a:ext uri="{FF2B5EF4-FFF2-40B4-BE49-F238E27FC236}">
              <a16:creationId xmlns:a16="http://schemas.microsoft.com/office/drawing/2014/main" id="{36302C11-7800-2600-54A6-977457DAF209}"/>
            </a:ext>
          </a:extLst>
        </xdr:cNvPr>
        <xdr:cNvSpPr txBox="1">
          <a:spLocks noChangeArrowheads="1"/>
        </xdr:cNvSpPr>
      </xdr:nvSpPr>
      <xdr:spPr bwMode="auto">
        <a:xfrm>
          <a:off x="3994150" y="1906905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24771</xdr:rowOff>
    </xdr:from>
    <xdr:to>
      <xdr:col>5</xdr:col>
      <xdr:colOff>609600</xdr:colOff>
      <xdr:row>95</xdr:row>
      <xdr:rowOff>107950</xdr:rowOff>
    </xdr:to>
    <xdr:sp macro="" textlink="">
      <xdr:nvSpPr>
        <xdr:cNvPr id="376002" name="Text Box 194" hidden="1">
          <a:extLst>
            <a:ext uri="{FF2B5EF4-FFF2-40B4-BE49-F238E27FC236}">
              <a16:creationId xmlns:a16="http://schemas.microsoft.com/office/drawing/2014/main" id="{1500F37C-E184-1B75-9A09-DE298D35812F}"/>
            </a:ext>
          </a:extLst>
        </xdr:cNvPr>
        <xdr:cNvSpPr txBox="1">
          <a:spLocks noChangeArrowheads="1"/>
        </xdr:cNvSpPr>
      </xdr:nvSpPr>
      <xdr:spPr bwMode="auto">
        <a:xfrm>
          <a:off x="3994150" y="1925320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168737</xdr:rowOff>
    </xdr:from>
    <xdr:to>
      <xdr:col>5</xdr:col>
      <xdr:colOff>609600</xdr:colOff>
      <xdr:row>121</xdr:row>
      <xdr:rowOff>35884</xdr:rowOff>
    </xdr:to>
    <xdr:sp macro="" textlink="">
      <xdr:nvSpPr>
        <xdr:cNvPr id="376001" name="Text Box 193" hidden="1">
          <a:extLst>
            <a:ext uri="{FF2B5EF4-FFF2-40B4-BE49-F238E27FC236}">
              <a16:creationId xmlns:a16="http://schemas.microsoft.com/office/drawing/2014/main" id="{0FCF4762-5941-1680-5EA9-9E6CB2B30C32}"/>
            </a:ext>
          </a:extLst>
        </xdr:cNvPr>
        <xdr:cNvSpPr txBox="1">
          <a:spLocks noChangeArrowheads="1"/>
        </xdr:cNvSpPr>
      </xdr:nvSpPr>
      <xdr:spPr bwMode="auto">
        <a:xfrm>
          <a:off x="3994150" y="23723600"/>
          <a:ext cx="1314450" cy="156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143039</xdr:rowOff>
    </xdr:to>
    <xdr:sp macro="" textlink="">
      <xdr:nvSpPr>
        <xdr:cNvPr id="376000" name="Text Box 192" hidden="1">
          <a:extLst>
            <a:ext uri="{FF2B5EF4-FFF2-40B4-BE49-F238E27FC236}">
              <a16:creationId xmlns:a16="http://schemas.microsoft.com/office/drawing/2014/main" id="{0A92852E-9A54-495E-155A-427B17B67E89}"/>
            </a:ext>
          </a:extLst>
        </xdr:cNvPr>
        <xdr:cNvSpPr txBox="1">
          <a:spLocks noChangeArrowheads="1"/>
        </xdr:cNvSpPr>
      </xdr:nvSpPr>
      <xdr:spPr bwMode="auto">
        <a:xfrm>
          <a:off x="3994150" y="23964900"/>
          <a:ext cx="1314450" cy="102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48583</xdr:rowOff>
    </xdr:from>
    <xdr:to>
      <xdr:col>5</xdr:col>
      <xdr:colOff>609600</xdr:colOff>
      <xdr:row>119</xdr:row>
      <xdr:rowOff>35089</xdr:rowOff>
    </xdr:to>
    <xdr:sp macro="" textlink="">
      <xdr:nvSpPr>
        <xdr:cNvPr id="375999" name="Text Box 191" hidden="1">
          <a:extLst>
            <a:ext uri="{FF2B5EF4-FFF2-40B4-BE49-F238E27FC236}">
              <a16:creationId xmlns:a16="http://schemas.microsoft.com/office/drawing/2014/main" id="{52CCE5D2-553C-C724-DD26-FEB7D9230567}"/>
            </a:ext>
          </a:extLst>
        </xdr:cNvPr>
        <xdr:cNvSpPr txBox="1">
          <a:spLocks noChangeArrowheads="1"/>
        </xdr:cNvSpPr>
      </xdr:nvSpPr>
      <xdr:spPr bwMode="auto">
        <a:xfrm>
          <a:off x="3994150" y="24149050"/>
          <a:ext cx="13144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10483</xdr:rowOff>
    </xdr:from>
    <xdr:to>
      <xdr:col>5</xdr:col>
      <xdr:colOff>609600</xdr:colOff>
      <xdr:row>119</xdr:row>
      <xdr:rowOff>92239</xdr:rowOff>
    </xdr:to>
    <xdr:sp macro="" textlink="">
      <xdr:nvSpPr>
        <xdr:cNvPr id="375998" name="Text Box 190" hidden="1">
          <a:extLst>
            <a:ext uri="{FF2B5EF4-FFF2-40B4-BE49-F238E27FC236}">
              <a16:creationId xmlns:a16="http://schemas.microsoft.com/office/drawing/2014/main" id="{F88CA888-D75F-8889-85B5-A9277F2C44B5}"/>
            </a:ext>
          </a:extLst>
        </xdr:cNvPr>
        <xdr:cNvSpPr txBox="1">
          <a:spLocks noChangeArrowheads="1"/>
        </xdr:cNvSpPr>
      </xdr:nvSpPr>
      <xdr:spPr bwMode="auto">
        <a:xfrm>
          <a:off x="3994150" y="241109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5997" name="Text Box 189" hidden="1">
          <a:extLst>
            <a:ext uri="{FF2B5EF4-FFF2-40B4-BE49-F238E27FC236}">
              <a16:creationId xmlns:a16="http://schemas.microsoft.com/office/drawing/2014/main" id="{D2E50943-5815-1609-03DE-C6BFFA0EB70E}"/>
            </a:ext>
          </a:extLst>
        </xdr:cNvPr>
        <xdr:cNvSpPr txBox="1">
          <a:spLocks noChangeArrowheads="1"/>
        </xdr:cNvSpPr>
      </xdr:nvSpPr>
      <xdr:spPr bwMode="auto">
        <a:xfrm>
          <a:off x="17513300" y="284543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996" name="Text Box 188" hidden="1">
          <a:extLst>
            <a:ext uri="{FF2B5EF4-FFF2-40B4-BE49-F238E27FC236}">
              <a16:creationId xmlns:a16="http://schemas.microsoft.com/office/drawing/2014/main" id="{C0DBF1A4-0090-03D0-BD39-D5ABF708AD34}"/>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84931</xdr:rowOff>
    </xdr:to>
    <xdr:sp macro="" textlink="">
      <xdr:nvSpPr>
        <xdr:cNvPr id="375995" name="Text Box 187" hidden="1">
          <a:extLst>
            <a:ext uri="{FF2B5EF4-FFF2-40B4-BE49-F238E27FC236}">
              <a16:creationId xmlns:a16="http://schemas.microsoft.com/office/drawing/2014/main" id="{B15D0B88-83A5-C2DE-7BE8-E9B7F5ED61B0}"/>
            </a:ext>
          </a:extLst>
        </xdr:cNvPr>
        <xdr:cNvSpPr txBox="1">
          <a:spLocks noChangeArrowheads="1"/>
        </xdr:cNvSpPr>
      </xdr:nvSpPr>
      <xdr:spPr bwMode="auto">
        <a:xfrm>
          <a:off x="18332450" y="721995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65252</xdr:rowOff>
    </xdr:to>
    <xdr:sp macro="" textlink="">
      <xdr:nvSpPr>
        <xdr:cNvPr id="375994" name="Text Box 186" hidden="1">
          <a:extLst>
            <a:ext uri="{FF2B5EF4-FFF2-40B4-BE49-F238E27FC236}">
              <a16:creationId xmlns:a16="http://schemas.microsoft.com/office/drawing/2014/main" id="{0F88CC5C-20F7-F266-C8B3-EF84C99BD006}"/>
            </a:ext>
          </a:extLst>
        </xdr:cNvPr>
        <xdr:cNvSpPr txBox="1">
          <a:spLocks noChangeArrowheads="1"/>
        </xdr:cNvSpPr>
      </xdr:nvSpPr>
      <xdr:spPr bwMode="auto">
        <a:xfrm>
          <a:off x="18332450" y="29210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103982</xdr:rowOff>
    </xdr:from>
    <xdr:to>
      <xdr:col>11</xdr:col>
      <xdr:colOff>1409700</xdr:colOff>
      <xdr:row>52</xdr:row>
      <xdr:rowOff>419072</xdr:rowOff>
    </xdr:to>
    <xdr:sp macro="" textlink="">
      <xdr:nvSpPr>
        <xdr:cNvPr id="375993" name="Text Box 185" hidden="1">
          <a:extLst>
            <a:ext uri="{FF2B5EF4-FFF2-40B4-BE49-F238E27FC236}">
              <a16:creationId xmlns:a16="http://schemas.microsoft.com/office/drawing/2014/main" id="{64AD33D2-2AF8-AB67-AB6B-CFE2F8BE2335}"/>
            </a:ext>
          </a:extLst>
        </xdr:cNvPr>
        <xdr:cNvSpPr txBox="1">
          <a:spLocks noChangeArrowheads="1"/>
        </xdr:cNvSpPr>
      </xdr:nvSpPr>
      <xdr:spPr bwMode="auto">
        <a:xfrm>
          <a:off x="9359900" y="1035050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5992" name="Text Box 184" hidden="1">
          <a:extLst>
            <a:ext uri="{FF2B5EF4-FFF2-40B4-BE49-F238E27FC236}">
              <a16:creationId xmlns:a16="http://schemas.microsoft.com/office/drawing/2014/main" id="{D627FF02-AF27-9F67-BBB3-5A2C9F216CCE}"/>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161131</xdr:rowOff>
    </xdr:to>
    <xdr:sp macro="" textlink="">
      <xdr:nvSpPr>
        <xdr:cNvPr id="375991" name="Text Box 183" hidden="1">
          <a:extLst>
            <a:ext uri="{FF2B5EF4-FFF2-40B4-BE49-F238E27FC236}">
              <a16:creationId xmlns:a16="http://schemas.microsoft.com/office/drawing/2014/main" id="{3AA3A633-E05F-4364-7C6B-9D22E2258247}"/>
            </a:ext>
          </a:extLst>
        </xdr:cNvPr>
        <xdr:cNvSpPr txBox="1">
          <a:spLocks noChangeArrowheads="1"/>
        </xdr:cNvSpPr>
      </xdr:nvSpPr>
      <xdr:spPr bwMode="auto">
        <a:xfrm>
          <a:off x="20027900" y="721995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175172</xdr:rowOff>
    </xdr:to>
    <xdr:sp macro="" textlink="">
      <xdr:nvSpPr>
        <xdr:cNvPr id="375990" name="Text Box 182" hidden="1">
          <a:extLst>
            <a:ext uri="{FF2B5EF4-FFF2-40B4-BE49-F238E27FC236}">
              <a16:creationId xmlns:a16="http://schemas.microsoft.com/office/drawing/2014/main" id="{54BE69C6-1920-5CFB-DC9E-B6412857FF35}"/>
            </a:ext>
          </a:extLst>
        </xdr:cNvPr>
        <xdr:cNvSpPr txBox="1">
          <a:spLocks noChangeArrowheads="1"/>
        </xdr:cNvSpPr>
      </xdr:nvSpPr>
      <xdr:spPr bwMode="auto">
        <a:xfrm>
          <a:off x="20027900" y="29210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143668</xdr:rowOff>
    </xdr:to>
    <xdr:sp macro="" textlink="">
      <xdr:nvSpPr>
        <xdr:cNvPr id="375989" name="Text Box 181" hidden="1">
          <a:extLst>
            <a:ext uri="{FF2B5EF4-FFF2-40B4-BE49-F238E27FC236}">
              <a16:creationId xmlns:a16="http://schemas.microsoft.com/office/drawing/2014/main" id="{9308D868-5AA9-B472-4033-FFAE7835F4A8}"/>
            </a:ext>
          </a:extLst>
        </xdr:cNvPr>
        <xdr:cNvSpPr txBox="1">
          <a:spLocks noChangeArrowheads="1"/>
        </xdr:cNvSpPr>
      </xdr:nvSpPr>
      <xdr:spPr bwMode="auto">
        <a:xfrm>
          <a:off x="20789900" y="3575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123031</xdr:rowOff>
    </xdr:to>
    <xdr:sp macro="" textlink="">
      <xdr:nvSpPr>
        <xdr:cNvPr id="375988" name="Text Box 180" hidden="1">
          <a:extLst>
            <a:ext uri="{FF2B5EF4-FFF2-40B4-BE49-F238E27FC236}">
              <a16:creationId xmlns:a16="http://schemas.microsoft.com/office/drawing/2014/main" id="{CB47D3E7-01C9-CC1E-8BAA-9676B0EB9CA7}"/>
            </a:ext>
          </a:extLst>
        </xdr:cNvPr>
        <xdr:cNvSpPr txBox="1">
          <a:spLocks noChangeArrowheads="1"/>
        </xdr:cNvSpPr>
      </xdr:nvSpPr>
      <xdr:spPr bwMode="auto">
        <a:xfrm>
          <a:off x="20789900" y="72390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141452</xdr:rowOff>
    </xdr:to>
    <xdr:sp macro="" textlink="">
      <xdr:nvSpPr>
        <xdr:cNvPr id="375987" name="Text Box 179" hidden="1">
          <a:extLst>
            <a:ext uri="{FF2B5EF4-FFF2-40B4-BE49-F238E27FC236}">
              <a16:creationId xmlns:a16="http://schemas.microsoft.com/office/drawing/2014/main" id="{41241FE8-CA1F-6421-50B6-CC3A1EBF55A4}"/>
            </a:ext>
          </a:extLst>
        </xdr:cNvPr>
        <xdr:cNvSpPr txBox="1">
          <a:spLocks noChangeArrowheads="1"/>
        </xdr:cNvSpPr>
      </xdr:nvSpPr>
      <xdr:spPr bwMode="auto">
        <a:xfrm>
          <a:off x="20789900" y="29229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85" name="Text Box 277" hidden="1">
          <a:extLst>
            <a:ext uri="{FF2B5EF4-FFF2-40B4-BE49-F238E27FC236}">
              <a16:creationId xmlns:a16="http://schemas.microsoft.com/office/drawing/2014/main" id="{4EFFDDDD-2311-F8F4-7E1B-8F6C153A01E1}"/>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43793</xdr:rowOff>
    </xdr:from>
    <xdr:to>
      <xdr:col>5</xdr:col>
      <xdr:colOff>609600</xdr:colOff>
      <xdr:row>243</xdr:row>
      <xdr:rowOff>43793</xdr:rowOff>
    </xdr:to>
    <xdr:sp macro="" textlink="">
      <xdr:nvSpPr>
        <xdr:cNvPr id="376084" name="Text Box 276" hidden="1">
          <a:extLst>
            <a:ext uri="{FF2B5EF4-FFF2-40B4-BE49-F238E27FC236}">
              <a16:creationId xmlns:a16="http://schemas.microsoft.com/office/drawing/2014/main" id="{216B778D-A51E-4B3B-0985-8EECB18576F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10073</xdr:rowOff>
    </xdr:from>
    <xdr:to>
      <xdr:col>5</xdr:col>
      <xdr:colOff>609600</xdr:colOff>
      <xdr:row>242</xdr:row>
      <xdr:rowOff>158093</xdr:rowOff>
    </xdr:to>
    <xdr:sp macro="" textlink="">
      <xdr:nvSpPr>
        <xdr:cNvPr id="376083" name="Text Box 275" hidden="1">
          <a:extLst>
            <a:ext uri="{FF2B5EF4-FFF2-40B4-BE49-F238E27FC236}">
              <a16:creationId xmlns:a16="http://schemas.microsoft.com/office/drawing/2014/main" id="{25C80F4F-54E2-1F79-9D35-AFB553C63ADF}"/>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10072</xdr:rowOff>
    </xdr:from>
    <xdr:to>
      <xdr:col>5</xdr:col>
      <xdr:colOff>609600</xdr:colOff>
      <xdr:row>244</xdr:row>
      <xdr:rowOff>43793</xdr:rowOff>
    </xdr:to>
    <xdr:sp macro="" textlink="">
      <xdr:nvSpPr>
        <xdr:cNvPr id="376082" name="Text Box 274" hidden="1">
          <a:extLst>
            <a:ext uri="{FF2B5EF4-FFF2-40B4-BE49-F238E27FC236}">
              <a16:creationId xmlns:a16="http://schemas.microsoft.com/office/drawing/2014/main" id="{429E9008-BB53-4409-1318-752E9E973D8E}"/>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10073</xdr:rowOff>
    </xdr:from>
    <xdr:to>
      <xdr:col>5</xdr:col>
      <xdr:colOff>609600</xdr:colOff>
      <xdr:row>231</xdr:row>
      <xdr:rowOff>158093</xdr:rowOff>
    </xdr:to>
    <xdr:sp macro="" textlink="">
      <xdr:nvSpPr>
        <xdr:cNvPr id="376081" name="Text Box 273" hidden="1">
          <a:extLst>
            <a:ext uri="{FF2B5EF4-FFF2-40B4-BE49-F238E27FC236}">
              <a16:creationId xmlns:a16="http://schemas.microsoft.com/office/drawing/2014/main" id="{C73D1DBF-581C-4150-9D41-E7551DAE7667}"/>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119993</xdr:rowOff>
    </xdr:from>
    <xdr:to>
      <xdr:col>5</xdr:col>
      <xdr:colOff>609600</xdr:colOff>
      <xdr:row>208</xdr:row>
      <xdr:rowOff>158093</xdr:rowOff>
    </xdr:to>
    <xdr:sp macro="" textlink="">
      <xdr:nvSpPr>
        <xdr:cNvPr id="376080" name="Text Box 272" hidden="1">
          <a:extLst>
            <a:ext uri="{FF2B5EF4-FFF2-40B4-BE49-F238E27FC236}">
              <a16:creationId xmlns:a16="http://schemas.microsoft.com/office/drawing/2014/main" id="{2C297DF3-473A-0131-E952-D47248058157}"/>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10072</xdr:rowOff>
    </xdr:from>
    <xdr:to>
      <xdr:col>5</xdr:col>
      <xdr:colOff>609600</xdr:colOff>
      <xdr:row>210</xdr:row>
      <xdr:rowOff>29123</xdr:rowOff>
    </xdr:to>
    <xdr:sp macro="" textlink="">
      <xdr:nvSpPr>
        <xdr:cNvPr id="376079" name="Text Box 271" hidden="1">
          <a:extLst>
            <a:ext uri="{FF2B5EF4-FFF2-40B4-BE49-F238E27FC236}">
              <a16:creationId xmlns:a16="http://schemas.microsoft.com/office/drawing/2014/main" id="{B8189285-05C2-07D9-F5C0-589F6FCD233D}"/>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10073</xdr:rowOff>
    </xdr:from>
    <xdr:to>
      <xdr:col>5</xdr:col>
      <xdr:colOff>609600</xdr:colOff>
      <xdr:row>211</xdr:row>
      <xdr:rowOff>43793</xdr:rowOff>
    </xdr:to>
    <xdr:sp macro="" textlink="">
      <xdr:nvSpPr>
        <xdr:cNvPr id="376078" name="Text Box 270" hidden="1">
          <a:extLst>
            <a:ext uri="{FF2B5EF4-FFF2-40B4-BE49-F238E27FC236}">
              <a16:creationId xmlns:a16="http://schemas.microsoft.com/office/drawing/2014/main" id="{2C725D4D-ADFB-E23B-C33D-5ADAAD19241B}"/>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10073</xdr:rowOff>
    </xdr:from>
    <xdr:to>
      <xdr:col>5</xdr:col>
      <xdr:colOff>609600</xdr:colOff>
      <xdr:row>218</xdr:row>
      <xdr:rowOff>29122</xdr:rowOff>
    </xdr:to>
    <xdr:sp macro="" textlink="">
      <xdr:nvSpPr>
        <xdr:cNvPr id="376077" name="Text Box 269" hidden="1">
          <a:extLst>
            <a:ext uri="{FF2B5EF4-FFF2-40B4-BE49-F238E27FC236}">
              <a16:creationId xmlns:a16="http://schemas.microsoft.com/office/drawing/2014/main" id="{140DFF26-1D74-10A0-1D2F-5653B1454B88}"/>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293633</xdr:rowOff>
    </xdr:from>
    <xdr:to>
      <xdr:col>5</xdr:col>
      <xdr:colOff>609600</xdr:colOff>
      <xdr:row>68</xdr:row>
      <xdr:rowOff>293633</xdr:rowOff>
    </xdr:to>
    <xdr:sp macro="" textlink="">
      <xdr:nvSpPr>
        <xdr:cNvPr id="376076" name="Text Box 268" hidden="1">
          <a:extLst>
            <a:ext uri="{FF2B5EF4-FFF2-40B4-BE49-F238E27FC236}">
              <a16:creationId xmlns:a16="http://schemas.microsoft.com/office/drawing/2014/main" id="{B97DBFA9-DD1D-481D-58D2-6335947CA3FC}"/>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69</xdr:row>
      <xdr:rowOff>35910</xdr:rowOff>
    </xdr:from>
    <xdr:to>
      <xdr:col>5</xdr:col>
      <xdr:colOff>628650</xdr:colOff>
      <xdr:row>85</xdr:row>
      <xdr:rowOff>35089</xdr:rowOff>
    </xdr:to>
    <xdr:sp macro="" textlink="">
      <xdr:nvSpPr>
        <xdr:cNvPr id="376075" name="Text Box 267" hidden="1">
          <a:extLst>
            <a:ext uri="{FF2B5EF4-FFF2-40B4-BE49-F238E27FC236}">
              <a16:creationId xmlns:a16="http://schemas.microsoft.com/office/drawing/2014/main" id="{77E07BA7-E3A8-5A75-B1B6-A458BC61523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293633</xdr:rowOff>
    </xdr:from>
    <xdr:to>
      <xdr:col>5</xdr:col>
      <xdr:colOff>609600</xdr:colOff>
      <xdr:row>85</xdr:row>
      <xdr:rowOff>48583</xdr:rowOff>
    </xdr:to>
    <xdr:sp macro="" textlink="">
      <xdr:nvSpPr>
        <xdr:cNvPr id="376074" name="Text Box 266" hidden="1">
          <a:extLst>
            <a:ext uri="{FF2B5EF4-FFF2-40B4-BE49-F238E27FC236}">
              <a16:creationId xmlns:a16="http://schemas.microsoft.com/office/drawing/2014/main" id="{5FE3F569-A597-8CE0-95F9-04D5BD0A2240}"/>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312683</xdr:rowOff>
    </xdr:from>
    <xdr:to>
      <xdr:col>5</xdr:col>
      <xdr:colOff>609600</xdr:colOff>
      <xdr:row>85</xdr:row>
      <xdr:rowOff>67633</xdr:rowOff>
    </xdr:to>
    <xdr:sp macro="" textlink="">
      <xdr:nvSpPr>
        <xdr:cNvPr id="376073" name="Text Box 265" hidden="1">
          <a:extLst>
            <a:ext uri="{FF2B5EF4-FFF2-40B4-BE49-F238E27FC236}">
              <a16:creationId xmlns:a16="http://schemas.microsoft.com/office/drawing/2014/main" id="{E5030379-778D-63B7-471B-EC61751B1974}"/>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11768</xdr:rowOff>
    </xdr:from>
    <xdr:to>
      <xdr:col>5</xdr:col>
      <xdr:colOff>609600</xdr:colOff>
      <xdr:row>88</xdr:row>
      <xdr:rowOff>7308</xdr:rowOff>
    </xdr:to>
    <xdr:sp macro="" textlink="">
      <xdr:nvSpPr>
        <xdr:cNvPr id="376072" name="Text Box 264" hidden="1">
          <a:extLst>
            <a:ext uri="{FF2B5EF4-FFF2-40B4-BE49-F238E27FC236}">
              <a16:creationId xmlns:a16="http://schemas.microsoft.com/office/drawing/2014/main" id="{4EEADA7E-BBB3-3501-96F2-6305D603FC60}"/>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7308</xdr:rowOff>
    </xdr:from>
    <xdr:to>
      <xdr:col>5</xdr:col>
      <xdr:colOff>609600</xdr:colOff>
      <xdr:row>94</xdr:row>
      <xdr:rowOff>207141</xdr:rowOff>
    </xdr:to>
    <xdr:sp macro="" textlink="">
      <xdr:nvSpPr>
        <xdr:cNvPr id="376071" name="Text Box 263" hidden="1">
          <a:extLst>
            <a:ext uri="{FF2B5EF4-FFF2-40B4-BE49-F238E27FC236}">
              <a16:creationId xmlns:a16="http://schemas.microsoft.com/office/drawing/2014/main" id="{57F1C4BD-A3E3-109B-3D2A-DD24D4FDF0E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90652</xdr:rowOff>
    </xdr:from>
    <xdr:to>
      <xdr:col>5</xdr:col>
      <xdr:colOff>609600</xdr:colOff>
      <xdr:row>94</xdr:row>
      <xdr:rowOff>73791</xdr:rowOff>
    </xdr:to>
    <xdr:sp macro="" textlink="">
      <xdr:nvSpPr>
        <xdr:cNvPr id="376070" name="Text Box 262" hidden="1">
          <a:extLst>
            <a:ext uri="{FF2B5EF4-FFF2-40B4-BE49-F238E27FC236}">
              <a16:creationId xmlns:a16="http://schemas.microsoft.com/office/drawing/2014/main" id="{D1A0A3AD-6960-9E7A-416A-76486E3DCB57}"/>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33501</xdr:rowOff>
    </xdr:from>
    <xdr:to>
      <xdr:col>5</xdr:col>
      <xdr:colOff>609600</xdr:colOff>
      <xdr:row>94</xdr:row>
      <xdr:rowOff>149991</xdr:rowOff>
    </xdr:to>
    <xdr:sp macro="" textlink="">
      <xdr:nvSpPr>
        <xdr:cNvPr id="376069" name="Text Box 261" hidden="1">
          <a:extLst>
            <a:ext uri="{FF2B5EF4-FFF2-40B4-BE49-F238E27FC236}">
              <a16:creationId xmlns:a16="http://schemas.microsoft.com/office/drawing/2014/main" id="{6D91119E-D7A2-F055-A15A-6CB53B87CC8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24771</xdr:rowOff>
    </xdr:from>
    <xdr:to>
      <xdr:col>5</xdr:col>
      <xdr:colOff>609600</xdr:colOff>
      <xdr:row>95</xdr:row>
      <xdr:rowOff>107950</xdr:rowOff>
    </xdr:to>
    <xdr:sp macro="" textlink="">
      <xdr:nvSpPr>
        <xdr:cNvPr id="376068" name="Text Box 260" hidden="1">
          <a:extLst>
            <a:ext uri="{FF2B5EF4-FFF2-40B4-BE49-F238E27FC236}">
              <a16:creationId xmlns:a16="http://schemas.microsoft.com/office/drawing/2014/main" id="{5134E23B-BE0B-DEE3-B83B-CB6B1D699BD3}"/>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168737</xdr:rowOff>
    </xdr:from>
    <xdr:to>
      <xdr:col>5</xdr:col>
      <xdr:colOff>609600</xdr:colOff>
      <xdr:row>121</xdr:row>
      <xdr:rowOff>35884</xdr:rowOff>
    </xdr:to>
    <xdr:sp macro="" textlink="">
      <xdr:nvSpPr>
        <xdr:cNvPr id="376067" name="Text Box 259" hidden="1">
          <a:extLst>
            <a:ext uri="{FF2B5EF4-FFF2-40B4-BE49-F238E27FC236}">
              <a16:creationId xmlns:a16="http://schemas.microsoft.com/office/drawing/2014/main" id="{7FB99196-DCA1-EA12-FAC8-C36FCCF7F666}"/>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143039</xdr:rowOff>
    </xdr:to>
    <xdr:sp macro="" textlink="">
      <xdr:nvSpPr>
        <xdr:cNvPr id="376066" name="Text Box 258" hidden="1">
          <a:extLst>
            <a:ext uri="{FF2B5EF4-FFF2-40B4-BE49-F238E27FC236}">
              <a16:creationId xmlns:a16="http://schemas.microsoft.com/office/drawing/2014/main" id="{44E51674-6A5E-DC27-7345-FE47353D5322}"/>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48583</xdr:rowOff>
    </xdr:from>
    <xdr:to>
      <xdr:col>5</xdr:col>
      <xdr:colOff>609600</xdr:colOff>
      <xdr:row>119</xdr:row>
      <xdr:rowOff>35089</xdr:rowOff>
    </xdr:to>
    <xdr:sp macro="" textlink="">
      <xdr:nvSpPr>
        <xdr:cNvPr id="376065" name="Text Box 257" hidden="1">
          <a:extLst>
            <a:ext uri="{FF2B5EF4-FFF2-40B4-BE49-F238E27FC236}">
              <a16:creationId xmlns:a16="http://schemas.microsoft.com/office/drawing/2014/main" id="{E6D8DD0E-0468-E489-D0E5-34290D2A86C5}"/>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10483</xdr:rowOff>
    </xdr:from>
    <xdr:to>
      <xdr:col>5</xdr:col>
      <xdr:colOff>609600</xdr:colOff>
      <xdr:row>119</xdr:row>
      <xdr:rowOff>92239</xdr:rowOff>
    </xdr:to>
    <xdr:sp macro="" textlink="">
      <xdr:nvSpPr>
        <xdr:cNvPr id="376064" name="Text Box 256" hidden="1">
          <a:extLst>
            <a:ext uri="{FF2B5EF4-FFF2-40B4-BE49-F238E27FC236}">
              <a16:creationId xmlns:a16="http://schemas.microsoft.com/office/drawing/2014/main" id="{D45AE0A6-E147-2C24-8C55-94B9ED8D0B98}"/>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6063" name="Text Box 255" hidden="1">
          <a:extLst>
            <a:ext uri="{FF2B5EF4-FFF2-40B4-BE49-F238E27FC236}">
              <a16:creationId xmlns:a16="http://schemas.microsoft.com/office/drawing/2014/main" id="{2EC1C950-8F64-D531-1653-7687AC1C7AFB}"/>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6062" name="Text Box 254" hidden="1">
          <a:extLst>
            <a:ext uri="{FF2B5EF4-FFF2-40B4-BE49-F238E27FC236}">
              <a16:creationId xmlns:a16="http://schemas.microsoft.com/office/drawing/2014/main" id="{A4CCAF54-872D-3BA4-F5D6-940458518C06}"/>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84931</xdr:rowOff>
    </xdr:to>
    <xdr:sp macro="" textlink="">
      <xdr:nvSpPr>
        <xdr:cNvPr id="376061" name="Text Box 253" hidden="1">
          <a:extLst>
            <a:ext uri="{FF2B5EF4-FFF2-40B4-BE49-F238E27FC236}">
              <a16:creationId xmlns:a16="http://schemas.microsoft.com/office/drawing/2014/main" id="{8B6029A9-EC35-F3B7-C11B-BC06B163DBEF}"/>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65252</xdr:rowOff>
    </xdr:to>
    <xdr:sp macro="" textlink="">
      <xdr:nvSpPr>
        <xdr:cNvPr id="376060" name="Text Box 252" hidden="1">
          <a:extLst>
            <a:ext uri="{FF2B5EF4-FFF2-40B4-BE49-F238E27FC236}">
              <a16:creationId xmlns:a16="http://schemas.microsoft.com/office/drawing/2014/main" id="{351E045A-79D4-CA3E-C354-7A1E3ACD75DC}"/>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103982</xdr:rowOff>
    </xdr:from>
    <xdr:to>
      <xdr:col>11</xdr:col>
      <xdr:colOff>1409700</xdr:colOff>
      <xdr:row>52</xdr:row>
      <xdr:rowOff>419072</xdr:rowOff>
    </xdr:to>
    <xdr:sp macro="" textlink="">
      <xdr:nvSpPr>
        <xdr:cNvPr id="376059" name="Text Box 251" hidden="1">
          <a:extLst>
            <a:ext uri="{FF2B5EF4-FFF2-40B4-BE49-F238E27FC236}">
              <a16:creationId xmlns:a16="http://schemas.microsoft.com/office/drawing/2014/main" id="{CA9022C4-3D94-EDEC-94C8-79A565404A08}"/>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6058" name="Text Box 250" hidden="1">
          <a:extLst>
            <a:ext uri="{FF2B5EF4-FFF2-40B4-BE49-F238E27FC236}">
              <a16:creationId xmlns:a16="http://schemas.microsoft.com/office/drawing/2014/main" id="{D359858D-42E9-571B-FE6B-844B49411819}"/>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161131</xdr:rowOff>
    </xdr:to>
    <xdr:sp macro="" textlink="">
      <xdr:nvSpPr>
        <xdr:cNvPr id="376057" name="Text Box 249" hidden="1">
          <a:extLst>
            <a:ext uri="{FF2B5EF4-FFF2-40B4-BE49-F238E27FC236}">
              <a16:creationId xmlns:a16="http://schemas.microsoft.com/office/drawing/2014/main" id="{16F404D2-142F-1B58-64E1-9CDAC25D7937}"/>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175172</xdr:rowOff>
    </xdr:to>
    <xdr:sp macro="" textlink="">
      <xdr:nvSpPr>
        <xdr:cNvPr id="376056" name="Text Box 248" hidden="1">
          <a:extLst>
            <a:ext uri="{FF2B5EF4-FFF2-40B4-BE49-F238E27FC236}">
              <a16:creationId xmlns:a16="http://schemas.microsoft.com/office/drawing/2014/main" id="{17EDB58D-2D86-DCB2-D7BC-5FE4E4CAFB18}"/>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143668</xdr:rowOff>
    </xdr:to>
    <xdr:sp macro="" textlink="">
      <xdr:nvSpPr>
        <xdr:cNvPr id="376055" name="Text Box 247" hidden="1">
          <a:extLst>
            <a:ext uri="{FF2B5EF4-FFF2-40B4-BE49-F238E27FC236}">
              <a16:creationId xmlns:a16="http://schemas.microsoft.com/office/drawing/2014/main" id="{80324CBE-00A9-56C4-19FE-28B69AA72ED7}"/>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123031</xdr:rowOff>
    </xdr:to>
    <xdr:sp macro="" textlink="">
      <xdr:nvSpPr>
        <xdr:cNvPr id="376054" name="Text Box 246" hidden="1">
          <a:extLst>
            <a:ext uri="{FF2B5EF4-FFF2-40B4-BE49-F238E27FC236}">
              <a16:creationId xmlns:a16="http://schemas.microsoft.com/office/drawing/2014/main" id="{1D5E927F-C3FF-2DE9-C8E8-E2CA2128FC7A}"/>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141452</xdr:rowOff>
    </xdr:to>
    <xdr:sp macro="" textlink="">
      <xdr:nvSpPr>
        <xdr:cNvPr id="376053" name="Text Box 245" hidden="1">
          <a:extLst>
            <a:ext uri="{FF2B5EF4-FFF2-40B4-BE49-F238E27FC236}">
              <a16:creationId xmlns:a16="http://schemas.microsoft.com/office/drawing/2014/main" id="{7EF3A848-31BB-1387-C2BD-AB6520971BA2}"/>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18" name="Text Box 310" hidden="1">
          <a:extLst>
            <a:ext uri="{FF2B5EF4-FFF2-40B4-BE49-F238E27FC236}">
              <a16:creationId xmlns:a16="http://schemas.microsoft.com/office/drawing/2014/main" id="{4A315ED2-6DDE-80CD-4759-F53FDBCE1946}"/>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81893</xdr:rowOff>
    </xdr:from>
    <xdr:to>
      <xdr:col>5</xdr:col>
      <xdr:colOff>609600</xdr:colOff>
      <xdr:row>237</xdr:row>
      <xdr:rowOff>81893</xdr:rowOff>
    </xdr:to>
    <xdr:sp macro="" textlink="">
      <xdr:nvSpPr>
        <xdr:cNvPr id="376117" name="Text Box 309" hidden="1">
          <a:extLst>
            <a:ext uri="{FF2B5EF4-FFF2-40B4-BE49-F238E27FC236}">
              <a16:creationId xmlns:a16="http://schemas.microsoft.com/office/drawing/2014/main" id="{F61F4CAC-0293-51F5-F1A7-6D33231D149D}"/>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43793</xdr:rowOff>
    </xdr:from>
    <xdr:to>
      <xdr:col>5</xdr:col>
      <xdr:colOff>609600</xdr:colOff>
      <xdr:row>236</xdr:row>
      <xdr:rowOff>177143</xdr:rowOff>
    </xdr:to>
    <xdr:sp macro="" textlink="">
      <xdr:nvSpPr>
        <xdr:cNvPr id="376116" name="Text Box 308" hidden="1">
          <a:extLst>
            <a:ext uri="{FF2B5EF4-FFF2-40B4-BE49-F238E27FC236}">
              <a16:creationId xmlns:a16="http://schemas.microsoft.com/office/drawing/2014/main" id="{4F913E32-E65E-68E2-FD19-E65C4FEBFF9D}"/>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43793</xdr:rowOff>
    </xdr:from>
    <xdr:to>
      <xdr:col>5</xdr:col>
      <xdr:colOff>609600</xdr:colOff>
      <xdr:row>238</xdr:row>
      <xdr:rowOff>81894</xdr:rowOff>
    </xdr:to>
    <xdr:sp macro="" textlink="">
      <xdr:nvSpPr>
        <xdr:cNvPr id="376115" name="Text Box 307" hidden="1">
          <a:extLst>
            <a:ext uri="{FF2B5EF4-FFF2-40B4-BE49-F238E27FC236}">
              <a16:creationId xmlns:a16="http://schemas.microsoft.com/office/drawing/2014/main" id="{3C608763-7A3C-DAF6-5C1E-353F262A5366}"/>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43793</xdr:rowOff>
    </xdr:from>
    <xdr:to>
      <xdr:col>5</xdr:col>
      <xdr:colOff>609600</xdr:colOff>
      <xdr:row>225</xdr:row>
      <xdr:rowOff>177143</xdr:rowOff>
    </xdr:to>
    <xdr:sp macro="" textlink="">
      <xdr:nvSpPr>
        <xdr:cNvPr id="376114" name="Text Box 306" hidden="1">
          <a:extLst>
            <a:ext uri="{FF2B5EF4-FFF2-40B4-BE49-F238E27FC236}">
              <a16:creationId xmlns:a16="http://schemas.microsoft.com/office/drawing/2014/main" id="{D23B754A-0199-CF16-12E6-672713B820FE}"/>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158093</xdr:rowOff>
    </xdr:from>
    <xdr:to>
      <xdr:col>5</xdr:col>
      <xdr:colOff>609600</xdr:colOff>
      <xdr:row>202</xdr:row>
      <xdr:rowOff>177143</xdr:rowOff>
    </xdr:to>
    <xdr:sp macro="" textlink="">
      <xdr:nvSpPr>
        <xdr:cNvPr id="376113" name="Text Box 305" hidden="1">
          <a:extLst>
            <a:ext uri="{FF2B5EF4-FFF2-40B4-BE49-F238E27FC236}">
              <a16:creationId xmlns:a16="http://schemas.microsoft.com/office/drawing/2014/main" id="{41FE51B2-C653-B57B-75A4-36ACE63E3B6B}"/>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43793</xdr:rowOff>
    </xdr:from>
    <xdr:to>
      <xdr:col>5</xdr:col>
      <xdr:colOff>609600</xdr:colOff>
      <xdr:row>204</xdr:row>
      <xdr:rowOff>81893</xdr:rowOff>
    </xdr:to>
    <xdr:sp macro="" textlink="">
      <xdr:nvSpPr>
        <xdr:cNvPr id="376112" name="Text Box 304" hidden="1">
          <a:extLst>
            <a:ext uri="{FF2B5EF4-FFF2-40B4-BE49-F238E27FC236}">
              <a16:creationId xmlns:a16="http://schemas.microsoft.com/office/drawing/2014/main" id="{5597B5B0-AA75-DD0D-A27A-2B76FE09433E}"/>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43793</xdr:rowOff>
    </xdr:from>
    <xdr:to>
      <xdr:col>5</xdr:col>
      <xdr:colOff>609600</xdr:colOff>
      <xdr:row>205</xdr:row>
      <xdr:rowOff>81893</xdr:rowOff>
    </xdr:to>
    <xdr:sp macro="" textlink="">
      <xdr:nvSpPr>
        <xdr:cNvPr id="376111" name="Text Box 303" hidden="1">
          <a:extLst>
            <a:ext uri="{FF2B5EF4-FFF2-40B4-BE49-F238E27FC236}">
              <a16:creationId xmlns:a16="http://schemas.microsoft.com/office/drawing/2014/main" id="{122C112D-6EC0-1BB3-B647-8D4C1D71DC02}"/>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43793</xdr:rowOff>
    </xdr:from>
    <xdr:to>
      <xdr:col>5</xdr:col>
      <xdr:colOff>609600</xdr:colOff>
      <xdr:row>212</xdr:row>
      <xdr:rowOff>81893</xdr:rowOff>
    </xdr:to>
    <xdr:sp macro="" textlink="">
      <xdr:nvSpPr>
        <xdr:cNvPr id="376110" name="Text Box 302" hidden="1">
          <a:extLst>
            <a:ext uri="{FF2B5EF4-FFF2-40B4-BE49-F238E27FC236}">
              <a16:creationId xmlns:a16="http://schemas.microsoft.com/office/drawing/2014/main" id="{4D654AAB-E7AB-A77B-6E4D-849F9E9716A5}"/>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162308</xdr:rowOff>
    </xdr:from>
    <xdr:to>
      <xdr:col>5</xdr:col>
      <xdr:colOff>609600</xdr:colOff>
      <xdr:row>61</xdr:row>
      <xdr:rowOff>162308</xdr:rowOff>
    </xdr:to>
    <xdr:sp macro="" textlink="">
      <xdr:nvSpPr>
        <xdr:cNvPr id="376109" name="Text Box 301" hidden="1">
          <a:extLst>
            <a:ext uri="{FF2B5EF4-FFF2-40B4-BE49-F238E27FC236}">
              <a16:creationId xmlns:a16="http://schemas.microsoft.com/office/drawing/2014/main" id="{F2FD763D-1C48-59CE-D19A-BA058080BC9B}"/>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120705</xdr:rowOff>
    </xdr:from>
    <xdr:to>
      <xdr:col>5</xdr:col>
      <xdr:colOff>628650</xdr:colOff>
      <xdr:row>83</xdr:row>
      <xdr:rowOff>160502</xdr:rowOff>
    </xdr:to>
    <xdr:sp macro="" textlink="">
      <xdr:nvSpPr>
        <xdr:cNvPr id="376108" name="Text Box 300" hidden="1">
          <a:extLst>
            <a:ext uri="{FF2B5EF4-FFF2-40B4-BE49-F238E27FC236}">
              <a16:creationId xmlns:a16="http://schemas.microsoft.com/office/drawing/2014/main" id="{B5D67607-B05C-C5A7-7841-031CFBB1A7C9}"/>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162308</xdr:rowOff>
    </xdr:from>
    <xdr:to>
      <xdr:col>5</xdr:col>
      <xdr:colOff>609600</xdr:colOff>
      <xdr:row>82</xdr:row>
      <xdr:rowOff>84301</xdr:rowOff>
    </xdr:to>
    <xdr:sp macro="" textlink="">
      <xdr:nvSpPr>
        <xdr:cNvPr id="376107" name="Text Box 299" hidden="1">
          <a:extLst>
            <a:ext uri="{FF2B5EF4-FFF2-40B4-BE49-F238E27FC236}">
              <a16:creationId xmlns:a16="http://schemas.microsoft.com/office/drawing/2014/main" id="{95D4EF4C-DF6B-B622-957D-40EB0C5FDDC0}"/>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181358</xdr:rowOff>
    </xdr:from>
    <xdr:to>
      <xdr:col>5</xdr:col>
      <xdr:colOff>609600</xdr:colOff>
      <xdr:row>82</xdr:row>
      <xdr:rowOff>122401</xdr:rowOff>
    </xdr:to>
    <xdr:sp macro="" textlink="">
      <xdr:nvSpPr>
        <xdr:cNvPr id="376106" name="Text Box 298" hidden="1">
          <a:extLst>
            <a:ext uri="{FF2B5EF4-FFF2-40B4-BE49-F238E27FC236}">
              <a16:creationId xmlns:a16="http://schemas.microsoft.com/office/drawing/2014/main" id="{73E02B12-F1DD-786E-5CDB-1D7DB730D4AB}"/>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48310</xdr:rowOff>
    </xdr:from>
    <xdr:to>
      <xdr:col>5</xdr:col>
      <xdr:colOff>609600</xdr:colOff>
      <xdr:row>86</xdr:row>
      <xdr:rowOff>8102</xdr:rowOff>
    </xdr:to>
    <xdr:sp macro="" textlink="">
      <xdr:nvSpPr>
        <xdr:cNvPr id="376105" name="Text Box 297" hidden="1">
          <a:extLst>
            <a:ext uri="{FF2B5EF4-FFF2-40B4-BE49-F238E27FC236}">
              <a16:creationId xmlns:a16="http://schemas.microsoft.com/office/drawing/2014/main" id="{0FB22011-CF15-04D8-6D46-45DA7500B0D1}"/>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160502</xdr:rowOff>
    </xdr:from>
    <xdr:to>
      <xdr:col>5</xdr:col>
      <xdr:colOff>609600</xdr:colOff>
      <xdr:row>94</xdr:row>
      <xdr:rowOff>92841</xdr:rowOff>
    </xdr:to>
    <xdr:sp macro="" textlink="">
      <xdr:nvSpPr>
        <xdr:cNvPr id="376104" name="Text Box 296" hidden="1">
          <a:extLst>
            <a:ext uri="{FF2B5EF4-FFF2-40B4-BE49-F238E27FC236}">
              <a16:creationId xmlns:a16="http://schemas.microsoft.com/office/drawing/2014/main" id="{D3BC4A83-A454-1BBE-B930-B40D95A47748}"/>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84301</xdr:rowOff>
    </xdr:from>
    <xdr:to>
      <xdr:col>5</xdr:col>
      <xdr:colOff>609600</xdr:colOff>
      <xdr:row>93</xdr:row>
      <xdr:rowOff>128533</xdr:rowOff>
    </xdr:to>
    <xdr:sp macro="" textlink="">
      <xdr:nvSpPr>
        <xdr:cNvPr id="376103" name="Text Box 295" hidden="1">
          <a:extLst>
            <a:ext uri="{FF2B5EF4-FFF2-40B4-BE49-F238E27FC236}">
              <a16:creationId xmlns:a16="http://schemas.microsoft.com/office/drawing/2014/main" id="{8F3307AF-6495-8CDF-BA2B-26C6ABD37AE1}"/>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27152</xdr:rowOff>
    </xdr:from>
    <xdr:to>
      <xdr:col>5</xdr:col>
      <xdr:colOff>609600</xdr:colOff>
      <xdr:row>93</xdr:row>
      <xdr:rowOff>204733</xdr:rowOff>
    </xdr:to>
    <xdr:sp macro="" textlink="">
      <xdr:nvSpPr>
        <xdr:cNvPr id="376102" name="Text Box 294" hidden="1">
          <a:extLst>
            <a:ext uri="{FF2B5EF4-FFF2-40B4-BE49-F238E27FC236}">
              <a16:creationId xmlns:a16="http://schemas.microsoft.com/office/drawing/2014/main" id="{82C0AF72-694B-57A7-6DF1-DC934D0FCFBD}"/>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27152</xdr:rowOff>
    </xdr:from>
    <xdr:to>
      <xdr:col>5</xdr:col>
      <xdr:colOff>609600</xdr:colOff>
      <xdr:row>95</xdr:row>
      <xdr:rowOff>69850</xdr:rowOff>
    </xdr:to>
    <xdr:sp macro="" textlink="">
      <xdr:nvSpPr>
        <xdr:cNvPr id="376101" name="Text Box 293" hidden="1">
          <a:extLst>
            <a:ext uri="{FF2B5EF4-FFF2-40B4-BE49-F238E27FC236}">
              <a16:creationId xmlns:a16="http://schemas.microsoft.com/office/drawing/2014/main" id="{6B61E01E-2748-4B5C-90E0-9A03661D9B6B}"/>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105761</xdr:rowOff>
    </xdr:from>
    <xdr:to>
      <xdr:col>5</xdr:col>
      <xdr:colOff>609600</xdr:colOff>
      <xdr:row>116</xdr:row>
      <xdr:rowOff>160502</xdr:rowOff>
    </xdr:to>
    <xdr:sp macro="" textlink="">
      <xdr:nvSpPr>
        <xdr:cNvPr id="376100" name="Text Box 292" hidden="1">
          <a:extLst>
            <a:ext uri="{FF2B5EF4-FFF2-40B4-BE49-F238E27FC236}">
              <a16:creationId xmlns:a16="http://schemas.microsoft.com/office/drawing/2014/main" id="{058D17C4-6F33-3A1D-92BD-D0284BAC20A4}"/>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158531</xdr:rowOff>
    </xdr:from>
    <xdr:to>
      <xdr:col>5</xdr:col>
      <xdr:colOff>609600</xdr:colOff>
      <xdr:row>114</xdr:row>
      <xdr:rowOff>182116</xdr:rowOff>
    </xdr:to>
    <xdr:sp macro="" textlink="">
      <xdr:nvSpPr>
        <xdr:cNvPr id="376099" name="Text Box 291" hidden="1">
          <a:extLst>
            <a:ext uri="{FF2B5EF4-FFF2-40B4-BE49-F238E27FC236}">
              <a16:creationId xmlns:a16="http://schemas.microsoft.com/office/drawing/2014/main" id="{F5E8E312-7AB8-D84F-415A-AD795C02686A}"/>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158531</xdr:rowOff>
    </xdr:from>
    <xdr:to>
      <xdr:col>5</xdr:col>
      <xdr:colOff>609600</xdr:colOff>
      <xdr:row>113</xdr:row>
      <xdr:rowOff>183138</xdr:rowOff>
    </xdr:to>
    <xdr:sp macro="" textlink="">
      <xdr:nvSpPr>
        <xdr:cNvPr id="376098" name="Text Box 290" hidden="1">
          <a:extLst>
            <a:ext uri="{FF2B5EF4-FFF2-40B4-BE49-F238E27FC236}">
              <a16:creationId xmlns:a16="http://schemas.microsoft.com/office/drawing/2014/main" id="{702A12AE-D532-0DED-E840-3D32BA6E2D20}"/>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120431</xdr:rowOff>
    </xdr:from>
    <xdr:to>
      <xdr:col>5</xdr:col>
      <xdr:colOff>609600</xdr:colOff>
      <xdr:row>114</xdr:row>
      <xdr:rowOff>73217</xdr:rowOff>
    </xdr:to>
    <xdr:sp macro="" textlink="">
      <xdr:nvSpPr>
        <xdr:cNvPr id="376097" name="Text Box 289" hidden="1">
          <a:extLst>
            <a:ext uri="{FF2B5EF4-FFF2-40B4-BE49-F238E27FC236}">
              <a16:creationId xmlns:a16="http://schemas.microsoft.com/office/drawing/2014/main" id="{4B34B8E3-B146-64B8-CF5A-CCBC5C657744}"/>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103352</xdr:rowOff>
    </xdr:from>
    <xdr:to>
      <xdr:col>21</xdr:col>
      <xdr:colOff>438150</xdr:colOff>
      <xdr:row>136</xdr:row>
      <xdr:rowOff>122402</xdr:rowOff>
    </xdr:to>
    <xdr:sp macro="" textlink="">
      <xdr:nvSpPr>
        <xdr:cNvPr id="376096" name="Text Box 288" hidden="1">
          <a:extLst>
            <a:ext uri="{FF2B5EF4-FFF2-40B4-BE49-F238E27FC236}">
              <a16:creationId xmlns:a16="http://schemas.microsoft.com/office/drawing/2014/main" id="{5EE6D865-80E0-DF3B-5564-4DDAD61D3CC0}"/>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095" name="Text Box 287" hidden="1">
          <a:extLst>
            <a:ext uri="{FF2B5EF4-FFF2-40B4-BE49-F238E27FC236}">
              <a16:creationId xmlns:a16="http://schemas.microsoft.com/office/drawing/2014/main" id="{90720B37-F461-0EF5-CDBB-F8C8CB204853}"/>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094" name="Text Box 286" hidden="1">
          <a:extLst>
            <a:ext uri="{FF2B5EF4-FFF2-40B4-BE49-F238E27FC236}">
              <a16:creationId xmlns:a16="http://schemas.microsoft.com/office/drawing/2014/main" id="{FA28A4C1-A9A1-F2AF-9657-2377B5C607C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122402</xdr:rowOff>
    </xdr:from>
    <xdr:to>
      <xdr:col>22</xdr:col>
      <xdr:colOff>609600</xdr:colOff>
      <xdr:row>140</xdr:row>
      <xdr:rowOff>103352</xdr:rowOff>
    </xdr:to>
    <xdr:sp macro="" textlink="">
      <xdr:nvSpPr>
        <xdr:cNvPr id="376093" name="Text Box 285" hidden="1">
          <a:extLst>
            <a:ext uri="{FF2B5EF4-FFF2-40B4-BE49-F238E27FC236}">
              <a16:creationId xmlns:a16="http://schemas.microsoft.com/office/drawing/2014/main" id="{5C9A502A-A46C-3507-7BE6-83961960A827}"/>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092" name="Text Box 284" hidden="1">
          <a:extLst>
            <a:ext uri="{FF2B5EF4-FFF2-40B4-BE49-F238E27FC236}">
              <a16:creationId xmlns:a16="http://schemas.microsoft.com/office/drawing/2014/main" id="{ECD8A705-E576-69EC-0E97-B82FBF9632D7}"/>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091" name="Text Box 283" hidden="1">
          <a:extLst>
            <a:ext uri="{FF2B5EF4-FFF2-40B4-BE49-F238E27FC236}">
              <a16:creationId xmlns:a16="http://schemas.microsoft.com/office/drawing/2014/main" id="{DF12F305-C14A-7C97-A825-338CD5AAB480}"/>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090" name="Text Box 282" hidden="1">
          <a:extLst>
            <a:ext uri="{FF2B5EF4-FFF2-40B4-BE49-F238E27FC236}">
              <a16:creationId xmlns:a16="http://schemas.microsoft.com/office/drawing/2014/main" id="{DCAD4EEE-5B13-F9F2-6997-A8EC7DD770ED}"/>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122402</xdr:rowOff>
    </xdr:from>
    <xdr:to>
      <xdr:col>24</xdr:col>
      <xdr:colOff>647700</xdr:colOff>
      <xdr:row>141</xdr:row>
      <xdr:rowOff>27151</xdr:rowOff>
    </xdr:to>
    <xdr:sp macro="" textlink="">
      <xdr:nvSpPr>
        <xdr:cNvPr id="376089" name="Text Box 281" hidden="1">
          <a:extLst>
            <a:ext uri="{FF2B5EF4-FFF2-40B4-BE49-F238E27FC236}">
              <a16:creationId xmlns:a16="http://schemas.microsoft.com/office/drawing/2014/main" id="{43A7FAA0-9282-9967-B4AC-EE51F3592C15}"/>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088" name="Text Box 280" hidden="1">
          <a:extLst>
            <a:ext uri="{FF2B5EF4-FFF2-40B4-BE49-F238E27FC236}">
              <a16:creationId xmlns:a16="http://schemas.microsoft.com/office/drawing/2014/main" id="{D2F2A6C5-9461-3231-995A-2DA9A461ABD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087" name="Text Box 279" hidden="1">
          <a:extLst>
            <a:ext uri="{FF2B5EF4-FFF2-40B4-BE49-F238E27FC236}">
              <a16:creationId xmlns:a16="http://schemas.microsoft.com/office/drawing/2014/main" id="{7BDAB598-C1FA-92A7-F125-A59DAC0261F8}"/>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141452</xdr:rowOff>
    </xdr:from>
    <xdr:to>
      <xdr:col>25</xdr:col>
      <xdr:colOff>647700</xdr:colOff>
      <xdr:row>140</xdr:row>
      <xdr:rowOff>175172</xdr:rowOff>
    </xdr:to>
    <xdr:sp macro="" textlink="">
      <xdr:nvSpPr>
        <xdr:cNvPr id="376086" name="Text Box 278" hidden="1">
          <a:extLst>
            <a:ext uri="{FF2B5EF4-FFF2-40B4-BE49-F238E27FC236}">
              <a16:creationId xmlns:a16="http://schemas.microsoft.com/office/drawing/2014/main" id="{466D23E9-74CE-847F-1873-A797BD3B0810}"/>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19" name="Text Box 311" hidden="1">
          <a:extLst>
            <a:ext uri="{FF2B5EF4-FFF2-40B4-BE49-F238E27FC236}">
              <a16:creationId xmlns:a16="http://schemas.microsoft.com/office/drawing/2014/main" id="{8606B32F-07D8-ECBC-6489-C5912C1049BC}"/>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0" name="Text Box 312" hidden="1">
          <a:extLst>
            <a:ext uri="{FF2B5EF4-FFF2-40B4-BE49-F238E27FC236}">
              <a16:creationId xmlns:a16="http://schemas.microsoft.com/office/drawing/2014/main" id="{EC74BB19-DA55-45D9-D2C5-349F9DC1D2DD}"/>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55" name="Text Box 347" hidden="1">
          <a:extLst>
            <a:ext uri="{FF2B5EF4-FFF2-40B4-BE49-F238E27FC236}">
              <a16:creationId xmlns:a16="http://schemas.microsoft.com/office/drawing/2014/main" id="{289DAD83-88C3-D16D-813F-46005D698CB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81893</xdr:rowOff>
    </xdr:from>
    <xdr:to>
      <xdr:col>5</xdr:col>
      <xdr:colOff>609600</xdr:colOff>
      <xdr:row>237</xdr:row>
      <xdr:rowOff>81893</xdr:rowOff>
    </xdr:to>
    <xdr:sp macro="" textlink="">
      <xdr:nvSpPr>
        <xdr:cNvPr id="376154" name="Text Box 346" hidden="1">
          <a:extLst>
            <a:ext uri="{FF2B5EF4-FFF2-40B4-BE49-F238E27FC236}">
              <a16:creationId xmlns:a16="http://schemas.microsoft.com/office/drawing/2014/main" id="{EA86264C-329E-062A-797A-92045A00A1E7}"/>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43793</xdr:rowOff>
    </xdr:from>
    <xdr:to>
      <xdr:col>5</xdr:col>
      <xdr:colOff>609600</xdr:colOff>
      <xdr:row>236</xdr:row>
      <xdr:rowOff>177143</xdr:rowOff>
    </xdr:to>
    <xdr:sp macro="" textlink="">
      <xdr:nvSpPr>
        <xdr:cNvPr id="376153" name="Text Box 345" hidden="1">
          <a:extLst>
            <a:ext uri="{FF2B5EF4-FFF2-40B4-BE49-F238E27FC236}">
              <a16:creationId xmlns:a16="http://schemas.microsoft.com/office/drawing/2014/main" id="{4F87CE42-9D49-DF6A-AE21-F81D68A3F54F}"/>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43793</xdr:rowOff>
    </xdr:from>
    <xdr:to>
      <xdr:col>5</xdr:col>
      <xdr:colOff>609600</xdr:colOff>
      <xdr:row>238</xdr:row>
      <xdr:rowOff>81894</xdr:rowOff>
    </xdr:to>
    <xdr:sp macro="" textlink="">
      <xdr:nvSpPr>
        <xdr:cNvPr id="376152" name="Text Box 344" hidden="1">
          <a:extLst>
            <a:ext uri="{FF2B5EF4-FFF2-40B4-BE49-F238E27FC236}">
              <a16:creationId xmlns:a16="http://schemas.microsoft.com/office/drawing/2014/main" id="{8711E70E-4BDB-0AD0-303C-F333156F8EF1}"/>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43793</xdr:rowOff>
    </xdr:from>
    <xdr:to>
      <xdr:col>5</xdr:col>
      <xdr:colOff>609600</xdr:colOff>
      <xdr:row>225</xdr:row>
      <xdr:rowOff>177143</xdr:rowOff>
    </xdr:to>
    <xdr:sp macro="" textlink="">
      <xdr:nvSpPr>
        <xdr:cNvPr id="376151" name="Text Box 343" hidden="1">
          <a:extLst>
            <a:ext uri="{FF2B5EF4-FFF2-40B4-BE49-F238E27FC236}">
              <a16:creationId xmlns:a16="http://schemas.microsoft.com/office/drawing/2014/main" id="{CB700919-6B46-F690-9369-E3A10ED32518}"/>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158093</xdr:rowOff>
    </xdr:from>
    <xdr:to>
      <xdr:col>5</xdr:col>
      <xdr:colOff>609600</xdr:colOff>
      <xdr:row>202</xdr:row>
      <xdr:rowOff>177143</xdr:rowOff>
    </xdr:to>
    <xdr:sp macro="" textlink="">
      <xdr:nvSpPr>
        <xdr:cNvPr id="376150" name="Text Box 342" hidden="1">
          <a:extLst>
            <a:ext uri="{FF2B5EF4-FFF2-40B4-BE49-F238E27FC236}">
              <a16:creationId xmlns:a16="http://schemas.microsoft.com/office/drawing/2014/main" id="{B5DEF912-37FB-9FE9-FCD1-F1DD967926B5}"/>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43793</xdr:rowOff>
    </xdr:from>
    <xdr:to>
      <xdr:col>5</xdr:col>
      <xdr:colOff>609600</xdr:colOff>
      <xdr:row>204</xdr:row>
      <xdr:rowOff>81893</xdr:rowOff>
    </xdr:to>
    <xdr:sp macro="" textlink="">
      <xdr:nvSpPr>
        <xdr:cNvPr id="376149" name="Text Box 341" hidden="1">
          <a:extLst>
            <a:ext uri="{FF2B5EF4-FFF2-40B4-BE49-F238E27FC236}">
              <a16:creationId xmlns:a16="http://schemas.microsoft.com/office/drawing/2014/main" id="{857CCBE7-5C5F-4A20-A627-89F0D5C12545}"/>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43793</xdr:rowOff>
    </xdr:from>
    <xdr:to>
      <xdr:col>5</xdr:col>
      <xdr:colOff>609600</xdr:colOff>
      <xdr:row>205</xdr:row>
      <xdr:rowOff>81893</xdr:rowOff>
    </xdr:to>
    <xdr:sp macro="" textlink="">
      <xdr:nvSpPr>
        <xdr:cNvPr id="376148" name="Text Box 340" hidden="1">
          <a:extLst>
            <a:ext uri="{FF2B5EF4-FFF2-40B4-BE49-F238E27FC236}">
              <a16:creationId xmlns:a16="http://schemas.microsoft.com/office/drawing/2014/main" id="{DA343549-D4F0-750C-546F-9CD05C97779A}"/>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43793</xdr:rowOff>
    </xdr:from>
    <xdr:to>
      <xdr:col>5</xdr:col>
      <xdr:colOff>609600</xdr:colOff>
      <xdr:row>212</xdr:row>
      <xdr:rowOff>81893</xdr:rowOff>
    </xdr:to>
    <xdr:sp macro="" textlink="">
      <xdr:nvSpPr>
        <xdr:cNvPr id="376147" name="Text Box 339" hidden="1">
          <a:extLst>
            <a:ext uri="{FF2B5EF4-FFF2-40B4-BE49-F238E27FC236}">
              <a16:creationId xmlns:a16="http://schemas.microsoft.com/office/drawing/2014/main" id="{F8FC3B03-315D-9BEF-5509-DC95AE0EA62E}"/>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162308</xdr:rowOff>
    </xdr:from>
    <xdr:to>
      <xdr:col>5</xdr:col>
      <xdr:colOff>609600</xdr:colOff>
      <xdr:row>61</xdr:row>
      <xdr:rowOff>162308</xdr:rowOff>
    </xdr:to>
    <xdr:sp macro="" textlink="">
      <xdr:nvSpPr>
        <xdr:cNvPr id="376146" name="Text Box 338" hidden="1">
          <a:extLst>
            <a:ext uri="{FF2B5EF4-FFF2-40B4-BE49-F238E27FC236}">
              <a16:creationId xmlns:a16="http://schemas.microsoft.com/office/drawing/2014/main" id="{A7970612-7607-96F2-BA84-75E814710C9D}"/>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120705</xdr:rowOff>
    </xdr:from>
    <xdr:to>
      <xdr:col>5</xdr:col>
      <xdr:colOff>628650</xdr:colOff>
      <xdr:row>83</xdr:row>
      <xdr:rowOff>160502</xdr:rowOff>
    </xdr:to>
    <xdr:sp macro="" textlink="">
      <xdr:nvSpPr>
        <xdr:cNvPr id="376145" name="Text Box 337" hidden="1">
          <a:extLst>
            <a:ext uri="{FF2B5EF4-FFF2-40B4-BE49-F238E27FC236}">
              <a16:creationId xmlns:a16="http://schemas.microsoft.com/office/drawing/2014/main" id="{097E716D-1AE4-EF15-A1AF-9E61E66148E7}"/>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162308</xdr:rowOff>
    </xdr:from>
    <xdr:to>
      <xdr:col>5</xdr:col>
      <xdr:colOff>609600</xdr:colOff>
      <xdr:row>82</xdr:row>
      <xdr:rowOff>84301</xdr:rowOff>
    </xdr:to>
    <xdr:sp macro="" textlink="">
      <xdr:nvSpPr>
        <xdr:cNvPr id="376144" name="Text Box 336" hidden="1">
          <a:extLst>
            <a:ext uri="{FF2B5EF4-FFF2-40B4-BE49-F238E27FC236}">
              <a16:creationId xmlns:a16="http://schemas.microsoft.com/office/drawing/2014/main" id="{CE8CE87D-DC62-F49B-6783-97D161EB42CA}"/>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181358</xdr:rowOff>
    </xdr:from>
    <xdr:to>
      <xdr:col>5</xdr:col>
      <xdr:colOff>609600</xdr:colOff>
      <xdr:row>82</xdr:row>
      <xdr:rowOff>122401</xdr:rowOff>
    </xdr:to>
    <xdr:sp macro="" textlink="">
      <xdr:nvSpPr>
        <xdr:cNvPr id="376143" name="Text Box 335" hidden="1">
          <a:extLst>
            <a:ext uri="{FF2B5EF4-FFF2-40B4-BE49-F238E27FC236}">
              <a16:creationId xmlns:a16="http://schemas.microsoft.com/office/drawing/2014/main" id="{F60890AF-2B37-369B-693C-DB2B6035E27F}"/>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48310</xdr:rowOff>
    </xdr:from>
    <xdr:to>
      <xdr:col>5</xdr:col>
      <xdr:colOff>609600</xdr:colOff>
      <xdr:row>86</xdr:row>
      <xdr:rowOff>8102</xdr:rowOff>
    </xdr:to>
    <xdr:sp macro="" textlink="">
      <xdr:nvSpPr>
        <xdr:cNvPr id="376142" name="Text Box 334" hidden="1">
          <a:extLst>
            <a:ext uri="{FF2B5EF4-FFF2-40B4-BE49-F238E27FC236}">
              <a16:creationId xmlns:a16="http://schemas.microsoft.com/office/drawing/2014/main" id="{D63059A1-FEE7-CBFD-C252-08B3D6316EA4}"/>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160502</xdr:rowOff>
    </xdr:from>
    <xdr:to>
      <xdr:col>5</xdr:col>
      <xdr:colOff>609600</xdr:colOff>
      <xdr:row>94</xdr:row>
      <xdr:rowOff>92841</xdr:rowOff>
    </xdr:to>
    <xdr:sp macro="" textlink="">
      <xdr:nvSpPr>
        <xdr:cNvPr id="376141" name="Text Box 333" hidden="1">
          <a:extLst>
            <a:ext uri="{FF2B5EF4-FFF2-40B4-BE49-F238E27FC236}">
              <a16:creationId xmlns:a16="http://schemas.microsoft.com/office/drawing/2014/main" id="{0BB78F55-C34F-39E7-25A8-2A89A60BA80B}"/>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84301</xdr:rowOff>
    </xdr:from>
    <xdr:to>
      <xdr:col>5</xdr:col>
      <xdr:colOff>609600</xdr:colOff>
      <xdr:row>93</xdr:row>
      <xdr:rowOff>128533</xdr:rowOff>
    </xdr:to>
    <xdr:sp macro="" textlink="">
      <xdr:nvSpPr>
        <xdr:cNvPr id="376140" name="Text Box 332" hidden="1">
          <a:extLst>
            <a:ext uri="{FF2B5EF4-FFF2-40B4-BE49-F238E27FC236}">
              <a16:creationId xmlns:a16="http://schemas.microsoft.com/office/drawing/2014/main" id="{8BDCF42B-E7B7-DC12-43EA-392156CC4FB3}"/>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27152</xdr:rowOff>
    </xdr:from>
    <xdr:to>
      <xdr:col>5</xdr:col>
      <xdr:colOff>609600</xdr:colOff>
      <xdr:row>93</xdr:row>
      <xdr:rowOff>204733</xdr:rowOff>
    </xdr:to>
    <xdr:sp macro="" textlink="">
      <xdr:nvSpPr>
        <xdr:cNvPr id="376139" name="Text Box 331" hidden="1">
          <a:extLst>
            <a:ext uri="{FF2B5EF4-FFF2-40B4-BE49-F238E27FC236}">
              <a16:creationId xmlns:a16="http://schemas.microsoft.com/office/drawing/2014/main" id="{C2925C56-2A77-2023-44D7-81023C70A08F}"/>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27152</xdr:rowOff>
    </xdr:from>
    <xdr:to>
      <xdr:col>5</xdr:col>
      <xdr:colOff>609600</xdr:colOff>
      <xdr:row>95</xdr:row>
      <xdr:rowOff>69850</xdr:rowOff>
    </xdr:to>
    <xdr:sp macro="" textlink="">
      <xdr:nvSpPr>
        <xdr:cNvPr id="376138" name="Text Box 330" hidden="1">
          <a:extLst>
            <a:ext uri="{FF2B5EF4-FFF2-40B4-BE49-F238E27FC236}">
              <a16:creationId xmlns:a16="http://schemas.microsoft.com/office/drawing/2014/main" id="{853E206F-F223-E8C4-44C2-143D32DC51E4}"/>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105761</xdr:rowOff>
    </xdr:from>
    <xdr:to>
      <xdr:col>5</xdr:col>
      <xdr:colOff>609600</xdr:colOff>
      <xdr:row>116</xdr:row>
      <xdr:rowOff>160502</xdr:rowOff>
    </xdr:to>
    <xdr:sp macro="" textlink="">
      <xdr:nvSpPr>
        <xdr:cNvPr id="376137" name="Text Box 329" hidden="1">
          <a:extLst>
            <a:ext uri="{FF2B5EF4-FFF2-40B4-BE49-F238E27FC236}">
              <a16:creationId xmlns:a16="http://schemas.microsoft.com/office/drawing/2014/main" id="{2553C463-94E7-B891-96D4-DD9208ECF91A}"/>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158531</xdr:rowOff>
    </xdr:from>
    <xdr:to>
      <xdr:col>5</xdr:col>
      <xdr:colOff>609600</xdr:colOff>
      <xdr:row>114</xdr:row>
      <xdr:rowOff>182116</xdr:rowOff>
    </xdr:to>
    <xdr:sp macro="" textlink="">
      <xdr:nvSpPr>
        <xdr:cNvPr id="376136" name="Text Box 328" hidden="1">
          <a:extLst>
            <a:ext uri="{FF2B5EF4-FFF2-40B4-BE49-F238E27FC236}">
              <a16:creationId xmlns:a16="http://schemas.microsoft.com/office/drawing/2014/main" id="{1113C332-F172-5A03-E012-4516703BBC62}"/>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158531</xdr:rowOff>
    </xdr:from>
    <xdr:to>
      <xdr:col>5</xdr:col>
      <xdr:colOff>609600</xdr:colOff>
      <xdr:row>113</xdr:row>
      <xdr:rowOff>183138</xdr:rowOff>
    </xdr:to>
    <xdr:sp macro="" textlink="">
      <xdr:nvSpPr>
        <xdr:cNvPr id="376135" name="Text Box 327" hidden="1">
          <a:extLst>
            <a:ext uri="{FF2B5EF4-FFF2-40B4-BE49-F238E27FC236}">
              <a16:creationId xmlns:a16="http://schemas.microsoft.com/office/drawing/2014/main" id="{70462800-9A40-1E45-13DA-56D97438C4D9}"/>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120431</xdr:rowOff>
    </xdr:from>
    <xdr:to>
      <xdr:col>5</xdr:col>
      <xdr:colOff>609600</xdr:colOff>
      <xdr:row>114</xdr:row>
      <xdr:rowOff>73217</xdr:rowOff>
    </xdr:to>
    <xdr:sp macro="" textlink="">
      <xdr:nvSpPr>
        <xdr:cNvPr id="376134" name="Text Box 326" hidden="1">
          <a:extLst>
            <a:ext uri="{FF2B5EF4-FFF2-40B4-BE49-F238E27FC236}">
              <a16:creationId xmlns:a16="http://schemas.microsoft.com/office/drawing/2014/main" id="{91AF69DE-95DE-E96C-8096-5CF38A7D9EB2}"/>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103352</xdr:rowOff>
    </xdr:from>
    <xdr:to>
      <xdr:col>21</xdr:col>
      <xdr:colOff>438150</xdr:colOff>
      <xdr:row>136</xdr:row>
      <xdr:rowOff>122402</xdr:rowOff>
    </xdr:to>
    <xdr:sp macro="" textlink="">
      <xdr:nvSpPr>
        <xdr:cNvPr id="376133" name="Text Box 325" hidden="1">
          <a:extLst>
            <a:ext uri="{FF2B5EF4-FFF2-40B4-BE49-F238E27FC236}">
              <a16:creationId xmlns:a16="http://schemas.microsoft.com/office/drawing/2014/main" id="{4AFEF2AA-B2E3-3E79-EEB1-F4163202E92C}"/>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32" name="Text Box 324" hidden="1">
          <a:extLst>
            <a:ext uri="{FF2B5EF4-FFF2-40B4-BE49-F238E27FC236}">
              <a16:creationId xmlns:a16="http://schemas.microsoft.com/office/drawing/2014/main" id="{329C3DF2-548C-E8E3-16EA-82E4A4AA90C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31" name="Text Box 323" hidden="1">
          <a:extLst>
            <a:ext uri="{FF2B5EF4-FFF2-40B4-BE49-F238E27FC236}">
              <a16:creationId xmlns:a16="http://schemas.microsoft.com/office/drawing/2014/main" id="{74FE3474-95EF-5087-720C-B65903EBE5E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122402</xdr:rowOff>
    </xdr:from>
    <xdr:to>
      <xdr:col>22</xdr:col>
      <xdr:colOff>609600</xdr:colOff>
      <xdr:row>140</xdr:row>
      <xdr:rowOff>103352</xdr:rowOff>
    </xdr:to>
    <xdr:sp macro="" textlink="">
      <xdr:nvSpPr>
        <xdr:cNvPr id="376130" name="Text Box 322" hidden="1">
          <a:extLst>
            <a:ext uri="{FF2B5EF4-FFF2-40B4-BE49-F238E27FC236}">
              <a16:creationId xmlns:a16="http://schemas.microsoft.com/office/drawing/2014/main" id="{6ACABC78-B79E-2AE9-B334-332B373FBF7F}"/>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29" name="Text Box 321" hidden="1">
          <a:extLst>
            <a:ext uri="{FF2B5EF4-FFF2-40B4-BE49-F238E27FC236}">
              <a16:creationId xmlns:a16="http://schemas.microsoft.com/office/drawing/2014/main" id="{8C73C23C-ED62-90AB-84D1-98128F634BCD}"/>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28" name="Text Box 320" hidden="1">
          <a:extLst>
            <a:ext uri="{FF2B5EF4-FFF2-40B4-BE49-F238E27FC236}">
              <a16:creationId xmlns:a16="http://schemas.microsoft.com/office/drawing/2014/main" id="{D229D49E-5632-80D7-8D26-B2BD9CE8F7D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27" name="Text Box 319" hidden="1">
          <a:extLst>
            <a:ext uri="{FF2B5EF4-FFF2-40B4-BE49-F238E27FC236}">
              <a16:creationId xmlns:a16="http://schemas.microsoft.com/office/drawing/2014/main" id="{619C35D9-C66E-188F-1A6E-13DE9612F65F}"/>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122402</xdr:rowOff>
    </xdr:from>
    <xdr:to>
      <xdr:col>24</xdr:col>
      <xdr:colOff>647700</xdr:colOff>
      <xdr:row>141</xdr:row>
      <xdr:rowOff>27151</xdr:rowOff>
    </xdr:to>
    <xdr:sp macro="" textlink="">
      <xdr:nvSpPr>
        <xdr:cNvPr id="376126" name="Text Box 318" hidden="1">
          <a:extLst>
            <a:ext uri="{FF2B5EF4-FFF2-40B4-BE49-F238E27FC236}">
              <a16:creationId xmlns:a16="http://schemas.microsoft.com/office/drawing/2014/main" id="{209A7F8D-7F10-DE97-8E78-DA7F145AC844}"/>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25" name="Text Box 317" hidden="1">
          <a:extLst>
            <a:ext uri="{FF2B5EF4-FFF2-40B4-BE49-F238E27FC236}">
              <a16:creationId xmlns:a16="http://schemas.microsoft.com/office/drawing/2014/main" id="{9D4D595F-9BC5-AE9C-7473-4A096B8ED62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24" name="Text Box 316" hidden="1">
          <a:extLst>
            <a:ext uri="{FF2B5EF4-FFF2-40B4-BE49-F238E27FC236}">
              <a16:creationId xmlns:a16="http://schemas.microsoft.com/office/drawing/2014/main" id="{7F6271C5-6F52-4FB0-C311-0FC23F4E7495}"/>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141452</xdr:rowOff>
    </xdr:from>
    <xdr:to>
      <xdr:col>25</xdr:col>
      <xdr:colOff>647700</xdr:colOff>
      <xdr:row>140</xdr:row>
      <xdr:rowOff>175172</xdr:rowOff>
    </xdr:to>
    <xdr:sp macro="" textlink="">
      <xdr:nvSpPr>
        <xdr:cNvPr id="376123" name="Text Box 315" hidden="1">
          <a:extLst>
            <a:ext uri="{FF2B5EF4-FFF2-40B4-BE49-F238E27FC236}">
              <a16:creationId xmlns:a16="http://schemas.microsoft.com/office/drawing/2014/main" id="{645AC416-88E0-22E4-CE89-714D04D6D672}"/>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22" name="Text Box 314" hidden="1">
          <a:extLst>
            <a:ext uri="{FF2B5EF4-FFF2-40B4-BE49-F238E27FC236}">
              <a16:creationId xmlns:a16="http://schemas.microsoft.com/office/drawing/2014/main" id="{74AD9851-4DB9-5EA4-069C-21740ACCA481}"/>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1" name="Text Box 313" hidden="1">
          <a:extLst>
            <a:ext uri="{FF2B5EF4-FFF2-40B4-BE49-F238E27FC236}">
              <a16:creationId xmlns:a16="http://schemas.microsoft.com/office/drawing/2014/main" id="{6992A4B7-0E60-0828-FC29-A049DBDD5C9A}"/>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90" name="Text Box 382" hidden="1">
          <a:extLst>
            <a:ext uri="{FF2B5EF4-FFF2-40B4-BE49-F238E27FC236}">
              <a16:creationId xmlns:a16="http://schemas.microsoft.com/office/drawing/2014/main" id="{478B04D7-86F1-7A9A-4D71-4BDF0E3AE560}"/>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81893</xdr:rowOff>
    </xdr:from>
    <xdr:to>
      <xdr:col>5</xdr:col>
      <xdr:colOff>609600</xdr:colOff>
      <xdr:row>237</xdr:row>
      <xdr:rowOff>81893</xdr:rowOff>
    </xdr:to>
    <xdr:sp macro="" textlink="">
      <xdr:nvSpPr>
        <xdr:cNvPr id="376189" name="Text Box 381" hidden="1">
          <a:extLst>
            <a:ext uri="{FF2B5EF4-FFF2-40B4-BE49-F238E27FC236}">
              <a16:creationId xmlns:a16="http://schemas.microsoft.com/office/drawing/2014/main" id="{F0BE34C0-66CB-C692-499B-A51CCBD06CA5}"/>
            </a:ext>
          </a:extLst>
        </xdr:cNvPr>
        <xdr:cNvSpPr txBox="1">
          <a:spLocks noChangeArrowheads="1"/>
        </xdr:cNvSpPr>
      </xdr:nvSpPr>
      <xdr:spPr bwMode="auto">
        <a:xfrm>
          <a:off x="3994150" y="423354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43793</xdr:rowOff>
    </xdr:from>
    <xdr:to>
      <xdr:col>5</xdr:col>
      <xdr:colOff>609600</xdr:colOff>
      <xdr:row>236</xdr:row>
      <xdr:rowOff>177143</xdr:rowOff>
    </xdr:to>
    <xdr:sp macro="" textlink="">
      <xdr:nvSpPr>
        <xdr:cNvPr id="376188" name="Text Box 380" hidden="1">
          <a:extLst>
            <a:ext uri="{FF2B5EF4-FFF2-40B4-BE49-F238E27FC236}">
              <a16:creationId xmlns:a16="http://schemas.microsoft.com/office/drawing/2014/main" id="{FAF0F7FB-528B-EA35-EFBB-B59FAB65B977}"/>
            </a:ext>
          </a:extLst>
        </xdr:cNvPr>
        <xdr:cNvSpPr txBox="1">
          <a:spLocks noChangeArrowheads="1"/>
        </xdr:cNvSpPr>
      </xdr:nvSpPr>
      <xdr:spPr bwMode="auto">
        <a:xfrm>
          <a:off x="3994150" y="426656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43793</xdr:rowOff>
    </xdr:from>
    <xdr:to>
      <xdr:col>5</xdr:col>
      <xdr:colOff>609600</xdr:colOff>
      <xdr:row>238</xdr:row>
      <xdr:rowOff>81894</xdr:rowOff>
    </xdr:to>
    <xdr:sp macro="" textlink="">
      <xdr:nvSpPr>
        <xdr:cNvPr id="376187" name="Text Box 379" hidden="1">
          <a:extLst>
            <a:ext uri="{FF2B5EF4-FFF2-40B4-BE49-F238E27FC236}">
              <a16:creationId xmlns:a16="http://schemas.microsoft.com/office/drawing/2014/main" id="{CAD1CCD5-E25F-D83B-2C88-40D764FCC97C}"/>
            </a:ext>
          </a:extLst>
        </xdr:cNvPr>
        <xdr:cNvSpPr txBox="1">
          <a:spLocks noChangeArrowheads="1"/>
        </xdr:cNvSpPr>
      </xdr:nvSpPr>
      <xdr:spPr bwMode="auto">
        <a:xfrm>
          <a:off x="3994150" y="432181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43793</xdr:rowOff>
    </xdr:from>
    <xdr:to>
      <xdr:col>5</xdr:col>
      <xdr:colOff>609600</xdr:colOff>
      <xdr:row>225</xdr:row>
      <xdr:rowOff>177143</xdr:rowOff>
    </xdr:to>
    <xdr:sp macro="" textlink="">
      <xdr:nvSpPr>
        <xdr:cNvPr id="376186" name="Text Box 378" hidden="1">
          <a:extLst>
            <a:ext uri="{FF2B5EF4-FFF2-40B4-BE49-F238E27FC236}">
              <a16:creationId xmlns:a16="http://schemas.microsoft.com/office/drawing/2014/main" id="{BAF95D75-B096-E336-A198-61ACE26CD62E}"/>
            </a:ext>
          </a:extLst>
        </xdr:cNvPr>
        <xdr:cNvSpPr txBox="1">
          <a:spLocks noChangeArrowheads="1"/>
        </xdr:cNvSpPr>
      </xdr:nvSpPr>
      <xdr:spPr bwMode="auto">
        <a:xfrm>
          <a:off x="3994150" y="43402250"/>
          <a:ext cx="1314450" cy="105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158093</xdr:rowOff>
    </xdr:from>
    <xdr:to>
      <xdr:col>5</xdr:col>
      <xdr:colOff>609600</xdr:colOff>
      <xdr:row>202</xdr:row>
      <xdr:rowOff>177143</xdr:rowOff>
    </xdr:to>
    <xdr:sp macro="" textlink="">
      <xdr:nvSpPr>
        <xdr:cNvPr id="376185" name="Text Box 377" hidden="1">
          <a:extLst>
            <a:ext uri="{FF2B5EF4-FFF2-40B4-BE49-F238E27FC236}">
              <a16:creationId xmlns:a16="http://schemas.microsoft.com/office/drawing/2014/main" id="{F6A61F4C-75C4-FCF4-7311-3510FE64BDAE}"/>
            </a:ext>
          </a:extLst>
        </xdr:cNvPr>
        <xdr:cNvSpPr txBox="1">
          <a:spLocks noChangeArrowheads="1"/>
        </xdr:cNvSpPr>
      </xdr:nvSpPr>
      <xdr:spPr bwMode="auto">
        <a:xfrm>
          <a:off x="3994150" y="390969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43793</xdr:rowOff>
    </xdr:from>
    <xdr:to>
      <xdr:col>5</xdr:col>
      <xdr:colOff>609600</xdr:colOff>
      <xdr:row>204</xdr:row>
      <xdr:rowOff>81893</xdr:rowOff>
    </xdr:to>
    <xdr:sp macro="" textlink="">
      <xdr:nvSpPr>
        <xdr:cNvPr id="376184" name="Text Box 376" hidden="1">
          <a:extLst>
            <a:ext uri="{FF2B5EF4-FFF2-40B4-BE49-F238E27FC236}">
              <a16:creationId xmlns:a16="http://schemas.microsoft.com/office/drawing/2014/main" id="{016656CE-67B9-9FFF-C8F7-0FA90FD91C96}"/>
            </a:ext>
          </a:extLst>
        </xdr:cNvPr>
        <xdr:cNvSpPr txBox="1">
          <a:spLocks noChangeArrowheads="1"/>
        </xdr:cNvSpPr>
      </xdr:nvSpPr>
      <xdr:spPr bwMode="auto">
        <a:xfrm>
          <a:off x="3994150" y="395351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43793</xdr:rowOff>
    </xdr:from>
    <xdr:to>
      <xdr:col>5</xdr:col>
      <xdr:colOff>609600</xdr:colOff>
      <xdr:row>205</xdr:row>
      <xdr:rowOff>81893</xdr:rowOff>
    </xdr:to>
    <xdr:sp macro="" textlink="">
      <xdr:nvSpPr>
        <xdr:cNvPr id="376183" name="Text Box 375" hidden="1">
          <a:extLst>
            <a:ext uri="{FF2B5EF4-FFF2-40B4-BE49-F238E27FC236}">
              <a16:creationId xmlns:a16="http://schemas.microsoft.com/office/drawing/2014/main" id="{305CC0C7-B42C-8CE5-8A8D-DDD6C31B2A3A}"/>
            </a:ext>
          </a:extLst>
        </xdr:cNvPr>
        <xdr:cNvSpPr txBox="1">
          <a:spLocks noChangeArrowheads="1"/>
        </xdr:cNvSpPr>
      </xdr:nvSpPr>
      <xdr:spPr bwMode="auto">
        <a:xfrm>
          <a:off x="3994150" y="399034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43793</xdr:rowOff>
    </xdr:from>
    <xdr:to>
      <xdr:col>5</xdr:col>
      <xdr:colOff>609600</xdr:colOff>
      <xdr:row>212</xdr:row>
      <xdr:rowOff>81893</xdr:rowOff>
    </xdr:to>
    <xdr:sp macro="" textlink="">
      <xdr:nvSpPr>
        <xdr:cNvPr id="376182" name="Text Box 374" hidden="1">
          <a:extLst>
            <a:ext uri="{FF2B5EF4-FFF2-40B4-BE49-F238E27FC236}">
              <a16:creationId xmlns:a16="http://schemas.microsoft.com/office/drawing/2014/main" id="{E0F4F60D-AC02-C5C6-14F4-EB2471D572B4}"/>
            </a:ext>
          </a:extLst>
        </xdr:cNvPr>
        <xdr:cNvSpPr txBox="1">
          <a:spLocks noChangeArrowheads="1"/>
        </xdr:cNvSpPr>
      </xdr:nvSpPr>
      <xdr:spPr bwMode="auto">
        <a:xfrm>
          <a:off x="3994150" y="40271700"/>
          <a:ext cx="13144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162308</xdr:rowOff>
    </xdr:from>
    <xdr:to>
      <xdr:col>5</xdr:col>
      <xdr:colOff>609600</xdr:colOff>
      <xdr:row>61</xdr:row>
      <xdr:rowOff>162308</xdr:rowOff>
    </xdr:to>
    <xdr:sp macro="" textlink="">
      <xdr:nvSpPr>
        <xdr:cNvPr id="376181" name="Text Box 373" hidden="1">
          <a:extLst>
            <a:ext uri="{FF2B5EF4-FFF2-40B4-BE49-F238E27FC236}">
              <a16:creationId xmlns:a16="http://schemas.microsoft.com/office/drawing/2014/main" id="{012EC611-8E0A-595F-A982-8082444BE366}"/>
            </a:ext>
          </a:extLst>
        </xdr:cNvPr>
        <xdr:cNvSpPr txBox="1">
          <a:spLocks noChangeArrowheads="1"/>
        </xdr:cNvSpPr>
      </xdr:nvSpPr>
      <xdr:spPr bwMode="auto">
        <a:xfrm>
          <a:off x="3994150" y="134556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120705</xdr:rowOff>
    </xdr:from>
    <xdr:to>
      <xdr:col>5</xdr:col>
      <xdr:colOff>628650</xdr:colOff>
      <xdr:row>83</xdr:row>
      <xdr:rowOff>160502</xdr:rowOff>
    </xdr:to>
    <xdr:sp macro="" textlink="">
      <xdr:nvSpPr>
        <xdr:cNvPr id="376180" name="Text Box 372" hidden="1">
          <a:extLst>
            <a:ext uri="{FF2B5EF4-FFF2-40B4-BE49-F238E27FC236}">
              <a16:creationId xmlns:a16="http://schemas.microsoft.com/office/drawing/2014/main" id="{96393D78-FF24-7AB0-4C5C-CA49D5EDFBD2}"/>
            </a:ext>
          </a:extLst>
        </xdr:cNvPr>
        <xdr:cNvSpPr txBox="1">
          <a:spLocks noChangeArrowheads="1"/>
        </xdr:cNvSpPr>
      </xdr:nvSpPr>
      <xdr:spPr bwMode="auto">
        <a:xfrm>
          <a:off x="4013200" y="13785850"/>
          <a:ext cx="1314450" cy="416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162308</xdr:rowOff>
    </xdr:from>
    <xdr:to>
      <xdr:col>5</xdr:col>
      <xdr:colOff>609600</xdr:colOff>
      <xdr:row>82</xdr:row>
      <xdr:rowOff>84301</xdr:rowOff>
    </xdr:to>
    <xdr:sp macro="" textlink="">
      <xdr:nvSpPr>
        <xdr:cNvPr id="376179" name="Text Box 371" hidden="1">
          <a:extLst>
            <a:ext uri="{FF2B5EF4-FFF2-40B4-BE49-F238E27FC236}">
              <a16:creationId xmlns:a16="http://schemas.microsoft.com/office/drawing/2014/main" id="{B9203DE2-1880-7016-5488-48F1DFBA3CA4}"/>
            </a:ext>
          </a:extLst>
        </xdr:cNvPr>
        <xdr:cNvSpPr txBox="1">
          <a:spLocks noChangeArrowheads="1"/>
        </xdr:cNvSpPr>
      </xdr:nvSpPr>
      <xdr:spPr bwMode="auto">
        <a:xfrm>
          <a:off x="3994150" y="134556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181358</xdr:rowOff>
    </xdr:from>
    <xdr:to>
      <xdr:col>5</xdr:col>
      <xdr:colOff>609600</xdr:colOff>
      <xdr:row>82</xdr:row>
      <xdr:rowOff>122401</xdr:rowOff>
    </xdr:to>
    <xdr:sp macro="" textlink="">
      <xdr:nvSpPr>
        <xdr:cNvPr id="376178" name="Text Box 370" hidden="1">
          <a:extLst>
            <a:ext uri="{FF2B5EF4-FFF2-40B4-BE49-F238E27FC236}">
              <a16:creationId xmlns:a16="http://schemas.microsoft.com/office/drawing/2014/main" id="{A918AC66-7C89-7CF8-F57D-559187846E3F}"/>
            </a:ext>
          </a:extLst>
        </xdr:cNvPr>
        <xdr:cNvSpPr txBox="1">
          <a:spLocks noChangeArrowheads="1"/>
        </xdr:cNvSpPr>
      </xdr:nvSpPr>
      <xdr:spPr bwMode="auto">
        <a:xfrm>
          <a:off x="3994150" y="13474700"/>
          <a:ext cx="1314450" cy="425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48310</xdr:rowOff>
    </xdr:from>
    <xdr:to>
      <xdr:col>5</xdr:col>
      <xdr:colOff>609600</xdr:colOff>
      <xdr:row>86</xdr:row>
      <xdr:rowOff>8102</xdr:rowOff>
    </xdr:to>
    <xdr:sp macro="" textlink="">
      <xdr:nvSpPr>
        <xdr:cNvPr id="376177" name="Text Box 369" hidden="1">
          <a:extLst>
            <a:ext uri="{FF2B5EF4-FFF2-40B4-BE49-F238E27FC236}">
              <a16:creationId xmlns:a16="http://schemas.microsoft.com/office/drawing/2014/main" id="{033ECE85-200F-1A01-A2AB-BD214F1BB788}"/>
            </a:ext>
          </a:extLst>
        </xdr:cNvPr>
        <xdr:cNvSpPr txBox="1">
          <a:spLocks noChangeArrowheads="1"/>
        </xdr:cNvSpPr>
      </xdr:nvSpPr>
      <xdr:spPr bwMode="auto">
        <a:xfrm>
          <a:off x="3994150" y="14668500"/>
          <a:ext cx="1314450" cy="368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160502</xdr:rowOff>
    </xdr:from>
    <xdr:to>
      <xdr:col>5</xdr:col>
      <xdr:colOff>609600</xdr:colOff>
      <xdr:row>94</xdr:row>
      <xdr:rowOff>92841</xdr:rowOff>
    </xdr:to>
    <xdr:sp macro="" textlink="">
      <xdr:nvSpPr>
        <xdr:cNvPr id="376176" name="Text Box 368" hidden="1">
          <a:extLst>
            <a:ext uri="{FF2B5EF4-FFF2-40B4-BE49-F238E27FC236}">
              <a16:creationId xmlns:a16="http://schemas.microsoft.com/office/drawing/2014/main" id="{0D4DEC18-188D-9760-AF29-93FF1AD892C1}"/>
            </a:ext>
          </a:extLst>
        </xdr:cNvPr>
        <xdr:cNvSpPr txBox="1">
          <a:spLocks noChangeArrowheads="1"/>
        </xdr:cNvSpPr>
      </xdr:nvSpPr>
      <xdr:spPr bwMode="auto">
        <a:xfrm>
          <a:off x="3994150" y="17583150"/>
          <a:ext cx="1314450" cy="2444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84301</xdr:rowOff>
    </xdr:from>
    <xdr:to>
      <xdr:col>5</xdr:col>
      <xdr:colOff>609600</xdr:colOff>
      <xdr:row>93</xdr:row>
      <xdr:rowOff>128533</xdr:rowOff>
    </xdr:to>
    <xdr:sp macro="" textlink="">
      <xdr:nvSpPr>
        <xdr:cNvPr id="376175" name="Text Box 367" hidden="1">
          <a:extLst>
            <a:ext uri="{FF2B5EF4-FFF2-40B4-BE49-F238E27FC236}">
              <a16:creationId xmlns:a16="http://schemas.microsoft.com/office/drawing/2014/main" id="{1584BB7B-04C3-B69E-0963-72E932575602}"/>
            </a:ext>
          </a:extLst>
        </xdr:cNvPr>
        <xdr:cNvSpPr txBox="1">
          <a:spLocks noChangeArrowheads="1"/>
        </xdr:cNvSpPr>
      </xdr:nvSpPr>
      <xdr:spPr bwMode="auto">
        <a:xfrm>
          <a:off x="3994150" y="17691100"/>
          <a:ext cx="1314450" cy="213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27152</xdr:rowOff>
    </xdr:from>
    <xdr:to>
      <xdr:col>5</xdr:col>
      <xdr:colOff>609600</xdr:colOff>
      <xdr:row>93</xdr:row>
      <xdr:rowOff>204733</xdr:rowOff>
    </xdr:to>
    <xdr:sp macro="" textlink="">
      <xdr:nvSpPr>
        <xdr:cNvPr id="376174" name="Text Box 366" hidden="1">
          <a:extLst>
            <a:ext uri="{FF2B5EF4-FFF2-40B4-BE49-F238E27FC236}">
              <a16:creationId xmlns:a16="http://schemas.microsoft.com/office/drawing/2014/main" id="{4E858CF1-AA6D-8757-B1C8-50DB001F6E3E}"/>
            </a:ext>
          </a:extLst>
        </xdr:cNvPr>
        <xdr:cNvSpPr txBox="1">
          <a:spLocks noChangeArrowheads="1"/>
        </xdr:cNvSpPr>
      </xdr:nvSpPr>
      <xdr:spPr bwMode="auto">
        <a:xfrm>
          <a:off x="3994150" y="17818100"/>
          <a:ext cx="1314450" cy="208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27152</xdr:rowOff>
    </xdr:from>
    <xdr:to>
      <xdr:col>5</xdr:col>
      <xdr:colOff>609600</xdr:colOff>
      <xdr:row>95</xdr:row>
      <xdr:rowOff>69850</xdr:rowOff>
    </xdr:to>
    <xdr:sp macro="" textlink="">
      <xdr:nvSpPr>
        <xdr:cNvPr id="376173" name="Text Box 365" hidden="1">
          <a:extLst>
            <a:ext uri="{FF2B5EF4-FFF2-40B4-BE49-F238E27FC236}">
              <a16:creationId xmlns:a16="http://schemas.microsoft.com/office/drawing/2014/main" id="{DBE32A68-6D76-2CA7-424C-2F09F040FCC6}"/>
            </a:ext>
          </a:extLst>
        </xdr:cNvPr>
        <xdr:cNvSpPr txBox="1">
          <a:spLocks noChangeArrowheads="1"/>
        </xdr:cNvSpPr>
      </xdr:nvSpPr>
      <xdr:spPr bwMode="auto">
        <a:xfrm>
          <a:off x="3994150" y="18002250"/>
          <a:ext cx="13144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105761</xdr:rowOff>
    </xdr:from>
    <xdr:to>
      <xdr:col>5</xdr:col>
      <xdr:colOff>609600</xdr:colOff>
      <xdr:row>116</xdr:row>
      <xdr:rowOff>160502</xdr:rowOff>
    </xdr:to>
    <xdr:sp macro="" textlink="">
      <xdr:nvSpPr>
        <xdr:cNvPr id="376172" name="Text Box 364" hidden="1">
          <a:extLst>
            <a:ext uri="{FF2B5EF4-FFF2-40B4-BE49-F238E27FC236}">
              <a16:creationId xmlns:a16="http://schemas.microsoft.com/office/drawing/2014/main" id="{36FDD0F4-4AFC-AD60-60C7-CEBA9BFFBA9C}"/>
            </a:ext>
          </a:extLst>
        </xdr:cNvPr>
        <xdr:cNvSpPr txBox="1">
          <a:spLocks noChangeArrowheads="1"/>
        </xdr:cNvSpPr>
      </xdr:nvSpPr>
      <xdr:spPr bwMode="auto">
        <a:xfrm>
          <a:off x="3994150" y="22421850"/>
          <a:ext cx="1314450" cy="1892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158531</xdr:rowOff>
    </xdr:from>
    <xdr:to>
      <xdr:col>5</xdr:col>
      <xdr:colOff>609600</xdr:colOff>
      <xdr:row>114</xdr:row>
      <xdr:rowOff>182116</xdr:rowOff>
    </xdr:to>
    <xdr:sp macro="" textlink="">
      <xdr:nvSpPr>
        <xdr:cNvPr id="376171" name="Text Box 363" hidden="1">
          <a:extLst>
            <a:ext uri="{FF2B5EF4-FFF2-40B4-BE49-F238E27FC236}">
              <a16:creationId xmlns:a16="http://schemas.microsoft.com/office/drawing/2014/main" id="{C564B77F-F417-7377-DAA0-FA0A5FC115D3}"/>
            </a:ext>
          </a:extLst>
        </xdr:cNvPr>
        <xdr:cNvSpPr txBox="1">
          <a:spLocks noChangeArrowheads="1"/>
        </xdr:cNvSpPr>
      </xdr:nvSpPr>
      <xdr:spPr bwMode="auto">
        <a:xfrm>
          <a:off x="3994150" y="22656800"/>
          <a:ext cx="13144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158531</xdr:rowOff>
    </xdr:from>
    <xdr:to>
      <xdr:col>5</xdr:col>
      <xdr:colOff>609600</xdr:colOff>
      <xdr:row>113</xdr:row>
      <xdr:rowOff>183138</xdr:rowOff>
    </xdr:to>
    <xdr:sp macro="" textlink="">
      <xdr:nvSpPr>
        <xdr:cNvPr id="376170" name="Text Box 362" hidden="1">
          <a:extLst>
            <a:ext uri="{FF2B5EF4-FFF2-40B4-BE49-F238E27FC236}">
              <a16:creationId xmlns:a16="http://schemas.microsoft.com/office/drawing/2014/main" id="{F25AC198-976D-E1D9-81E2-21130DAAD8B9}"/>
            </a:ext>
          </a:extLst>
        </xdr:cNvPr>
        <xdr:cNvSpPr txBox="1">
          <a:spLocks noChangeArrowheads="1"/>
        </xdr:cNvSpPr>
      </xdr:nvSpPr>
      <xdr:spPr bwMode="auto">
        <a:xfrm>
          <a:off x="3994150" y="22840950"/>
          <a:ext cx="1314450" cy="933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120431</xdr:rowOff>
    </xdr:from>
    <xdr:to>
      <xdr:col>5</xdr:col>
      <xdr:colOff>609600</xdr:colOff>
      <xdr:row>114</xdr:row>
      <xdr:rowOff>73217</xdr:rowOff>
    </xdr:to>
    <xdr:sp macro="" textlink="">
      <xdr:nvSpPr>
        <xdr:cNvPr id="376169" name="Text Box 361" hidden="1">
          <a:extLst>
            <a:ext uri="{FF2B5EF4-FFF2-40B4-BE49-F238E27FC236}">
              <a16:creationId xmlns:a16="http://schemas.microsoft.com/office/drawing/2014/main" id="{B8A88A5D-8906-50EA-235C-1C133D444BF2}"/>
            </a:ext>
          </a:extLst>
        </xdr:cNvPr>
        <xdr:cNvSpPr txBox="1">
          <a:spLocks noChangeArrowheads="1"/>
        </xdr:cNvSpPr>
      </xdr:nvSpPr>
      <xdr:spPr bwMode="auto">
        <a:xfrm>
          <a:off x="3994150" y="22802850"/>
          <a:ext cx="13144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103352</xdr:rowOff>
    </xdr:from>
    <xdr:to>
      <xdr:col>21</xdr:col>
      <xdr:colOff>438150</xdr:colOff>
      <xdr:row>136</xdr:row>
      <xdr:rowOff>122402</xdr:rowOff>
    </xdr:to>
    <xdr:sp macro="" textlink="">
      <xdr:nvSpPr>
        <xdr:cNvPr id="376168" name="Text Box 360" hidden="1">
          <a:extLst>
            <a:ext uri="{FF2B5EF4-FFF2-40B4-BE49-F238E27FC236}">
              <a16:creationId xmlns:a16="http://schemas.microsoft.com/office/drawing/2014/main" id="{6AF95E5E-9D07-BCA3-2783-4F92A50CB001}"/>
            </a:ext>
          </a:extLst>
        </xdr:cNvPr>
        <xdr:cNvSpPr txBox="1">
          <a:spLocks noChangeArrowheads="1"/>
        </xdr:cNvSpPr>
      </xdr:nvSpPr>
      <xdr:spPr bwMode="auto">
        <a:xfrm>
          <a:off x="17513300" y="27203400"/>
          <a:ext cx="13335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67" name="Text Box 359" hidden="1">
          <a:extLst>
            <a:ext uri="{FF2B5EF4-FFF2-40B4-BE49-F238E27FC236}">
              <a16:creationId xmlns:a16="http://schemas.microsoft.com/office/drawing/2014/main" id="{E03C5E47-BA62-5CE7-B7D4-E7A063AEC4D1}"/>
            </a:ext>
          </a:extLst>
        </xdr:cNvPr>
        <xdr:cNvSpPr txBox="1">
          <a:spLocks noChangeArrowheads="1"/>
        </xdr:cNvSpPr>
      </xdr:nvSpPr>
      <xdr:spPr bwMode="auto">
        <a:xfrm>
          <a:off x="18332450" y="3556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66" name="Text Box 358" hidden="1">
          <a:extLst>
            <a:ext uri="{FF2B5EF4-FFF2-40B4-BE49-F238E27FC236}">
              <a16:creationId xmlns:a16="http://schemas.microsoft.com/office/drawing/2014/main" id="{172A1800-2104-BD56-24C2-9E9E8B37D9F0}"/>
            </a:ext>
          </a:extLst>
        </xdr:cNvPr>
        <xdr:cNvSpPr txBox="1">
          <a:spLocks noChangeArrowheads="1"/>
        </xdr:cNvSpPr>
      </xdr:nvSpPr>
      <xdr:spPr bwMode="auto">
        <a:xfrm>
          <a:off x="18332450" y="55626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122402</xdr:rowOff>
    </xdr:from>
    <xdr:to>
      <xdr:col>22</xdr:col>
      <xdr:colOff>609600</xdr:colOff>
      <xdr:row>140</xdr:row>
      <xdr:rowOff>103352</xdr:rowOff>
    </xdr:to>
    <xdr:sp macro="" textlink="">
      <xdr:nvSpPr>
        <xdr:cNvPr id="376165" name="Text Box 357" hidden="1">
          <a:extLst>
            <a:ext uri="{FF2B5EF4-FFF2-40B4-BE49-F238E27FC236}">
              <a16:creationId xmlns:a16="http://schemas.microsoft.com/office/drawing/2014/main" id="{63F89848-8B79-9010-E15E-8D0EAB2E6EE5}"/>
            </a:ext>
          </a:extLst>
        </xdr:cNvPr>
        <xdr:cNvSpPr txBox="1">
          <a:spLocks noChangeArrowheads="1"/>
        </xdr:cNvSpPr>
      </xdr:nvSpPr>
      <xdr:spPr bwMode="auto">
        <a:xfrm>
          <a:off x="18332450" y="279590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64" name="Text Box 356" hidden="1">
          <a:extLst>
            <a:ext uri="{FF2B5EF4-FFF2-40B4-BE49-F238E27FC236}">
              <a16:creationId xmlns:a16="http://schemas.microsoft.com/office/drawing/2014/main" id="{3AF29814-4526-EAD9-0F0F-89464D8DEF8C}"/>
            </a:ext>
          </a:extLst>
        </xdr:cNvPr>
        <xdr:cNvSpPr txBox="1">
          <a:spLocks noChangeArrowheads="1"/>
        </xdr:cNvSpPr>
      </xdr:nvSpPr>
      <xdr:spPr bwMode="auto">
        <a:xfrm>
          <a:off x="9359900" y="72199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63" name="Text Box 355" hidden="1">
          <a:extLst>
            <a:ext uri="{FF2B5EF4-FFF2-40B4-BE49-F238E27FC236}">
              <a16:creationId xmlns:a16="http://schemas.microsoft.com/office/drawing/2014/main" id="{A33376DD-8227-8190-7F98-E6DC62794349}"/>
            </a:ext>
          </a:extLst>
        </xdr:cNvPr>
        <xdr:cNvSpPr txBox="1">
          <a:spLocks noChangeArrowheads="1"/>
        </xdr:cNvSpPr>
      </xdr:nvSpPr>
      <xdr:spPr bwMode="auto">
        <a:xfrm>
          <a:off x="20027900" y="35560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62" name="Text Box 354" hidden="1">
          <a:extLst>
            <a:ext uri="{FF2B5EF4-FFF2-40B4-BE49-F238E27FC236}">
              <a16:creationId xmlns:a16="http://schemas.microsoft.com/office/drawing/2014/main" id="{61E9B088-C604-6887-3D38-92E8D556240E}"/>
            </a:ext>
          </a:extLst>
        </xdr:cNvPr>
        <xdr:cNvSpPr txBox="1">
          <a:spLocks noChangeArrowheads="1"/>
        </xdr:cNvSpPr>
      </xdr:nvSpPr>
      <xdr:spPr bwMode="auto">
        <a:xfrm>
          <a:off x="20027900" y="556260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122402</xdr:rowOff>
    </xdr:from>
    <xdr:to>
      <xdr:col>24</xdr:col>
      <xdr:colOff>647700</xdr:colOff>
      <xdr:row>141</xdr:row>
      <xdr:rowOff>27151</xdr:rowOff>
    </xdr:to>
    <xdr:sp macro="" textlink="">
      <xdr:nvSpPr>
        <xdr:cNvPr id="376161" name="Text Box 353" hidden="1">
          <a:extLst>
            <a:ext uri="{FF2B5EF4-FFF2-40B4-BE49-F238E27FC236}">
              <a16:creationId xmlns:a16="http://schemas.microsoft.com/office/drawing/2014/main" id="{C9302C73-D776-B999-4B35-82F7C8965F23}"/>
            </a:ext>
          </a:extLst>
        </xdr:cNvPr>
        <xdr:cNvSpPr txBox="1">
          <a:spLocks noChangeArrowheads="1"/>
        </xdr:cNvSpPr>
      </xdr:nvSpPr>
      <xdr:spPr bwMode="auto">
        <a:xfrm>
          <a:off x="20027900" y="279590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60" name="Text Box 352" hidden="1">
          <a:extLst>
            <a:ext uri="{FF2B5EF4-FFF2-40B4-BE49-F238E27FC236}">
              <a16:creationId xmlns:a16="http://schemas.microsoft.com/office/drawing/2014/main" id="{FF4786C9-8643-41A0-439D-38EF533E0238}"/>
            </a:ext>
          </a:extLst>
        </xdr:cNvPr>
        <xdr:cNvSpPr txBox="1">
          <a:spLocks noChangeArrowheads="1"/>
        </xdr:cNvSpPr>
      </xdr:nvSpPr>
      <xdr:spPr bwMode="auto">
        <a:xfrm>
          <a:off x="20789900" y="35750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59" name="Text Box 351" hidden="1">
          <a:extLst>
            <a:ext uri="{FF2B5EF4-FFF2-40B4-BE49-F238E27FC236}">
              <a16:creationId xmlns:a16="http://schemas.microsoft.com/office/drawing/2014/main" id="{7F6BBECA-919A-B1B3-2EEE-FAE98CEDB8A6}"/>
            </a:ext>
          </a:extLst>
        </xdr:cNvPr>
        <xdr:cNvSpPr txBox="1">
          <a:spLocks noChangeArrowheads="1"/>
        </xdr:cNvSpPr>
      </xdr:nvSpPr>
      <xdr:spPr bwMode="auto">
        <a:xfrm>
          <a:off x="20789900" y="5581650"/>
          <a:ext cx="1314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141452</xdr:rowOff>
    </xdr:from>
    <xdr:to>
      <xdr:col>25</xdr:col>
      <xdr:colOff>647700</xdr:colOff>
      <xdr:row>140</xdr:row>
      <xdr:rowOff>175172</xdr:rowOff>
    </xdr:to>
    <xdr:sp macro="" textlink="">
      <xdr:nvSpPr>
        <xdr:cNvPr id="376158" name="Text Box 350" hidden="1">
          <a:extLst>
            <a:ext uri="{FF2B5EF4-FFF2-40B4-BE49-F238E27FC236}">
              <a16:creationId xmlns:a16="http://schemas.microsoft.com/office/drawing/2014/main" id="{97BC809F-4723-F49C-5B75-FDE86FA3626E}"/>
            </a:ext>
          </a:extLst>
        </xdr:cNvPr>
        <xdr:cNvSpPr txBox="1">
          <a:spLocks noChangeArrowheads="1"/>
        </xdr:cNvSpPr>
      </xdr:nvSpPr>
      <xdr:spPr bwMode="auto">
        <a:xfrm>
          <a:off x="20789900" y="279781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57" name="Text Box 349" hidden="1">
          <a:extLst>
            <a:ext uri="{FF2B5EF4-FFF2-40B4-BE49-F238E27FC236}">
              <a16:creationId xmlns:a16="http://schemas.microsoft.com/office/drawing/2014/main" id="{98B5EBF1-C5B0-E498-CB0E-DEB3F43F2ED2}"/>
            </a:ext>
          </a:extLst>
        </xdr:cNvPr>
        <xdr:cNvSpPr txBox="1">
          <a:spLocks noChangeArrowheads="1"/>
        </xdr:cNvSpPr>
      </xdr:nvSpPr>
      <xdr:spPr bwMode="auto">
        <a:xfrm>
          <a:off x="9398000" y="7937500"/>
          <a:ext cx="13716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56" name="Text Box 348" hidden="1">
          <a:extLst>
            <a:ext uri="{FF2B5EF4-FFF2-40B4-BE49-F238E27FC236}">
              <a16:creationId xmlns:a16="http://schemas.microsoft.com/office/drawing/2014/main" id="{FC8C8875-046F-E133-7B65-E85F764B8B9E}"/>
            </a:ext>
          </a:extLst>
        </xdr:cNvPr>
        <xdr:cNvSpPr txBox="1">
          <a:spLocks noChangeArrowheads="1"/>
        </xdr:cNvSpPr>
      </xdr:nvSpPr>
      <xdr:spPr bwMode="auto">
        <a:xfrm>
          <a:off x="11125200" y="7937500"/>
          <a:ext cx="1403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869" name="Text Box 37" hidden="1">
          <a:extLst>
            <a:ext uri="{FF2B5EF4-FFF2-40B4-BE49-F238E27FC236}">
              <a16:creationId xmlns:a16="http://schemas.microsoft.com/office/drawing/2014/main" id="{145549B7-3A5D-AEE4-6A21-E33FC3BDE9D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81893</xdr:rowOff>
    </xdr:from>
    <xdr:to>
      <xdr:col>5</xdr:col>
      <xdr:colOff>609600</xdr:colOff>
      <xdr:row>238</xdr:row>
      <xdr:rowOff>62844</xdr:rowOff>
    </xdr:to>
    <xdr:sp macro="" textlink="">
      <xdr:nvSpPr>
        <xdr:cNvPr id="376868" name="Text Box 36" hidden="1">
          <a:extLst>
            <a:ext uri="{FF2B5EF4-FFF2-40B4-BE49-F238E27FC236}">
              <a16:creationId xmlns:a16="http://schemas.microsoft.com/office/drawing/2014/main" id="{E8EE6838-26D2-5E5B-BAB6-0A6D7760F8AB}"/>
            </a:ext>
          </a:extLst>
        </xdr:cNvPr>
        <xdr:cNvSpPr txBox="1">
          <a:spLocks noChangeArrowheads="1"/>
        </xdr:cNvSpPr>
      </xdr:nvSpPr>
      <xdr:spPr bwMode="auto">
        <a:xfrm>
          <a:off x="3994150" y="42519600"/>
          <a:ext cx="1314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43793</xdr:rowOff>
    </xdr:from>
    <xdr:to>
      <xdr:col>5</xdr:col>
      <xdr:colOff>609600</xdr:colOff>
      <xdr:row>237</xdr:row>
      <xdr:rowOff>177143</xdr:rowOff>
    </xdr:to>
    <xdr:sp macro="" textlink="">
      <xdr:nvSpPr>
        <xdr:cNvPr id="376867" name="Text Box 35" hidden="1">
          <a:extLst>
            <a:ext uri="{FF2B5EF4-FFF2-40B4-BE49-F238E27FC236}">
              <a16:creationId xmlns:a16="http://schemas.microsoft.com/office/drawing/2014/main" id="{AD94417A-C3FE-F55E-8FDA-092574A81918}"/>
            </a:ext>
          </a:extLst>
        </xdr:cNvPr>
        <xdr:cNvSpPr txBox="1">
          <a:spLocks noChangeArrowheads="1"/>
        </xdr:cNvSpPr>
      </xdr:nvSpPr>
      <xdr:spPr bwMode="auto">
        <a:xfrm>
          <a:off x="3994150" y="4284980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43793</xdr:rowOff>
    </xdr:from>
    <xdr:to>
      <xdr:col>5</xdr:col>
      <xdr:colOff>609600</xdr:colOff>
      <xdr:row>239</xdr:row>
      <xdr:rowOff>62843</xdr:rowOff>
    </xdr:to>
    <xdr:sp macro="" textlink="">
      <xdr:nvSpPr>
        <xdr:cNvPr id="376866" name="Text Box 34" hidden="1">
          <a:extLst>
            <a:ext uri="{FF2B5EF4-FFF2-40B4-BE49-F238E27FC236}">
              <a16:creationId xmlns:a16="http://schemas.microsoft.com/office/drawing/2014/main" id="{DC638EA5-91FA-1DD7-1550-339E9D59BE5F}"/>
            </a:ext>
          </a:extLst>
        </xdr:cNvPr>
        <xdr:cNvSpPr txBox="1">
          <a:spLocks noChangeArrowheads="1"/>
        </xdr:cNvSpPr>
      </xdr:nvSpPr>
      <xdr:spPr bwMode="auto">
        <a:xfrm>
          <a:off x="3994150" y="43402250"/>
          <a:ext cx="1314450" cy="351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43793</xdr:rowOff>
    </xdr:from>
    <xdr:to>
      <xdr:col>5</xdr:col>
      <xdr:colOff>609600</xdr:colOff>
      <xdr:row>226</xdr:row>
      <xdr:rowOff>177143</xdr:rowOff>
    </xdr:to>
    <xdr:sp macro="" textlink="">
      <xdr:nvSpPr>
        <xdr:cNvPr id="376865" name="Text Box 33" hidden="1">
          <a:extLst>
            <a:ext uri="{FF2B5EF4-FFF2-40B4-BE49-F238E27FC236}">
              <a16:creationId xmlns:a16="http://schemas.microsoft.com/office/drawing/2014/main" id="{231A6E3E-8E6B-2A1E-34EC-BC538DB18C1A}"/>
            </a:ext>
          </a:extLst>
        </xdr:cNvPr>
        <xdr:cNvSpPr txBox="1">
          <a:spLocks noChangeArrowheads="1"/>
        </xdr:cNvSpPr>
      </xdr:nvSpPr>
      <xdr:spPr bwMode="auto">
        <a:xfrm>
          <a:off x="3994150" y="4358640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158093</xdr:rowOff>
    </xdr:from>
    <xdr:to>
      <xdr:col>5</xdr:col>
      <xdr:colOff>609600</xdr:colOff>
      <xdr:row>203</xdr:row>
      <xdr:rowOff>177143</xdr:rowOff>
    </xdr:to>
    <xdr:sp macro="" textlink="">
      <xdr:nvSpPr>
        <xdr:cNvPr id="376864" name="Text Box 32" hidden="1">
          <a:extLst>
            <a:ext uri="{FF2B5EF4-FFF2-40B4-BE49-F238E27FC236}">
              <a16:creationId xmlns:a16="http://schemas.microsoft.com/office/drawing/2014/main" id="{33AAFAD0-EAB1-3FB1-15A6-D2822190F5A5}"/>
            </a:ext>
          </a:extLst>
        </xdr:cNvPr>
        <xdr:cNvSpPr txBox="1">
          <a:spLocks noChangeArrowheads="1"/>
        </xdr:cNvSpPr>
      </xdr:nvSpPr>
      <xdr:spPr bwMode="auto">
        <a:xfrm>
          <a:off x="3994150" y="3928110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43793</xdr:rowOff>
    </xdr:from>
    <xdr:to>
      <xdr:col>5</xdr:col>
      <xdr:colOff>609600</xdr:colOff>
      <xdr:row>205</xdr:row>
      <xdr:rowOff>62843</xdr:rowOff>
    </xdr:to>
    <xdr:sp macro="" textlink="">
      <xdr:nvSpPr>
        <xdr:cNvPr id="376863" name="Text Box 31" hidden="1">
          <a:extLst>
            <a:ext uri="{FF2B5EF4-FFF2-40B4-BE49-F238E27FC236}">
              <a16:creationId xmlns:a16="http://schemas.microsoft.com/office/drawing/2014/main" id="{629393EA-56C0-E401-7E67-5157B382608B}"/>
            </a:ext>
          </a:extLst>
        </xdr:cNvPr>
        <xdr:cNvSpPr txBox="1">
          <a:spLocks noChangeArrowheads="1"/>
        </xdr:cNvSpPr>
      </xdr:nvSpPr>
      <xdr:spPr bwMode="auto">
        <a:xfrm>
          <a:off x="3994150" y="397192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43793</xdr:rowOff>
    </xdr:from>
    <xdr:to>
      <xdr:col>5</xdr:col>
      <xdr:colOff>609600</xdr:colOff>
      <xdr:row>206</xdr:row>
      <xdr:rowOff>62844</xdr:rowOff>
    </xdr:to>
    <xdr:sp macro="" textlink="">
      <xdr:nvSpPr>
        <xdr:cNvPr id="376862" name="Text Box 30" hidden="1">
          <a:extLst>
            <a:ext uri="{FF2B5EF4-FFF2-40B4-BE49-F238E27FC236}">
              <a16:creationId xmlns:a16="http://schemas.microsoft.com/office/drawing/2014/main" id="{03C3DB7E-3DF2-8AAE-1278-5E18A2457BE1}"/>
            </a:ext>
          </a:extLst>
        </xdr:cNvPr>
        <xdr:cNvSpPr txBox="1">
          <a:spLocks noChangeArrowheads="1"/>
        </xdr:cNvSpPr>
      </xdr:nvSpPr>
      <xdr:spPr bwMode="auto">
        <a:xfrm>
          <a:off x="3994150" y="400875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43793</xdr:rowOff>
    </xdr:from>
    <xdr:to>
      <xdr:col>5</xdr:col>
      <xdr:colOff>609600</xdr:colOff>
      <xdr:row>213</xdr:row>
      <xdr:rowOff>62843</xdr:rowOff>
    </xdr:to>
    <xdr:sp macro="" textlink="">
      <xdr:nvSpPr>
        <xdr:cNvPr id="376861" name="Text Box 29" hidden="1">
          <a:extLst>
            <a:ext uri="{FF2B5EF4-FFF2-40B4-BE49-F238E27FC236}">
              <a16:creationId xmlns:a16="http://schemas.microsoft.com/office/drawing/2014/main" id="{0343956E-393C-1F80-E9D7-36AF65C96F21}"/>
            </a:ext>
          </a:extLst>
        </xdr:cNvPr>
        <xdr:cNvSpPr txBox="1">
          <a:spLocks noChangeArrowheads="1"/>
        </xdr:cNvSpPr>
      </xdr:nvSpPr>
      <xdr:spPr bwMode="auto">
        <a:xfrm>
          <a:off x="3994150" y="404558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163567</xdr:rowOff>
    </xdr:from>
    <xdr:to>
      <xdr:col>5</xdr:col>
      <xdr:colOff>609600</xdr:colOff>
      <xdr:row>63</xdr:row>
      <xdr:rowOff>163567</xdr:rowOff>
    </xdr:to>
    <xdr:sp macro="" textlink="">
      <xdr:nvSpPr>
        <xdr:cNvPr id="376860" name="Text Box 28" hidden="1">
          <a:extLst>
            <a:ext uri="{FF2B5EF4-FFF2-40B4-BE49-F238E27FC236}">
              <a16:creationId xmlns:a16="http://schemas.microsoft.com/office/drawing/2014/main" id="{21FD6705-EB88-42DD-E85B-3FB27411242B}"/>
            </a:ext>
          </a:extLst>
        </xdr:cNvPr>
        <xdr:cNvSpPr txBox="1">
          <a:spLocks noChangeArrowheads="1"/>
        </xdr:cNvSpPr>
      </xdr:nvSpPr>
      <xdr:spPr bwMode="auto">
        <a:xfrm>
          <a:off x="3994150" y="138303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64</xdr:row>
      <xdr:rowOff>142984</xdr:rowOff>
    </xdr:from>
    <xdr:to>
      <xdr:col>5</xdr:col>
      <xdr:colOff>628650</xdr:colOff>
      <xdr:row>87</xdr:row>
      <xdr:rowOff>8102</xdr:rowOff>
    </xdr:to>
    <xdr:sp macro="" textlink="">
      <xdr:nvSpPr>
        <xdr:cNvPr id="376859" name="Text Box 27" hidden="1">
          <a:extLst>
            <a:ext uri="{FF2B5EF4-FFF2-40B4-BE49-F238E27FC236}">
              <a16:creationId xmlns:a16="http://schemas.microsoft.com/office/drawing/2014/main" id="{BE1E8DC1-6846-6BB2-03F3-BC5789186C68}"/>
            </a:ext>
          </a:extLst>
        </xdr:cNvPr>
        <xdr:cNvSpPr txBox="1">
          <a:spLocks noChangeArrowheads="1"/>
        </xdr:cNvSpPr>
      </xdr:nvSpPr>
      <xdr:spPr bwMode="auto">
        <a:xfrm>
          <a:off x="4013200" y="13989050"/>
          <a:ext cx="1314450" cy="454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163567</xdr:rowOff>
    </xdr:from>
    <xdr:to>
      <xdr:col>5</xdr:col>
      <xdr:colOff>609600</xdr:colOff>
      <xdr:row>84</xdr:row>
      <xdr:rowOff>122402</xdr:rowOff>
    </xdr:to>
    <xdr:sp macro="" textlink="">
      <xdr:nvSpPr>
        <xdr:cNvPr id="376858" name="Text Box 26" hidden="1">
          <a:extLst>
            <a:ext uri="{FF2B5EF4-FFF2-40B4-BE49-F238E27FC236}">
              <a16:creationId xmlns:a16="http://schemas.microsoft.com/office/drawing/2014/main" id="{0700B06C-8488-DC43-9135-421ABD3F382A}"/>
            </a:ext>
          </a:extLst>
        </xdr:cNvPr>
        <xdr:cNvSpPr txBox="1">
          <a:spLocks noChangeArrowheads="1"/>
        </xdr:cNvSpPr>
      </xdr:nvSpPr>
      <xdr:spPr bwMode="auto">
        <a:xfrm>
          <a:off x="3994150" y="13830300"/>
          <a:ext cx="1314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182617</xdr:rowOff>
    </xdr:from>
    <xdr:to>
      <xdr:col>5</xdr:col>
      <xdr:colOff>609600</xdr:colOff>
      <xdr:row>84</xdr:row>
      <xdr:rowOff>160502</xdr:rowOff>
    </xdr:to>
    <xdr:sp macro="" textlink="">
      <xdr:nvSpPr>
        <xdr:cNvPr id="376857" name="Text Box 25" hidden="1">
          <a:extLst>
            <a:ext uri="{FF2B5EF4-FFF2-40B4-BE49-F238E27FC236}">
              <a16:creationId xmlns:a16="http://schemas.microsoft.com/office/drawing/2014/main" id="{3A621DFD-6007-8D9C-E6F1-6174BD459B7F}"/>
            </a:ext>
          </a:extLst>
        </xdr:cNvPr>
        <xdr:cNvSpPr txBox="1">
          <a:spLocks noChangeArrowheads="1"/>
        </xdr:cNvSpPr>
      </xdr:nvSpPr>
      <xdr:spPr bwMode="auto">
        <a:xfrm>
          <a:off x="3994150" y="13849350"/>
          <a:ext cx="1314450" cy="4286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236483</xdr:rowOff>
    </xdr:from>
    <xdr:to>
      <xdr:col>5</xdr:col>
      <xdr:colOff>609600</xdr:colOff>
      <xdr:row>87</xdr:row>
      <xdr:rowOff>46202</xdr:rowOff>
    </xdr:to>
    <xdr:sp macro="" textlink="">
      <xdr:nvSpPr>
        <xdr:cNvPr id="376856" name="Text Box 24" hidden="1">
          <a:extLst>
            <a:ext uri="{FF2B5EF4-FFF2-40B4-BE49-F238E27FC236}">
              <a16:creationId xmlns:a16="http://schemas.microsoft.com/office/drawing/2014/main" id="{7DC1DE39-DC8C-0E7B-BC85-CE2E93BD3259}"/>
            </a:ext>
          </a:extLst>
        </xdr:cNvPr>
        <xdr:cNvSpPr txBox="1">
          <a:spLocks noChangeArrowheads="1"/>
        </xdr:cNvSpPr>
      </xdr:nvSpPr>
      <xdr:spPr bwMode="auto">
        <a:xfrm>
          <a:off x="3994150" y="14871700"/>
          <a:ext cx="13144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160501</xdr:rowOff>
    </xdr:from>
    <xdr:to>
      <xdr:col>5</xdr:col>
      <xdr:colOff>609600</xdr:colOff>
      <xdr:row>95</xdr:row>
      <xdr:rowOff>19050</xdr:rowOff>
    </xdr:to>
    <xdr:sp macro="" textlink="">
      <xdr:nvSpPr>
        <xdr:cNvPr id="376855" name="Text Box 23" hidden="1">
          <a:extLst>
            <a:ext uri="{FF2B5EF4-FFF2-40B4-BE49-F238E27FC236}">
              <a16:creationId xmlns:a16="http://schemas.microsoft.com/office/drawing/2014/main" id="{4A1B5561-33EE-8F25-B818-366FEB142683}"/>
            </a:ext>
          </a:extLst>
        </xdr:cNvPr>
        <xdr:cNvSpPr txBox="1">
          <a:spLocks noChangeArrowheads="1"/>
        </xdr:cNvSpPr>
      </xdr:nvSpPr>
      <xdr:spPr bwMode="auto">
        <a:xfrm>
          <a:off x="3994150" y="1776730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84302</xdr:rowOff>
    </xdr:from>
    <xdr:to>
      <xdr:col>5</xdr:col>
      <xdr:colOff>609600</xdr:colOff>
      <xdr:row>94</xdr:row>
      <xdr:rowOff>73791</xdr:rowOff>
    </xdr:to>
    <xdr:sp macro="" textlink="">
      <xdr:nvSpPr>
        <xdr:cNvPr id="376854" name="Text Box 22" hidden="1">
          <a:extLst>
            <a:ext uri="{FF2B5EF4-FFF2-40B4-BE49-F238E27FC236}">
              <a16:creationId xmlns:a16="http://schemas.microsoft.com/office/drawing/2014/main" id="{0FDD5B7A-560B-7B3B-149F-E735F3A233D4}"/>
            </a:ext>
          </a:extLst>
        </xdr:cNvPr>
        <xdr:cNvSpPr txBox="1">
          <a:spLocks noChangeArrowheads="1"/>
        </xdr:cNvSpPr>
      </xdr:nvSpPr>
      <xdr:spPr bwMode="auto">
        <a:xfrm>
          <a:off x="3994150" y="1787525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27152</xdr:rowOff>
    </xdr:from>
    <xdr:to>
      <xdr:col>5</xdr:col>
      <xdr:colOff>609600</xdr:colOff>
      <xdr:row>94</xdr:row>
      <xdr:rowOff>149991</xdr:rowOff>
    </xdr:to>
    <xdr:sp macro="" textlink="">
      <xdr:nvSpPr>
        <xdr:cNvPr id="376853" name="Text Box 21" hidden="1">
          <a:extLst>
            <a:ext uri="{FF2B5EF4-FFF2-40B4-BE49-F238E27FC236}">
              <a16:creationId xmlns:a16="http://schemas.microsoft.com/office/drawing/2014/main" id="{9AE191C3-1E10-DC58-C44B-66F917300B01}"/>
            </a:ext>
          </a:extLst>
        </xdr:cNvPr>
        <xdr:cNvSpPr txBox="1">
          <a:spLocks noChangeArrowheads="1"/>
        </xdr:cNvSpPr>
      </xdr:nvSpPr>
      <xdr:spPr bwMode="auto">
        <a:xfrm>
          <a:off x="3994150" y="1800225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27152</xdr:rowOff>
    </xdr:from>
    <xdr:to>
      <xdr:col>5</xdr:col>
      <xdr:colOff>609600</xdr:colOff>
      <xdr:row>96</xdr:row>
      <xdr:rowOff>15109</xdr:rowOff>
    </xdr:to>
    <xdr:sp macro="" textlink="">
      <xdr:nvSpPr>
        <xdr:cNvPr id="376852" name="Text Box 20" hidden="1">
          <a:extLst>
            <a:ext uri="{FF2B5EF4-FFF2-40B4-BE49-F238E27FC236}">
              <a16:creationId xmlns:a16="http://schemas.microsoft.com/office/drawing/2014/main" id="{E62398EC-3C25-C629-FFEE-B447B6FAA1B1}"/>
            </a:ext>
          </a:extLst>
        </xdr:cNvPr>
        <xdr:cNvSpPr txBox="1">
          <a:spLocks noChangeArrowheads="1"/>
        </xdr:cNvSpPr>
      </xdr:nvSpPr>
      <xdr:spPr bwMode="auto">
        <a:xfrm>
          <a:off x="3994150" y="1818640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105760</xdr:rowOff>
    </xdr:from>
    <xdr:to>
      <xdr:col>5</xdr:col>
      <xdr:colOff>609600</xdr:colOff>
      <xdr:row>117</xdr:row>
      <xdr:rowOff>160502</xdr:rowOff>
    </xdr:to>
    <xdr:sp macro="" textlink="">
      <xdr:nvSpPr>
        <xdr:cNvPr id="376851" name="Text Box 19" hidden="1">
          <a:extLst>
            <a:ext uri="{FF2B5EF4-FFF2-40B4-BE49-F238E27FC236}">
              <a16:creationId xmlns:a16="http://schemas.microsoft.com/office/drawing/2014/main" id="{0D9D8116-CC69-3447-1D53-57DD2654B4A1}"/>
            </a:ext>
          </a:extLst>
        </xdr:cNvPr>
        <xdr:cNvSpPr txBox="1">
          <a:spLocks noChangeArrowheads="1"/>
        </xdr:cNvSpPr>
      </xdr:nvSpPr>
      <xdr:spPr bwMode="auto">
        <a:xfrm>
          <a:off x="3994150" y="2260600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158531</xdr:rowOff>
    </xdr:from>
    <xdr:to>
      <xdr:col>5</xdr:col>
      <xdr:colOff>609600</xdr:colOff>
      <xdr:row>115</xdr:row>
      <xdr:rowOff>46201</xdr:rowOff>
    </xdr:to>
    <xdr:sp macro="" textlink="">
      <xdr:nvSpPr>
        <xdr:cNvPr id="376850" name="Text Box 18" hidden="1">
          <a:extLst>
            <a:ext uri="{FF2B5EF4-FFF2-40B4-BE49-F238E27FC236}">
              <a16:creationId xmlns:a16="http://schemas.microsoft.com/office/drawing/2014/main" id="{FF6FB21D-5596-AA72-B4A0-B2D88388A70F}"/>
            </a:ext>
          </a:extLst>
        </xdr:cNvPr>
        <xdr:cNvSpPr txBox="1">
          <a:spLocks noChangeArrowheads="1"/>
        </xdr:cNvSpPr>
      </xdr:nvSpPr>
      <xdr:spPr bwMode="auto">
        <a:xfrm>
          <a:off x="3994150" y="22840950"/>
          <a:ext cx="1314450" cy="117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158531</xdr:rowOff>
    </xdr:from>
    <xdr:to>
      <xdr:col>5</xdr:col>
      <xdr:colOff>609600</xdr:colOff>
      <xdr:row>114</xdr:row>
      <xdr:rowOff>175172</xdr:rowOff>
    </xdr:to>
    <xdr:sp macro="" textlink="">
      <xdr:nvSpPr>
        <xdr:cNvPr id="376849" name="Text Box 17" hidden="1">
          <a:extLst>
            <a:ext uri="{FF2B5EF4-FFF2-40B4-BE49-F238E27FC236}">
              <a16:creationId xmlns:a16="http://schemas.microsoft.com/office/drawing/2014/main" id="{746FD96A-BF81-F69D-28EB-E0C7126C6BD1}"/>
            </a:ext>
          </a:extLst>
        </xdr:cNvPr>
        <xdr:cNvSpPr txBox="1">
          <a:spLocks noChangeArrowheads="1"/>
        </xdr:cNvSpPr>
      </xdr:nvSpPr>
      <xdr:spPr bwMode="auto">
        <a:xfrm>
          <a:off x="3994150" y="2302510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120431</xdr:rowOff>
    </xdr:from>
    <xdr:to>
      <xdr:col>5</xdr:col>
      <xdr:colOff>609600</xdr:colOff>
      <xdr:row>114</xdr:row>
      <xdr:rowOff>175172</xdr:rowOff>
    </xdr:to>
    <xdr:sp macro="" textlink="">
      <xdr:nvSpPr>
        <xdr:cNvPr id="376848" name="Text Box 16" hidden="1">
          <a:extLst>
            <a:ext uri="{FF2B5EF4-FFF2-40B4-BE49-F238E27FC236}">
              <a16:creationId xmlns:a16="http://schemas.microsoft.com/office/drawing/2014/main" id="{CD4EF107-3F06-D104-801B-553EBB062875}"/>
            </a:ext>
          </a:extLst>
        </xdr:cNvPr>
        <xdr:cNvSpPr txBox="1">
          <a:spLocks noChangeArrowheads="1"/>
        </xdr:cNvSpPr>
      </xdr:nvSpPr>
      <xdr:spPr bwMode="auto">
        <a:xfrm>
          <a:off x="3994150" y="22987000"/>
          <a:ext cx="1314450"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133</xdr:row>
      <xdr:rowOff>103352</xdr:rowOff>
    </xdr:from>
    <xdr:to>
      <xdr:col>21</xdr:col>
      <xdr:colOff>438150</xdr:colOff>
      <xdr:row>137</xdr:row>
      <xdr:rowOff>122402</xdr:rowOff>
    </xdr:to>
    <xdr:sp macro="" textlink="">
      <xdr:nvSpPr>
        <xdr:cNvPr id="376847" name="Text Box 15" hidden="1">
          <a:extLst>
            <a:ext uri="{FF2B5EF4-FFF2-40B4-BE49-F238E27FC236}">
              <a16:creationId xmlns:a16="http://schemas.microsoft.com/office/drawing/2014/main" id="{30EFDDD4-7F95-E699-F117-E947A6943A90}"/>
            </a:ext>
          </a:extLst>
        </xdr:cNvPr>
        <xdr:cNvSpPr txBox="1">
          <a:spLocks noChangeArrowheads="1"/>
        </xdr:cNvSpPr>
      </xdr:nvSpPr>
      <xdr:spPr bwMode="auto">
        <a:xfrm>
          <a:off x="17513300" y="273875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46" name="Text Box 14" hidden="1">
          <a:extLst>
            <a:ext uri="{FF2B5EF4-FFF2-40B4-BE49-F238E27FC236}">
              <a16:creationId xmlns:a16="http://schemas.microsoft.com/office/drawing/2014/main" id="{ADD85B21-34BC-CE8C-32A7-94A4B97856B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45" name="Text Box 13" hidden="1">
          <a:extLst>
            <a:ext uri="{FF2B5EF4-FFF2-40B4-BE49-F238E27FC236}">
              <a16:creationId xmlns:a16="http://schemas.microsoft.com/office/drawing/2014/main" id="{A77E8A31-3567-4C97-AE1C-66441FEFFF9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137</xdr:row>
      <xdr:rowOff>122402</xdr:rowOff>
    </xdr:from>
    <xdr:to>
      <xdr:col>22</xdr:col>
      <xdr:colOff>609600</xdr:colOff>
      <xdr:row>141</xdr:row>
      <xdr:rowOff>103351</xdr:rowOff>
    </xdr:to>
    <xdr:sp macro="" textlink="">
      <xdr:nvSpPr>
        <xdr:cNvPr id="376844" name="Text Box 12" hidden="1">
          <a:extLst>
            <a:ext uri="{FF2B5EF4-FFF2-40B4-BE49-F238E27FC236}">
              <a16:creationId xmlns:a16="http://schemas.microsoft.com/office/drawing/2014/main" id="{BA0D968D-C020-A02C-06B1-E747A16E4E7C}"/>
            </a:ext>
          </a:extLst>
        </xdr:cNvPr>
        <xdr:cNvSpPr txBox="1">
          <a:spLocks noChangeArrowheads="1"/>
        </xdr:cNvSpPr>
      </xdr:nvSpPr>
      <xdr:spPr bwMode="auto">
        <a:xfrm>
          <a:off x="18332450" y="281432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43" name="Text Box 11" hidden="1">
          <a:extLst>
            <a:ext uri="{FF2B5EF4-FFF2-40B4-BE49-F238E27FC236}">
              <a16:creationId xmlns:a16="http://schemas.microsoft.com/office/drawing/2014/main" id="{23CC21BF-493B-DF2F-D17A-267F9FF6B62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42" name="Text Box 10" hidden="1">
          <a:extLst>
            <a:ext uri="{FF2B5EF4-FFF2-40B4-BE49-F238E27FC236}">
              <a16:creationId xmlns:a16="http://schemas.microsoft.com/office/drawing/2014/main" id="{CA694832-E025-ED1D-D008-24E07DFCBBB8}"/>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41" name="Text Box 9" hidden="1">
          <a:extLst>
            <a:ext uri="{FF2B5EF4-FFF2-40B4-BE49-F238E27FC236}">
              <a16:creationId xmlns:a16="http://schemas.microsoft.com/office/drawing/2014/main" id="{4E9D0161-C9C4-F1EF-5A8F-BCAA1FA7E527}"/>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137</xdr:row>
      <xdr:rowOff>122402</xdr:rowOff>
    </xdr:from>
    <xdr:to>
      <xdr:col>24</xdr:col>
      <xdr:colOff>647700</xdr:colOff>
      <xdr:row>142</xdr:row>
      <xdr:rowOff>8102</xdr:rowOff>
    </xdr:to>
    <xdr:sp macro="" textlink="">
      <xdr:nvSpPr>
        <xdr:cNvPr id="376840" name="Text Box 8" hidden="1">
          <a:extLst>
            <a:ext uri="{FF2B5EF4-FFF2-40B4-BE49-F238E27FC236}">
              <a16:creationId xmlns:a16="http://schemas.microsoft.com/office/drawing/2014/main" id="{8BA181D4-0C20-B9D3-37A2-0EB8F79C793F}"/>
            </a:ext>
          </a:extLst>
        </xdr:cNvPr>
        <xdr:cNvSpPr txBox="1">
          <a:spLocks noChangeArrowheads="1"/>
        </xdr:cNvSpPr>
      </xdr:nvSpPr>
      <xdr:spPr bwMode="auto">
        <a:xfrm>
          <a:off x="20027900" y="2814320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839" name="Text Box 7" hidden="1">
          <a:extLst>
            <a:ext uri="{FF2B5EF4-FFF2-40B4-BE49-F238E27FC236}">
              <a16:creationId xmlns:a16="http://schemas.microsoft.com/office/drawing/2014/main" id="{3A2A7D03-9C87-2D2C-C11D-9F703B304948}"/>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838" name="Text Box 6" hidden="1">
          <a:extLst>
            <a:ext uri="{FF2B5EF4-FFF2-40B4-BE49-F238E27FC236}">
              <a16:creationId xmlns:a16="http://schemas.microsoft.com/office/drawing/2014/main" id="{7E4FBE26-09D1-69B0-CD90-9B4A7649C9B1}"/>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137</xdr:row>
      <xdr:rowOff>141452</xdr:rowOff>
    </xdr:from>
    <xdr:to>
      <xdr:col>25</xdr:col>
      <xdr:colOff>647700</xdr:colOff>
      <xdr:row>141</xdr:row>
      <xdr:rowOff>175172</xdr:rowOff>
    </xdr:to>
    <xdr:sp macro="" textlink="">
      <xdr:nvSpPr>
        <xdr:cNvPr id="376837" name="Text Box 5" hidden="1">
          <a:extLst>
            <a:ext uri="{FF2B5EF4-FFF2-40B4-BE49-F238E27FC236}">
              <a16:creationId xmlns:a16="http://schemas.microsoft.com/office/drawing/2014/main" id="{447DE201-B8B6-E745-AB93-2EADDFAC95C1}"/>
            </a:ext>
          </a:extLst>
        </xdr:cNvPr>
        <xdr:cNvSpPr txBox="1">
          <a:spLocks noChangeArrowheads="1"/>
        </xdr:cNvSpPr>
      </xdr:nvSpPr>
      <xdr:spPr bwMode="auto">
        <a:xfrm>
          <a:off x="20789900" y="281622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114300</xdr:rowOff>
    </xdr:to>
    <xdr:sp macro="" textlink="">
      <xdr:nvSpPr>
        <xdr:cNvPr id="376836" name="Text Box 4" hidden="1">
          <a:extLst>
            <a:ext uri="{FF2B5EF4-FFF2-40B4-BE49-F238E27FC236}">
              <a16:creationId xmlns:a16="http://schemas.microsoft.com/office/drawing/2014/main" id="{434DCAD9-A99A-4CD7-7BAA-5CE69182ECA6}"/>
            </a:ext>
          </a:extLst>
        </xdr:cNvPr>
        <xdr:cNvSpPr txBox="1">
          <a:spLocks noChangeArrowheads="1"/>
        </xdr:cNvSpPr>
      </xdr:nvSpPr>
      <xdr:spPr bwMode="auto">
        <a:xfrm>
          <a:off x="9398000" y="8121650"/>
          <a:ext cx="13525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114300</xdr:rowOff>
    </xdr:to>
    <xdr:sp macro="" textlink="">
      <xdr:nvSpPr>
        <xdr:cNvPr id="376835" name="Text Box 3" hidden="1">
          <a:extLst>
            <a:ext uri="{FF2B5EF4-FFF2-40B4-BE49-F238E27FC236}">
              <a16:creationId xmlns:a16="http://schemas.microsoft.com/office/drawing/2014/main" id="{1C043BD1-2041-D5D1-84DF-1E66495B4DAB}"/>
            </a:ext>
          </a:extLst>
        </xdr:cNvPr>
        <xdr:cNvSpPr txBox="1">
          <a:spLocks noChangeArrowheads="1"/>
        </xdr:cNvSpPr>
      </xdr:nvSpPr>
      <xdr:spPr bwMode="auto">
        <a:xfrm>
          <a:off x="11125200" y="812165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19</xdr:row>
      <xdr:rowOff>457200</xdr:rowOff>
    </xdr:from>
    <xdr:to>
      <xdr:col>30</xdr:col>
      <xdr:colOff>647700</xdr:colOff>
      <xdr:row>24</xdr:row>
      <xdr:rowOff>0</xdr:rowOff>
    </xdr:to>
    <xdr:sp macro="" textlink="">
      <xdr:nvSpPr>
        <xdr:cNvPr id="376834" name="Text Box 2" hidden="1">
          <a:extLst>
            <a:ext uri="{FF2B5EF4-FFF2-40B4-BE49-F238E27FC236}">
              <a16:creationId xmlns:a16="http://schemas.microsoft.com/office/drawing/2014/main" id="{BABCEF68-2AA1-1BD2-C3EF-1EEC0CD23C30}"/>
            </a:ext>
          </a:extLst>
        </xdr:cNvPr>
        <xdr:cNvSpPr txBox="1">
          <a:spLocks noChangeArrowheads="1"/>
        </xdr:cNvSpPr>
      </xdr:nvSpPr>
      <xdr:spPr bwMode="auto">
        <a:xfrm>
          <a:off x="24599900" y="4838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33" name="Text Box 1" hidden="1">
          <a:extLst>
            <a:ext uri="{FF2B5EF4-FFF2-40B4-BE49-F238E27FC236}">
              <a16:creationId xmlns:a16="http://schemas.microsoft.com/office/drawing/2014/main" id="{6A30B42E-64FB-DA90-F398-63D48D5B54B5}"/>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4.xml><?xml version="1.0" encoding="utf-8"?>
<xdr:wsDr xmlns:xdr="http://schemas.openxmlformats.org/drawingml/2006/spreadsheetDrawing" xmlns:a="http://schemas.openxmlformats.org/drawingml/2006/main">
  <xdr:twoCellAnchor editAs="absolute">
    <xdr:from>
      <xdr:col>1</xdr:col>
      <xdr:colOff>1901972</xdr:colOff>
      <xdr:row>53</xdr:row>
      <xdr:rowOff>549</xdr:rowOff>
    </xdr:from>
    <xdr:to>
      <xdr:col>2</xdr:col>
      <xdr:colOff>809458</xdr:colOff>
      <xdr:row>53</xdr:row>
      <xdr:rowOff>549</xdr:rowOff>
    </xdr:to>
    <xdr:sp macro="" textlink="">
      <xdr:nvSpPr>
        <xdr:cNvPr id="275460" name="Text Box 1028" hidden="1">
          <a:extLst>
            <a:ext uri="{FF2B5EF4-FFF2-40B4-BE49-F238E27FC236}">
              <a16:creationId xmlns:a16="http://schemas.microsoft.com/office/drawing/2014/main" id="{00FA32C4-E5B5-4A36-B80E-7E9890C5E8A9}"/>
            </a:ext>
          </a:extLst>
        </xdr:cNvPr>
        <xdr:cNvSpPr txBox="1">
          <a:spLocks noChangeArrowheads="1"/>
        </xdr:cNvSpPr>
      </xdr:nvSpPr>
      <xdr:spPr bwMode="auto">
        <a:xfrm>
          <a:off x="2743200" y="9662160"/>
          <a:ext cx="139446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1894987</xdr:colOff>
      <xdr:row>53</xdr:row>
      <xdr:rowOff>549</xdr:rowOff>
    </xdr:from>
    <xdr:to>
      <xdr:col>2</xdr:col>
      <xdr:colOff>792948</xdr:colOff>
      <xdr:row>53</xdr:row>
      <xdr:rowOff>549</xdr:rowOff>
    </xdr:to>
    <xdr:sp macro="" textlink="">
      <xdr:nvSpPr>
        <xdr:cNvPr id="275461" name="Text Box 1029" hidden="1">
          <a:extLst>
            <a:ext uri="{FF2B5EF4-FFF2-40B4-BE49-F238E27FC236}">
              <a16:creationId xmlns:a16="http://schemas.microsoft.com/office/drawing/2014/main" id="{31E6748E-8457-4C4B-80B4-92C1BB0F1B8F}"/>
            </a:ext>
          </a:extLst>
        </xdr:cNvPr>
        <xdr:cNvSpPr txBox="1">
          <a:spLocks noChangeArrowheads="1"/>
        </xdr:cNvSpPr>
      </xdr:nvSpPr>
      <xdr:spPr bwMode="auto">
        <a:xfrm>
          <a:off x="265747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53</xdr:row>
      <xdr:rowOff>549</xdr:rowOff>
    </xdr:from>
    <xdr:to>
      <xdr:col>2</xdr:col>
      <xdr:colOff>773898</xdr:colOff>
      <xdr:row>53</xdr:row>
      <xdr:rowOff>549</xdr:rowOff>
    </xdr:to>
    <xdr:sp macro="" textlink="">
      <xdr:nvSpPr>
        <xdr:cNvPr id="275462" name="Text Box 1030" hidden="1">
          <a:extLst>
            <a:ext uri="{FF2B5EF4-FFF2-40B4-BE49-F238E27FC236}">
              <a16:creationId xmlns:a16="http://schemas.microsoft.com/office/drawing/2014/main" id="{31CBCC0B-5F7A-4A9E-9BC5-32F3742F9E9A}"/>
            </a:ext>
          </a:extLst>
        </xdr:cNvPr>
        <xdr:cNvSpPr txBox="1">
          <a:spLocks noChangeArrowheads="1"/>
        </xdr:cNvSpPr>
      </xdr:nvSpPr>
      <xdr:spPr bwMode="auto">
        <a:xfrm>
          <a:off x="2724150" y="97282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53</xdr:row>
      <xdr:rowOff>549</xdr:rowOff>
    </xdr:from>
    <xdr:to>
      <xdr:col>2</xdr:col>
      <xdr:colOff>773898</xdr:colOff>
      <xdr:row>53</xdr:row>
      <xdr:rowOff>549</xdr:rowOff>
    </xdr:to>
    <xdr:sp macro="" textlink="">
      <xdr:nvSpPr>
        <xdr:cNvPr id="275463" name="Text Box 1031" hidden="1">
          <a:extLst>
            <a:ext uri="{FF2B5EF4-FFF2-40B4-BE49-F238E27FC236}">
              <a16:creationId xmlns:a16="http://schemas.microsoft.com/office/drawing/2014/main" id="{78D9CD57-945C-46B4-8CF0-E01555CB1726}"/>
            </a:ext>
          </a:extLst>
        </xdr:cNvPr>
        <xdr:cNvSpPr txBox="1">
          <a:spLocks noChangeArrowheads="1"/>
        </xdr:cNvSpPr>
      </xdr:nvSpPr>
      <xdr:spPr bwMode="auto">
        <a:xfrm>
          <a:off x="263842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275464" name="Text Box 8" hidden="1">
          <a:extLst>
            <a:ext uri="{FF2B5EF4-FFF2-40B4-BE49-F238E27FC236}">
              <a16:creationId xmlns:a16="http://schemas.microsoft.com/office/drawing/2014/main" id="{2A03C8FD-E8BF-44A0-956D-B6BFDADD11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1" name="Text Box 1" hidden="1">
          <a:extLst>
            <a:ext uri="{FF2B5EF4-FFF2-40B4-BE49-F238E27FC236}">
              <a16:creationId xmlns:a16="http://schemas.microsoft.com/office/drawing/2014/main" id="{6CB65364-76DB-4F71-B75C-201FF3FABA3D}"/>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2" name="Text Box 2" hidden="1">
          <a:extLst>
            <a:ext uri="{FF2B5EF4-FFF2-40B4-BE49-F238E27FC236}">
              <a16:creationId xmlns:a16="http://schemas.microsoft.com/office/drawing/2014/main" id="{7722F2E7-DD7D-42CD-8199-B91C7C7D96B3}"/>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3" name="Text Box 3" hidden="1">
          <a:extLst>
            <a:ext uri="{FF2B5EF4-FFF2-40B4-BE49-F238E27FC236}">
              <a16:creationId xmlns:a16="http://schemas.microsoft.com/office/drawing/2014/main" id="{730C43A4-5B62-42DC-85DF-BE2732943BD1}"/>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4" name="Text Box 4" hidden="1">
          <a:extLst>
            <a:ext uri="{FF2B5EF4-FFF2-40B4-BE49-F238E27FC236}">
              <a16:creationId xmlns:a16="http://schemas.microsoft.com/office/drawing/2014/main" id="{924069F0-C83B-4662-8B30-845143ABCF18}"/>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5" name="Text Box 5" hidden="1">
          <a:extLst>
            <a:ext uri="{FF2B5EF4-FFF2-40B4-BE49-F238E27FC236}">
              <a16:creationId xmlns:a16="http://schemas.microsoft.com/office/drawing/2014/main" id="{655000A7-C9F1-459F-AB31-3FF6DEF202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69" name="Text Box 1025" hidden="1">
          <a:extLst>
            <a:ext uri="{FF2B5EF4-FFF2-40B4-BE49-F238E27FC236}">
              <a16:creationId xmlns:a16="http://schemas.microsoft.com/office/drawing/2014/main" id="{4FF86A67-F7A9-46DD-97B1-8339408B341B}"/>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0" name="Text Box 1026" hidden="1">
          <a:extLst>
            <a:ext uri="{FF2B5EF4-FFF2-40B4-BE49-F238E27FC236}">
              <a16:creationId xmlns:a16="http://schemas.microsoft.com/office/drawing/2014/main" id="{AAF1D011-ACFA-4E10-A020-5D392131C601}"/>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1" name="Text Box 1027" hidden="1">
          <a:extLst>
            <a:ext uri="{FF2B5EF4-FFF2-40B4-BE49-F238E27FC236}">
              <a16:creationId xmlns:a16="http://schemas.microsoft.com/office/drawing/2014/main" id="{437AF159-36CB-8011-DB2B-EE456870E65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2" name="Text Box 4" hidden="1">
          <a:extLst>
            <a:ext uri="{FF2B5EF4-FFF2-40B4-BE49-F238E27FC236}">
              <a16:creationId xmlns:a16="http://schemas.microsoft.com/office/drawing/2014/main" id="{C9437685-B101-7B7F-792A-4F4210A01200}"/>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14373" name="Text Box 5" hidden="1">
          <a:extLst>
            <a:ext uri="{FF2B5EF4-FFF2-40B4-BE49-F238E27FC236}">
              <a16:creationId xmlns:a16="http://schemas.microsoft.com/office/drawing/2014/main" id="{32B9AF91-0C65-9F5A-1029-2DF868BD4193}"/>
            </a:ext>
          </a:extLst>
        </xdr:cNvPr>
        <xdr:cNvSpPr txBox="1">
          <a:spLocks noChangeArrowheads="1"/>
        </xdr:cNvSpPr>
      </xdr:nvSpPr>
      <xdr:spPr bwMode="auto">
        <a:xfrm>
          <a:off x="2705100" y="9886950"/>
          <a:ext cx="13208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14374" name="Text Box 6" hidden="1">
          <a:extLst>
            <a:ext uri="{FF2B5EF4-FFF2-40B4-BE49-F238E27FC236}">
              <a16:creationId xmlns:a16="http://schemas.microsoft.com/office/drawing/2014/main" id="{995F31B6-AEBB-6CA1-0E56-4BEB3B915864}"/>
            </a:ext>
          </a:extLst>
        </xdr:cNvPr>
        <xdr:cNvSpPr txBox="1">
          <a:spLocks noChangeArrowheads="1"/>
        </xdr:cNvSpPr>
      </xdr:nvSpPr>
      <xdr:spPr bwMode="auto">
        <a:xfrm>
          <a:off x="2705100" y="102425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14375" name="Text Box 7" hidden="1">
          <a:extLst>
            <a:ext uri="{FF2B5EF4-FFF2-40B4-BE49-F238E27FC236}">
              <a16:creationId xmlns:a16="http://schemas.microsoft.com/office/drawing/2014/main" id="{92D01D35-145A-7AC9-71F7-8157C6EB555D}"/>
            </a:ext>
          </a:extLst>
        </xdr:cNvPr>
        <xdr:cNvSpPr txBox="1">
          <a:spLocks noChangeArrowheads="1"/>
        </xdr:cNvSpPr>
      </xdr:nvSpPr>
      <xdr:spPr bwMode="auto">
        <a:xfrm>
          <a:off x="2705100" y="105854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14376" name="Text Box 8" hidden="1">
          <a:extLst>
            <a:ext uri="{FF2B5EF4-FFF2-40B4-BE49-F238E27FC236}">
              <a16:creationId xmlns:a16="http://schemas.microsoft.com/office/drawing/2014/main" id="{C2F7CA66-A973-AF4D-AF6B-49FA6B613788}"/>
            </a:ext>
          </a:extLst>
        </xdr:cNvPr>
        <xdr:cNvSpPr txBox="1">
          <a:spLocks noChangeArrowheads="1"/>
        </xdr:cNvSpPr>
      </xdr:nvSpPr>
      <xdr:spPr bwMode="auto">
        <a:xfrm>
          <a:off x="2705100" y="109156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14377" name="Text Box 9" hidden="1">
          <a:extLst>
            <a:ext uri="{FF2B5EF4-FFF2-40B4-BE49-F238E27FC236}">
              <a16:creationId xmlns:a16="http://schemas.microsoft.com/office/drawing/2014/main" id="{60A38524-E963-8B80-979B-C2315751019D}"/>
            </a:ext>
          </a:extLst>
        </xdr:cNvPr>
        <xdr:cNvSpPr txBox="1">
          <a:spLocks noChangeArrowheads="1"/>
        </xdr:cNvSpPr>
      </xdr:nvSpPr>
      <xdr:spPr bwMode="auto">
        <a:xfrm>
          <a:off x="2705100" y="112458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14378" name="Text Box 10" hidden="1">
          <a:extLst>
            <a:ext uri="{FF2B5EF4-FFF2-40B4-BE49-F238E27FC236}">
              <a16:creationId xmlns:a16="http://schemas.microsoft.com/office/drawing/2014/main" id="{32AB8D24-E55B-90C9-015F-B3FCE7BB1662}"/>
            </a:ext>
          </a:extLst>
        </xdr:cNvPr>
        <xdr:cNvSpPr txBox="1">
          <a:spLocks noChangeArrowheads="1"/>
        </xdr:cNvSpPr>
      </xdr:nvSpPr>
      <xdr:spPr bwMode="auto">
        <a:xfrm>
          <a:off x="2705100" y="115760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46" name="Text Box 14" hidden="1">
          <a:extLst>
            <a:ext uri="{FF2B5EF4-FFF2-40B4-BE49-F238E27FC236}">
              <a16:creationId xmlns:a16="http://schemas.microsoft.com/office/drawing/2014/main" id="{6C2115BB-9915-0A80-470A-42F40441B9E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45" name="Text Box 13" hidden="1">
          <a:extLst>
            <a:ext uri="{FF2B5EF4-FFF2-40B4-BE49-F238E27FC236}">
              <a16:creationId xmlns:a16="http://schemas.microsoft.com/office/drawing/2014/main" id="{DF0D79B3-D2A7-0881-FD41-39A6CE84B355}"/>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44" name="Text Box 12" hidden="1">
          <a:extLst>
            <a:ext uri="{FF2B5EF4-FFF2-40B4-BE49-F238E27FC236}">
              <a16:creationId xmlns:a16="http://schemas.microsoft.com/office/drawing/2014/main" id="{69961090-54CC-90F9-8955-ADB0AC6E6786}"/>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43" name="Text Box 11" hidden="1">
          <a:extLst>
            <a:ext uri="{FF2B5EF4-FFF2-40B4-BE49-F238E27FC236}">
              <a16:creationId xmlns:a16="http://schemas.microsoft.com/office/drawing/2014/main" id="{B0F5A10F-2148-1BE9-532D-DFB19D02B91B}"/>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42" name="Text Box 10" hidden="1">
          <a:extLst>
            <a:ext uri="{FF2B5EF4-FFF2-40B4-BE49-F238E27FC236}">
              <a16:creationId xmlns:a16="http://schemas.microsoft.com/office/drawing/2014/main" id="{52661AFB-2E75-B046-C6E5-11483E38760C}"/>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41" name="Text Box 9" hidden="1">
          <a:extLst>
            <a:ext uri="{FF2B5EF4-FFF2-40B4-BE49-F238E27FC236}">
              <a16:creationId xmlns:a16="http://schemas.microsoft.com/office/drawing/2014/main" id="{BBCC77F7-1D78-362D-BE45-659520E87F15}"/>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40" name="Text Box 8" hidden="1">
          <a:extLst>
            <a:ext uri="{FF2B5EF4-FFF2-40B4-BE49-F238E27FC236}">
              <a16:creationId xmlns:a16="http://schemas.microsoft.com/office/drawing/2014/main" id="{96BB2F95-5DFA-599E-715D-227912B90441}"/>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39" name="Text Box 7" hidden="1">
          <a:extLst>
            <a:ext uri="{FF2B5EF4-FFF2-40B4-BE49-F238E27FC236}">
              <a16:creationId xmlns:a16="http://schemas.microsoft.com/office/drawing/2014/main" id="{E32DBF97-A175-E466-5C3E-A26463D38FFA}"/>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38" name="Text Box 6" hidden="1">
          <a:extLst>
            <a:ext uri="{FF2B5EF4-FFF2-40B4-BE49-F238E27FC236}">
              <a16:creationId xmlns:a16="http://schemas.microsoft.com/office/drawing/2014/main" id="{47A5E5BB-17FC-AD54-221A-D7406891D356}"/>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37" name="Text Box 5" hidden="1">
          <a:extLst>
            <a:ext uri="{FF2B5EF4-FFF2-40B4-BE49-F238E27FC236}">
              <a16:creationId xmlns:a16="http://schemas.microsoft.com/office/drawing/2014/main" id="{59696B4B-1A67-6DAC-AC2F-9CA6784E3B2F}"/>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36" name="Text Box 4" hidden="1">
          <a:extLst>
            <a:ext uri="{FF2B5EF4-FFF2-40B4-BE49-F238E27FC236}">
              <a16:creationId xmlns:a16="http://schemas.microsoft.com/office/drawing/2014/main" id="{35DC972F-4700-FD8B-04CC-13FAB52B622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35" name="Text Box 3" hidden="1">
          <a:extLst>
            <a:ext uri="{FF2B5EF4-FFF2-40B4-BE49-F238E27FC236}">
              <a16:creationId xmlns:a16="http://schemas.microsoft.com/office/drawing/2014/main" id="{7A954F4E-D872-8F35-436F-57A11F8F3222}"/>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34" name="Text Box 2" hidden="1">
          <a:extLst>
            <a:ext uri="{FF2B5EF4-FFF2-40B4-BE49-F238E27FC236}">
              <a16:creationId xmlns:a16="http://schemas.microsoft.com/office/drawing/2014/main" id="{F19B3451-482D-E00C-F28E-FDC954D2E94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33" name="Text Box 1" hidden="1">
          <a:extLst>
            <a:ext uri="{FF2B5EF4-FFF2-40B4-BE49-F238E27FC236}">
              <a16:creationId xmlns:a16="http://schemas.microsoft.com/office/drawing/2014/main" id="{9906005B-BF3F-CEEE-5706-D57DF7596368}"/>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53" name="Text Box 21" hidden="1">
          <a:extLst>
            <a:ext uri="{FF2B5EF4-FFF2-40B4-BE49-F238E27FC236}">
              <a16:creationId xmlns:a16="http://schemas.microsoft.com/office/drawing/2014/main" id="{B1331059-F79B-52E1-5B4B-E2FBF1E38294}"/>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52" name="Text Box 20" hidden="1">
          <a:extLst>
            <a:ext uri="{FF2B5EF4-FFF2-40B4-BE49-F238E27FC236}">
              <a16:creationId xmlns:a16="http://schemas.microsoft.com/office/drawing/2014/main" id="{76E7B475-FBDA-4443-12BD-3FF0466397CB}"/>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51" name="Text Box 19" hidden="1">
          <a:extLst>
            <a:ext uri="{FF2B5EF4-FFF2-40B4-BE49-F238E27FC236}">
              <a16:creationId xmlns:a16="http://schemas.microsoft.com/office/drawing/2014/main" id="{77C5E091-9FF2-8DF4-BF52-5B2B5BB4B775}"/>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50" name="Text Box 18" hidden="1">
          <a:extLst>
            <a:ext uri="{FF2B5EF4-FFF2-40B4-BE49-F238E27FC236}">
              <a16:creationId xmlns:a16="http://schemas.microsoft.com/office/drawing/2014/main" id="{C4986A94-73C2-E519-C120-3B1AEB1C74DF}"/>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49" name="Text Box 17" hidden="1">
          <a:extLst>
            <a:ext uri="{FF2B5EF4-FFF2-40B4-BE49-F238E27FC236}">
              <a16:creationId xmlns:a16="http://schemas.microsoft.com/office/drawing/2014/main" id="{6A7380A4-506B-2EE1-F553-EF8F1615FC45}"/>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48" name="Text Box 16" hidden="1">
          <a:extLst>
            <a:ext uri="{FF2B5EF4-FFF2-40B4-BE49-F238E27FC236}">
              <a16:creationId xmlns:a16="http://schemas.microsoft.com/office/drawing/2014/main" id="{08DA302D-FC61-D973-087D-4B996894C25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47" name="Text Box 15" hidden="1">
          <a:extLst>
            <a:ext uri="{FF2B5EF4-FFF2-40B4-BE49-F238E27FC236}">
              <a16:creationId xmlns:a16="http://schemas.microsoft.com/office/drawing/2014/main" id="{B6A7CFB3-FCC7-676F-086E-0C13FAE0EE8D}"/>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60" name="Text Box 28" hidden="1">
          <a:extLst>
            <a:ext uri="{FF2B5EF4-FFF2-40B4-BE49-F238E27FC236}">
              <a16:creationId xmlns:a16="http://schemas.microsoft.com/office/drawing/2014/main" id="{3A8234B8-7123-96A5-7120-7330EE848047}"/>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59" name="Text Box 27" hidden="1">
          <a:extLst>
            <a:ext uri="{FF2B5EF4-FFF2-40B4-BE49-F238E27FC236}">
              <a16:creationId xmlns:a16="http://schemas.microsoft.com/office/drawing/2014/main" id="{B8A31A81-9927-0CF5-5AEB-7F9B723928C2}"/>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58" name="Text Box 26" hidden="1">
          <a:extLst>
            <a:ext uri="{FF2B5EF4-FFF2-40B4-BE49-F238E27FC236}">
              <a16:creationId xmlns:a16="http://schemas.microsoft.com/office/drawing/2014/main" id="{E128DB61-2E11-AF27-3D31-EE354CA9150E}"/>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57" name="Text Box 25" hidden="1">
          <a:extLst>
            <a:ext uri="{FF2B5EF4-FFF2-40B4-BE49-F238E27FC236}">
              <a16:creationId xmlns:a16="http://schemas.microsoft.com/office/drawing/2014/main" id="{079F3B85-6EF0-F945-803E-BC0A0D0E9C8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56" name="Text Box 24" hidden="1">
          <a:extLst>
            <a:ext uri="{FF2B5EF4-FFF2-40B4-BE49-F238E27FC236}">
              <a16:creationId xmlns:a16="http://schemas.microsoft.com/office/drawing/2014/main" id="{354A9F75-C0CB-CC05-9CDA-48363820F368}"/>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55" name="Text Box 23" hidden="1">
          <a:extLst>
            <a:ext uri="{FF2B5EF4-FFF2-40B4-BE49-F238E27FC236}">
              <a16:creationId xmlns:a16="http://schemas.microsoft.com/office/drawing/2014/main" id="{D792366D-8BAE-3FCC-1E17-CB98574BD300}"/>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54" name="Text Box 22" hidden="1">
          <a:extLst>
            <a:ext uri="{FF2B5EF4-FFF2-40B4-BE49-F238E27FC236}">
              <a16:creationId xmlns:a16="http://schemas.microsoft.com/office/drawing/2014/main" id="{541A32F3-73D8-CE15-9C55-F0E7DFCBE256}"/>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67" name="Text Box 35" hidden="1">
          <a:extLst>
            <a:ext uri="{FF2B5EF4-FFF2-40B4-BE49-F238E27FC236}">
              <a16:creationId xmlns:a16="http://schemas.microsoft.com/office/drawing/2014/main" id="{4F6D94EF-0F14-3A6A-BBFA-89F79388AF08}"/>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66" name="Text Box 34" hidden="1">
          <a:extLst>
            <a:ext uri="{FF2B5EF4-FFF2-40B4-BE49-F238E27FC236}">
              <a16:creationId xmlns:a16="http://schemas.microsoft.com/office/drawing/2014/main" id="{64D370F8-7476-4A06-7E4C-24114413E624}"/>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65" name="Text Box 33" hidden="1">
          <a:extLst>
            <a:ext uri="{FF2B5EF4-FFF2-40B4-BE49-F238E27FC236}">
              <a16:creationId xmlns:a16="http://schemas.microsoft.com/office/drawing/2014/main" id="{05AB9054-457F-7E36-2947-BEB253B960A2}"/>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64" name="Text Box 32" hidden="1">
          <a:extLst>
            <a:ext uri="{FF2B5EF4-FFF2-40B4-BE49-F238E27FC236}">
              <a16:creationId xmlns:a16="http://schemas.microsoft.com/office/drawing/2014/main" id="{25DAB710-59E7-96BE-5D93-B624EE2B0DB9}"/>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63" name="Text Box 31" hidden="1">
          <a:extLst>
            <a:ext uri="{FF2B5EF4-FFF2-40B4-BE49-F238E27FC236}">
              <a16:creationId xmlns:a16="http://schemas.microsoft.com/office/drawing/2014/main" id="{2E4E2617-DB92-7E4C-4B21-FA5330FAA006}"/>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62" name="Text Box 30" hidden="1">
          <a:extLst>
            <a:ext uri="{FF2B5EF4-FFF2-40B4-BE49-F238E27FC236}">
              <a16:creationId xmlns:a16="http://schemas.microsoft.com/office/drawing/2014/main" id="{D65EC217-9F7B-5B33-2424-4C99CB54C578}"/>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61" name="Text Box 29" hidden="1">
          <a:extLst>
            <a:ext uri="{FF2B5EF4-FFF2-40B4-BE49-F238E27FC236}">
              <a16:creationId xmlns:a16="http://schemas.microsoft.com/office/drawing/2014/main" id="{38FC253F-B4E6-7DB0-A120-5049230B97A4}"/>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74" name="Text Box 42" hidden="1">
          <a:extLst>
            <a:ext uri="{FF2B5EF4-FFF2-40B4-BE49-F238E27FC236}">
              <a16:creationId xmlns:a16="http://schemas.microsoft.com/office/drawing/2014/main" id="{5A0CA82E-ED17-F119-D2A2-FECBF1369F8B}"/>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73" name="Text Box 41" hidden="1">
          <a:extLst>
            <a:ext uri="{FF2B5EF4-FFF2-40B4-BE49-F238E27FC236}">
              <a16:creationId xmlns:a16="http://schemas.microsoft.com/office/drawing/2014/main" id="{0D98C27B-2B30-5C49-4F06-7168B370995F}"/>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72" name="Text Box 40" hidden="1">
          <a:extLst>
            <a:ext uri="{FF2B5EF4-FFF2-40B4-BE49-F238E27FC236}">
              <a16:creationId xmlns:a16="http://schemas.microsoft.com/office/drawing/2014/main" id="{95B62CE9-0174-35AF-396B-BC44193E99D9}"/>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71" name="Text Box 39" hidden="1">
          <a:extLst>
            <a:ext uri="{FF2B5EF4-FFF2-40B4-BE49-F238E27FC236}">
              <a16:creationId xmlns:a16="http://schemas.microsoft.com/office/drawing/2014/main" id="{E076671A-8D57-642C-2997-55E729F4337E}"/>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70" name="Text Box 38" hidden="1">
          <a:extLst>
            <a:ext uri="{FF2B5EF4-FFF2-40B4-BE49-F238E27FC236}">
              <a16:creationId xmlns:a16="http://schemas.microsoft.com/office/drawing/2014/main" id="{08F5D72C-6282-8C67-DA0F-CF3F549165EC}"/>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69" name="Text Box 37" hidden="1">
          <a:extLst>
            <a:ext uri="{FF2B5EF4-FFF2-40B4-BE49-F238E27FC236}">
              <a16:creationId xmlns:a16="http://schemas.microsoft.com/office/drawing/2014/main" id="{DDA41B91-9DCB-5C45-10B3-FBB64514850A}"/>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68" name="Text Box 36" hidden="1">
          <a:extLst>
            <a:ext uri="{FF2B5EF4-FFF2-40B4-BE49-F238E27FC236}">
              <a16:creationId xmlns:a16="http://schemas.microsoft.com/office/drawing/2014/main" id="{3E034B40-D236-5C2A-61D6-831BAAE7651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88" name="Text Box 56" hidden="1">
          <a:extLst>
            <a:ext uri="{FF2B5EF4-FFF2-40B4-BE49-F238E27FC236}">
              <a16:creationId xmlns:a16="http://schemas.microsoft.com/office/drawing/2014/main" id="{3D51B448-A54F-8BA7-C1FE-B002557429D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87" name="Text Box 55" hidden="1">
          <a:extLst>
            <a:ext uri="{FF2B5EF4-FFF2-40B4-BE49-F238E27FC236}">
              <a16:creationId xmlns:a16="http://schemas.microsoft.com/office/drawing/2014/main" id="{E4AADD02-F36B-AFFB-FD1A-928CEBD3BED5}"/>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86" name="Text Box 54" hidden="1">
          <a:extLst>
            <a:ext uri="{FF2B5EF4-FFF2-40B4-BE49-F238E27FC236}">
              <a16:creationId xmlns:a16="http://schemas.microsoft.com/office/drawing/2014/main" id="{F3EBC67A-D9C2-D4CD-FF7D-3BF682CA48A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85" name="Text Box 53" hidden="1">
          <a:extLst>
            <a:ext uri="{FF2B5EF4-FFF2-40B4-BE49-F238E27FC236}">
              <a16:creationId xmlns:a16="http://schemas.microsoft.com/office/drawing/2014/main" id="{B0A25D47-41E0-8ABF-5B0A-4A88790DE078}"/>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84" name="Text Box 52" hidden="1">
          <a:extLst>
            <a:ext uri="{FF2B5EF4-FFF2-40B4-BE49-F238E27FC236}">
              <a16:creationId xmlns:a16="http://schemas.microsoft.com/office/drawing/2014/main" id="{81F83FC7-D25F-1A2A-7AA1-F83B230287AB}"/>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83" name="Text Box 51" hidden="1">
          <a:extLst>
            <a:ext uri="{FF2B5EF4-FFF2-40B4-BE49-F238E27FC236}">
              <a16:creationId xmlns:a16="http://schemas.microsoft.com/office/drawing/2014/main" id="{7F2C1498-DB15-585A-605E-B7C8EB469252}"/>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82" name="Text Box 50" hidden="1">
          <a:extLst>
            <a:ext uri="{FF2B5EF4-FFF2-40B4-BE49-F238E27FC236}">
              <a16:creationId xmlns:a16="http://schemas.microsoft.com/office/drawing/2014/main" id="{9D1BF5F4-94AA-D5AC-3623-44B5AE2E2F9F}"/>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81" name="Text Box 49" hidden="1">
          <a:extLst>
            <a:ext uri="{FF2B5EF4-FFF2-40B4-BE49-F238E27FC236}">
              <a16:creationId xmlns:a16="http://schemas.microsoft.com/office/drawing/2014/main" id="{9AEA8B3F-E94B-A7B7-FF73-596515C3A283}"/>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80" name="Text Box 48" hidden="1">
          <a:extLst>
            <a:ext uri="{FF2B5EF4-FFF2-40B4-BE49-F238E27FC236}">
              <a16:creationId xmlns:a16="http://schemas.microsoft.com/office/drawing/2014/main" id="{30C6CC86-BDC7-4844-680C-7740E452D6F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79" name="Text Box 47" hidden="1">
          <a:extLst>
            <a:ext uri="{FF2B5EF4-FFF2-40B4-BE49-F238E27FC236}">
              <a16:creationId xmlns:a16="http://schemas.microsoft.com/office/drawing/2014/main" id="{ACF37DB3-67FA-705E-2B9D-EBD007CB81AB}"/>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78" name="Text Box 46" hidden="1">
          <a:extLst>
            <a:ext uri="{FF2B5EF4-FFF2-40B4-BE49-F238E27FC236}">
              <a16:creationId xmlns:a16="http://schemas.microsoft.com/office/drawing/2014/main" id="{94C7D480-AB4D-F6F5-F7B5-3959163F271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77" name="Text Box 45" hidden="1">
          <a:extLst>
            <a:ext uri="{FF2B5EF4-FFF2-40B4-BE49-F238E27FC236}">
              <a16:creationId xmlns:a16="http://schemas.microsoft.com/office/drawing/2014/main" id="{FEBBDE65-7A50-90ED-85B5-5C745207361E}"/>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76" name="Text Box 44" hidden="1">
          <a:extLst>
            <a:ext uri="{FF2B5EF4-FFF2-40B4-BE49-F238E27FC236}">
              <a16:creationId xmlns:a16="http://schemas.microsoft.com/office/drawing/2014/main" id="{FF9E9D17-C446-70D6-2872-626BDD053F6E}"/>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75" name="Text Box 43" hidden="1">
          <a:extLst>
            <a:ext uri="{FF2B5EF4-FFF2-40B4-BE49-F238E27FC236}">
              <a16:creationId xmlns:a16="http://schemas.microsoft.com/office/drawing/2014/main" id="{29ABD795-6EFB-6056-4867-0201F7BBE608}"/>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95" name="Text Box 63" hidden="1">
          <a:extLst>
            <a:ext uri="{FF2B5EF4-FFF2-40B4-BE49-F238E27FC236}">
              <a16:creationId xmlns:a16="http://schemas.microsoft.com/office/drawing/2014/main" id="{7E73B1EA-F741-6C48-58D7-436BCD3E370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94" name="Text Box 62" hidden="1">
          <a:extLst>
            <a:ext uri="{FF2B5EF4-FFF2-40B4-BE49-F238E27FC236}">
              <a16:creationId xmlns:a16="http://schemas.microsoft.com/office/drawing/2014/main" id="{CA4E68AE-1CB7-0F93-465E-42575A464E81}"/>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93" name="Text Box 61" hidden="1">
          <a:extLst>
            <a:ext uri="{FF2B5EF4-FFF2-40B4-BE49-F238E27FC236}">
              <a16:creationId xmlns:a16="http://schemas.microsoft.com/office/drawing/2014/main" id="{8EE90F4A-FEDB-FF06-55FC-C4EDFEB12B6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92" name="Text Box 60" hidden="1">
          <a:extLst>
            <a:ext uri="{FF2B5EF4-FFF2-40B4-BE49-F238E27FC236}">
              <a16:creationId xmlns:a16="http://schemas.microsoft.com/office/drawing/2014/main" id="{502A3F36-8F8E-8694-5AD6-EF6F6FE9F18A}"/>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91" name="Text Box 59" hidden="1">
          <a:extLst>
            <a:ext uri="{FF2B5EF4-FFF2-40B4-BE49-F238E27FC236}">
              <a16:creationId xmlns:a16="http://schemas.microsoft.com/office/drawing/2014/main" id="{C5F9D72E-7463-1E04-29DF-1813BEC33914}"/>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90" name="Text Box 58" hidden="1">
          <a:extLst>
            <a:ext uri="{FF2B5EF4-FFF2-40B4-BE49-F238E27FC236}">
              <a16:creationId xmlns:a16="http://schemas.microsoft.com/office/drawing/2014/main" id="{09F02893-5B60-9106-987E-21829D04EE4A}"/>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89" name="Text Box 57" hidden="1">
          <a:extLst>
            <a:ext uri="{FF2B5EF4-FFF2-40B4-BE49-F238E27FC236}">
              <a16:creationId xmlns:a16="http://schemas.microsoft.com/office/drawing/2014/main" id="{06B47D6A-4284-CB47-A12E-75E5E11936A2}"/>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902" name="Text Box 70" hidden="1">
          <a:extLst>
            <a:ext uri="{FF2B5EF4-FFF2-40B4-BE49-F238E27FC236}">
              <a16:creationId xmlns:a16="http://schemas.microsoft.com/office/drawing/2014/main" id="{A5FDD895-DB3A-F39B-3B37-5C380BBE8D37}"/>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901" name="Text Box 69" hidden="1">
          <a:extLst>
            <a:ext uri="{FF2B5EF4-FFF2-40B4-BE49-F238E27FC236}">
              <a16:creationId xmlns:a16="http://schemas.microsoft.com/office/drawing/2014/main" id="{7A21E931-DC5C-E1B1-D7E4-E09E663890C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900" name="Text Box 68" hidden="1">
          <a:extLst>
            <a:ext uri="{FF2B5EF4-FFF2-40B4-BE49-F238E27FC236}">
              <a16:creationId xmlns:a16="http://schemas.microsoft.com/office/drawing/2014/main" id="{7367417A-9A8F-B79E-666C-EFE581A6C1C8}"/>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99" name="Text Box 67" hidden="1">
          <a:extLst>
            <a:ext uri="{FF2B5EF4-FFF2-40B4-BE49-F238E27FC236}">
              <a16:creationId xmlns:a16="http://schemas.microsoft.com/office/drawing/2014/main" id="{FDE2F8D0-4130-0BBB-9E03-42587C9E8EF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98" name="Text Box 66" hidden="1">
          <a:extLst>
            <a:ext uri="{FF2B5EF4-FFF2-40B4-BE49-F238E27FC236}">
              <a16:creationId xmlns:a16="http://schemas.microsoft.com/office/drawing/2014/main" id="{25936F9F-4D29-BD4A-A1B8-4342B3ABCA73}"/>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97" name="Text Box 65" hidden="1">
          <a:extLst>
            <a:ext uri="{FF2B5EF4-FFF2-40B4-BE49-F238E27FC236}">
              <a16:creationId xmlns:a16="http://schemas.microsoft.com/office/drawing/2014/main" id="{5A8A868D-8668-0B45-6808-18815D0ABC5F}"/>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96" name="Text Box 64" hidden="1">
          <a:extLst>
            <a:ext uri="{FF2B5EF4-FFF2-40B4-BE49-F238E27FC236}">
              <a16:creationId xmlns:a16="http://schemas.microsoft.com/office/drawing/2014/main" id="{E9A6EF0C-0C87-5C2F-BA98-50BB23E7FB7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68</xdr:row>
      <xdr:rowOff>160181</xdr:rowOff>
    </xdr:from>
    <xdr:to>
      <xdr:col>2</xdr:col>
      <xdr:colOff>773898</xdr:colOff>
      <xdr:row>68</xdr:row>
      <xdr:rowOff>160181</xdr:rowOff>
    </xdr:to>
    <xdr:sp macro="" textlink="">
      <xdr:nvSpPr>
        <xdr:cNvPr id="376909" name="Text Box 77" hidden="1">
          <a:extLst>
            <a:ext uri="{FF2B5EF4-FFF2-40B4-BE49-F238E27FC236}">
              <a16:creationId xmlns:a16="http://schemas.microsoft.com/office/drawing/2014/main" id="{459B16E4-67F5-7B78-2B05-607381E4279C}"/>
            </a:ext>
          </a:extLst>
        </xdr:cNvPr>
        <xdr:cNvSpPr txBox="1">
          <a:spLocks noChangeArrowheads="1"/>
        </xdr:cNvSpPr>
      </xdr:nvSpPr>
      <xdr:spPr bwMode="auto">
        <a:xfrm>
          <a:off x="2724150" y="136271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198281</xdr:rowOff>
    </xdr:from>
    <xdr:to>
      <xdr:col>2</xdr:col>
      <xdr:colOff>659598</xdr:colOff>
      <xdr:row>66</xdr:row>
      <xdr:rowOff>179231</xdr:rowOff>
    </xdr:to>
    <xdr:sp macro="" textlink="">
      <xdr:nvSpPr>
        <xdr:cNvPr id="376908" name="Text Box 76" hidden="1">
          <a:extLst>
            <a:ext uri="{FF2B5EF4-FFF2-40B4-BE49-F238E27FC236}">
              <a16:creationId xmlns:a16="http://schemas.microsoft.com/office/drawing/2014/main" id="{4C65BBA8-01CE-DB28-B116-1E791DC52FA4}"/>
            </a:ext>
          </a:extLst>
        </xdr:cNvPr>
        <xdr:cNvSpPr txBox="1">
          <a:spLocks noChangeArrowheads="1"/>
        </xdr:cNvSpPr>
      </xdr:nvSpPr>
      <xdr:spPr bwMode="auto">
        <a:xfrm>
          <a:off x="2705100" y="126746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142736</xdr:rowOff>
    </xdr:from>
    <xdr:to>
      <xdr:col>2</xdr:col>
      <xdr:colOff>659598</xdr:colOff>
      <xdr:row>67</xdr:row>
      <xdr:rowOff>489</xdr:rowOff>
    </xdr:to>
    <xdr:sp macro="" textlink="">
      <xdr:nvSpPr>
        <xdr:cNvPr id="376907" name="Text Box 75" hidden="1">
          <a:extLst>
            <a:ext uri="{FF2B5EF4-FFF2-40B4-BE49-F238E27FC236}">
              <a16:creationId xmlns:a16="http://schemas.microsoft.com/office/drawing/2014/main" id="{692E2A35-CD86-DF92-FBC2-7CB5E41E3F19}"/>
            </a:ext>
          </a:extLst>
        </xdr:cNvPr>
        <xdr:cNvSpPr txBox="1">
          <a:spLocks noChangeArrowheads="1"/>
        </xdr:cNvSpPr>
      </xdr:nvSpPr>
      <xdr:spPr bwMode="auto">
        <a:xfrm>
          <a:off x="2705100" y="129603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489</xdr:rowOff>
    </xdr:from>
    <xdr:to>
      <xdr:col>2</xdr:col>
      <xdr:colOff>659598</xdr:colOff>
      <xdr:row>67</xdr:row>
      <xdr:rowOff>179231</xdr:rowOff>
    </xdr:to>
    <xdr:sp macro="" textlink="">
      <xdr:nvSpPr>
        <xdr:cNvPr id="376906" name="Text Box 74" hidden="1">
          <a:extLst>
            <a:ext uri="{FF2B5EF4-FFF2-40B4-BE49-F238E27FC236}">
              <a16:creationId xmlns:a16="http://schemas.microsoft.com/office/drawing/2014/main" id="{6FD3E38D-C572-86DA-EBB9-03ADA81BD2BD}"/>
            </a:ext>
          </a:extLst>
        </xdr:cNvPr>
        <xdr:cNvSpPr txBox="1">
          <a:spLocks noChangeArrowheads="1"/>
        </xdr:cNvSpPr>
      </xdr:nvSpPr>
      <xdr:spPr bwMode="auto">
        <a:xfrm>
          <a:off x="2705100" y="131381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179231</xdr:rowOff>
    </xdr:from>
    <xdr:to>
      <xdr:col>2</xdr:col>
      <xdr:colOff>659598</xdr:colOff>
      <xdr:row>67</xdr:row>
      <xdr:rowOff>293531</xdr:rowOff>
    </xdr:to>
    <xdr:sp macro="" textlink="">
      <xdr:nvSpPr>
        <xdr:cNvPr id="376905" name="Text Box 73" hidden="1">
          <a:extLst>
            <a:ext uri="{FF2B5EF4-FFF2-40B4-BE49-F238E27FC236}">
              <a16:creationId xmlns:a16="http://schemas.microsoft.com/office/drawing/2014/main" id="{EA3B16A2-728E-C99A-8747-97D0652AD9D1}"/>
            </a:ext>
          </a:extLst>
        </xdr:cNvPr>
        <xdr:cNvSpPr txBox="1">
          <a:spLocks noChangeArrowheads="1"/>
        </xdr:cNvSpPr>
      </xdr:nvSpPr>
      <xdr:spPr bwMode="auto">
        <a:xfrm>
          <a:off x="2705100" y="133159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293531</xdr:rowOff>
    </xdr:from>
    <xdr:to>
      <xdr:col>2</xdr:col>
      <xdr:colOff>659598</xdr:colOff>
      <xdr:row>68</xdr:row>
      <xdr:rowOff>66536</xdr:rowOff>
    </xdr:to>
    <xdr:sp macro="" textlink="">
      <xdr:nvSpPr>
        <xdr:cNvPr id="376904" name="Text Box 72" hidden="1">
          <a:extLst>
            <a:ext uri="{FF2B5EF4-FFF2-40B4-BE49-F238E27FC236}">
              <a16:creationId xmlns:a16="http://schemas.microsoft.com/office/drawing/2014/main" id="{F7D89B4D-C9FF-2A20-73A1-A0C3E0ECC002}"/>
            </a:ext>
          </a:extLst>
        </xdr:cNvPr>
        <xdr:cNvSpPr txBox="1">
          <a:spLocks noChangeArrowheads="1"/>
        </xdr:cNvSpPr>
      </xdr:nvSpPr>
      <xdr:spPr bwMode="auto">
        <a:xfrm>
          <a:off x="2705100" y="134302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66536</xdr:rowOff>
    </xdr:from>
    <xdr:to>
      <xdr:col>2</xdr:col>
      <xdr:colOff>659598</xdr:colOff>
      <xdr:row>68</xdr:row>
      <xdr:rowOff>236381</xdr:rowOff>
    </xdr:to>
    <xdr:sp macro="" textlink="">
      <xdr:nvSpPr>
        <xdr:cNvPr id="376903" name="Text Box 71" hidden="1">
          <a:extLst>
            <a:ext uri="{FF2B5EF4-FFF2-40B4-BE49-F238E27FC236}">
              <a16:creationId xmlns:a16="http://schemas.microsoft.com/office/drawing/2014/main" id="{0BABDFC4-E531-913D-0C82-FA380E211B23}"/>
            </a:ext>
          </a:extLst>
        </xdr:cNvPr>
        <xdr:cNvSpPr txBox="1">
          <a:spLocks noChangeArrowheads="1"/>
        </xdr:cNvSpPr>
      </xdr:nvSpPr>
      <xdr:spPr bwMode="auto">
        <a:xfrm>
          <a:off x="2705100" y="13544550"/>
          <a:ext cx="1320800" cy="15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68</xdr:row>
      <xdr:rowOff>160181</xdr:rowOff>
    </xdr:from>
    <xdr:to>
      <xdr:col>2</xdr:col>
      <xdr:colOff>773898</xdr:colOff>
      <xdr:row>68</xdr:row>
      <xdr:rowOff>160181</xdr:rowOff>
    </xdr:to>
    <xdr:sp macro="" textlink="">
      <xdr:nvSpPr>
        <xdr:cNvPr id="376916" name="Text Box 84" hidden="1">
          <a:extLst>
            <a:ext uri="{FF2B5EF4-FFF2-40B4-BE49-F238E27FC236}">
              <a16:creationId xmlns:a16="http://schemas.microsoft.com/office/drawing/2014/main" id="{B10A64DD-9D2E-5C46-79AC-3919C973FC02}"/>
            </a:ext>
          </a:extLst>
        </xdr:cNvPr>
        <xdr:cNvSpPr txBox="1">
          <a:spLocks noChangeArrowheads="1"/>
        </xdr:cNvSpPr>
      </xdr:nvSpPr>
      <xdr:spPr bwMode="auto">
        <a:xfrm>
          <a:off x="2724150" y="136271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198281</xdr:rowOff>
    </xdr:from>
    <xdr:to>
      <xdr:col>2</xdr:col>
      <xdr:colOff>659598</xdr:colOff>
      <xdr:row>66</xdr:row>
      <xdr:rowOff>179231</xdr:rowOff>
    </xdr:to>
    <xdr:sp macro="" textlink="">
      <xdr:nvSpPr>
        <xdr:cNvPr id="376915" name="Text Box 83" hidden="1">
          <a:extLst>
            <a:ext uri="{FF2B5EF4-FFF2-40B4-BE49-F238E27FC236}">
              <a16:creationId xmlns:a16="http://schemas.microsoft.com/office/drawing/2014/main" id="{388F033F-569F-ECFA-EB5C-57EF64794363}"/>
            </a:ext>
          </a:extLst>
        </xdr:cNvPr>
        <xdr:cNvSpPr txBox="1">
          <a:spLocks noChangeArrowheads="1"/>
        </xdr:cNvSpPr>
      </xdr:nvSpPr>
      <xdr:spPr bwMode="auto">
        <a:xfrm>
          <a:off x="2705100" y="12674600"/>
          <a:ext cx="132080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142736</xdr:rowOff>
    </xdr:from>
    <xdr:to>
      <xdr:col>2</xdr:col>
      <xdr:colOff>659598</xdr:colOff>
      <xdr:row>67</xdr:row>
      <xdr:rowOff>489</xdr:rowOff>
    </xdr:to>
    <xdr:sp macro="" textlink="">
      <xdr:nvSpPr>
        <xdr:cNvPr id="376914" name="Text Box 82" hidden="1">
          <a:extLst>
            <a:ext uri="{FF2B5EF4-FFF2-40B4-BE49-F238E27FC236}">
              <a16:creationId xmlns:a16="http://schemas.microsoft.com/office/drawing/2014/main" id="{F557BCC3-3C2E-62A0-AC61-DBDBEBB2257F}"/>
            </a:ext>
          </a:extLst>
        </xdr:cNvPr>
        <xdr:cNvSpPr txBox="1">
          <a:spLocks noChangeArrowheads="1"/>
        </xdr:cNvSpPr>
      </xdr:nvSpPr>
      <xdr:spPr bwMode="auto">
        <a:xfrm>
          <a:off x="2705100" y="129603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489</xdr:rowOff>
    </xdr:from>
    <xdr:to>
      <xdr:col>2</xdr:col>
      <xdr:colOff>659598</xdr:colOff>
      <xdr:row>67</xdr:row>
      <xdr:rowOff>179231</xdr:rowOff>
    </xdr:to>
    <xdr:sp macro="" textlink="">
      <xdr:nvSpPr>
        <xdr:cNvPr id="376913" name="Text Box 81" hidden="1">
          <a:extLst>
            <a:ext uri="{FF2B5EF4-FFF2-40B4-BE49-F238E27FC236}">
              <a16:creationId xmlns:a16="http://schemas.microsoft.com/office/drawing/2014/main" id="{C37A8B92-0808-1B77-C0AF-F776DCA5C398}"/>
            </a:ext>
          </a:extLst>
        </xdr:cNvPr>
        <xdr:cNvSpPr txBox="1">
          <a:spLocks noChangeArrowheads="1"/>
        </xdr:cNvSpPr>
      </xdr:nvSpPr>
      <xdr:spPr bwMode="auto">
        <a:xfrm>
          <a:off x="2705100" y="131381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179231</xdr:rowOff>
    </xdr:from>
    <xdr:to>
      <xdr:col>2</xdr:col>
      <xdr:colOff>659598</xdr:colOff>
      <xdr:row>67</xdr:row>
      <xdr:rowOff>293531</xdr:rowOff>
    </xdr:to>
    <xdr:sp macro="" textlink="">
      <xdr:nvSpPr>
        <xdr:cNvPr id="376912" name="Text Box 80" hidden="1">
          <a:extLst>
            <a:ext uri="{FF2B5EF4-FFF2-40B4-BE49-F238E27FC236}">
              <a16:creationId xmlns:a16="http://schemas.microsoft.com/office/drawing/2014/main" id="{BDDF56AC-F3E0-48B5-F887-3854E08E0887}"/>
            </a:ext>
          </a:extLst>
        </xdr:cNvPr>
        <xdr:cNvSpPr txBox="1">
          <a:spLocks noChangeArrowheads="1"/>
        </xdr:cNvSpPr>
      </xdr:nvSpPr>
      <xdr:spPr bwMode="auto">
        <a:xfrm>
          <a:off x="2705100" y="133159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293531</xdr:rowOff>
    </xdr:from>
    <xdr:to>
      <xdr:col>2</xdr:col>
      <xdr:colOff>659598</xdr:colOff>
      <xdr:row>68</xdr:row>
      <xdr:rowOff>66536</xdr:rowOff>
    </xdr:to>
    <xdr:sp macro="" textlink="">
      <xdr:nvSpPr>
        <xdr:cNvPr id="376911" name="Text Box 79" hidden="1">
          <a:extLst>
            <a:ext uri="{FF2B5EF4-FFF2-40B4-BE49-F238E27FC236}">
              <a16:creationId xmlns:a16="http://schemas.microsoft.com/office/drawing/2014/main" id="{30AE7D83-BCF9-1F5C-4C30-055E3D19C828}"/>
            </a:ext>
          </a:extLst>
        </xdr:cNvPr>
        <xdr:cNvSpPr txBox="1">
          <a:spLocks noChangeArrowheads="1"/>
        </xdr:cNvSpPr>
      </xdr:nvSpPr>
      <xdr:spPr bwMode="auto">
        <a:xfrm>
          <a:off x="2705100" y="134302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66536</xdr:rowOff>
    </xdr:from>
    <xdr:to>
      <xdr:col>2</xdr:col>
      <xdr:colOff>659598</xdr:colOff>
      <xdr:row>68</xdr:row>
      <xdr:rowOff>236381</xdr:rowOff>
    </xdr:to>
    <xdr:sp macro="" textlink="">
      <xdr:nvSpPr>
        <xdr:cNvPr id="376910" name="Text Box 78" hidden="1">
          <a:extLst>
            <a:ext uri="{FF2B5EF4-FFF2-40B4-BE49-F238E27FC236}">
              <a16:creationId xmlns:a16="http://schemas.microsoft.com/office/drawing/2014/main" id="{3231700D-E483-E69A-737E-82E6C42402EA}"/>
            </a:ext>
          </a:extLst>
        </xdr:cNvPr>
        <xdr:cNvSpPr txBox="1">
          <a:spLocks noChangeArrowheads="1"/>
        </xdr:cNvSpPr>
      </xdr:nvSpPr>
      <xdr:spPr bwMode="auto">
        <a:xfrm>
          <a:off x="2705100" y="13544550"/>
          <a:ext cx="1320800" cy="15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69</xdr:row>
      <xdr:rowOff>0</xdr:rowOff>
    </xdr:from>
    <xdr:to>
      <xdr:col>2</xdr:col>
      <xdr:colOff>773898</xdr:colOff>
      <xdr:row>69</xdr:row>
      <xdr:rowOff>0</xdr:rowOff>
    </xdr:to>
    <xdr:sp macro="" textlink="">
      <xdr:nvSpPr>
        <xdr:cNvPr id="377863" name="Text Box 7" hidden="1">
          <a:extLst>
            <a:ext uri="{FF2B5EF4-FFF2-40B4-BE49-F238E27FC236}">
              <a16:creationId xmlns:a16="http://schemas.microsoft.com/office/drawing/2014/main" id="{8BB22F0A-6C22-B387-FD71-B611F6DA7ADC}"/>
            </a:ext>
          </a:extLst>
        </xdr:cNvPr>
        <xdr:cNvSpPr txBox="1">
          <a:spLocks noChangeArrowheads="1"/>
        </xdr:cNvSpPr>
      </xdr:nvSpPr>
      <xdr:spPr bwMode="auto">
        <a:xfrm>
          <a:off x="2724150" y="1381125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171450</xdr:rowOff>
    </xdr:from>
    <xdr:to>
      <xdr:col>2</xdr:col>
      <xdr:colOff>659598</xdr:colOff>
      <xdr:row>67</xdr:row>
      <xdr:rowOff>152400</xdr:rowOff>
    </xdr:to>
    <xdr:sp macro="" textlink="">
      <xdr:nvSpPr>
        <xdr:cNvPr id="377862" name="Text Box 6" hidden="1">
          <a:extLst>
            <a:ext uri="{FF2B5EF4-FFF2-40B4-BE49-F238E27FC236}">
              <a16:creationId xmlns:a16="http://schemas.microsoft.com/office/drawing/2014/main" id="{C6700B10-2481-46CF-B87C-AD3B8E4A7959}"/>
            </a:ext>
          </a:extLst>
        </xdr:cNvPr>
        <xdr:cNvSpPr txBox="1">
          <a:spLocks noChangeArrowheads="1"/>
        </xdr:cNvSpPr>
      </xdr:nvSpPr>
      <xdr:spPr bwMode="auto">
        <a:xfrm>
          <a:off x="2705100" y="129921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133350</xdr:rowOff>
    </xdr:from>
    <xdr:to>
      <xdr:col>2</xdr:col>
      <xdr:colOff>659598</xdr:colOff>
      <xdr:row>67</xdr:row>
      <xdr:rowOff>304800</xdr:rowOff>
    </xdr:to>
    <xdr:sp macro="" textlink="">
      <xdr:nvSpPr>
        <xdr:cNvPr id="377861" name="Text Box 5" hidden="1">
          <a:extLst>
            <a:ext uri="{FF2B5EF4-FFF2-40B4-BE49-F238E27FC236}">
              <a16:creationId xmlns:a16="http://schemas.microsoft.com/office/drawing/2014/main" id="{B5A64647-06CD-D687-7C6B-842C1B28EA07}"/>
            </a:ext>
          </a:extLst>
        </xdr:cNvPr>
        <xdr:cNvSpPr txBox="1">
          <a:spLocks noChangeArrowheads="1"/>
        </xdr:cNvSpPr>
      </xdr:nvSpPr>
      <xdr:spPr bwMode="auto">
        <a:xfrm>
          <a:off x="2705100" y="13284200"/>
          <a:ext cx="132080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304800</xdr:rowOff>
    </xdr:from>
    <xdr:to>
      <xdr:col>2</xdr:col>
      <xdr:colOff>659598</xdr:colOff>
      <xdr:row>68</xdr:row>
      <xdr:rowOff>152400</xdr:rowOff>
    </xdr:to>
    <xdr:sp macro="" textlink="">
      <xdr:nvSpPr>
        <xdr:cNvPr id="377860" name="Text Box 4" hidden="1">
          <a:extLst>
            <a:ext uri="{FF2B5EF4-FFF2-40B4-BE49-F238E27FC236}">
              <a16:creationId xmlns:a16="http://schemas.microsoft.com/office/drawing/2014/main" id="{F36D56D0-C829-6497-83EF-9A1048D2058B}"/>
            </a:ext>
          </a:extLst>
        </xdr:cNvPr>
        <xdr:cNvSpPr txBox="1">
          <a:spLocks noChangeArrowheads="1"/>
        </xdr:cNvSpPr>
      </xdr:nvSpPr>
      <xdr:spPr bwMode="auto">
        <a:xfrm>
          <a:off x="2705100" y="134556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152400</xdr:rowOff>
    </xdr:from>
    <xdr:to>
      <xdr:col>2</xdr:col>
      <xdr:colOff>659598</xdr:colOff>
      <xdr:row>68</xdr:row>
      <xdr:rowOff>266700</xdr:rowOff>
    </xdr:to>
    <xdr:sp macro="" textlink="">
      <xdr:nvSpPr>
        <xdr:cNvPr id="377859" name="Text Box 3" hidden="1">
          <a:extLst>
            <a:ext uri="{FF2B5EF4-FFF2-40B4-BE49-F238E27FC236}">
              <a16:creationId xmlns:a16="http://schemas.microsoft.com/office/drawing/2014/main" id="{790B31AA-73EA-0FED-B469-127E1441C301}"/>
            </a:ext>
          </a:extLst>
        </xdr:cNvPr>
        <xdr:cNvSpPr txBox="1">
          <a:spLocks noChangeArrowheads="1"/>
        </xdr:cNvSpPr>
      </xdr:nvSpPr>
      <xdr:spPr bwMode="auto">
        <a:xfrm>
          <a:off x="2705100" y="136334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266700</xdr:rowOff>
    </xdr:from>
    <xdr:to>
      <xdr:col>2</xdr:col>
      <xdr:colOff>659598</xdr:colOff>
      <xdr:row>69</xdr:row>
      <xdr:rowOff>0</xdr:rowOff>
    </xdr:to>
    <xdr:sp macro="" textlink="">
      <xdr:nvSpPr>
        <xdr:cNvPr id="377858" name="Text Box 2" hidden="1">
          <a:extLst>
            <a:ext uri="{FF2B5EF4-FFF2-40B4-BE49-F238E27FC236}">
              <a16:creationId xmlns:a16="http://schemas.microsoft.com/office/drawing/2014/main" id="{B5A23781-FBD8-CF43-CD97-16D60463F32D}"/>
            </a:ext>
          </a:extLst>
        </xdr:cNvPr>
        <xdr:cNvSpPr txBox="1">
          <a:spLocks noChangeArrowheads="1"/>
        </xdr:cNvSpPr>
      </xdr:nvSpPr>
      <xdr:spPr bwMode="auto">
        <a:xfrm>
          <a:off x="2705100" y="13747750"/>
          <a:ext cx="132080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69</xdr:row>
      <xdr:rowOff>0</xdr:rowOff>
    </xdr:from>
    <xdr:to>
      <xdr:col>2</xdr:col>
      <xdr:colOff>659598</xdr:colOff>
      <xdr:row>69</xdr:row>
      <xdr:rowOff>76200</xdr:rowOff>
    </xdr:to>
    <xdr:sp macro="" textlink="">
      <xdr:nvSpPr>
        <xdr:cNvPr id="377857" name="Text Box 1" hidden="1">
          <a:extLst>
            <a:ext uri="{FF2B5EF4-FFF2-40B4-BE49-F238E27FC236}">
              <a16:creationId xmlns:a16="http://schemas.microsoft.com/office/drawing/2014/main" id="{0AAF2612-B8CA-EFA0-3514-D7A7EA8827C8}"/>
            </a:ext>
          </a:extLst>
        </xdr:cNvPr>
        <xdr:cNvSpPr txBox="1">
          <a:spLocks noChangeArrowheads="1"/>
        </xdr:cNvSpPr>
      </xdr:nvSpPr>
      <xdr:spPr bwMode="auto">
        <a:xfrm>
          <a:off x="2705100" y="13811250"/>
          <a:ext cx="13208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18</xdr:col>
      <xdr:colOff>114300</xdr:colOff>
      <xdr:row>12</xdr:row>
      <xdr:rowOff>457200</xdr:rowOff>
    </xdr:from>
    <xdr:to>
      <xdr:col>20</xdr:col>
      <xdr:colOff>419100</xdr:colOff>
      <xdr:row>16</xdr:row>
      <xdr:rowOff>83704</xdr:rowOff>
    </xdr:to>
    <xdr:sp macro="" textlink="">
      <xdr:nvSpPr>
        <xdr:cNvPr id="250883" name="Text Box 1027" hidden="1">
          <a:extLst>
            <a:ext uri="{FF2B5EF4-FFF2-40B4-BE49-F238E27FC236}">
              <a16:creationId xmlns:a16="http://schemas.microsoft.com/office/drawing/2014/main" id="{1188A251-9838-4F62-9E65-14B2C672C074}"/>
            </a:ext>
          </a:extLst>
        </xdr:cNvPr>
        <xdr:cNvSpPr txBox="1">
          <a:spLocks noChangeArrowheads="1"/>
        </xdr:cNvSpPr>
      </xdr:nvSpPr>
      <xdr:spPr bwMode="auto">
        <a:xfrm>
          <a:off x="12961620" y="3017520"/>
          <a:ext cx="128016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13</xdr:row>
      <xdr:rowOff>31635</xdr:rowOff>
    </xdr:from>
    <xdr:to>
      <xdr:col>20</xdr:col>
      <xdr:colOff>564515</xdr:colOff>
      <xdr:row>17</xdr:row>
      <xdr:rowOff>31634</xdr:rowOff>
    </xdr:to>
    <xdr:sp macro="" textlink="">
      <xdr:nvSpPr>
        <xdr:cNvPr id="3074" name="Text Box 1026" hidden="1">
          <a:extLst>
            <a:ext uri="{FF2B5EF4-FFF2-40B4-BE49-F238E27FC236}">
              <a16:creationId xmlns:a16="http://schemas.microsoft.com/office/drawing/2014/main" id="{C7808545-A7FB-4251-A7D2-05E26F9F72EC}"/>
            </a:ext>
          </a:extLst>
        </xdr:cNvPr>
        <xdr:cNvSpPr txBox="1">
          <a:spLocks noChangeArrowheads="1"/>
        </xdr:cNvSpPr>
      </xdr:nvSpPr>
      <xdr:spPr bwMode="auto">
        <a:xfrm>
          <a:off x="12639675" y="32480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absolute">
    <xdr:from>
      <xdr:col>9</xdr:col>
      <xdr:colOff>547771</xdr:colOff>
      <xdr:row>29</xdr:row>
      <xdr:rowOff>95250</xdr:rowOff>
    </xdr:from>
    <xdr:to>
      <xdr:col>11</xdr:col>
      <xdr:colOff>471571</xdr:colOff>
      <xdr:row>33</xdr:row>
      <xdr:rowOff>76200</xdr:rowOff>
    </xdr:to>
    <xdr:sp macro="" textlink="">
      <xdr:nvSpPr>
        <xdr:cNvPr id="396289" name="Text Box 1025" hidden="1">
          <a:extLst>
            <a:ext uri="{FF2B5EF4-FFF2-40B4-BE49-F238E27FC236}">
              <a16:creationId xmlns:a16="http://schemas.microsoft.com/office/drawing/2014/main" id="{FB9BADDC-3C45-2035-65B0-52959F3850C8}"/>
            </a:ext>
          </a:extLst>
        </xdr:cNvPr>
        <xdr:cNvSpPr txBox="1">
          <a:spLocks noChangeArrowheads="1"/>
        </xdr:cNvSpPr>
      </xdr:nvSpPr>
      <xdr:spPr bwMode="auto">
        <a:xfrm>
          <a:off x="851535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547771</xdr:colOff>
      <xdr:row>10</xdr:row>
      <xdr:rowOff>95250</xdr:rowOff>
    </xdr:from>
    <xdr:to>
      <xdr:col>6</xdr:col>
      <xdr:colOff>471571</xdr:colOff>
      <xdr:row>14</xdr:row>
      <xdr:rowOff>76200</xdr:rowOff>
    </xdr:to>
    <xdr:sp macro="" textlink="">
      <xdr:nvSpPr>
        <xdr:cNvPr id="396290" name="Text Box 1026" hidden="1">
          <a:extLst>
            <a:ext uri="{FF2B5EF4-FFF2-40B4-BE49-F238E27FC236}">
              <a16:creationId xmlns:a16="http://schemas.microsoft.com/office/drawing/2014/main" id="{8BD3D822-5854-EDF7-6052-F85DF2285FF2}"/>
            </a:ext>
          </a:extLst>
        </xdr:cNvPr>
        <xdr:cNvSpPr txBox="1">
          <a:spLocks noChangeArrowheads="1"/>
        </xdr:cNvSpPr>
      </xdr:nvSpPr>
      <xdr:spPr bwMode="auto">
        <a:xfrm>
          <a:off x="470535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547771</xdr:colOff>
      <xdr:row>29</xdr:row>
      <xdr:rowOff>95250</xdr:rowOff>
    </xdr:from>
    <xdr:to>
      <xdr:col>11</xdr:col>
      <xdr:colOff>471571</xdr:colOff>
      <xdr:row>33</xdr:row>
      <xdr:rowOff>76200</xdr:rowOff>
    </xdr:to>
    <xdr:sp macro="" textlink="">
      <xdr:nvSpPr>
        <xdr:cNvPr id="396292" name="Text Box 1028" hidden="1">
          <a:extLst>
            <a:ext uri="{FF2B5EF4-FFF2-40B4-BE49-F238E27FC236}">
              <a16:creationId xmlns:a16="http://schemas.microsoft.com/office/drawing/2014/main" id="{9C14A378-906C-EC2C-075F-830681768C56}"/>
            </a:ext>
          </a:extLst>
        </xdr:cNvPr>
        <xdr:cNvSpPr txBox="1">
          <a:spLocks noChangeArrowheads="1"/>
        </xdr:cNvSpPr>
      </xdr:nvSpPr>
      <xdr:spPr bwMode="auto">
        <a:xfrm>
          <a:off x="851535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547771</xdr:colOff>
      <xdr:row>10</xdr:row>
      <xdr:rowOff>95250</xdr:rowOff>
    </xdr:from>
    <xdr:to>
      <xdr:col>6</xdr:col>
      <xdr:colOff>471571</xdr:colOff>
      <xdr:row>14</xdr:row>
      <xdr:rowOff>76200</xdr:rowOff>
    </xdr:to>
    <xdr:sp macro="" textlink="">
      <xdr:nvSpPr>
        <xdr:cNvPr id="396291" name="Text Box 1027" hidden="1">
          <a:extLst>
            <a:ext uri="{FF2B5EF4-FFF2-40B4-BE49-F238E27FC236}">
              <a16:creationId xmlns:a16="http://schemas.microsoft.com/office/drawing/2014/main" id="{1461D900-7C9E-1AF7-402D-8B5CD90993DC}"/>
            </a:ext>
          </a:extLst>
        </xdr:cNvPr>
        <xdr:cNvSpPr txBox="1">
          <a:spLocks noChangeArrowheads="1"/>
        </xdr:cNvSpPr>
      </xdr:nvSpPr>
      <xdr:spPr bwMode="auto">
        <a:xfrm>
          <a:off x="470535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6" name="Text Box 1032" hidden="1">
          <a:extLst>
            <a:ext uri="{FF2B5EF4-FFF2-40B4-BE49-F238E27FC236}">
              <a16:creationId xmlns:a16="http://schemas.microsoft.com/office/drawing/2014/main" id="{B65623ED-B36B-4B78-F566-BD0F6C056A65}"/>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5" name="Text Box 1031" hidden="1">
          <a:extLst>
            <a:ext uri="{FF2B5EF4-FFF2-40B4-BE49-F238E27FC236}">
              <a16:creationId xmlns:a16="http://schemas.microsoft.com/office/drawing/2014/main" id="{23284DD2-64A6-2A25-9525-103B571E4F83}"/>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4" name="Text Box 1030" hidden="1">
          <a:extLst>
            <a:ext uri="{FF2B5EF4-FFF2-40B4-BE49-F238E27FC236}">
              <a16:creationId xmlns:a16="http://schemas.microsoft.com/office/drawing/2014/main" id="{28D08285-F2DE-8E25-7A8B-ED862B98C637}"/>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3" name="Text Box 1029" hidden="1">
          <a:extLst>
            <a:ext uri="{FF2B5EF4-FFF2-40B4-BE49-F238E27FC236}">
              <a16:creationId xmlns:a16="http://schemas.microsoft.com/office/drawing/2014/main" id="{E1D7CF7A-4A46-D0FC-0932-5BF269AD00BB}"/>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8" name="Text Box 1034" hidden="1">
          <a:extLst>
            <a:ext uri="{FF2B5EF4-FFF2-40B4-BE49-F238E27FC236}">
              <a16:creationId xmlns:a16="http://schemas.microsoft.com/office/drawing/2014/main" id="{3D7BD058-EB55-CE81-5E43-3CE6E678F2BD}"/>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7" name="Text Box 1033" hidden="1">
          <a:extLst>
            <a:ext uri="{FF2B5EF4-FFF2-40B4-BE49-F238E27FC236}">
              <a16:creationId xmlns:a16="http://schemas.microsoft.com/office/drawing/2014/main" id="{069E3167-FBB0-AFBD-ECBC-8D24835D7AE6}"/>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0" name="Text Box 1036" hidden="1">
          <a:extLst>
            <a:ext uri="{FF2B5EF4-FFF2-40B4-BE49-F238E27FC236}">
              <a16:creationId xmlns:a16="http://schemas.microsoft.com/office/drawing/2014/main" id="{1C36C1B8-F3DF-169E-BA15-AD4C2B526D8B}"/>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9" name="Text Box 1035" hidden="1">
          <a:extLst>
            <a:ext uri="{FF2B5EF4-FFF2-40B4-BE49-F238E27FC236}">
              <a16:creationId xmlns:a16="http://schemas.microsoft.com/office/drawing/2014/main" id="{766BA7DA-4D42-68EA-F587-4A7342F2B889}"/>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2" name="Text Box 1038" hidden="1">
          <a:extLst>
            <a:ext uri="{FF2B5EF4-FFF2-40B4-BE49-F238E27FC236}">
              <a16:creationId xmlns:a16="http://schemas.microsoft.com/office/drawing/2014/main" id="{B7CDD08B-CC77-B79F-7931-335715BD8E5D}"/>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1" name="Text Box 1037" hidden="1">
          <a:extLst>
            <a:ext uri="{FF2B5EF4-FFF2-40B4-BE49-F238E27FC236}">
              <a16:creationId xmlns:a16="http://schemas.microsoft.com/office/drawing/2014/main" id="{F0A6E6B7-0585-8C8E-01F7-58F3913BF4E2}"/>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4" name="Text Box 1040" hidden="1">
          <a:extLst>
            <a:ext uri="{FF2B5EF4-FFF2-40B4-BE49-F238E27FC236}">
              <a16:creationId xmlns:a16="http://schemas.microsoft.com/office/drawing/2014/main" id="{D3821C2D-E8DD-46B9-DF8C-D7198118A24A}"/>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3" name="Text Box 1039" hidden="1">
          <a:extLst>
            <a:ext uri="{FF2B5EF4-FFF2-40B4-BE49-F238E27FC236}">
              <a16:creationId xmlns:a16="http://schemas.microsoft.com/office/drawing/2014/main" id="{D9FA63BE-B6EE-5004-7A5D-45CD499B1EAE}"/>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6" name="Text Box 1042" hidden="1">
          <a:extLst>
            <a:ext uri="{FF2B5EF4-FFF2-40B4-BE49-F238E27FC236}">
              <a16:creationId xmlns:a16="http://schemas.microsoft.com/office/drawing/2014/main" id="{465D0989-67C3-4139-994B-D400ABF9200B}"/>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5" name="Text Box 1041" hidden="1">
          <a:extLst>
            <a:ext uri="{FF2B5EF4-FFF2-40B4-BE49-F238E27FC236}">
              <a16:creationId xmlns:a16="http://schemas.microsoft.com/office/drawing/2014/main" id="{65278B84-78B6-3D71-B550-C472EB512DFF}"/>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4</xdr:col>
      <xdr:colOff>2590800</xdr:colOff>
      <xdr:row>2</xdr:row>
      <xdr:rowOff>114300</xdr:rowOff>
    </xdr:from>
    <xdr:to>
      <xdr:col>5</xdr:col>
      <xdr:colOff>76200</xdr:colOff>
      <xdr:row>7</xdr:row>
      <xdr:rowOff>76200</xdr:rowOff>
    </xdr:to>
    <xdr:sp macro="" textlink="">
      <xdr:nvSpPr>
        <xdr:cNvPr id="86017" name="Text Box 1" hidden="1">
          <a:extLst>
            <a:ext uri="{FF2B5EF4-FFF2-40B4-BE49-F238E27FC236}">
              <a16:creationId xmlns:a16="http://schemas.microsoft.com/office/drawing/2014/main" id="{60D1D001-1046-4533-9C45-39F857D1A743}"/>
            </a:ext>
          </a:extLst>
        </xdr:cNvPr>
        <xdr:cNvSpPr txBox="1">
          <a:spLocks noChangeArrowheads="1"/>
        </xdr:cNvSpPr>
      </xdr:nvSpPr>
      <xdr:spPr bwMode="auto">
        <a:xfrm>
          <a:off x="10919460" y="556260"/>
          <a:ext cx="76200" cy="876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3" name="Text Box 1" hidden="1">
          <a:extLst>
            <a:ext uri="{FF2B5EF4-FFF2-40B4-BE49-F238E27FC236}">
              <a16:creationId xmlns:a16="http://schemas.microsoft.com/office/drawing/2014/main" id="{8E661AB1-576B-4F12-9088-16C83BBC692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4" name="Text Box 2" hidden="1">
          <a:extLst>
            <a:ext uri="{FF2B5EF4-FFF2-40B4-BE49-F238E27FC236}">
              <a16:creationId xmlns:a16="http://schemas.microsoft.com/office/drawing/2014/main" id="{5D64C7B4-6B60-4D68-8748-DDB4737632B0}"/>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5" name="Text Box 3" hidden="1">
          <a:extLst>
            <a:ext uri="{FF2B5EF4-FFF2-40B4-BE49-F238E27FC236}">
              <a16:creationId xmlns:a16="http://schemas.microsoft.com/office/drawing/2014/main" id="{9F50BCF7-9A6F-4377-895F-D27D853E989E}"/>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6" name="Text Box 4" hidden="1">
          <a:extLst>
            <a:ext uri="{FF2B5EF4-FFF2-40B4-BE49-F238E27FC236}">
              <a16:creationId xmlns:a16="http://schemas.microsoft.com/office/drawing/2014/main" id="{5B1E0600-AA2B-4FD7-8092-70B9E83AEB60}"/>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7" name="Text Box 5" hidden="1">
          <a:extLst>
            <a:ext uri="{FF2B5EF4-FFF2-40B4-BE49-F238E27FC236}">
              <a16:creationId xmlns:a16="http://schemas.microsoft.com/office/drawing/2014/main" id="{553F7E12-35A7-4787-9C0D-072ECE7197B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8" name="Text Box 6" hidden="1">
          <a:extLst>
            <a:ext uri="{FF2B5EF4-FFF2-40B4-BE49-F238E27FC236}">
              <a16:creationId xmlns:a16="http://schemas.microsoft.com/office/drawing/2014/main" id="{4BC926D3-F2F6-4D7A-8C1E-8AA1153C934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9" name="Text Box 7" hidden="1">
          <a:extLst>
            <a:ext uri="{FF2B5EF4-FFF2-40B4-BE49-F238E27FC236}">
              <a16:creationId xmlns:a16="http://schemas.microsoft.com/office/drawing/2014/main" id="{E449CD3A-4189-42AF-BFE6-D40FFD3D2A01}"/>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0" name="Text Box 8" hidden="1">
          <a:extLst>
            <a:ext uri="{FF2B5EF4-FFF2-40B4-BE49-F238E27FC236}">
              <a16:creationId xmlns:a16="http://schemas.microsoft.com/office/drawing/2014/main" id="{E485E787-FDAC-468C-AA1A-21FDE0A2DE0C}"/>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1" name="Text Box 9" hidden="1">
          <a:extLst>
            <a:ext uri="{FF2B5EF4-FFF2-40B4-BE49-F238E27FC236}">
              <a16:creationId xmlns:a16="http://schemas.microsoft.com/office/drawing/2014/main" id="{3A65C4C9-C601-48D1-AD7F-3A1DA6670B5E}"/>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2" name="Text Box 10" hidden="1">
          <a:extLst>
            <a:ext uri="{FF2B5EF4-FFF2-40B4-BE49-F238E27FC236}">
              <a16:creationId xmlns:a16="http://schemas.microsoft.com/office/drawing/2014/main" id="{C2073405-0020-4D2C-A7D1-6A83FDCF5C43}"/>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3" name="Text Box 11" hidden="1">
          <a:extLst>
            <a:ext uri="{FF2B5EF4-FFF2-40B4-BE49-F238E27FC236}">
              <a16:creationId xmlns:a16="http://schemas.microsoft.com/office/drawing/2014/main" id="{D3AA2167-6008-460B-9757-8AD482AD266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4" name="Text Box 12" hidden="1">
          <a:extLst>
            <a:ext uri="{FF2B5EF4-FFF2-40B4-BE49-F238E27FC236}">
              <a16:creationId xmlns:a16="http://schemas.microsoft.com/office/drawing/2014/main" id="{FB7C1B62-F32A-41AA-8ABE-9B45DAE0B898}"/>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5" name="Text Box 13" hidden="1">
          <a:extLst>
            <a:ext uri="{FF2B5EF4-FFF2-40B4-BE49-F238E27FC236}">
              <a16:creationId xmlns:a16="http://schemas.microsoft.com/office/drawing/2014/main" id="{F1F7C83E-E071-422D-8F57-C1DBA1C3086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6" name="Text Box 14" hidden="1">
          <a:extLst>
            <a:ext uri="{FF2B5EF4-FFF2-40B4-BE49-F238E27FC236}">
              <a16:creationId xmlns:a16="http://schemas.microsoft.com/office/drawing/2014/main" id="{51D3E228-EBB3-4C39-AA80-DFE2828B9174}"/>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7" name="Text Box 15" hidden="1">
          <a:extLst>
            <a:ext uri="{FF2B5EF4-FFF2-40B4-BE49-F238E27FC236}">
              <a16:creationId xmlns:a16="http://schemas.microsoft.com/office/drawing/2014/main" id="{F01774BB-07A7-4F96-A4E7-8E19E829691E}"/>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8" name="Text Box 16" hidden="1">
          <a:extLst>
            <a:ext uri="{FF2B5EF4-FFF2-40B4-BE49-F238E27FC236}">
              <a16:creationId xmlns:a16="http://schemas.microsoft.com/office/drawing/2014/main" id="{36E2E032-FA8C-4003-A868-1703E6A9CCB7}"/>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9" name="Text Box 17" hidden="1">
          <a:extLst>
            <a:ext uri="{FF2B5EF4-FFF2-40B4-BE49-F238E27FC236}">
              <a16:creationId xmlns:a16="http://schemas.microsoft.com/office/drawing/2014/main" id="{7C35EC14-1BEF-4237-8543-91B180B44F1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0" name="Text Box 18" hidden="1">
          <a:extLst>
            <a:ext uri="{FF2B5EF4-FFF2-40B4-BE49-F238E27FC236}">
              <a16:creationId xmlns:a16="http://schemas.microsoft.com/office/drawing/2014/main" id="{775EAFF3-8D53-4508-A335-2995A1FB88D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1" name="Text Box 19" hidden="1">
          <a:extLst>
            <a:ext uri="{FF2B5EF4-FFF2-40B4-BE49-F238E27FC236}">
              <a16:creationId xmlns:a16="http://schemas.microsoft.com/office/drawing/2014/main" id="{E852218D-64AE-4597-B3F5-8C999A20A7C3}"/>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4" name="Text Box 22" hidden="1">
          <a:extLst>
            <a:ext uri="{FF2B5EF4-FFF2-40B4-BE49-F238E27FC236}">
              <a16:creationId xmlns:a16="http://schemas.microsoft.com/office/drawing/2014/main" id="{29B1FFF8-54BF-4CEC-BFD1-40A5A7F4009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3" name="Text Box 21" hidden="1">
          <a:extLst>
            <a:ext uri="{FF2B5EF4-FFF2-40B4-BE49-F238E27FC236}">
              <a16:creationId xmlns:a16="http://schemas.microsoft.com/office/drawing/2014/main" id="{094D811A-31FC-4B5A-BDBD-EB84307AB687}"/>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2" name="Text Box 20" hidden="1">
          <a:extLst>
            <a:ext uri="{FF2B5EF4-FFF2-40B4-BE49-F238E27FC236}">
              <a16:creationId xmlns:a16="http://schemas.microsoft.com/office/drawing/2014/main" id="{CB2EE6E9-1456-4B4C-839C-41267FA8BD09}"/>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7" name="Text Box 25" hidden="1">
          <a:extLst>
            <a:ext uri="{FF2B5EF4-FFF2-40B4-BE49-F238E27FC236}">
              <a16:creationId xmlns:a16="http://schemas.microsoft.com/office/drawing/2014/main" id="{B1700CDE-C5BB-45DE-8F78-7404C7039F30}"/>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6" name="Text Box 24" hidden="1">
          <a:extLst>
            <a:ext uri="{FF2B5EF4-FFF2-40B4-BE49-F238E27FC236}">
              <a16:creationId xmlns:a16="http://schemas.microsoft.com/office/drawing/2014/main" id="{ED235D96-60B7-474D-842B-6FBD69058C7C}"/>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5" name="Text Box 23" hidden="1">
          <a:extLst>
            <a:ext uri="{FF2B5EF4-FFF2-40B4-BE49-F238E27FC236}">
              <a16:creationId xmlns:a16="http://schemas.microsoft.com/office/drawing/2014/main" id="{7496C537-960A-4255-A451-35CC29AA8318}"/>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8" name="Text Box 26" hidden="1">
          <a:extLst>
            <a:ext uri="{FF2B5EF4-FFF2-40B4-BE49-F238E27FC236}">
              <a16:creationId xmlns:a16="http://schemas.microsoft.com/office/drawing/2014/main" id="{8BCD07F9-E7CE-43EE-AB7D-902F5A077D62}"/>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1" name="Text Box 1" hidden="1">
          <a:extLst>
            <a:ext uri="{FF2B5EF4-FFF2-40B4-BE49-F238E27FC236}">
              <a16:creationId xmlns:a16="http://schemas.microsoft.com/office/drawing/2014/main" id="{09B212A1-707D-4891-9F8F-6A510532FA97}"/>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2" name="Text Box 2" hidden="1">
          <a:extLst>
            <a:ext uri="{FF2B5EF4-FFF2-40B4-BE49-F238E27FC236}">
              <a16:creationId xmlns:a16="http://schemas.microsoft.com/office/drawing/2014/main" id="{00D604D2-1890-4D6A-AD43-36E12625A3E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3" name="Text Box 3" hidden="1">
          <a:extLst>
            <a:ext uri="{FF2B5EF4-FFF2-40B4-BE49-F238E27FC236}">
              <a16:creationId xmlns:a16="http://schemas.microsoft.com/office/drawing/2014/main" id="{3D5D7153-8C87-486D-9BCC-B60E91591DF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4" name="Text Box 4" hidden="1">
          <a:extLst>
            <a:ext uri="{FF2B5EF4-FFF2-40B4-BE49-F238E27FC236}">
              <a16:creationId xmlns:a16="http://schemas.microsoft.com/office/drawing/2014/main" id="{9F452F40-0D7F-4F4A-A02A-3AD56583DD03}"/>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5" name="Text Box 5" hidden="1">
          <a:extLst>
            <a:ext uri="{FF2B5EF4-FFF2-40B4-BE49-F238E27FC236}">
              <a16:creationId xmlns:a16="http://schemas.microsoft.com/office/drawing/2014/main" id="{DB7D560E-6C96-48AB-B198-12B67FDCD070}"/>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5" name="Text Box 1" hidden="1">
          <a:extLst>
            <a:ext uri="{FF2B5EF4-FFF2-40B4-BE49-F238E27FC236}">
              <a16:creationId xmlns:a16="http://schemas.microsoft.com/office/drawing/2014/main" id="{9528CDB7-A845-4D45-B1BF-58029DF36872}"/>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6" name="Text Box 2" hidden="1">
          <a:extLst>
            <a:ext uri="{FF2B5EF4-FFF2-40B4-BE49-F238E27FC236}">
              <a16:creationId xmlns:a16="http://schemas.microsoft.com/office/drawing/2014/main" id="{5B425DA4-2721-4980-9017-436CAA169B06}"/>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7" name="Text Box 3" hidden="1">
          <a:extLst>
            <a:ext uri="{FF2B5EF4-FFF2-40B4-BE49-F238E27FC236}">
              <a16:creationId xmlns:a16="http://schemas.microsoft.com/office/drawing/2014/main" id="{52F0AF23-7A81-4CD8-AAF6-8FA6110C6571}"/>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8" name="Text Box 4" hidden="1">
          <a:extLst>
            <a:ext uri="{FF2B5EF4-FFF2-40B4-BE49-F238E27FC236}">
              <a16:creationId xmlns:a16="http://schemas.microsoft.com/office/drawing/2014/main" id="{8A23F851-9F26-489E-84BD-027FDA880CA8}"/>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9" name="Text Box 5" hidden="1">
          <a:extLst>
            <a:ext uri="{FF2B5EF4-FFF2-40B4-BE49-F238E27FC236}">
              <a16:creationId xmlns:a16="http://schemas.microsoft.com/office/drawing/2014/main" id="{BA1384DA-0159-4449-AA5C-911AE9BA75DA}"/>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7" name="Text Box 1" hidden="1">
          <a:extLst>
            <a:ext uri="{FF2B5EF4-FFF2-40B4-BE49-F238E27FC236}">
              <a16:creationId xmlns:a16="http://schemas.microsoft.com/office/drawing/2014/main" id="{07019610-115E-425D-8A1B-E0BB4EBAC35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8" name="Text Box 2" hidden="1">
          <a:extLst>
            <a:ext uri="{FF2B5EF4-FFF2-40B4-BE49-F238E27FC236}">
              <a16:creationId xmlns:a16="http://schemas.microsoft.com/office/drawing/2014/main" id="{412FA0EC-4067-4685-B7EB-0E601E1B686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9" name="Text Box 3" hidden="1">
          <a:extLst>
            <a:ext uri="{FF2B5EF4-FFF2-40B4-BE49-F238E27FC236}">
              <a16:creationId xmlns:a16="http://schemas.microsoft.com/office/drawing/2014/main" id="{07EA6AE7-038F-B72C-3D2C-7301994EEB2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20" name="Text Box 4" hidden="1">
          <a:extLst>
            <a:ext uri="{FF2B5EF4-FFF2-40B4-BE49-F238E27FC236}">
              <a16:creationId xmlns:a16="http://schemas.microsoft.com/office/drawing/2014/main" id="{76A24A9D-7C4D-4481-F1B3-41B3B1A7508F}"/>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2" name="Text Box 2" hidden="1">
          <a:extLst>
            <a:ext uri="{FF2B5EF4-FFF2-40B4-BE49-F238E27FC236}">
              <a16:creationId xmlns:a16="http://schemas.microsoft.com/office/drawing/2014/main" id="{7C244F61-FE66-9D0A-2AC8-9FA9FFF1177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1" name="Text Box 1" hidden="1">
          <a:extLst>
            <a:ext uri="{FF2B5EF4-FFF2-40B4-BE49-F238E27FC236}">
              <a16:creationId xmlns:a16="http://schemas.microsoft.com/office/drawing/2014/main" id="{822F1D04-9803-2498-3951-645537B1B30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3" name="Text Box 3" hidden="1">
          <a:extLst>
            <a:ext uri="{FF2B5EF4-FFF2-40B4-BE49-F238E27FC236}">
              <a16:creationId xmlns:a16="http://schemas.microsoft.com/office/drawing/2014/main" id="{84026776-A2C0-02AF-57C4-6FD1AE853926}"/>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4" name="Text Box 4" hidden="1">
          <a:extLst>
            <a:ext uri="{FF2B5EF4-FFF2-40B4-BE49-F238E27FC236}">
              <a16:creationId xmlns:a16="http://schemas.microsoft.com/office/drawing/2014/main" id="{9645C95A-3253-F08B-3925-91FFBB16EC4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3" name="Text Box 1" hidden="1">
          <a:extLst>
            <a:ext uri="{FF2B5EF4-FFF2-40B4-BE49-F238E27FC236}">
              <a16:creationId xmlns:a16="http://schemas.microsoft.com/office/drawing/2014/main" id="{F0B7B312-9E78-ED13-6C6A-F1B4BFFA8066}"/>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4" name="Text Box 2" hidden="1">
          <a:extLst>
            <a:ext uri="{FF2B5EF4-FFF2-40B4-BE49-F238E27FC236}">
              <a16:creationId xmlns:a16="http://schemas.microsoft.com/office/drawing/2014/main" id="{452AB3AE-6299-45C7-83F0-F3416D80E01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6" name="Text Box 4" hidden="1">
          <a:extLst>
            <a:ext uri="{FF2B5EF4-FFF2-40B4-BE49-F238E27FC236}">
              <a16:creationId xmlns:a16="http://schemas.microsoft.com/office/drawing/2014/main" id="{C1B2282C-1272-8ADB-B1E8-7A9AA384807D}"/>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5" name="Text Box 3" hidden="1">
          <a:extLst>
            <a:ext uri="{FF2B5EF4-FFF2-40B4-BE49-F238E27FC236}">
              <a16:creationId xmlns:a16="http://schemas.microsoft.com/office/drawing/2014/main" id="{989CC83C-FD7A-AAA0-1AED-01E80A91CD12}"/>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7" name="Text Box 5" hidden="1">
          <a:extLst>
            <a:ext uri="{FF2B5EF4-FFF2-40B4-BE49-F238E27FC236}">
              <a16:creationId xmlns:a16="http://schemas.microsoft.com/office/drawing/2014/main" id="{E55045A7-9E18-CB83-AB47-06B3DBB05295}"/>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8" name="Text Box 6" hidden="1">
          <a:extLst>
            <a:ext uri="{FF2B5EF4-FFF2-40B4-BE49-F238E27FC236}">
              <a16:creationId xmlns:a16="http://schemas.microsoft.com/office/drawing/2014/main" id="{D36770B6-74DF-9DE1-AF0B-1340986C422B}"/>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9" name="Text Box 7" hidden="1">
          <a:extLst>
            <a:ext uri="{FF2B5EF4-FFF2-40B4-BE49-F238E27FC236}">
              <a16:creationId xmlns:a16="http://schemas.microsoft.com/office/drawing/2014/main" id="{499FF774-5AD6-E2A2-DB40-451A714D453C}"/>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0" name="Text Box 8" hidden="1">
          <a:extLst>
            <a:ext uri="{FF2B5EF4-FFF2-40B4-BE49-F238E27FC236}">
              <a16:creationId xmlns:a16="http://schemas.microsoft.com/office/drawing/2014/main" id="{EDD9F085-E023-1505-5386-B008BBDC00A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1" name="Text Box 9" hidden="1">
          <a:extLst>
            <a:ext uri="{FF2B5EF4-FFF2-40B4-BE49-F238E27FC236}">
              <a16:creationId xmlns:a16="http://schemas.microsoft.com/office/drawing/2014/main" id="{D2975039-EEF4-3238-EFE1-79EA89F6B9A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8</xdr:col>
      <xdr:colOff>419100</xdr:colOff>
      <xdr:row>3</xdr:row>
      <xdr:rowOff>609600</xdr:rowOff>
    </xdr:from>
    <xdr:to>
      <xdr:col>10</xdr:col>
      <xdr:colOff>457200</xdr:colOff>
      <xdr:row>7</xdr:row>
      <xdr:rowOff>38100</xdr:rowOff>
    </xdr:to>
    <xdr:sp macro="" textlink="">
      <xdr:nvSpPr>
        <xdr:cNvPr id="131073" name="Text Box 1" hidden="1">
          <a:extLst>
            <a:ext uri="{FF2B5EF4-FFF2-40B4-BE49-F238E27FC236}">
              <a16:creationId xmlns:a16="http://schemas.microsoft.com/office/drawing/2014/main" id="{42434D36-7FB9-4EA4-B9DC-3EEDB0846249}"/>
            </a:ext>
          </a:extLst>
        </xdr:cNvPr>
        <xdr:cNvSpPr txBox="1">
          <a:spLocks noChangeArrowheads="1"/>
        </xdr:cNvSpPr>
      </xdr:nvSpPr>
      <xdr:spPr bwMode="auto">
        <a:xfrm>
          <a:off x="5128260" y="1508760"/>
          <a:ext cx="140970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131074" name="Text Box 2" hidden="1">
          <a:extLst>
            <a:ext uri="{FF2B5EF4-FFF2-40B4-BE49-F238E27FC236}">
              <a16:creationId xmlns:a16="http://schemas.microsoft.com/office/drawing/2014/main" id="{334EEA71-1471-4C48-91B5-22B9C7EECF7C}"/>
            </a:ext>
          </a:extLst>
        </xdr:cNvPr>
        <xdr:cNvSpPr txBox="1">
          <a:spLocks noChangeArrowheads="1"/>
        </xdr:cNvSpPr>
      </xdr:nvSpPr>
      <xdr:spPr bwMode="auto">
        <a:xfrm>
          <a:off x="9197340" y="1623060"/>
          <a:ext cx="12725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098" name="Text Box 2" hidden="1">
          <a:extLst>
            <a:ext uri="{FF2B5EF4-FFF2-40B4-BE49-F238E27FC236}">
              <a16:creationId xmlns:a16="http://schemas.microsoft.com/office/drawing/2014/main" id="{9B9F83BB-8AFF-4406-9542-06962B166D1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7" name="Text Box 1" hidden="1">
          <a:extLst>
            <a:ext uri="{FF2B5EF4-FFF2-40B4-BE49-F238E27FC236}">
              <a16:creationId xmlns:a16="http://schemas.microsoft.com/office/drawing/2014/main" id="{8270EAEB-28C8-47AE-9ECC-54CABE1BA6B5}"/>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0" name="Text Box 4" hidden="1">
          <a:extLst>
            <a:ext uri="{FF2B5EF4-FFF2-40B4-BE49-F238E27FC236}">
              <a16:creationId xmlns:a16="http://schemas.microsoft.com/office/drawing/2014/main" id="{7156F3FB-ACD2-40A7-8B62-693DF4BEDF09}"/>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9" name="Text Box 3" hidden="1">
          <a:extLst>
            <a:ext uri="{FF2B5EF4-FFF2-40B4-BE49-F238E27FC236}">
              <a16:creationId xmlns:a16="http://schemas.microsoft.com/office/drawing/2014/main" id="{2941EA4D-C571-4004-9DF7-187764218567}"/>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2" name="Text Box 6" hidden="1">
          <a:extLst>
            <a:ext uri="{FF2B5EF4-FFF2-40B4-BE49-F238E27FC236}">
              <a16:creationId xmlns:a16="http://schemas.microsoft.com/office/drawing/2014/main" id="{2000C70B-5FD5-4B97-9EB4-51C1CF5D0205}"/>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1" name="Text Box 5" hidden="1">
          <a:extLst>
            <a:ext uri="{FF2B5EF4-FFF2-40B4-BE49-F238E27FC236}">
              <a16:creationId xmlns:a16="http://schemas.microsoft.com/office/drawing/2014/main" id="{39A2FE59-857E-41F0-8352-D311F1370A98}"/>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4" name="Text Box 8" hidden="1">
          <a:extLst>
            <a:ext uri="{FF2B5EF4-FFF2-40B4-BE49-F238E27FC236}">
              <a16:creationId xmlns:a16="http://schemas.microsoft.com/office/drawing/2014/main" id="{96847540-068F-4EEE-9405-9AB84D6B5FA2}"/>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3" name="Text Box 7" hidden="1">
          <a:extLst>
            <a:ext uri="{FF2B5EF4-FFF2-40B4-BE49-F238E27FC236}">
              <a16:creationId xmlns:a16="http://schemas.microsoft.com/office/drawing/2014/main" id="{7CA74DF3-EF75-4398-B292-9E1C3DF7ADC5}"/>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6" name="Text Box 10" hidden="1">
          <a:extLst>
            <a:ext uri="{FF2B5EF4-FFF2-40B4-BE49-F238E27FC236}">
              <a16:creationId xmlns:a16="http://schemas.microsoft.com/office/drawing/2014/main" id="{927EA3B3-6F63-4E8A-8478-A655B58C101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5" name="Text Box 9" hidden="1">
          <a:extLst>
            <a:ext uri="{FF2B5EF4-FFF2-40B4-BE49-F238E27FC236}">
              <a16:creationId xmlns:a16="http://schemas.microsoft.com/office/drawing/2014/main" id="{BDDC4F93-B1A7-43B4-8F0D-F9D03255F17F}"/>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8" name="Text Box 12" hidden="1">
          <a:extLst>
            <a:ext uri="{FF2B5EF4-FFF2-40B4-BE49-F238E27FC236}">
              <a16:creationId xmlns:a16="http://schemas.microsoft.com/office/drawing/2014/main" id="{707BD620-C67D-48CB-B86B-5379277AA230}"/>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7" name="Text Box 11" hidden="1">
          <a:extLst>
            <a:ext uri="{FF2B5EF4-FFF2-40B4-BE49-F238E27FC236}">
              <a16:creationId xmlns:a16="http://schemas.microsoft.com/office/drawing/2014/main" id="{FAF47932-D21E-4398-975D-96B04299387B}"/>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0" name="Text Box 14" hidden="1">
          <a:extLst>
            <a:ext uri="{FF2B5EF4-FFF2-40B4-BE49-F238E27FC236}">
              <a16:creationId xmlns:a16="http://schemas.microsoft.com/office/drawing/2014/main" id="{0F032954-6377-4FD0-862D-0F6F2BE1620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9" name="Text Box 13" hidden="1">
          <a:extLst>
            <a:ext uri="{FF2B5EF4-FFF2-40B4-BE49-F238E27FC236}">
              <a16:creationId xmlns:a16="http://schemas.microsoft.com/office/drawing/2014/main" id="{04DE74A6-49D0-4CF2-A783-C0DE8E1822E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2" name="Text Box 16" hidden="1">
          <a:extLst>
            <a:ext uri="{FF2B5EF4-FFF2-40B4-BE49-F238E27FC236}">
              <a16:creationId xmlns:a16="http://schemas.microsoft.com/office/drawing/2014/main" id="{1845F47A-3138-484F-AC96-54B659976A6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1" name="Text Box 15" hidden="1">
          <a:extLst>
            <a:ext uri="{FF2B5EF4-FFF2-40B4-BE49-F238E27FC236}">
              <a16:creationId xmlns:a16="http://schemas.microsoft.com/office/drawing/2014/main" id="{8CDD614C-FF74-431D-8BD9-B7334D3813A1}"/>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4" name="Text Box 18" hidden="1">
          <a:extLst>
            <a:ext uri="{FF2B5EF4-FFF2-40B4-BE49-F238E27FC236}">
              <a16:creationId xmlns:a16="http://schemas.microsoft.com/office/drawing/2014/main" id="{CC58B971-DA47-46BE-BF47-944D395E280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3" name="Text Box 17" hidden="1">
          <a:extLst>
            <a:ext uri="{FF2B5EF4-FFF2-40B4-BE49-F238E27FC236}">
              <a16:creationId xmlns:a16="http://schemas.microsoft.com/office/drawing/2014/main" id="{F359A1AF-0D89-44C0-88D7-93AF99C45D78}"/>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6" name="Text Box 20" hidden="1">
          <a:extLst>
            <a:ext uri="{FF2B5EF4-FFF2-40B4-BE49-F238E27FC236}">
              <a16:creationId xmlns:a16="http://schemas.microsoft.com/office/drawing/2014/main" id="{A8D81E02-A46C-4D2E-8DF8-F687590E622E}"/>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5" name="Text Box 19" hidden="1">
          <a:extLst>
            <a:ext uri="{FF2B5EF4-FFF2-40B4-BE49-F238E27FC236}">
              <a16:creationId xmlns:a16="http://schemas.microsoft.com/office/drawing/2014/main" id="{B36955CF-7E9D-494E-8716-4AA55BE3AAC0}"/>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8" name="Text Box 22" hidden="1">
          <a:extLst>
            <a:ext uri="{FF2B5EF4-FFF2-40B4-BE49-F238E27FC236}">
              <a16:creationId xmlns:a16="http://schemas.microsoft.com/office/drawing/2014/main" id="{7906588B-9C74-41FB-A152-7C26E36B86CD}"/>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7" name="Text Box 21" hidden="1">
          <a:extLst>
            <a:ext uri="{FF2B5EF4-FFF2-40B4-BE49-F238E27FC236}">
              <a16:creationId xmlns:a16="http://schemas.microsoft.com/office/drawing/2014/main" id="{26C67B9B-2DC3-4419-8544-ECE70CF5C47E}"/>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0" name="Text Box 24" hidden="1">
          <a:extLst>
            <a:ext uri="{FF2B5EF4-FFF2-40B4-BE49-F238E27FC236}">
              <a16:creationId xmlns:a16="http://schemas.microsoft.com/office/drawing/2014/main" id="{21E8A8AF-8DE5-45F7-920F-45D91B5167A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9" name="Text Box 23" hidden="1">
          <a:extLst>
            <a:ext uri="{FF2B5EF4-FFF2-40B4-BE49-F238E27FC236}">
              <a16:creationId xmlns:a16="http://schemas.microsoft.com/office/drawing/2014/main" id="{ABF6312D-B56B-4404-8BA7-6584FB93AD23}"/>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2" name="Text Box 26" hidden="1">
          <a:extLst>
            <a:ext uri="{FF2B5EF4-FFF2-40B4-BE49-F238E27FC236}">
              <a16:creationId xmlns:a16="http://schemas.microsoft.com/office/drawing/2014/main" id="{F40197AA-8E53-4A5B-94D9-1321E90126B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1" name="Text Box 25" hidden="1">
          <a:extLst>
            <a:ext uri="{FF2B5EF4-FFF2-40B4-BE49-F238E27FC236}">
              <a16:creationId xmlns:a16="http://schemas.microsoft.com/office/drawing/2014/main" id="{9C348EC2-EDBB-4A89-90E5-47B20C774A6C}"/>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4" name="Text Box 28" hidden="1">
          <a:extLst>
            <a:ext uri="{FF2B5EF4-FFF2-40B4-BE49-F238E27FC236}">
              <a16:creationId xmlns:a16="http://schemas.microsoft.com/office/drawing/2014/main" id="{F59E596F-CC51-4679-AC83-57651C7047CC}"/>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3" name="Text Box 27" hidden="1">
          <a:extLst>
            <a:ext uri="{FF2B5EF4-FFF2-40B4-BE49-F238E27FC236}">
              <a16:creationId xmlns:a16="http://schemas.microsoft.com/office/drawing/2014/main" id="{E022272A-1548-4658-947F-A232B1677A4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6" name="Text Box 30" hidden="1">
          <a:extLst>
            <a:ext uri="{FF2B5EF4-FFF2-40B4-BE49-F238E27FC236}">
              <a16:creationId xmlns:a16="http://schemas.microsoft.com/office/drawing/2014/main" id="{E0EFA109-3A5A-44FB-9286-F9E024E0DFF0}"/>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5" name="Text Box 29" hidden="1">
          <a:extLst>
            <a:ext uri="{FF2B5EF4-FFF2-40B4-BE49-F238E27FC236}">
              <a16:creationId xmlns:a16="http://schemas.microsoft.com/office/drawing/2014/main" id="{1CDA0D67-F909-4C62-B259-D26AB2CA4B8B}"/>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8" name="Text Box 32" hidden="1">
          <a:extLst>
            <a:ext uri="{FF2B5EF4-FFF2-40B4-BE49-F238E27FC236}">
              <a16:creationId xmlns:a16="http://schemas.microsoft.com/office/drawing/2014/main" id="{CBED9F22-866B-48CF-A5E7-F29A22D414A6}"/>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7" name="Text Box 31" hidden="1">
          <a:extLst>
            <a:ext uri="{FF2B5EF4-FFF2-40B4-BE49-F238E27FC236}">
              <a16:creationId xmlns:a16="http://schemas.microsoft.com/office/drawing/2014/main" id="{F2E58B79-AE2A-4D3D-8650-7A58591CD517}"/>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0" name="Text Box 34" hidden="1">
          <a:extLst>
            <a:ext uri="{FF2B5EF4-FFF2-40B4-BE49-F238E27FC236}">
              <a16:creationId xmlns:a16="http://schemas.microsoft.com/office/drawing/2014/main" id="{83FAC04A-046B-4C41-A395-19D2E0C9D7E4}"/>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9" name="Text Box 33" hidden="1">
          <a:extLst>
            <a:ext uri="{FF2B5EF4-FFF2-40B4-BE49-F238E27FC236}">
              <a16:creationId xmlns:a16="http://schemas.microsoft.com/office/drawing/2014/main" id="{1B6F8C96-CE31-4128-B626-5AF203CE058E}"/>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2" name="Text Box 36" hidden="1">
          <a:extLst>
            <a:ext uri="{FF2B5EF4-FFF2-40B4-BE49-F238E27FC236}">
              <a16:creationId xmlns:a16="http://schemas.microsoft.com/office/drawing/2014/main" id="{11CD5B20-A469-4B8A-97E4-A40349A8027B}"/>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1" name="Text Box 35" hidden="1">
          <a:extLst>
            <a:ext uri="{FF2B5EF4-FFF2-40B4-BE49-F238E27FC236}">
              <a16:creationId xmlns:a16="http://schemas.microsoft.com/office/drawing/2014/main" id="{98DAC47D-6F9C-45C0-97AB-CF8406A8886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4" name="Text Box 38" hidden="1">
          <a:extLst>
            <a:ext uri="{FF2B5EF4-FFF2-40B4-BE49-F238E27FC236}">
              <a16:creationId xmlns:a16="http://schemas.microsoft.com/office/drawing/2014/main" id="{9DB47089-4E1F-4D69-A1C7-124C944C3C81}"/>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3" name="Text Box 37" hidden="1">
          <a:extLst>
            <a:ext uri="{FF2B5EF4-FFF2-40B4-BE49-F238E27FC236}">
              <a16:creationId xmlns:a16="http://schemas.microsoft.com/office/drawing/2014/main" id="{D4CEDBC4-D2BD-46D5-B004-92330C1634B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0" name="Text Box 44" hidden="1">
          <a:extLst>
            <a:ext uri="{FF2B5EF4-FFF2-40B4-BE49-F238E27FC236}">
              <a16:creationId xmlns:a16="http://schemas.microsoft.com/office/drawing/2014/main" id="{B50B8CBD-FF2F-43CE-8974-01CB190F20F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9" name="Text Box 43" hidden="1">
          <a:extLst>
            <a:ext uri="{FF2B5EF4-FFF2-40B4-BE49-F238E27FC236}">
              <a16:creationId xmlns:a16="http://schemas.microsoft.com/office/drawing/2014/main" id="{7A3BE179-244B-4868-B35A-B4D6F614EBF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8" name="Text Box 42" hidden="1">
          <a:extLst>
            <a:ext uri="{FF2B5EF4-FFF2-40B4-BE49-F238E27FC236}">
              <a16:creationId xmlns:a16="http://schemas.microsoft.com/office/drawing/2014/main" id="{616E5FFE-A5A0-430C-B13B-9899B2389665}"/>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7" name="Text Box 41" hidden="1">
          <a:extLst>
            <a:ext uri="{FF2B5EF4-FFF2-40B4-BE49-F238E27FC236}">
              <a16:creationId xmlns:a16="http://schemas.microsoft.com/office/drawing/2014/main" id="{DB1C2CD5-C126-448A-B2DB-61E784469911}"/>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6" name="Text Box 40" hidden="1">
          <a:extLst>
            <a:ext uri="{FF2B5EF4-FFF2-40B4-BE49-F238E27FC236}">
              <a16:creationId xmlns:a16="http://schemas.microsoft.com/office/drawing/2014/main" id="{6A9623F3-96E6-4049-B198-0F3943D4257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5" name="Text Box 39" hidden="1">
          <a:extLst>
            <a:ext uri="{FF2B5EF4-FFF2-40B4-BE49-F238E27FC236}">
              <a16:creationId xmlns:a16="http://schemas.microsoft.com/office/drawing/2014/main" id="{A3FDF3CE-5FBA-4844-AFD0-C5808B9478FD}"/>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6" name="Text Box 50" hidden="1">
          <a:extLst>
            <a:ext uri="{FF2B5EF4-FFF2-40B4-BE49-F238E27FC236}">
              <a16:creationId xmlns:a16="http://schemas.microsoft.com/office/drawing/2014/main" id="{D1923DB2-A8F1-496E-9439-DC5AD548ED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5" name="Text Box 49" hidden="1">
          <a:extLst>
            <a:ext uri="{FF2B5EF4-FFF2-40B4-BE49-F238E27FC236}">
              <a16:creationId xmlns:a16="http://schemas.microsoft.com/office/drawing/2014/main" id="{990558A6-585F-40C4-B870-2C0066C87D44}"/>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4" name="Text Box 48" hidden="1">
          <a:extLst>
            <a:ext uri="{FF2B5EF4-FFF2-40B4-BE49-F238E27FC236}">
              <a16:creationId xmlns:a16="http://schemas.microsoft.com/office/drawing/2014/main" id="{53A25EC9-0484-4D12-B2DB-4D8C3E4067D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3" name="Text Box 47" hidden="1">
          <a:extLst>
            <a:ext uri="{FF2B5EF4-FFF2-40B4-BE49-F238E27FC236}">
              <a16:creationId xmlns:a16="http://schemas.microsoft.com/office/drawing/2014/main" id="{829E57AA-3C10-46C8-BF83-C49B543C133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2" name="Text Box 46" hidden="1">
          <a:extLst>
            <a:ext uri="{FF2B5EF4-FFF2-40B4-BE49-F238E27FC236}">
              <a16:creationId xmlns:a16="http://schemas.microsoft.com/office/drawing/2014/main" id="{E206D031-AA59-47D4-9125-EDA8E9693B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1" name="Text Box 45" hidden="1">
          <a:extLst>
            <a:ext uri="{FF2B5EF4-FFF2-40B4-BE49-F238E27FC236}">
              <a16:creationId xmlns:a16="http://schemas.microsoft.com/office/drawing/2014/main" id="{55630761-3800-41C5-8E3C-5A3078FC8256}"/>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8" name="Text Box 52" hidden="1">
          <a:extLst>
            <a:ext uri="{FF2B5EF4-FFF2-40B4-BE49-F238E27FC236}">
              <a16:creationId xmlns:a16="http://schemas.microsoft.com/office/drawing/2014/main" id="{42B4EA78-5BC8-4ED4-A051-6D47AEAFBD6B}"/>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7" name="Text Box 51" hidden="1">
          <a:extLst>
            <a:ext uri="{FF2B5EF4-FFF2-40B4-BE49-F238E27FC236}">
              <a16:creationId xmlns:a16="http://schemas.microsoft.com/office/drawing/2014/main" id="{4AFE00F5-E185-430C-97FF-05A557C76620}"/>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50" name="Text Box 54" hidden="1">
          <a:extLst>
            <a:ext uri="{FF2B5EF4-FFF2-40B4-BE49-F238E27FC236}">
              <a16:creationId xmlns:a16="http://schemas.microsoft.com/office/drawing/2014/main" id="{F270E8A7-96BC-4953-BED8-B4C0E202D21B}"/>
            </a:ext>
          </a:extLst>
        </xdr:cNvPr>
        <xdr:cNvSpPr txBox="1">
          <a:spLocks noChangeArrowheads="1"/>
        </xdr:cNvSpPr>
      </xdr:nvSpPr>
      <xdr:spPr bwMode="auto">
        <a:xfrm>
          <a:off x="518922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9" name="Text Box 53" hidden="1">
          <a:extLst>
            <a:ext uri="{FF2B5EF4-FFF2-40B4-BE49-F238E27FC236}">
              <a16:creationId xmlns:a16="http://schemas.microsoft.com/office/drawing/2014/main" id="{D878D37E-69E1-442F-9ED4-C71041CB1F14}"/>
            </a:ext>
          </a:extLst>
        </xdr:cNvPr>
        <xdr:cNvSpPr txBox="1">
          <a:spLocks noChangeArrowheads="1"/>
        </xdr:cNvSpPr>
      </xdr:nvSpPr>
      <xdr:spPr bwMode="auto">
        <a:xfrm>
          <a:off x="925830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6" name="Text Box 2" hidden="1">
          <a:extLst>
            <a:ext uri="{FF2B5EF4-FFF2-40B4-BE49-F238E27FC236}">
              <a16:creationId xmlns:a16="http://schemas.microsoft.com/office/drawing/2014/main" id="{99F26637-C559-4A6A-90A5-08D4FD53EB17}"/>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5" name="Text Box 1" hidden="1">
          <a:extLst>
            <a:ext uri="{FF2B5EF4-FFF2-40B4-BE49-F238E27FC236}">
              <a16:creationId xmlns:a16="http://schemas.microsoft.com/office/drawing/2014/main" id="{360D014E-5638-4003-AA5E-98BD837085CC}"/>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8" name="Text Box 4" hidden="1">
          <a:extLst>
            <a:ext uri="{FF2B5EF4-FFF2-40B4-BE49-F238E27FC236}">
              <a16:creationId xmlns:a16="http://schemas.microsoft.com/office/drawing/2014/main" id="{E6152750-7DCF-409D-A8C9-E0C76B8C30FC}"/>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7" name="Text Box 3" hidden="1">
          <a:extLst>
            <a:ext uri="{FF2B5EF4-FFF2-40B4-BE49-F238E27FC236}">
              <a16:creationId xmlns:a16="http://schemas.microsoft.com/office/drawing/2014/main" id="{3DA46D79-D947-4780-8F48-E71847AEF037}"/>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0" name="Text Box 6" hidden="1">
          <a:extLst>
            <a:ext uri="{FF2B5EF4-FFF2-40B4-BE49-F238E27FC236}">
              <a16:creationId xmlns:a16="http://schemas.microsoft.com/office/drawing/2014/main" id="{D7B795AA-F2A8-41E7-8946-9809985CC7E3}"/>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9" name="Text Box 5" hidden="1">
          <a:extLst>
            <a:ext uri="{FF2B5EF4-FFF2-40B4-BE49-F238E27FC236}">
              <a16:creationId xmlns:a16="http://schemas.microsoft.com/office/drawing/2014/main" id="{F597CF6A-3769-46EB-A2CA-956A3C48EF3B}"/>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2" name="Text Box 8" hidden="1">
          <a:extLst>
            <a:ext uri="{FF2B5EF4-FFF2-40B4-BE49-F238E27FC236}">
              <a16:creationId xmlns:a16="http://schemas.microsoft.com/office/drawing/2014/main" id="{8CA7E04B-38FE-417C-8FEE-5972FF4F4A47}"/>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11" name="Text Box 7" hidden="1">
          <a:extLst>
            <a:ext uri="{FF2B5EF4-FFF2-40B4-BE49-F238E27FC236}">
              <a16:creationId xmlns:a16="http://schemas.microsoft.com/office/drawing/2014/main" id="{4D7F07E8-6926-4D4B-AD49-97E7157AE332}"/>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0" name="Text Box 2" hidden="1">
          <a:extLst>
            <a:ext uri="{FF2B5EF4-FFF2-40B4-BE49-F238E27FC236}">
              <a16:creationId xmlns:a16="http://schemas.microsoft.com/office/drawing/2014/main" id="{544C6807-55DC-46BD-84D9-C7B77B7D481B}"/>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29" name="Text Box 1" hidden="1">
          <a:extLst>
            <a:ext uri="{FF2B5EF4-FFF2-40B4-BE49-F238E27FC236}">
              <a16:creationId xmlns:a16="http://schemas.microsoft.com/office/drawing/2014/main" id="{EC160E7D-D656-401C-B852-36F1BA9B6D60}"/>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2" name="Text Box 4" hidden="1">
          <a:extLst>
            <a:ext uri="{FF2B5EF4-FFF2-40B4-BE49-F238E27FC236}">
              <a16:creationId xmlns:a16="http://schemas.microsoft.com/office/drawing/2014/main" id="{D96784B0-D851-4205-866D-2EDC6F04FFF8}"/>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1" name="Text Box 3" hidden="1">
          <a:extLst>
            <a:ext uri="{FF2B5EF4-FFF2-40B4-BE49-F238E27FC236}">
              <a16:creationId xmlns:a16="http://schemas.microsoft.com/office/drawing/2014/main" id="{54D1236A-1E4F-44D4-993D-1F85CD0F6043}"/>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4" name="Text Box 6" hidden="1">
          <a:extLst>
            <a:ext uri="{FF2B5EF4-FFF2-40B4-BE49-F238E27FC236}">
              <a16:creationId xmlns:a16="http://schemas.microsoft.com/office/drawing/2014/main" id="{DE021924-5BCB-4A8E-AE0F-61173DB9E69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3" name="Text Box 5" hidden="1">
          <a:extLst>
            <a:ext uri="{FF2B5EF4-FFF2-40B4-BE49-F238E27FC236}">
              <a16:creationId xmlns:a16="http://schemas.microsoft.com/office/drawing/2014/main" id="{F83E2D3C-C56C-4AC2-8A4E-12BCE0440F4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6" name="Text Box 8" hidden="1">
          <a:extLst>
            <a:ext uri="{FF2B5EF4-FFF2-40B4-BE49-F238E27FC236}">
              <a16:creationId xmlns:a16="http://schemas.microsoft.com/office/drawing/2014/main" id="{AF9F29AB-63AC-4DC4-945C-4020726151CE}"/>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5" name="Text Box 7" hidden="1">
          <a:extLst>
            <a:ext uri="{FF2B5EF4-FFF2-40B4-BE49-F238E27FC236}">
              <a16:creationId xmlns:a16="http://schemas.microsoft.com/office/drawing/2014/main" id="{58932486-A8B2-4941-8472-0D0A92EDED71}"/>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8" name="Text Box 10" hidden="1">
          <a:extLst>
            <a:ext uri="{FF2B5EF4-FFF2-40B4-BE49-F238E27FC236}">
              <a16:creationId xmlns:a16="http://schemas.microsoft.com/office/drawing/2014/main" id="{AD16E454-DADF-4135-884F-36E3561430F9}"/>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7" name="Text Box 9" hidden="1">
          <a:extLst>
            <a:ext uri="{FF2B5EF4-FFF2-40B4-BE49-F238E27FC236}">
              <a16:creationId xmlns:a16="http://schemas.microsoft.com/office/drawing/2014/main" id="{9242DB81-A2EB-4B2E-8522-CCDE61AE19F8}"/>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2" name="Text Box 2" hidden="1">
          <a:extLst>
            <a:ext uri="{FF2B5EF4-FFF2-40B4-BE49-F238E27FC236}">
              <a16:creationId xmlns:a16="http://schemas.microsoft.com/office/drawing/2014/main" id="{AEB8D77E-16A3-47FD-B073-E5EA95AB427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1" name="Text Box 1" hidden="1">
          <a:extLst>
            <a:ext uri="{FF2B5EF4-FFF2-40B4-BE49-F238E27FC236}">
              <a16:creationId xmlns:a16="http://schemas.microsoft.com/office/drawing/2014/main" id="{7110CFE1-E418-436D-8A15-6F34585F1A56}"/>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4" name="Text Box 4" hidden="1">
          <a:extLst>
            <a:ext uri="{FF2B5EF4-FFF2-40B4-BE49-F238E27FC236}">
              <a16:creationId xmlns:a16="http://schemas.microsoft.com/office/drawing/2014/main" id="{2975781F-8864-4F9A-8B13-7270491CE03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3" name="Text Box 3" hidden="1">
          <a:extLst>
            <a:ext uri="{FF2B5EF4-FFF2-40B4-BE49-F238E27FC236}">
              <a16:creationId xmlns:a16="http://schemas.microsoft.com/office/drawing/2014/main" id="{71E4BB06-AC63-41D3-81A3-80275191C4D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6" name="Text Box 6" hidden="1">
          <a:extLst>
            <a:ext uri="{FF2B5EF4-FFF2-40B4-BE49-F238E27FC236}">
              <a16:creationId xmlns:a16="http://schemas.microsoft.com/office/drawing/2014/main" id="{B3B712A4-C616-D36B-0ED9-84B6D53CAE8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5" name="Text Box 5" hidden="1">
          <a:extLst>
            <a:ext uri="{FF2B5EF4-FFF2-40B4-BE49-F238E27FC236}">
              <a16:creationId xmlns:a16="http://schemas.microsoft.com/office/drawing/2014/main" id="{AFE478D6-D9DA-BC96-8A63-91E39735B04F}"/>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8" name="Text Box 8" hidden="1">
          <a:extLst>
            <a:ext uri="{FF2B5EF4-FFF2-40B4-BE49-F238E27FC236}">
              <a16:creationId xmlns:a16="http://schemas.microsoft.com/office/drawing/2014/main" id="{E92BBF9F-B747-15C8-5092-10ECA1814D2F}"/>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7" name="Text Box 7" hidden="1">
          <a:extLst>
            <a:ext uri="{FF2B5EF4-FFF2-40B4-BE49-F238E27FC236}">
              <a16:creationId xmlns:a16="http://schemas.microsoft.com/office/drawing/2014/main" id="{B2356A14-7F7C-0AB6-7659-CBB38B1D3F1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8" name="Text Box 4" hidden="1">
          <a:extLst>
            <a:ext uri="{FF2B5EF4-FFF2-40B4-BE49-F238E27FC236}">
              <a16:creationId xmlns:a16="http://schemas.microsoft.com/office/drawing/2014/main" id="{13933BBD-B4A6-FCF5-97E3-E58EDAFC4BA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7" name="Text Box 3" hidden="1">
          <a:extLst>
            <a:ext uri="{FF2B5EF4-FFF2-40B4-BE49-F238E27FC236}">
              <a16:creationId xmlns:a16="http://schemas.microsoft.com/office/drawing/2014/main" id="{666B2AF9-6C65-EAC2-1D5D-BB2BEC6AAEC9}"/>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6" name="Text Box 2" hidden="1">
          <a:extLst>
            <a:ext uri="{FF2B5EF4-FFF2-40B4-BE49-F238E27FC236}">
              <a16:creationId xmlns:a16="http://schemas.microsoft.com/office/drawing/2014/main" id="{FC0D7CF4-D7E5-5BB0-3BE1-5BC5F03C59F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5" name="Text Box 1" hidden="1">
          <a:extLst>
            <a:ext uri="{FF2B5EF4-FFF2-40B4-BE49-F238E27FC236}">
              <a16:creationId xmlns:a16="http://schemas.microsoft.com/office/drawing/2014/main" id="{80048F9B-0F8A-AB74-248D-254E0BE07E8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0" name="Text Box 6" hidden="1">
          <a:extLst>
            <a:ext uri="{FF2B5EF4-FFF2-40B4-BE49-F238E27FC236}">
              <a16:creationId xmlns:a16="http://schemas.microsoft.com/office/drawing/2014/main" id="{0F25DF69-9EE2-058B-8711-5253ACF487D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9" name="Text Box 5" hidden="1">
          <a:extLst>
            <a:ext uri="{FF2B5EF4-FFF2-40B4-BE49-F238E27FC236}">
              <a16:creationId xmlns:a16="http://schemas.microsoft.com/office/drawing/2014/main" id="{142B2179-8147-B96A-2487-9BD91688D95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2" name="Text Box 8" hidden="1">
          <a:extLst>
            <a:ext uri="{FF2B5EF4-FFF2-40B4-BE49-F238E27FC236}">
              <a16:creationId xmlns:a16="http://schemas.microsoft.com/office/drawing/2014/main" id="{F1454D3D-C6EE-FDC6-1E48-07738CCD1D0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1" name="Text Box 7" hidden="1">
          <a:extLst>
            <a:ext uri="{FF2B5EF4-FFF2-40B4-BE49-F238E27FC236}">
              <a16:creationId xmlns:a16="http://schemas.microsoft.com/office/drawing/2014/main" id="{29F74655-6C4F-FC5C-8899-504F75A6FB6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4" name="Text Box 10" hidden="1">
          <a:extLst>
            <a:ext uri="{FF2B5EF4-FFF2-40B4-BE49-F238E27FC236}">
              <a16:creationId xmlns:a16="http://schemas.microsoft.com/office/drawing/2014/main" id="{6816D2F9-3908-A60C-4552-7CD11F2B8D42}"/>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3" name="Text Box 9" hidden="1">
          <a:extLst>
            <a:ext uri="{FF2B5EF4-FFF2-40B4-BE49-F238E27FC236}">
              <a16:creationId xmlns:a16="http://schemas.microsoft.com/office/drawing/2014/main" id="{81013CB1-FA6C-E8BB-E2BD-63AA330A1DB7}"/>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38" name="Text Box 2" hidden="1">
          <a:extLst>
            <a:ext uri="{FF2B5EF4-FFF2-40B4-BE49-F238E27FC236}">
              <a16:creationId xmlns:a16="http://schemas.microsoft.com/office/drawing/2014/main" id="{2AFCAABF-77A9-E581-3950-A9F86B8605C3}"/>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7" name="Text Box 1" hidden="1">
          <a:extLst>
            <a:ext uri="{FF2B5EF4-FFF2-40B4-BE49-F238E27FC236}">
              <a16:creationId xmlns:a16="http://schemas.microsoft.com/office/drawing/2014/main" id="{D2C0B349-883F-2D4A-07E6-B3E8258B6E3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2" name="Text Box 6" hidden="1">
          <a:extLst>
            <a:ext uri="{FF2B5EF4-FFF2-40B4-BE49-F238E27FC236}">
              <a16:creationId xmlns:a16="http://schemas.microsoft.com/office/drawing/2014/main" id="{D5CC6D4E-4C68-6D03-8655-4D2A5691A15D}"/>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1" name="Text Box 5" hidden="1">
          <a:extLst>
            <a:ext uri="{FF2B5EF4-FFF2-40B4-BE49-F238E27FC236}">
              <a16:creationId xmlns:a16="http://schemas.microsoft.com/office/drawing/2014/main" id="{C6EA296D-E1FE-201C-AD0D-D57A2983B1BB}"/>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0" name="Text Box 4" hidden="1">
          <a:extLst>
            <a:ext uri="{FF2B5EF4-FFF2-40B4-BE49-F238E27FC236}">
              <a16:creationId xmlns:a16="http://schemas.microsoft.com/office/drawing/2014/main" id="{C39D1244-5044-3848-ED3D-842C57F26A4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9" name="Text Box 3" hidden="1">
          <a:extLst>
            <a:ext uri="{FF2B5EF4-FFF2-40B4-BE49-F238E27FC236}">
              <a16:creationId xmlns:a16="http://schemas.microsoft.com/office/drawing/2014/main" id="{5480973B-E06A-4D13-FB16-D9174CDBF51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4" name="Text Box 8" hidden="1">
          <a:extLst>
            <a:ext uri="{FF2B5EF4-FFF2-40B4-BE49-F238E27FC236}">
              <a16:creationId xmlns:a16="http://schemas.microsoft.com/office/drawing/2014/main" id="{8B3C0ECB-0ED0-184B-DFBD-202840FD4B56}"/>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3" name="Text Box 7" hidden="1">
          <a:extLst>
            <a:ext uri="{FF2B5EF4-FFF2-40B4-BE49-F238E27FC236}">
              <a16:creationId xmlns:a16="http://schemas.microsoft.com/office/drawing/2014/main" id="{ACB16AEC-9796-8B46-92DE-85AB761688D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6" name="Text Box 10" hidden="1">
          <a:extLst>
            <a:ext uri="{FF2B5EF4-FFF2-40B4-BE49-F238E27FC236}">
              <a16:creationId xmlns:a16="http://schemas.microsoft.com/office/drawing/2014/main" id="{BD351F30-63D6-7E16-9E04-075433EC2A7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5" name="Text Box 9" hidden="1">
          <a:extLst>
            <a:ext uri="{FF2B5EF4-FFF2-40B4-BE49-F238E27FC236}">
              <a16:creationId xmlns:a16="http://schemas.microsoft.com/office/drawing/2014/main" id="{EAD96442-437F-980A-719C-DFB1745ED5B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8" name="Text Box 12" hidden="1">
          <a:extLst>
            <a:ext uri="{FF2B5EF4-FFF2-40B4-BE49-F238E27FC236}">
              <a16:creationId xmlns:a16="http://schemas.microsoft.com/office/drawing/2014/main" id="{095A442C-BA11-AC6C-F46F-78F33930A46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7" name="Text Box 11" hidden="1">
          <a:extLst>
            <a:ext uri="{FF2B5EF4-FFF2-40B4-BE49-F238E27FC236}">
              <a16:creationId xmlns:a16="http://schemas.microsoft.com/office/drawing/2014/main" id="{4314E2A1-B48B-B637-E4F5-6F9205D35308}"/>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0" name="Text Box 14" hidden="1">
          <a:extLst>
            <a:ext uri="{FF2B5EF4-FFF2-40B4-BE49-F238E27FC236}">
              <a16:creationId xmlns:a16="http://schemas.microsoft.com/office/drawing/2014/main" id="{48CFB6BB-31FA-2F32-ED4E-18F4705376D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9" name="Text Box 13" hidden="1">
          <a:extLst>
            <a:ext uri="{FF2B5EF4-FFF2-40B4-BE49-F238E27FC236}">
              <a16:creationId xmlns:a16="http://schemas.microsoft.com/office/drawing/2014/main" id="{64CDE9C2-C09F-C3CB-D38B-B4043EA0950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2" name="Text Box 16" hidden="1">
          <a:extLst>
            <a:ext uri="{FF2B5EF4-FFF2-40B4-BE49-F238E27FC236}">
              <a16:creationId xmlns:a16="http://schemas.microsoft.com/office/drawing/2014/main" id="{67455551-0025-C321-5FFF-72D6F384350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1" name="Text Box 15" hidden="1">
          <a:extLst>
            <a:ext uri="{FF2B5EF4-FFF2-40B4-BE49-F238E27FC236}">
              <a16:creationId xmlns:a16="http://schemas.microsoft.com/office/drawing/2014/main" id="{B140FA9D-B96F-C6A9-120C-3BA90F3CA92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Lorae Stojanovic" id="{4C0C5F85-AD1E-4C57-B372-003AF5B78A9F}" userId="76717fca21b29efe" providerId="Windows Live"/>
  <person displayName="Georgia Nabors" id="{09FAC3F1-DFDB-4CF8-9903-358701529E2B}" userId="S::GNabors@brookings.edu::bf73830e-2c32-4056-bde4-c18f62567b12" providerId="AD"/>
  <person displayName="Nasiha Salwati" id="{104078EE-2393-4C21-9029-18A325FBDB70}" userId="S::NSalwati@brookings.edu::56697e1b-7df9-4616-9709-1ef1f12cb369" providerId="AD"/>
  <person displayName="Sophia Campbell" id="{58CF8BEC-4104-46F7-BE4F-2C9403635492}" userId="S::SCampbell@brookings.edu::08ba02a6-9c19-44f8-b6b8-8043641915ad" providerId="AD"/>
  <person displayName="Elijah Asdourian" id="{609654FB-393E-4954-B3A3-EDB231775774}" userId="S::EAsdourian@brookings.edu::05735e4b-1dea-47b6-8667-a6d50e66dfd7" providerId="AD"/>
  <person displayName="Lorae Stojanovic" id="{2C68A5A1-706F-4A3E-93A3-741BBABEC4EA}" userId="S::LStojanovic@brookings.edu::cf5406ac-934d-4a58-b1cc-e481841cfe10" providerId="AD"/>
  <person displayName="Manuel Alcala Kovalski" id="{6F934F46-906E-4DFC-AA15-8C66AF925C04}" userId="S::malcalakovalski@brookings.edu::65ca0f03-2f5c-48fe-8ae6-628c3a907f64" providerId="AD"/>
</personList>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Lorae Stojanovic" refreshedDate="45043.430503703705" createdVersion="7" refreshedVersion="7" minRefreshableVersion="3" recordCount="72" xr:uid="{B77C5B51-7D2A-4D29-B220-29C5221BA17D}">
  <cacheSource type="worksheet">
    <worksheetSource ref="B28:C100" sheet="Unemployment Insurance - lorae"/>
  </cacheSource>
  <cacheFields count="4">
    <cacheField name="Monthly Unemployment Rate from the BLS" numFmtId="14">
      <sharedItems containsSemiMixedTypes="0" containsNonDate="0" containsDate="1" containsString="0" minDate="2021-01-01T00:00:00" maxDate="2026-12-02T00:00:00" count="72">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d v="2023-10-01T00:00:00"/>
        <d v="2023-11-01T00:00:00"/>
        <d v="2023-12-01T00:00:00"/>
        <d v="2024-01-01T00:00:00"/>
        <d v="2024-02-01T00:00:00"/>
        <d v="2024-03-01T00:00:00"/>
        <d v="2024-04-01T00:00:00"/>
        <d v="2024-05-01T00:00:00"/>
        <d v="2024-06-01T00:00:00"/>
        <d v="2024-07-01T00:00:00"/>
        <d v="2024-08-01T00:00:00"/>
        <d v="2024-09-01T00:00:00"/>
        <d v="2024-10-01T00:00:00"/>
        <d v="2024-11-01T00:00:00"/>
        <d v="2024-12-01T00:00:00"/>
        <d v="2025-01-01T00:00:00"/>
        <d v="2025-02-01T00:00:00"/>
        <d v="2025-03-01T00:00:00"/>
        <d v="2025-04-01T00:00:00"/>
        <d v="2025-05-01T00:00:00"/>
        <d v="2025-06-01T00:00:00"/>
        <d v="2025-07-01T00:00:00"/>
        <d v="2025-08-01T00:00:00"/>
        <d v="2025-09-01T00:00:00"/>
        <d v="2025-10-01T00:00:00"/>
        <d v="2025-11-01T00:00:00"/>
        <d v="2025-12-01T00:00:00"/>
        <d v="2026-01-01T00:00:00"/>
        <d v="2026-02-01T00:00:00"/>
        <d v="2026-03-01T00:00:00"/>
        <d v="2026-04-01T00:00:00"/>
        <d v="2026-05-01T00:00:00"/>
        <d v="2026-06-01T00:00:00"/>
        <d v="2026-07-01T00:00:00"/>
        <d v="2026-08-01T00:00:00"/>
        <d v="2026-09-01T00:00:00"/>
        <d v="2026-10-01T00:00:00"/>
        <d v="2026-11-01T00:00:00"/>
        <d v="2026-12-01T00:00:00"/>
      </sharedItems>
      <fieldGroup par="3" base="0">
        <rangePr groupBy="months" startDate="2021-01-01T00:00:00" endDate="2026-12-02T00:00:00"/>
        <groupItems count="14">
          <s v="&lt;1/1/2021"/>
          <s v="Jan"/>
          <s v="Feb"/>
          <s v="Mar"/>
          <s v="Apr"/>
          <s v="May"/>
          <s v="Jun"/>
          <s v="Jul"/>
          <s v="Aug"/>
          <s v="Sep"/>
          <s v="Oct"/>
          <s v="Nov"/>
          <s v="Dec"/>
          <s v="&gt;12/2/2026"/>
        </groupItems>
      </fieldGroup>
    </cacheField>
    <cacheField name="Monthly UR" numFmtId="0">
      <sharedItems containsString="0" containsBlank="1" containsNumber="1" minValue="3.4" maxValue="6.3"/>
    </cacheField>
    <cacheField name="Quarters" numFmtId="0" databaseField="0">
      <fieldGroup base="0">
        <rangePr groupBy="quarters" startDate="2021-01-01T00:00:00" endDate="2026-12-02T00:00:00"/>
        <groupItems count="6">
          <s v="&lt;1/1/2021"/>
          <s v="Qtr1"/>
          <s v="Qtr2"/>
          <s v="Qtr3"/>
          <s v="Qtr4"/>
          <s v="&gt;12/2/2026"/>
        </groupItems>
      </fieldGroup>
    </cacheField>
    <cacheField name="Years" numFmtId="0" databaseField="0">
      <fieldGroup base="0">
        <rangePr groupBy="years" startDate="2021-01-01T00:00:00" endDate="2026-12-02T00:00:00"/>
        <groupItems count="8">
          <s v="&lt;1/1/2021"/>
          <s v="2021"/>
          <s v="2022"/>
          <s v="2023"/>
          <s v="2024"/>
          <s v="2025"/>
          <s v="2026"/>
          <s v="&gt;12/2/2026"/>
        </groupItems>
      </fieldGroup>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BB3DFE-359A-4237-8982-1AC031D74EAF}" name="PivotTable1"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9:F59"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80">
      <pivotArea field="3" type="button" dataOnly="0" labelOnly="1" outline="0" axis="axisRow" fieldPosition="0"/>
    </format>
    <format dxfId="79">
      <pivotArea dataOnly="0" labelOnly="1" outline="0" axis="axisValues" fieldPosition="0"/>
    </format>
    <format dxfId="78">
      <pivotArea collapsedLevelsAreSubtotals="1" fieldPosition="0">
        <references count="2">
          <reference field="2" count="1">
            <x v="1"/>
          </reference>
          <reference field="3" count="1" selected="0">
            <x v="1"/>
          </reference>
        </references>
      </pivotArea>
    </format>
    <format dxfId="77">
      <pivotArea collapsedLevelsAreSubtotals="1" fieldPosition="0">
        <references count="2">
          <reference field="2" count="1">
            <x v="2"/>
          </reference>
          <reference field="3" count="1" selected="0">
            <x v="1"/>
          </reference>
        </references>
      </pivotArea>
    </format>
    <format dxfId="76">
      <pivotArea collapsedLevelsAreSubtotals="1" fieldPosition="0">
        <references count="2">
          <reference field="2" count="1">
            <x v="3"/>
          </reference>
          <reference field="3" count="1" selected="0">
            <x v="1"/>
          </reference>
        </references>
      </pivotArea>
    </format>
    <format dxfId="75">
      <pivotArea collapsedLevelsAreSubtotals="1" fieldPosition="0">
        <references count="2">
          <reference field="2" count="1">
            <x v="4"/>
          </reference>
          <reference field="3" count="1" selected="0">
            <x v="1"/>
          </reference>
        </references>
      </pivotArea>
    </format>
    <format dxfId="74">
      <pivotArea collapsedLevelsAreSubtotals="1" fieldPosition="0">
        <references count="1">
          <reference field="3" count="1">
            <x v="2"/>
          </reference>
        </references>
      </pivotArea>
    </format>
    <format dxfId="73">
      <pivotArea collapsedLevelsAreSubtotals="1" fieldPosition="0">
        <references count="2">
          <reference field="2" count="1">
            <x v="1"/>
          </reference>
          <reference field="3" count="1" selected="0">
            <x v="2"/>
          </reference>
        </references>
      </pivotArea>
    </format>
    <format dxfId="72">
      <pivotArea collapsedLevelsAreSubtotals="1" fieldPosition="0">
        <references count="2">
          <reference field="2" count="1">
            <x v="2"/>
          </reference>
          <reference field="3" count="1" selected="0">
            <x v="2"/>
          </reference>
        </references>
      </pivotArea>
    </format>
    <format dxfId="71">
      <pivotArea collapsedLevelsAreSubtotals="1" fieldPosition="0">
        <references count="2">
          <reference field="2" count="1">
            <x v="3"/>
          </reference>
          <reference field="3" count="1" selected="0">
            <x v="2"/>
          </reference>
        </references>
      </pivotArea>
    </format>
    <format dxfId="70">
      <pivotArea collapsedLevelsAreSubtotals="1" fieldPosition="0">
        <references count="2">
          <reference field="2" count="1">
            <x v="4"/>
          </reference>
          <reference field="3" count="1" selected="0">
            <x v="2"/>
          </reference>
        </references>
      </pivotArea>
    </format>
    <format dxfId="69">
      <pivotArea collapsedLevelsAreSubtotals="1" fieldPosition="0">
        <references count="1">
          <reference field="3" count="1">
            <x v="3"/>
          </reference>
        </references>
      </pivotArea>
    </format>
    <format dxfId="68">
      <pivotArea collapsedLevelsAreSubtotals="1" fieldPosition="0">
        <references count="2">
          <reference field="2" count="1">
            <x v="1"/>
          </reference>
          <reference field="3" count="1" selected="0">
            <x v="3"/>
          </reference>
        </references>
      </pivotArea>
    </format>
    <format dxfId="67">
      <pivotArea collapsedLevelsAreSubtotals="1" fieldPosition="0">
        <references count="2">
          <reference field="2" count="1">
            <x v="2"/>
          </reference>
          <reference field="3" count="1" selected="0">
            <x v="3"/>
          </reference>
        </references>
      </pivotArea>
    </format>
    <format dxfId="66">
      <pivotArea collapsedLevelsAreSubtotals="1" fieldPosition="0">
        <references count="2">
          <reference field="2" count="1">
            <x v="3"/>
          </reference>
          <reference field="3" count="1" selected="0">
            <x v="3"/>
          </reference>
        </references>
      </pivotArea>
    </format>
    <format dxfId="65">
      <pivotArea collapsedLevelsAreSubtotals="1" fieldPosition="0">
        <references count="2">
          <reference field="2" count="1">
            <x v="4"/>
          </reference>
          <reference field="3" count="1" selected="0">
            <x v="3"/>
          </reference>
        </references>
      </pivotArea>
    </format>
    <format dxfId="64">
      <pivotArea collapsedLevelsAreSubtotals="1" fieldPosition="0">
        <references count="1">
          <reference field="3" count="1">
            <x v="4"/>
          </reference>
        </references>
      </pivotArea>
    </format>
    <format dxfId="63">
      <pivotArea collapsedLevelsAreSubtotals="1" fieldPosition="0">
        <references count="2">
          <reference field="2" count="1">
            <x v="1"/>
          </reference>
          <reference field="3" count="1" selected="0">
            <x v="4"/>
          </reference>
        </references>
      </pivotArea>
    </format>
    <format dxfId="62">
      <pivotArea collapsedLevelsAreSubtotals="1" fieldPosition="0">
        <references count="2">
          <reference field="2" count="1">
            <x v="2"/>
          </reference>
          <reference field="3" count="1" selected="0">
            <x v="4"/>
          </reference>
        </references>
      </pivotArea>
    </format>
    <format dxfId="61">
      <pivotArea collapsedLevelsAreSubtotals="1" fieldPosition="0">
        <references count="2">
          <reference field="2" count="1">
            <x v="3"/>
          </reference>
          <reference field="3" count="1" selected="0">
            <x v="4"/>
          </reference>
        </references>
      </pivotArea>
    </format>
    <format dxfId="60">
      <pivotArea collapsedLevelsAreSubtotals="1" fieldPosition="0">
        <references count="2">
          <reference field="2" count="1">
            <x v="4"/>
          </reference>
          <reference field="3" count="1" selected="0">
            <x v="4"/>
          </reference>
        </references>
      </pivotArea>
    </format>
    <format dxfId="59">
      <pivotArea collapsedLevelsAreSubtotals="1" fieldPosition="0">
        <references count="1">
          <reference field="3" count="1">
            <x v="5"/>
          </reference>
        </references>
      </pivotArea>
    </format>
    <format dxfId="58">
      <pivotArea collapsedLevelsAreSubtotals="1" fieldPosition="0">
        <references count="2">
          <reference field="2" count="1">
            <x v="1"/>
          </reference>
          <reference field="3" count="1" selected="0">
            <x v="5"/>
          </reference>
        </references>
      </pivotArea>
    </format>
    <format dxfId="57">
      <pivotArea collapsedLevelsAreSubtotals="1" fieldPosition="0">
        <references count="2">
          <reference field="2" count="1">
            <x v="2"/>
          </reference>
          <reference field="3" count="1" selected="0">
            <x v="5"/>
          </reference>
        </references>
      </pivotArea>
    </format>
    <format dxfId="56">
      <pivotArea collapsedLevelsAreSubtotals="1" fieldPosition="0">
        <references count="2">
          <reference field="2" count="1">
            <x v="3"/>
          </reference>
          <reference field="3" count="1" selected="0">
            <x v="5"/>
          </reference>
        </references>
      </pivotArea>
    </format>
    <format dxfId="55">
      <pivotArea collapsedLevelsAreSubtotals="1" fieldPosition="0">
        <references count="2">
          <reference field="2" count="1">
            <x v="4"/>
          </reference>
          <reference field="3" count="1" selected="0">
            <x v="5"/>
          </reference>
        </references>
      </pivotArea>
    </format>
    <format dxfId="54">
      <pivotArea collapsedLevelsAreSubtotals="1" fieldPosition="0">
        <references count="1">
          <reference field="3" count="1">
            <x v="6"/>
          </reference>
        </references>
      </pivotArea>
    </format>
    <format dxfId="53">
      <pivotArea collapsedLevelsAreSubtotals="1" fieldPosition="0">
        <references count="2">
          <reference field="2" count="1">
            <x v="1"/>
          </reference>
          <reference field="3" count="1" selected="0">
            <x v="6"/>
          </reference>
        </references>
      </pivotArea>
    </format>
    <format dxfId="52">
      <pivotArea collapsedLevelsAreSubtotals="1" fieldPosition="0">
        <references count="2">
          <reference field="2" count="1">
            <x v="2"/>
          </reference>
          <reference field="3" count="1" selected="0">
            <x v="6"/>
          </reference>
        </references>
      </pivotArea>
    </format>
    <format dxfId="51">
      <pivotArea collapsedLevelsAreSubtotals="1" fieldPosition="0">
        <references count="2">
          <reference field="2" count="1">
            <x v="3"/>
          </reference>
          <reference field="3" count="1" selected="0">
            <x v="6"/>
          </reference>
        </references>
      </pivotArea>
    </format>
    <format dxfId="50">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DF87BD-F3DA-4174-9821-F8EF530C3874}" name="PivotTable1"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8:F58"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49">
      <pivotArea field="3" type="button" dataOnly="0" labelOnly="1" outline="0" axis="axisRow" fieldPosition="0"/>
    </format>
    <format dxfId="48">
      <pivotArea dataOnly="0" labelOnly="1" outline="0" axis="axisValues" fieldPosition="0"/>
    </format>
    <format dxfId="47">
      <pivotArea collapsedLevelsAreSubtotals="1" fieldPosition="0">
        <references count="2">
          <reference field="2" count="1">
            <x v="1"/>
          </reference>
          <reference field="3" count="1" selected="0">
            <x v="1"/>
          </reference>
        </references>
      </pivotArea>
    </format>
    <format dxfId="46">
      <pivotArea collapsedLevelsAreSubtotals="1" fieldPosition="0">
        <references count="2">
          <reference field="2" count="1">
            <x v="2"/>
          </reference>
          <reference field="3" count="1" selected="0">
            <x v="1"/>
          </reference>
        </references>
      </pivotArea>
    </format>
    <format dxfId="45">
      <pivotArea collapsedLevelsAreSubtotals="1" fieldPosition="0">
        <references count="2">
          <reference field="2" count="1">
            <x v="3"/>
          </reference>
          <reference field="3" count="1" selected="0">
            <x v="1"/>
          </reference>
        </references>
      </pivotArea>
    </format>
    <format dxfId="44">
      <pivotArea collapsedLevelsAreSubtotals="1" fieldPosition="0">
        <references count="2">
          <reference field="2" count="1">
            <x v="4"/>
          </reference>
          <reference field="3" count="1" selected="0">
            <x v="1"/>
          </reference>
        </references>
      </pivotArea>
    </format>
    <format dxfId="43">
      <pivotArea collapsedLevelsAreSubtotals="1" fieldPosition="0">
        <references count="1">
          <reference field="3" count="1">
            <x v="2"/>
          </reference>
        </references>
      </pivotArea>
    </format>
    <format dxfId="42">
      <pivotArea collapsedLevelsAreSubtotals="1" fieldPosition="0">
        <references count="2">
          <reference field="2" count="1">
            <x v="1"/>
          </reference>
          <reference field="3" count="1" selected="0">
            <x v="2"/>
          </reference>
        </references>
      </pivotArea>
    </format>
    <format dxfId="41">
      <pivotArea collapsedLevelsAreSubtotals="1" fieldPosition="0">
        <references count="2">
          <reference field="2" count="1">
            <x v="2"/>
          </reference>
          <reference field="3" count="1" selected="0">
            <x v="2"/>
          </reference>
        </references>
      </pivotArea>
    </format>
    <format dxfId="40">
      <pivotArea collapsedLevelsAreSubtotals="1" fieldPosition="0">
        <references count="2">
          <reference field="2" count="1">
            <x v="3"/>
          </reference>
          <reference field="3" count="1" selected="0">
            <x v="2"/>
          </reference>
        </references>
      </pivotArea>
    </format>
    <format dxfId="39">
      <pivotArea collapsedLevelsAreSubtotals="1" fieldPosition="0">
        <references count="2">
          <reference field="2" count="1">
            <x v="4"/>
          </reference>
          <reference field="3" count="1" selected="0">
            <x v="2"/>
          </reference>
        </references>
      </pivotArea>
    </format>
    <format dxfId="38">
      <pivotArea collapsedLevelsAreSubtotals="1" fieldPosition="0">
        <references count="1">
          <reference field="3" count="1">
            <x v="3"/>
          </reference>
        </references>
      </pivotArea>
    </format>
    <format dxfId="37">
      <pivotArea collapsedLevelsAreSubtotals="1" fieldPosition="0">
        <references count="2">
          <reference field="2" count="1">
            <x v="1"/>
          </reference>
          <reference field="3" count="1" selected="0">
            <x v="3"/>
          </reference>
        </references>
      </pivotArea>
    </format>
    <format dxfId="36">
      <pivotArea collapsedLevelsAreSubtotals="1" fieldPosition="0">
        <references count="2">
          <reference field="2" count="1">
            <x v="2"/>
          </reference>
          <reference field="3" count="1" selected="0">
            <x v="3"/>
          </reference>
        </references>
      </pivotArea>
    </format>
    <format dxfId="35">
      <pivotArea collapsedLevelsAreSubtotals="1" fieldPosition="0">
        <references count="2">
          <reference field="2" count="1">
            <x v="3"/>
          </reference>
          <reference field="3" count="1" selected="0">
            <x v="3"/>
          </reference>
        </references>
      </pivotArea>
    </format>
    <format dxfId="34">
      <pivotArea collapsedLevelsAreSubtotals="1" fieldPosition="0">
        <references count="2">
          <reference field="2" count="1">
            <x v="4"/>
          </reference>
          <reference field="3" count="1" selected="0">
            <x v="3"/>
          </reference>
        </references>
      </pivotArea>
    </format>
    <format dxfId="33">
      <pivotArea collapsedLevelsAreSubtotals="1" fieldPosition="0">
        <references count="1">
          <reference field="3" count="1">
            <x v="4"/>
          </reference>
        </references>
      </pivotArea>
    </format>
    <format dxfId="32">
      <pivotArea collapsedLevelsAreSubtotals="1" fieldPosition="0">
        <references count="2">
          <reference field="2" count="1">
            <x v="1"/>
          </reference>
          <reference field="3" count="1" selected="0">
            <x v="4"/>
          </reference>
        </references>
      </pivotArea>
    </format>
    <format dxfId="31">
      <pivotArea collapsedLevelsAreSubtotals="1" fieldPosition="0">
        <references count="2">
          <reference field="2" count="1">
            <x v="2"/>
          </reference>
          <reference field="3" count="1" selected="0">
            <x v="4"/>
          </reference>
        </references>
      </pivotArea>
    </format>
    <format dxfId="30">
      <pivotArea collapsedLevelsAreSubtotals="1" fieldPosition="0">
        <references count="2">
          <reference field="2" count="1">
            <x v="3"/>
          </reference>
          <reference field="3" count="1" selected="0">
            <x v="4"/>
          </reference>
        </references>
      </pivotArea>
    </format>
    <format dxfId="29">
      <pivotArea collapsedLevelsAreSubtotals="1" fieldPosition="0">
        <references count="2">
          <reference field="2" count="1">
            <x v="4"/>
          </reference>
          <reference field="3" count="1" selected="0">
            <x v="4"/>
          </reference>
        </references>
      </pivotArea>
    </format>
    <format dxfId="28">
      <pivotArea collapsedLevelsAreSubtotals="1" fieldPosition="0">
        <references count="1">
          <reference field="3" count="1">
            <x v="5"/>
          </reference>
        </references>
      </pivotArea>
    </format>
    <format dxfId="27">
      <pivotArea collapsedLevelsAreSubtotals="1" fieldPosition="0">
        <references count="2">
          <reference field="2" count="1">
            <x v="1"/>
          </reference>
          <reference field="3" count="1" selected="0">
            <x v="5"/>
          </reference>
        </references>
      </pivotArea>
    </format>
    <format dxfId="26">
      <pivotArea collapsedLevelsAreSubtotals="1" fieldPosition="0">
        <references count="2">
          <reference field="2" count="1">
            <x v="2"/>
          </reference>
          <reference field="3" count="1" selected="0">
            <x v="5"/>
          </reference>
        </references>
      </pivotArea>
    </format>
    <format dxfId="25">
      <pivotArea collapsedLevelsAreSubtotals="1" fieldPosition="0">
        <references count="2">
          <reference field="2" count="1">
            <x v="3"/>
          </reference>
          <reference field="3" count="1" selected="0">
            <x v="5"/>
          </reference>
        </references>
      </pivotArea>
    </format>
    <format dxfId="24">
      <pivotArea collapsedLevelsAreSubtotals="1" fieldPosition="0">
        <references count="2">
          <reference field="2" count="1">
            <x v="4"/>
          </reference>
          <reference field="3" count="1" selected="0">
            <x v="5"/>
          </reference>
        </references>
      </pivotArea>
    </format>
    <format dxfId="23">
      <pivotArea collapsedLevelsAreSubtotals="1" fieldPosition="0">
        <references count="1">
          <reference field="3" count="1">
            <x v="6"/>
          </reference>
        </references>
      </pivotArea>
    </format>
    <format dxfId="22">
      <pivotArea collapsedLevelsAreSubtotals="1" fieldPosition="0">
        <references count="2">
          <reference field="2" count="1">
            <x v="1"/>
          </reference>
          <reference field="3" count="1" selected="0">
            <x v="6"/>
          </reference>
        </references>
      </pivotArea>
    </format>
    <format dxfId="21">
      <pivotArea collapsedLevelsAreSubtotals="1" fieldPosition="0">
        <references count="2">
          <reference field="2" count="1">
            <x v="2"/>
          </reference>
          <reference field="3" count="1" selected="0">
            <x v="6"/>
          </reference>
        </references>
      </pivotArea>
    </format>
    <format dxfId="20">
      <pivotArea collapsedLevelsAreSubtotals="1" fieldPosition="0">
        <references count="2">
          <reference field="2" count="1">
            <x v="3"/>
          </reference>
          <reference field="3" count="1" selected="0">
            <x v="6"/>
          </reference>
        </references>
      </pivotArea>
    </format>
    <format dxfId="19">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3E6EBD-DE38-4D49-A30A-FBD05BFC04A2}" name="Table1" displayName="Table1" ref="A2:D50" totalsRowShown="0" headerRowDxfId="18" dataDxfId="17">
  <autoFilter ref="A2:D50" xr:uid="{AFE7EBBA-0E52-684B-AE3F-DAE47002C36D}"/>
  <tableColumns count="4">
    <tableColumn id="1" xr3:uid="{1CBC7486-21F3-4D68-AEAB-B260D3DC1265}" name="Provision" dataDxfId="16"/>
    <tableColumn id="2" xr3:uid="{B72D09CC-D35A-4A45-8D8D-9C97129E01A1}" name="Ten year cost (annualized)" dataDxfId="15"/>
    <tableColumn id="4" xr3:uid="{A8BE311C-E3F6-4043-8119-413ED4A13011}" name="Column1" dataDxfId="14"/>
    <tableColumn id="5" xr3:uid="{A41ECCE3-5E03-45CB-9B64-5E91C95099AB}" name="Column2" dataDxfId="13"/>
  </tableColumns>
  <tableStyleInfo name="TableStyleMedium16"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10" dT="2023-01-27T19:07:20.15" personId="{609654FB-393E-4954-B3A3-EDB231775774}" id="{E01C7D51-1793-4A61-9FD5-357953FC571D}">
    <text>Q10, Q11, and Q12 mpcs were changed from 0% to 3.0%</text>
  </threadedComment>
</ThreadedComments>
</file>

<file path=xl/threadedComments/threadedComment2.xml><?xml version="1.0" encoding="utf-8"?>
<ThreadedComments xmlns="http://schemas.microsoft.com/office/spreadsheetml/2018/threadedcomments" xmlns:x="http://schemas.openxmlformats.org/spreadsheetml/2006/main">
  <threadedComment ref="W19" dT="2022-10-27T17:27:46.67" personId="{609654FB-393E-4954-B3A3-EDB231775774}" id="{8BCD2D6E-E5B2-4670-B5B5-84790E4FF7D9}">
    <text>We've hard coded these in as zeros. Do we want to keep that?</text>
  </threadedComment>
  <threadedComment ref="B22" dT="2022-07-27T15:11:58.57" personId="{104078EE-2393-4C21-9029-18A325FBDB70}" id="{D9A1C32B-382A-44CE-B60A-7CEFD093B9EC}">
    <text>May 2022, CBO Ten Year Economic Projections, Quarterly Table, Row 68</text>
  </threadedComment>
  <threadedComment ref="B22" dT="2023-02-15T19:26:55.88" personId="{609654FB-393E-4954-B3A3-EDB231775774}" id="{77410686-626C-4FA2-BC72-C063762FFDCE}" parentId="{D9A1C32B-382A-44CE-B60A-7CEFD093B9EC}">
    <text>This is now Feb 2023 CBO Ten Year Economic Projections, Quarterly Table, Row 68, from 2023 Q1 onwards</text>
  </threadedComment>
  <threadedComment ref="B22" dT="2023-07-27T18:29:14.36" personId="{609654FB-393E-4954-B3A3-EDB231775774}" id="{09C8719D-E6B6-4A08-AF07-B2F6DFA2AC88}" parentId="{D9A1C32B-382A-44CE-B60A-7CEFD093B9EC}">
    <text>This is now July 2023 CBO Ten Year Economic Projections, Quarterly Table, Row 68 from 2023 Q2 onwards</text>
  </threadedComment>
  <threadedComment ref="B22" dT="2024-02-22T16:31:50.30" personId="{09FAC3F1-DFDB-4CF8-9903-358701529E2B}" id="{DB29502A-9DD2-4A0F-AE03-6909CCF8BB08}" parentId="{D9A1C32B-382A-44CE-B60A-7CEFD093B9EC}">
    <text>This is now February 2024 CBO Economic Projections, Quarterly Table, Row 68 from 2023 Q2 onward</text>
  </threadedComment>
  <threadedComment ref="B22" dT="2024-06-26T18:30:01.65" personId="{2C68A5A1-706F-4A3E-93A3-741BBABEC4EA}" id="{4C1BD790-6CA2-4A0A-903D-48C016B60253}" parentId="{D9A1C32B-382A-44CE-B60A-7CEFD093B9EC}">
    <text>This is now June 2024 CBO Economic Projections, Quarterly table row 68 from 2021 Q1 onward</text>
  </threadedComment>
  <threadedComment ref="AG22" dT="2024-04-26T17:16:27.79" personId="{2C68A5A1-706F-4A3E-93A3-741BBABEC4EA}" id="{9A78D78B-9B91-4B19-B3C5-F387312A4076}">
    <text>We decided to set this equal to the previous quarter estimate as a temporary measure.</text>
  </threadedComment>
  <threadedComment ref="S23" dT="2023-02-16T15:37:10.59" personId="{104078EE-2393-4C21-9029-18A325FBDB70}" id="{2738E40F-5E63-45A6-A7D0-04539F543CE4}">
    <text>Cannot pull forward -- make sure to update the formula from the monthly ur from BLS below</text>
  </threadedComment>
</ThreadedComments>
</file>

<file path=xl/threadedComments/threadedComment3.xml><?xml version="1.0" encoding="utf-8"?>
<ThreadedComments xmlns="http://schemas.microsoft.com/office/spreadsheetml/2018/threadedcomments" xmlns:x="http://schemas.openxmlformats.org/spreadsheetml/2006/main">
  <threadedComment ref="W19" dT="2022-10-27T17:27:46.67" personId="{609654FB-393E-4954-B3A3-EDB231775774}" id="{D946413E-762D-4FFC-9209-11EBCBD51016}">
    <text>We've hard coded these in as zeros. Do we want to keep that?</text>
  </threadedComment>
  <threadedComment ref="B22" dT="2022-07-27T15:11:58.57" personId="{104078EE-2393-4C21-9029-18A325FBDB70}" id="{E1041433-BA01-41BE-A250-949526A70696}">
    <text>May 2022, CBO Ten Year Economic Projections, Quarterly Table, Row 68</text>
  </threadedComment>
  <threadedComment ref="B22" dT="2023-02-15T19:26:55.88" personId="{609654FB-393E-4954-B3A3-EDB231775774}" id="{56B6D2B6-AB90-49FD-8AFC-C67646CD2BAC}" parentId="{E1041433-BA01-41BE-A250-949526A70696}">
    <text>This is now Feb 2023 CBO Ten Year Economic Projections, Quarterly Table, Row 68, from 2023 Q1 onwards</text>
  </threadedComment>
  <threadedComment ref="S23" dT="2023-02-16T15:37:10.59" personId="{104078EE-2393-4C21-9029-18A325FBDB70}" id="{094D651B-B0D2-4E5E-BE0F-3F7EDDB28A27}">
    <text>Cannot pull forward -- make sure to update the formula from the monthly ur from BLS below</text>
  </threadedComment>
</ThreadedComments>
</file>

<file path=xl/threadedComments/threadedComment4.xml><?xml version="1.0" encoding="utf-8"?>
<ThreadedComments xmlns="http://schemas.microsoft.com/office/spreadsheetml/2018/threadedcomments" xmlns:x="http://schemas.openxmlformats.org/spreadsheetml/2006/main">
  <threadedComment ref="J12" dT="2023-02-16T18:11:03.85" personId="{609654FB-393E-4954-B3A3-EDB231775774}" id="{F234B5B6-B19D-4AC0-9DB4-A48A2D200CCC}">
    <text>This series is continued in row 19, "Coronavirus Fiscal Recovery Fund." It is not a mistake that there are blanks here!!</text>
  </threadedComment>
  <threadedComment ref="U13" dT="2023-04-28T16:00:59.73" personId="{2C68A5A1-706F-4A3E-93A3-741BBABEC4EA}" id="{8D2135C1-1504-4F9B-942F-01E6B6321912}">
    <text>Despite the fact that BEA has stopped reporting this as a separate line item, we've decided to still include it in our calculations because we believe that our assumptions about the ESF diminishing are close to the truth.</text>
  </threadedComment>
  <threadedComment ref="S27" dT="2022-09-30T19:04:36.69" personId="{104078EE-2393-4C21-9029-18A325FBDB70}" id="{52B73EBC-59DE-4AFE-A4BC-5DCFD4E527B4}">
    <text>Add factor to match data</text>
  </threadedComment>
  <threadedComment ref="C55" dT="2021-06-14T11:28:38.43" personId="{58CF8BEC-4104-46F7-BE4F-2C9403635492}" id="{BB2BD600-D27D-45BD-8287-F361E12EE9C4}">
    <text>https://www.cbo.gov/system/files/2020-04/hr748.pdf</text>
  </threadedComment>
  <threadedComment ref="C56" dT="2021-06-14T16:29:41.30" personId="{58CF8BEC-4104-46F7-BE4F-2C9403635492}" id="{EC883E67-97AD-460D-B658-F12FDD429342}">
    <text>The total Education Stabilization Fund is 30 billion; we lower by 8 billion to account for parts of the fund that go to private universities (which we wouldn't classify as a grant to state and local governments).</text>
  </threadedComment>
  <threadedComment ref="C57" dT="2021-06-11T14:09:21.80" personId="{58CF8BEC-4104-46F7-BE4F-2C9403635492}" id="{57CD4897-BB4E-42F1-89BB-E63A5874F81B}">
    <text>Total provider relief fund is 100, but we assume that 27% is in the form of grants based on the BEA data that came in.</text>
  </threadedComment>
  <threadedComment ref="B81" dT="2023-02-16T18:16:09.17" personId="{609654FB-393E-4954-B3A3-EDB231775774}" id="{9D68663E-7375-4798-AF31-C3B40AF84CDB}">
    <text>This is a policy update since May 2022 CBO update, but the Grants number was not updated by CBO. So do we delete this line or is it still included?</text>
  </threadedComment>
  <threadedComment ref="J83" dT="2022-09-30T19:04:58.57" personId="{104078EE-2393-4C21-9029-18A325FBDB70}" id="{4D719FE1-A97C-46FC-9D71-7ECFBB4F6D87}">
    <text>Using data -- not a different spending pattern</text>
  </threadedComment>
  <threadedComment ref="AG83" dT="2023-08-18T20:32:02.72" personId="{2C68A5A1-706F-4A3E-93A3-741BBABEC4EA}" id="{91C8DEB0-37FF-4A76-9EDD-8709F55CAF73}">
    <text>Our "ARP Quarterly" sheet does not go farther than Q4 2025. our temporary fix is to make this equal to the preceding quarter.</text>
  </threadedComment>
  <threadedComment ref="AG85" dT="2023-08-18T20:31:55.12" personId="{2C68A5A1-706F-4A3E-93A3-741BBABEC4EA}" id="{ECD0E9C9-87A4-46F8-8BE1-5E2BEC9520B3}">
    <text>Our "ARP Quarterly" sheet does not go farther than Q4 2025.
Our temporary fix is to make this equal to the preceding quarter.</text>
  </threadedComment>
  <threadedComment ref="R96" dT="2022-07-28T17:27:50.97" personId="{104078EE-2393-4C21-9029-18A325FBDB70}" id="{E702D61C-4760-4164-BD3F-5AB302CA98ED}">
    <text>Using previous forecast because of reallocation by the BEA</text>
  </threadedComment>
  <threadedComment ref="S96" dT="2022-10-27T14:12:06.27" personId="{609654FB-393E-4954-B3A3-EDB231775774}" id="{776019CE-8128-450F-A25E-EF6C5707CFC6}">
    <text>Don't pull again</text>
  </threadedComment>
  <threadedComment ref="B97" dT="2023-02-16T18:17:56.28" personId="{609654FB-393E-4954-B3A3-EDB231775774}" id="{EF6EC7A7-A475-49DC-B77E-29BB35266C5E}">
    <text>Similar question to row 85</text>
  </threadedComment>
</ThreadedComments>
</file>

<file path=xl/threadedComments/threadedComment5.xml><?xml version="1.0" encoding="utf-8"?>
<ThreadedComments xmlns="http://schemas.microsoft.com/office/spreadsheetml/2018/threadedcomments" xmlns:x="http://schemas.openxmlformats.org/spreadsheetml/2006/main">
  <threadedComment ref="B9" dT="2022-07-27T15:16:37.13" personId="{104078EE-2393-4C21-9029-18A325FBDB70}" id="{976B723C-4211-4969-882A-4B89C4902055}">
    <text>May 2022 CBO economic projections row 127 quarterly table</text>
  </threadedComment>
  <threadedComment ref="B9" dT="2023-02-15T19:40:23.85" personId="{609654FB-393E-4954-B3A3-EDB231775774}" id="{5D4FEFF0-1A89-4604-A6EE-A9921838BC6F}" parentId="{976B723C-4211-4969-882A-4B89C4902055}">
    <text>This is now February 2023 CBO economic projections row 127 quarterly table</text>
  </threadedComment>
  <threadedComment ref="B9" dT="2023-07-27T18:31:18.10" personId="{609654FB-393E-4954-B3A3-EDB231775774}" id="{D78ED2FD-083D-4D3D-90CB-588F26BDC2F5}" parentId="{976B723C-4211-4969-882A-4B89C4902055}">
    <text>This is now July 2023 CBO economic projections row 127 quarterly table</text>
  </threadedComment>
  <threadedComment ref="B9" dT="2024-02-21T22:16:46.87" personId="{09FAC3F1-DFDB-4CF8-9903-358701529E2B}" id="{D555AF99-F94F-4BDE-B145-E138B69AEBCF}" parentId="{976B723C-4211-4969-882A-4B89C4902055}">
    <text>This is now February 2024 CBO economic projections row 129 quarterly table.</text>
  </threadedComment>
  <threadedComment ref="B9" dT="2024-06-26T18:41:21.94" personId="{2C68A5A1-706F-4A3E-93A3-741BBABEC4EA}" id="{74EA8410-AE4F-463D-AA1C-7B843C4FD6DA}" parentId="{976B723C-4211-4969-882A-4B89C4902055}">
    <text>This is now June 2024 CBO Economic Projections Quarterly table row 129 from 2021 Q1 onward</text>
  </threadedComment>
  <threadedComment ref="B10" dT="2022-07-27T15:17:23.40" personId="{104078EE-2393-4C21-9029-18A325FBDB70}" id="{02F35ABE-CA0E-4752-B4BE-50C4C795E703}">
    <text>May 2022 CBO economic projections row 128 quarterly table</text>
  </threadedComment>
  <threadedComment ref="B10" dT="2023-02-15T19:42:15.43" personId="{609654FB-393E-4954-B3A3-EDB231775774}" id="{1133CB4B-569A-43E1-B7BE-00E25FCCA35F}" parentId="{02F35ABE-CA0E-4752-B4BE-50C4C795E703}">
    <text>This is now February 2023 CBO economic projections row 128 quarterly table</text>
  </threadedComment>
  <threadedComment ref="B10" dT="2023-07-27T18:36:08.52" personId="{609654FB-393E-4954-B3A3-EDB231775774}" id="{AC82CDDA-A4C5-4000-9E65-2F0D9994C127}" parentId="{02F35ABE-CA0E-4752-B4BE-50C4C795E703}">
    <text>This is now July 2023 CBO economic projections row 128 quarterly table</text>
  </threadedComment>
  <threadedComment ref="B10" dT="2024-02-21T22:17:34.08" personId="{09FAC3F1-DFDB-4CF8-9903-358701529E2B}" id="{EEF54E4D-75AC-4CE6-B7B4-A2F50898FDD2}" parentId="{02F35ABE-CA0E-4752-B4BE-50C4C795E703}">
    <text>This is now February 2024 CBO economic projections row 130 quarterly table</text>
  </threadedComment>
  <threadedComment ref="B10" dT="2024-06-26T18:42:24.26" personId="{2C68A5A1-706F-4A3E-93A3-741BBABEC4EA}" id="{206732D9-B230-42BD-890A-AC6D4948168E}" parentId="{02F35ABE-CA0E-4752-B4BE-50C4C795E703}">
    <text>This is now June 2024 CBO Economic Projections Quarterly table row 130 from 2021 Q1 onward.</text>
  </threadedComment>
  <threadedComment ref="AG11" dT="2023-08-18T20:42:13.02" personId="{2C68A5A1-706F-4A3E-93A3-741BBABEC4EA}" id="{0ADCB210-D448-44DD-A5EE-5E6E7334408B}">
    <text>This number isn't a valid projection until we get a 2026 Q1 growth rate.</text>
  </threadedComment>
  <threadedComment ref="B24" dT="2022-06-30T18:28:35.88" personId="{104078EE-2393-4C21-9029-18A325FBDB70}" id="{3D5BBFAC-4E76-4F2A-B34F-264D54111B07}">
    <text>May 2022 CBO economic projections row 129 quarterly table</text>
  </threadedComment>
  <threadedComment ref="B24" dT="2023-02-15T19:43:47.77" personId="{609654FB-393E-4954-B3A3-EDB231775774}" id="{D2ED8084-9DED-49AE-9C39-DE899BA6DBE4}" parentId="{3D5BBFAC-4E76-4F2A-B34F-264D54111B07}">
    <text>This is now February 2023 CBO economic projections row 129 quarterly table</text>
  </threadedComment>
  <threadedComment ref="B24" dT="2023-07-27T18:37:42.56" personId="{609654FB-393E-4954-B3A3-EDB231775774}" id="{5A35562D-9D11-4966-A103-00D106E2863D}" parentId="{3D5BBFAC-4E76-4F2A-B34F-264D54111B07}">
    <text>This is now July 2023 CBO economic projections row 129 quarterly table</text>
  </threadedComment>
  <threadedComment ref="B24" dT="2024-02-21T22:22:11.49" personId="{09FAC3F1-DFDB-4CF8-9903-358701529E2B}" id="{20A7D685-EAA3-4C01-B5CA-107CB58D087F}" parentId="{3D5BBFAC-4E76-4F2A-B34F-264D54111B07}">
    <text>This is now February 2024 CBO economic projections row 131 quarterly table.</text>
  </threadedComment>
  <threadedComment ref="B24" dT="2024-06-26T18:44:20.97" personId="{2C68A5A1-706F-4A3E-93A3-741BBABEC4EA}" id="{9A13A553-A958-4882-A266-2E3589681540}" parentId="{3D5BBFAC-4E76-4F2A-B34F-264D54111B07}">
    <text>This is now June 2024 CBO Economic Projections Quarterly table row 131 from 2021 Q1 onward.</text>
  </threadedComment>
  <threadedComment ref="B25" dT="2024-06-26T18:46:33.64" personId="{2C68A5A1-706F-4A3E-93A3-741BBABEC4EA}" id="{E7D459C7-D63C-4E4A-AE4E-B08D7B79CF4D}">
    <text>These data are from June 2024 CBO Economic Projections Quarterly table, row 132 from 2021 Q1 onward.</text>
  </threadedComment>
  <threadedComment ref="B32" dT="2023-11-30T15:39:21.04" personId="{2C68A5A1-706F-4A3E-93A3-741BBABEC4EA}" id="{C146291D-B06B-4D46-A30C-B289BA81D51C}">
    <text>Start updating this chart again</text>
  </threadedComment>
</ThreadedComments>
</file>

<file path=xl/threadedComments/threadedComment6.xml><?xml version="1.0" encoding="utf-8"?>
<ThreadedComments xmlns="http://schemas.microsoft.com/office/spreadsheetml/2018/threadedcomments" xmlns:x="http://schemas.openxmlformats.org/spreadsheetml/2006/main">
  <threadedComment ref="V12" dT="2023-07-28T14:41:50.77" personId="{609654FB-393E-4954-B3A3-EDB231775774}" id="{C8AD5ECB-6700-45F3-8A5E-89F70EFCEC27}">
    <text>Assuming pre-pandemic trend is putting us too high</text>
  </threadedComment>
  <threadedComment ref="R19" dT="2022-07-28T13:44:35.53" personId="{104078EE-2393-4C21-9029-18A325FBDB70}" id="{3E7AAE05-9E76-4CF3-873B-76FF197F21FE}">
    <text>We had these coming in at 21 and 6 respectively</text>
  </threadedComment>
  <threadedComment ref="U20" dT="2023-04-28T16:43:36.97" personId="{104078EE-2393-4C21-9029-18A325FBDB70}" id="{9C6B073E-F7AB-4CBA-B38C-DC03A0972F64}">
    <text>Preserving forecast formula since bea stopped reporting line item</text>
  </threadedComment>
  <threadedComment ref="R22" dT="2022-04-28T19:15:48.71" personId="{104078EE-2393-4C21-9029-18A325FBDB70}" id="{B5E978D5-CE65-4AE2-8DD7-1EF95BA9E399}">
    <text>There was no total amount authorized for this program, and the SBA has stopped accepting applications as of January 2022.
https://www.sba.gov/funding-programs/loans/covid-19-relief-options/covid-19-economic-injury-disaster-loan/about-targeted-eidl-advance-supplemental-targeted-advance</text>
  </threadedComment>
  <threadedComment ref="P25" dT="2022-01-28T16:13:54.75" personId="{58CF8BEC-4104-46F7-BE4F-2C9403635492}" id="{DB908DB8-ED36-4713-AE3C-B9DFD0F93D1E}">
    <text>This is used to keep line 12 (non-leg subsidies) at a consistent level</text>
  </threadedComment>
  <threadedComment ref="B26" dT="2023-02-16T18:27:27.41" personId="{609654FB-393E-4954-B3A3-EDB231775774}" id="{531C2B30-B748-4992-BA59-32A200D8CA7B}">
    <text>This row and the next are policy lines since the May 2022 CBO update, but we don't get a CBO line for Total Federal Subsidies. So do we delete these rows?</text>
  </threadedComment>
  <threadedComment ref="R45" dT="2022-10-27T17:21:31.98" personId="{609654FB-393E-4954-B3A3-EDB231775774}" id="{02CD4DDF-2C52-45CC-A7C0-F81AC2D1A26A}">
    <text>Flag because ARP subsidies come in 100 lower based on ARP score, non-ARP subsidies now much higher going forward.</text>
  </threadedComment>
  <threadedComment ref="AG45" dT="2024-04-26T17:14:06.26" personId="{2C68A5A1-706F-4A3E-93A3-741BBABEC4EA}" id="{D984E10B-B7DF-4552-BF09-3EB2FF9587F0}">
    <text>Hard coded to 0 because ARP Quarterly runs out of data and this is small anyway.</text>
  </threadedComment>
  <threadedComment ref="S46" dT="2022-07-28T13:50:14.43" personId="{104078EE-2393-4C21-9029-18A325FBDB70}" id="{7010EE95-CECC-419E-AEDA-DD810575C98C}">
    <text>Should we forecast a negative number for this item?</text>
  </threadedComment>
</ThreadedComments>
</file>

<file path=xl/threadedComments/threadedComment7.xml><?xml version="1.0" encoding="utf-8"?>
<ThreadedComments xmlns="http://schemas.microsoft.com/office/spreadsheetml/2018/threadedcomments" xmlns:x="http://schemas.openxmlformats.org/spreadsheetml/2006/main">
  <threadedComment ref="V12" dT="2023-01-27T19:01:20.87" personId="{609654FB-393E-4954-B3A3-EDB231775774}" id="{6F7D0E44-45B2-4003-8249-3888890A6B9B}">
    <text>End of public health emergency,  April 2023, so FMAP share goes down.</text>
  </threadedComment>
  <threadedComment ref="V12" dT="2023-07-27T14:27:37.22" personId="{2C68A5A1-706F-4A3E-93A3-741BBABEC4EA}" id="{2833D23B-E63D-499C-BF3F-AE811D6642DE}" parentId="{6F7D0E44-45B2-4003-8249-3888890A6B9B}">
    <text>How do we feel about FMAP stabilizing at 0.71 in our projections?</text>
  </threadedComment>
  <threadedComment ref="W12" dT="2023-07-28T14:54:19.93" personId="{609654FB-393E-4954-B3A3-EDB231775774}" id="{AD8BE1EB-30C1-4CFB-A518-57E98CBEADF4}">
    <text>We reduced this predicted FMAP from .745 to .72 because Q2 FMAP came in quite low</text>
  </threadedComment>
  <threadedComment ref="B17" dT="2022-05-26T13:51:07.76" personId="{104078EE-2393-4C21-9029-18A325FBDB70}" id="{C3958D6E-5D0B-4757-8548-DC4AB51469BE}">
    <text>May 2022 CBO 10-year budget projections Table 3-2 Mandatory Outlays Projected in CBO's baseline, adjusted to exclude effects of timing shifts, Row 18</text>
  </threadedComment>
  <threadedComment ref="B17" dT="2023-02-15T19:53:13.46" personId="{609654FB-393E-4954-B3A3-EDB231775774}" id="{33C21F0C-3560-41CE-A5DD-3B71DEE775BD}" parentId="{C3958D6E-5D0B-4757-8548-DC4AB51469BE}">
    <text>This is now February 2023 CBO 10-year budget projections table 1-4 Mandatory Outlays Adjusted to Exclude the Effect of Timing Shifts, row 15, starting from 2022</text>
  </threadedComment>
  <threadedComment ref="B17" dT="2023-06-29T16:02:43.93" personId="{2C68A5A1-706F-4A3E-93A3-741BBABEC4EA}" id="{253E30F8-5B4F-4163-AE47-B0A273CFEC23}" parentId="{C3958D6E-5D0B-4757-8548-DC4AB51469BE}">
    <text>May 2023 CBO 10-year budget projections supplemental table 2 Major health care programs &gt; Medicaid (row 16) starting from Actual, 2022.</text>
  </threadedComment>
  <threadedComment ref="B17" dT="2024-02-22T14:20:57.00" personId="{09FAC3F1-DFDB-4CF8-9903-358701529E2B}" id="{5BBDC251-44BB-4030-AD85-8E24540ECA90}" parentId="{C3958D6E-5D0B-4757-8548-DC4AB51469BE}">
    <text>This is now February 2024 CBO 10-year budget projections table 1-4 Mandatory Outlays Adjusted to Exclude the Effect of Timing Shifts, row 15, starting from 2023</text>
  </threadedComment>
  <threadedComment ref="B17" dT="2024-06-26T18:57:37.91" personId="{2C68A5A1-706F-4A3E-93A3-741BBABEC4EA}" id="{3266CE3F-B88B-41A5-AAF3-D02B9F4B66DF}" parentId="{C3958D6E-5D0B-4757-8548-DC4AB51469BE}">
    <text>This is now June 2024 CBO Budget Projections table table 1-4 Mandatory Outlays Adjusted to Exclude the Effect of Timing Shifts, row 15, starting from 2023</text>
  </threadedComment>
  <threadedComment ref="G20" dT="2023-10-27T17:44:38.56" personId="{609654FB-393E-4954-B3A3-EDB231775774}" id="{8A2A0363-6E26-43DA-8F9C-0DA70A3F65A0}">
    <text>Higher growth than CBO predicts because we've already seen a large decrease</text>
  </threadedComment>
  <threadedComment ref="G20" dT="2024-03-29T18:17:33.54" personId="{2C68A5A1-706F-4A3E-93A3-741BBABEC4EA}" id="{8FC373EC-A8CE-4303-A69B-58FE96E30B67}" parentId="{8A2A0363-6E26-43DA-8F9C-0DA70A3F65A0}">
    <text>We added 2 pp to the growth rate because of CBO's very low &amp; declining forecast</text>
  </threadedComment>
  <threadedComment ref="H20" dT="2023-09-29T20:02:43.20" personId="{2C68A5A1-706F-4A3E-93A3-741BBABEC4EA}" id="{48FEC13E-DD87-4779-A443-42BF4F49FF37}">
    <text>Louise changed to 0.02</text>
  </threadedComment>
  <threadedComment ref="W27" dT="2023-07-28T14:26:42.35" personId="{609654FB-393E-4954-B3A3-EDB231775774}" id="{09188FF2-A127-4014-A01D-03DD2BF0FA2E}">
    <text>Medicaid has been growing much faster than the CBO 10-year budget predicts. So this might we worth revisiting because CBO's growth rate seems unrealistic</text>
  </threadedComment>
  <threadedComment ref="V28" dT="2023-07-26T20:48:20.39" personId="{2C68A5A1-706F-4A3E-93A3-741BBABEC4EA}" id="{5E6012FC-E5EC-49B2-9F3E-FF9BACB20939}">
    <text>Is there any reason we want a 32 here? The formula doesn't have any dependents, so this is not factoring into anything.</text>
  </threadedComment>
</ThreadedComments>
</file>

<file path=xl/threadedComments/threadedComment8.xml><?xml version="1.0" encoding="utf-8"?>
<ThreadedComments xmlns="http://schemas.microsoft.com/office/spreadsheetml/2018/threadedcomments" xmlns:x="http://schemas.openxmlformats.org/spreadsheetml/2006/main">
  <threadedComment ref="B21" dT="2022-05-26T13:55:21.44" personId="{104078EE-2393-4C21-9029-18A325FBDB70}" id="{FBCF6AFF-3308-4DB2-931F-AB1BC267CB41}">
    <text>May 2022 CBO 10-year budget projections Table 3-2 Mandatory Outlays Projected in CBO's baseline, adjusted to exclude effects of timing shifts, Row 17</text>
  </threadedComment>
  <threadedComment ref="B21" dT="2023-02-15T19:57:12.17" personId="{609654FB-393E-4954-B3A3-EDB231775774}" id="{0DAFD942-1E4E-471B-90D4-59ABEF291821}" parentId="{FBCF6AFF-3308-4DB2-931F-AB1BC267CB41}">
    <text>This is now February 2023 10-year budget projections table 1-4 Mandatory Outlays adjusted to exclude effect of timing shifts, row 14, from 2022</text>
  </threadedComment>
  <threadedComment ref="B21" dT="2023-06-29T16:04:49.84" personId="{2C68A5A1-706F-4A3E-93A3-741BBABEC4EA}" id="{4E404555-EBE0-42CE-9B8D-703736E9394A}" parentId="{FBCF6AFF-3308-4DB2-931F-AB1BC267CB41}">
    <text>May 2023 CBO 10-year budget projections supplemental table 2 Major Health Care Programs &gt; Medicare (row 15) from Actual, 2022 onward</text>
  </threadedComment>
  <threadedComment ref="B21" dT="2024-02-22T14:22:26.71" personId="{09FAC3F1-DFDB-4CF8-9903-358701529E2B}" id="{9780ACDA-D5F7-4084-B56D-9A0A8A4189D2}" parentId="{FBCF6AFF-3308-4DB2-931F-AB1BC267CB41}">
    <text>This is now February 2024 CBO 10-year budget projections table 1-4 Mandatory Outlays Adjusted to Exclude the Effect of Timing Shifts, row 14, from 2023</text>
  </threadedComment>
  <threadedComment ref="B21" dT="2024-06-26T19:01:04.90" personId="{2C68A5A1-706F-4A3E-93A3-741BBABEC4EA}" id="{9265B547-6102-4D79-A653-063CF3ABE805}" parentId="{FBCF6AFF-3308-4DB2-931F-AB1BC267CB41}">
    <text>This is now June 2024 CBO 10-year budget projections table 1-4 Mandatory Outlays Adjusted to Exclude the Effect of Timing Shifts, row 14, from 2023</text>
  </threadedComment>
  <threadedComment ref="H26" dT="2023-10-27T18:42:53.80" personId="{609654FB-393E-4954-B3A3-EDB231775774}" id="{8EBBDF8F-92CB-4DA7-AB0C-805F6924BC38}">
    <text>Bringing growth down because Medicare expenditures have been stagnant for 6 months on MPI</text>
  </threadedComment>
</ThreadedComments>
</file>

<file path=xl/threadedComments/threadedComment9.xml><?xml version="1.0" encoding="utf-8"?>
<ThreadedComments xmlns="http://schemas.microsoft.com/office/spreadsheetml/2018/threadedcomments" xmlns:x="http://schemas.openxmlformats.org/spreadsheetml/2006/main">
  <threadedComment ref="W11" dT="2023-07-28T18:20:50.48" personId="{2C68A5A1-706F-4A3E-93A3-741BBABEC4EA}" id="{5E8C922E-2E18-4038-98CC-7367E12CF4D7}">
    <text>We reduced the CBO value (https://www.cbo.gov/system/files/2023-03/58983-IDR.pdf) by 90% because of Biden update in response to Supreme Court decision</text>
  </threadedComment>
</ThreadedComments>
</file>

<file path=xl/threadedComments/threadedComment10.xml><?xml version="1.0" encoding="utf-8"?>
<ThreadedComments xmlns="http://schemas.microsoft.com/office/spreadsheetml/2018/threadedcomments" xmlns:x="http://schemas.openxmlformats.org/spreadsheetml/2006/main">
  <threadedComment ref="V12" dT="2023-04-27T02:58:38.96" personId="{2C68A5A1-706F-4A3E-93A3-741BBABEC4EA}" id="{36E0E18E-822C-4DD6-8410-5E4C883D1836}">
    <text>Why are the projected #s so different from the historical #s?</text>
  </threadedComment>
  <threadedComment ref="T24" dT="2023-01-26T22:24:09.34" personId="{609654FB-393E-4954-B3A3-EDB231775774}" id="{3012ED06-42B4-440E-92A9-D4BCE51A80AC}">
    <text>Hard coded, formulas otherwise maintained.</text>
  </threadedComment>
  <threadedComment ref="AG24" dT="2024-04-26T17:18:21.29" personId="{2C68A5A1-706F-4A3E-93A3-741BBABEC4EA}" id="{C3543641-BD77-4654-B0BF-74DF8DC9E44D}">
    <text>We set this equal to 0 because ARP Quarterly ran out of data and it's small anyway</text>
  </threadedComment>
  <threadedComment ref="AG25" dT="2024-04-26T17:19:21.98" personId="{2C68A5A1-706F-4A3E-93A3-741BBABEC4EA}" id="{A51AA54C-AAFD-4FFD-BD46-B7B54115E232}">
    <text>We set this equal to 0 because ARP Quarterly ran out of data and it's small anyway</text>
  </threadedComment>
  <threadedComment ref="W26" dT="2023-07-28T15:01:48.28" personId="{609654FB-393E-4954-B3A3-EDB231775774}" id="{344D7ABE-26E3-4303-8241-3B2D9BE19C4C}">
    <text>Our SNAP due to COVID projection goes on at its current level forever. Does this make sense to us, especially because it's been leveling off?</text>
  </threadedComment>
  <threadedComment ref="S27" dT="2022-10-27T17:47:53.13" personId="{609654FB-393E-4954-B3A3-EDB231775774}" id="{581A763D-69E7-4316-A641-33877C6ED334}">
    <text>This didn't get automatically pulled in by Haver. Run Haver pull tomorrow.</text>
  </threadedComment>
  <threadedComment ref="U27" dT="2023-04-28T16:49:22.08" personId="{104078EE-2393-4C21-9029-18A325FBDB70}" id="{62AD165D-7A82-4BF4-8868-C46B05D9A871}">
    <text>Back to pre-pandemic level so we no longer get data from BEA and we don't use it</text>
  </threadedComment>
  <threadedComment ref="S30" dT="2022-10-27T17:37:59.67" personId="{609654FB-393E-4954-B3A3-EDB231775774}" id="{88370A64-FBDF-4CF1-9910-136364F7D354}">
    <text>Another prediction ARP will crash. Do we still want this?</text>
  </threadedComment>
  <threadedComment ref="B32" dT="2023-02-16T19:02:57.27" personId="{609654FB-393E-4954-B3A3-EDB231775774}" id="{9CD67460-E1CB-4B53-9C37-E18E4A204770}">
    <text>Same issue as previous--we have policies but they don't feed into anything we get from the CBO. So what do we do?</text>
  </threadedComment>
  <threadedComment ref="W50" dT="2023-07-28T17:56:37.74" personId="{2C68A5A1-706F-4A3E-93A3-741BBABEC4EA}" id="{E1EEB2AC-C029-4C98-981E-E7577AACBA1F}">
    <text>We're assuming it will stay at 37.7 because of the new TFP</text>
  </threadedComment>
  <threadedComment ref="J66" dT="2021-11-02T13:23:36.94" personId="{58CF8BEC-4104-46F7-BE4F-2C9403635492}" id="{8624CBF8-0C25-4544-B55E-7210BBE07E41}">
    <text>Formula changes to grow by counterfactual pre-covid growth rate</text>
  </threadedComment>
  <threadedComment ref="M66" dT="2021-11-02T13:26:53.83" personId="{58CF8BEC-4104-46F7-BE4F-2C9403635492}" id="{B38BAE8E-DF30-49E2-9F96-90A1041E4DF0}">
    <text>Accounting for step up in social security</text>
  </threadedComment>
  <threadedComment ref="M66" dT="2022-07-28T10:16:22.56" personId="{104078EE-2393-4C21-9029-18A325FBDB70}" id="{E0C007BA-F33F-4062-A357-370316E1FFF4}" parentId="{B38BAE8E-DF30-49E2-9F96-90A1041E4DF0}">
    <text>every Q1</text>
  </threadedComment>
  <threadedComment ref="U66" dT="2022-10-28T13:56:35.19" personId="{609654FB-393E-4954-B3A3-EDB231775774}" id="{96427D88-0329-491C-A939-11D66B55F1C3}" done="1">
    <text>COLA adjustment questions.</text>
  </threadedComment>
  <threadedComment ref="Y66" dT="2022-10-28T13:56:35.19" personId="{609654FB-393E-4954-B3A3-EDB231775774}" id="{8AABB420-F73D-4E8A-8DF7-F245078D4E11}">
    <text>COLA adjustment questions.</text>
  </threadedComment>
  <threadedComment ref="AC66" dT="2022-10-28T13:56:35.19" personId="{609654FB-393E-4954-B3A3-EDB231775774}" id="{41707468-7438-4BC6-B704-F002DDD23F47}">
    <text>COLA adjustment questions.</text>
  </threadedComment>
  <threadedComment ref="AE72" dT="2024-04-26T20:27:17.35" personId="{09FAC3F1-DFDB-4CF8-9903-358701529E2B}" id="{BB43241A-632E-43CC-BA8F-93EFF045E9AE}">
    <text>We need to base this off of CBO.</text>
  </threadedComment>
  <threadedComment ref="U79" dT="2022-10-28T13:56:35.19" personId="{609654FB-393E-4954-B3A3-EDB231775774}" id="{768266C3-5F6F-4B4B-A0F2-5FE77F7C9D9D}" done="1">
    <text>COLA adjustment questions.</text>
  </threadedComment>
  <threadedComment ref="Y79" dT="2022-10-28T13:56:35.19" personId="{609654FB-393E-4954-B3A3-EDB231775774}" id="{CEF813AA-D4CC-411F-B865-86A64AC5EEB6}">
    <text>COLA adjustment questions.</text>
  </threadedComment>
  <threadedComment ref="AC79" dT="2022-10-28T13:56:35.19" personId="{609654FB-393E-4954-B3A3-EDB231775774}" id="{DDFF41A6-D6EC-4A60-A3F9-0AF92DDF8C11}">
    <text>COLA adjustment questions.</text>
  </threadedComment>
  <threadedComment ref="B91" dT="2023-02-24T16:39:02.09" personId="{104078EE-2393-4C21-9029-18A325FBDB70}" id="{6AF7CFB2-704D-4104-831C-CFDBBA2AEEEB}">
    <text>CBO Feb 2023 budget projections table 1-4, social security subtotal</text>
  </threadedComment>
  <threadedComment ref="B91" dT="2023-06-29T15:43:04.78" personId="{2C68A5A1-706F-4A3E-93A3-741BBABEC4EA}" id="{7DD95AD6-CB37-4E4C-85DB-D839D0D68392}" parentId="{6AF7CFB2-704D-4104-831C-CFDBBA2AEEEB}">
    <text>CBO May 2023 budget projections supplemental table 2, social security subtotal</text>
  </threadedComment>
  <threadedComment ref="B91" dT="2024-02-22T14:26:52.50" personId="{09FAC3F1-DFDB-4CF8-9903-358701529E2B}" id="{1B6B475F-16F5-464B-B8B1-453906623618}" parentId="{6AF7CFB2-704D-4104-831C-CFDBBA2AEEEB}">
    <text>This is now February 2024 CBO budget projections Table 1-4 Adjusted for the Effects of Timing Shifts, row 12 social security subtotal</text>
  </threadedComment>
  <threadedComment ref="B91" dT="2024-06-26T19:56:49.87" personId="{2C68A5A1-706F-4A3E-93A3-741BBABEC4EA}" id="{FDBFDF4C-1754-4260-AF98-D7434EC4EA69}" parentId="{6AF7CFB2-704D-4104-831C-CFDBBA2AEEEB}">
    <text>This is now June 2024 CBO budget projections Table 1-4 Adjusted for the Effects of Timing Shifts, row 12 social security subtotal from 2023 onward</text>
  </threadedComment>
</ThreadedComments>
</file>

<file path=xl/threadedComments/threadedComment11.xml><?xml version="1.0" encoding="utf-8"?>
<ThreadedComments xmlns="http://schemas.microsoft.com/office/spreadsheetml/2018/threadedcomments" xmlns:x="http://schemas.openxmlformats.org/spreadsheetml/2006/main">
  <threadedComment ref="V12" dT="2023-04-27T02:58:38.96" personId="{2C68A5A1-706F-4A3E-93A3-741BBABEC4EA}" id="{505E7BD6-88A4-42AD-A6DC-68BD0BE87D33}">
    <text>Why are the projected #s so different from the historical #s?</text>
  </threadedComment>
  <threadedComment ref="S13" dT="2022-10-27T17:47:53.13" personId="{609654FB-393E-4954-B3A3-EDB231775774}" id="{881F3BB7-106B-4F00-B0DA-BD9A53BEF838}">
    <text>This didn't get automatically pulled in by Haver. Run Haver pull tomorrow.</text>
  </threadedComment>
  <threadedComment ref="U13" dT="2023-04-28T16:49:22.08" personId="{104078EE-2393-4C21-9029-18A325FBDB70}" id="{C3DB8831-9F87-4F3D-9B9D-9A9E1597F426}">
    <text>Back to pre-pandemic level so we no longer get data from BEA and we don't use it</text>
  </threadedComment>
  <threadedComment ref="W24" dT="2023-07-28T15:01:48.28" personId="{609654FB-393E-4954-B3A3-EDB231775774}" id="{4228D01B-4AEF-4CA7-B658-811954DCF7BB}">
    <text>Our SNAP due to COVID projection goes on at its current level forever. Does this make sense to us, especially because it's been leveling off?</text>
  </threadedComment>
  <threadedComment ref="V25" dT="2023-04-27T02:58:38.96" personId="{2C68A5A1-706F-4A3E-93A3-741BBABEC4EA}" id="{04B398A3-1374-48E0-B6C2-D78AE6DA1BDD}">
    <text>Why are the projected #s so different from the historical #s?</text>
  </threadedComment>
  <threadedComment ref="T32" dT="2023-01-26T22:24:09.34" personId="{609654FB-393E-4954-B3A3-EDB231775774}" id="{0D6526F1-FB84-4CE1-BF6D-D216D2CBFA7D}">
    <text>Hard coded, formulas otherwise maintained.</text>
  </threadedComment>
  <threadedComment ref="W34" dT="2023-07-28T15:01:48.28" personId="{609654FB-393E-4954-B3A3-EDB231775774}" id="{776C20D9-BBE8-4C4A-83F8-DBDF30610EB7}">
    <text>Our SNAP due to COVID projection goes on at its current level forever. Does this make sense to us, especially because it's been leveling off?</text>
  </threadedComment>
  <threadedComment ref="S35" dT="2022-10-27T17:47:53.13" personId="{609654FB-393E-4954-B3A3-EDB231775774}" id="{13EDECA1-3336-4AAC-8327-B0C38DEC95D7}">
    <text>This didn't get automatically pulled in by Haver. Run Haver pull tomorrow.</text>
  </threadedComment>
  <threadedComment ref="U35" dT="2023-04-28T16:49:22.08" personId="{104078EE-2393-4C21-9029-18A325FBDB70}" id="{60848DDC-4FFF-464F-B8D9-5B6A281B60B5}">
    <text>Back to pre-pandemic level so we no longer get data from BEA and we don't use it</text>
  </threadedComment>
  <threadedComment ref="S38" dT="2022-10-27T17:37:59.67" personId="{609654FB-393E-4954-B3A3-EDB231775774}" id="{E57A7D31-77D0-420E-9DD7-198719027F9A}">
    <text>Another prediction ARP will crash. Do we still want this?</text>
  </threadedComment>
  <threadedComment ref="B40" dT="2023-02-16T19:02:57.27" personId="{609654FB-393E-4954-B3A3-EDB231775774}" id="{C002318B-0202-4CC0-8DD3-1725593FE3D1}">
    <text>Same issue as previous--we have policies but they don't feed into anything we get from the CBO. So what do we do?</text>
  </threadedComment>
  <threadedComment ref="B66" dT="2023-02-16T19:02:57.27" personId="{609654FB-393E-4954-B3A3-EDB231775774}" id="{E4FE7A8B-4D2A-4359-B238-2B2BE1512246}">
    <text>Same issue as previous--we have policies but they don't feed into anything we get from the CBO. So what do we do?</text>
  </threadedComment>
  <threadedComment ref="W85" dT="2023-07-28T17:56:37.74" personId="{2C68A5A1-706F-4A3E-93A3-741BBABEC4EA}" id="{43DC2388-3546-49A3-A073-D026721B0873}">
    <text>We're assuming it will stay at 37.7 because of the new TFP</text>
  </threadedComment>
  <threadedComment ref="J101" dT="2021-11-02T13:23:36.94" personId="{58CF8BEC-4104-46F7-BE4F-2C9403635492}" id="{FABA84AA-C37B-4336-B1EE-7A5E70CE24AE}">
    <text>Formula changes to grow by counterfactual pre-covid growth rate</text>
  </threadedComment>
  <threadedComment ref="M101" dT="2021-11-02T13:26:53.83" personId="{58CF8BEC-4104-46F7-BE4F-2C9403635492}" id="{54F419B7-0667-48BB-8A9C-D19D1B8EB15F}">
    <text>Accounting for step up in social security</text>
  </threadedComment>
  <threadedComment ref="M101" dT="2022-07-28T10:16:22.56" personId="{104078EE-2393-4C21-9029-18A325FBDB70}" id="{C13F0153-6FFC-4378-8217-B88FBB04205C}" parentId="{54F419B7-0667-48BB-8A9C-D19D1B8EB15F}">
    <text>every Q1</text>
  </threadedComment>
  <threadedComment ref="U101" dT="2022-10-28T13:56:35.19" personId="{609654FB-393E-4954-B3A3-EDB231775774}" id="{24DC2710-2BAF-4CA0-A042-43B56D306DEE}" done="1">
    <text>COLA adjustment questions.</text>
  </threadedComment>
  <threadedComment ref="Y101" dT="2022-10-28T13:56:35.19" personId="{609654FB-393E-4954-B3A3-EDB231775774}" id="{EB478BFD-2402-456B-898A-BD2349A0E650}">
    <text>COLA adjustment questions.</text>
  </threadedComment>
  <threadedComment ref="AC101" dT="2022-10-28T13:56:35.19" personId="{609654FB-393E-4954-B3A3-EDB231775774}" id="{B854E505-68D2-4028-B487-5373AF8AF641}">
    <text>COLA adjustment questions.</text>
  </threadedComment>
  <threadedComment ref="U114" dT="2022-10-28T13:56:35.19" personId="{609654FB-393E-4954-B3A3-EDB231775774}" id="{A74F5C9C-5443-4AD1-9B0C-B7667FF0C0B0}" done="1">
    <text>COLA adjustment questions.</text>
  </threadedComment>
  <threadedComment ref="Y114" dT="2022-10-28T13:56:35.19" personId="{609654FB-393E-4954-B3A3-EDB231775774}" id="{6EBA7EC1-98AF-47E6-9E37-660FEFC5B8A8}">
    <text>COLA adjustment questions.</text>
  </threadedComment>
  <threadedComment ref="AC114" dT="2022-10-28T13:56:35.19" personId="{609654FB-393E-4954-B3A3-EDB231775774}" id="{D9B40975-2C01-46AD-98EC-7D62C3266F39}">
    <text>COLA adjustment questions.</text>
  </threadedComment>
  <threadedComment ref="B126" dT="2023-02-24T16:39:02.09" personId="{104078EE-2393-4C21-9029-18A325FBDB70}" id="{19FB8D81-993F-405A-A8CE-0DEF848E524B}">
    <text>CBO Feb 2023 budget projections table 1-4, social security subtotal</text>
  </threadedComment>
  <threadedComment ref="B126" dT="2023-06-29T15:43:04.78" personId="{2C68A5A1-706F-4A3E-93A3-741BBABEC4EA}" id="{715AFA6B-B2F6-44AF-94D3-E3C61A3AFA39}" parentId="{19FB8D81-993F-405A-A8CE-0DEF848E524B}">
    <text>CBO May 2023 budget projections supplemental table 2, social security subtotal</text>
  </threadedComment>
</ThreadedComments>
</file>

<file path=xl/threadedComments/threadedComment12.xml><?xml version="1.0" encoding="utf-8"?>
<ThreadedComments xmlns="http://schemas.microsoft.com/office/spreadsheetml/2018/threadedcomments" xmlns:x="http://schemas.openxmlformats.org/spreadsheetml/2006/main">
  <threadedComment ref="R8" dT="2022-10-27T18:55:12.78" personId="{609654FB-393E-4954-B3A3-EDB231775774}" id="{C1427567-6345-422C-950F-10556EB5D1E6}">
    <text>The levels are a lot lower!</text>
  </threadedComment>
  <threadedComment ref="V16" dT="2023-07-27T13:55:30.12" personId="{2C68A5A1-706F-4A3E-93A3-741BBABEC4EA}" id="{EBE1E7D2-6EB8-4B92-8CE8-BB562C83E893}">
    <text>Drag my predecessor forward in August 2023!! (Corporate taxes come in late, and we couldn't update in July!)</text>
  </threadedComment>
  <threadedComment ref="W16" dT="2023-10-26T13:36:22.11" personId="{609654FB-393E-4954-B3A3-EDB231775774}" id="{593AFA9A-8DC4-4E71-AAA8-0645166E3F25}">
    <text>Drag this forward in November, by the same logic as the comment in the previous cell.</text>
  </threadedComment>
  <threadedComment ref="X16" dT="2024-01-24T19:06:54.51" personId="{09FAC3F1-DFDB-4CF8-9903-358701529E2B}" id="{E6E2D78D-4384-4561-939B-9BC7331F8BE8}">
    <text>Drag this forward in February because we get Q4 data a month late.</text>
  </threadedComment>
  <threadedComment ref="AC21" dT="2024-04-26T16:37:16.34" personId="{09FAC3F1-DFDB-4CF8-9903-358701529E2B}" id="{D06702F8-F5F4-41FB-BA11-B2023B5B68A7}">
    <text>For all state taxes, (lines 21,23,24), Change Y to AC when data come in</text>
  </threadedComment>
  <threadedComment ref="V25" dT="2023-07-27T13:56:35.04" personId="{2C68A5A1-706F-4A3E-93A3-741BBABEC4EA}" id="{9443444D-0A20-425F-9300-C411DBC65A0D}">
    <text>Drag my predecessor forward in August 2023!! (Corporate taxes come in late, and we couldn't update in July!)</text>
  </threadedComment>
  <threadedComment ref="W25" dT="2023-10-26T13:36:43.23" personId="{609654FB-393E-4954-B3A3-EDB231775774}" id="{8773E616-7533-4D96-8216-0F45303BCB01}">
    <text>Drag this forward in November, by the same logic as in the previous cell.</text>
  </threadedComment>
  <threadedComment ref="X25" dT="2024-01-24T19:07:35.34" personId="{09FAC3F1-DFDB-4CF8-9903-358701529E2B}" id="{F4C081DF-9BF8-4221-BECE-CB42A30EB5BC}">
    <text>Drag this forward in February because we get Q4 data one month late.</text>
  </threadedComment>
  <threadedComment ref="Z25" dT="2024-04-26T16:40:10.25" personId="{09FAC3F1-DFDB-4CF8-9903-358701529E2B}" id="{498AD0F5-D245-4256-A7C8-7D62910F1A6D}">
    <text>Change to Y in May</text>
  </threadedComment>
  <threadedComment ref="K35" dT="2023-09-29T18:40:36.76" personId="{2C68A5A1-706F-4A3E-93A3-741BBABEC4EA}" id="{1065F4CB-52AB-4B92-B793-654578199E67}">
    <text>We adjusted these growth rates upward because CBO expected taxes to fall gradually but instead they fell quickly.</text>
  </threadedComment>
  <threadedComment ref="K39" dT="2024-02-29T21:02:38.53" personId="{4C0C5F85-AD1E-4C57-B372-003AF5B78A9F}" id="{6EA59173-A6A4-4520-BC55-CD373EBDD6E4}">
    <text>We reduced the CBO growth rate from 36% to 10% because it seemed anomolously high</text>
  </threadedComment>
  <threadedComment ref="L39" dT="2024-02-29T21:03:05.03" personId="{4C0C5F85-AD1E-4C57-B372-003AF5B78A9F}" id="{B7BB92B9-56AF-428A-90BE-8769E0F9A367}">
    <text>We increased the CBO growth rate to account for our large adjustment in the previous year</text>
  </threadedComment>
  <threadedComment ref="M39" dT="2024-05-30T19:58:14.22" personId="{2C68A5A1-706F-4A3E-93A3-741BBABEC4EA}" id="{F12C7BC9-1DAF-45BE-BFCA-781CDA4BC7CD}">
    <text>Another additional add factor, similar to comment to the left</text>
  </threadedComment>
  <threadedComment ref="D55" dT="2023-02-15T20:39:04.10" personId="{609654FB-393E-4954-B3A3-EDB231775774}" id="{54F6D9F3-8868-417E-999A-B95E2C1FC589}">
    <text>May 2023 CBO Budget Projections Table 1 Row 12</text>
  </threadedComment>
  <threadedComment ref="D55" dT="2024-02-22T14:31:10.89" personId="{09FAC3F1-DFDB-4CF8-9903-358701529E2B}" id="{5AD6BF73-9438-4F75-A02E-C3EAB6B7E7E0}" parentId="{54F6D9F3-8868-417E-999A-B95E2C1FC589}">
    <text>Feb 2024 CBO Budget Projections Table 1-1 Row 10</text>
  </threadedComment>
  <threadedComment ref="D55" dT="2024-06-27T14:27:47.87" personId="{2C68A5A1-706F-4A3E-93A3-741BBABEC4EA}" id="{B8639833-1036-486E-B271-B2B70A5F4327}" parentId="{54F6D9F3-8868-417E-999A-B95E2C1FC589}">
    <text>June 2024 CBO Budget Projections Table 1-1 Row 10</text>
  </threadedComment>
  <threadedComment ref="M55" dT="2024-05-30T19:30:52.33" personId="{2C68A5A1-706F-4A3E-93A3-741BBABEC4EA}" id="{8DA4ABCB-3EED-4DB4-A96F-296CD1D3D3EE}">
    <text>Added CBO estimate to counterfactual from TCJA NOT expiring in https://www.cbo.gov/publication/60271
We also subtracted an addition 30, which is roughly half of the 48+11 from investment.</text>
    <extLst>
      <x:ext xmlns:xltc2="http://schemas.microsoft.com/office/spreadsheetml/2020/threadedcomments2" uri="{F7C98A9C-CBB3-438F-8F68-D28B6AF4A901}">
        <xltc2:checksum>3732159924</xltc2:checksum>
        <xltc2:hyperlink startIndex="63" length="37" url="https://www.cbo.gov/publication/60271"/>
      </x:ext>
    </extLst>
  </threadedComment>
  <threadedComment ref="D56" dT="2023-02-15T20:40:59.29" personId="{609654FB-393E-4954-B3A3-EDB231775774}" id="{1FB99C5A-E921-4C2B-94A6-469F8368DE8C}">
    <text>February 2023 Budget Projections Table 1 Row 13</text>
  </threadedComment>
  <threadedComment ref="D56" dT="2023-07-27T18:42:32.97" personId="{609654FB-393E-4954-B3A3-EDB231775774}" id="{6C707ADF-070D-4A54-B1A8-849B2DDA53F5}" parentId="{1FB99C5A-E921-4C2B-94A6-469F8368DE8C}">
    <text>These are now May 2023 Budget Projections Table 1 row 13</text>
  </threadedComment>
  <threadedComment ref="D56" dT="2024-02-22T14:36:16.32" personId="{09FAC3F1-DFDB-4CF8-9903-358701529E2B}" id="{9F895A21-C5E6-4F14-982E-DE530E6FCE79}" parentId="{1FB99C5A-E921-4C2B-94A6-469F8368DE8C}">
    <text>February 2024 CBO Budget Projections Table 1-1 Row 11</text>
  </threadedComment>
  <threadedComment ref="D56" dT="2024-06-27T14:28:28.14" personId="{2C68A5A1-706F-4A3E-93A3-741BBABEC4EA}" id="{AAC1A7F3-5101-4D77-A002-FBE231A1A27C}" parentId="{1FB99C5A-E921-4C2B-94A6-469F8368DE8C}">
    <text>June 2024 CBO Budget Projections Table 1-1 Row 11</text>
  </threadedComment>
  <threadedComment ref="D57" dT="2024-06-27T14:31:36.26" personId="{2C68A5A1-706F-4A3E-93A3-741BBABEC4EA}" id="{71B63C0C-A14A-4CAA-AD37-D99BE7060ACF}">
    <text>Not updated June 2024. I could not find in the budget projections.</text>
  </threadedComment>
  <threadedComment ref="D58" dT="2023-02-15T20:49:24.23" personId="{609654FB-393E-4954-B3A3-EDB231775774}" id="{CE0F5DCB-3CCE-4E3D-A6E4-2AC8A4A5F19D}">
    <text>February 2023 CBO Budget Projections Table 1-6 Row 14</text>
  </threadedComment>
  <threadedComment ref="D58" dT="2024-02-22T14:44:59.03" personId="{09FAC3F1-DFDB-4CF8-9903-358701529E2B}" id="{570B49A8-6692-4986-87A6-4A3AB8B43DB9}" parentId="{CE0F5DCB-3CCE-4E3D-A6E4-2AC8A4A5F19D}">
    <text>February 2024 CBO Budget Projections Table 1-7 Row 14</text>
  </threadedComment>
  <threadedComment ref="D59" dT="2023-02-15T20:50:01.14" personId="{609654FB-393E-4954-B3A3-EDB231775774}" id="{B0E96582-484F-445D-8FF5-3592B5A172FA}">
    <text>February 2023 CBO Budget Projections Table 1-6 Row 16</text>
  </threadedComment>
  <threadedComment ref="D59" dT="2024-02-22T14:45:22.24" personId="{09FAC3F1-DFDB-4CF8-9903-358701529E2B}" id="{4F586962-5804-4FED-852B-7ABCF3DF98B2}" parentId="{B0E96582-484F-445D-8FF5-3592B5A172FA}">
    <text>February 2024 CBO Budget Projections Table 1-7, row 16</text>
  </threadedComment>
  <threadedComment ref="D60" dT="2023-02-15T20:51:09.94" personId="{609654FB-393E-4954-B3A3-EDB231775774}" id="{E6B5A35A-07FA-4F2B-9A9E-866D21A47917}">
    <text>May 2023 CBO Budget Projections Table 1 Row 14</text>
  </threadedComment>
  <threadedComment ref="D60" dT="2024-02-22T14:47:44.47" personId="{09FAC3F1-DFDB-4CF8-9903-358701529E2B}" id="{E777AE82-BE55-4B42-9F51-8E1C71456A8B}" parentId="{E6B5A35A-07FA-4F2B-9A9E-866D21A47917}">
    <text>February 2023 CBO Budget Projections Table 1-1, row 12</text>
  </threadedComment>
  <threadedComment ref="D60" dT="2024-06-27T14:32:38.18" personId="{2C68A5A1-706F-4A3E-93A3-741BBABEC4EA}" id="{0FB34D58-0EA7-45D9-9687-C1C4AAD9A17B}" parentId="{E6B5A35A-07FA-4F2B-9A9E-866D21A47917}">
    <text>June 2024 CBO Budget projections table 1-1 row 12</text>
  </threadedComment>
  <threadedComment ref="M60" dT="2024-05-30T19:35:19.75" personId="{2C68A5A1-706F-4A3E-93A3-741BBABEC4EA}" id="{4A8F6F92-75ED-4D7D-9EAC-6799BA8D11ED}">
    <text xml:space="preserve">See comment in M56 on using CBO estimate of TCJA not expiring
</text>
  </threadedComment>
  <threadedComment ref="D78" dT="2023-02-15T20:53:24.39" personId="{609654FB-393E-4954-B3A3-EDB231775774}" id="{BAC4C9C5-057D-4522-9D5B-345501733B13}">
    <text>February 2023 CBO Economic Projections Fiscal Year Table row 92</text>
  </threadedComment>
  <threadedComment ref="D78" dT="2023-07-27T18:46:48.63" personId="{609654FB-393E-4954-B3A3-EDB231775774}" id="{64D40D74-2A66-4530-BD07-3D55C243D880}" parentId="{BAC4C9C5-057D-4522-9D5B-345501733B13}">
    <text>July 2023 now</text>
  </threadedComment>
  <threadedComment ref="D78" dT="2024-02-22T15:10:21.02" personId="{09FAC3F1-DFDB-4CF8-9903-358701529E2B}" id="{9188F4B5-7FFF-4AD3-B884-A6BD992DF509}" parentId="{BAC4C9C5-057D-4522-9D5B-345501733B13}">
    <text>This is now February 2024 CBO Economic Projections Fiscal Year Sheet, row 94</text>
  </threadedComment>
  <threadedComment ref="D78" dT="2024-06-27T14:34:45.71" personId="{2C68A5A1-706F-4A3E-93A3-741BBABEC4EA}" id="{87A09169-659E-458F-A9F3-D0AB63E74083}" parentId="{BAC4C9C5-057D-4522-9D5B-345501733B13}">
    <text>June 2024 Econ projections Fiscal Year sheet row 94. Pasted for 2021 onward</text>
  </threadedComment>
  <threadedComment ref="D79" dT="2023-02-15T20:55:16.88" personId="{609654FB-393E-4954-B3A3-EDB231775774}" id="{903D683D-E956-41A0-87A0-4A0ACF2A3EC0}">
    <text>February 2023 CBO Economic Projections Fiscal Year Table row 96</text>
  </threadedComment>
  <threadedComment ref="D79" dT="2023-07-27T18:46:54.82" personId="{609654FB-393E-4954-B3A3-EDB231775774}" id="{D9697230-6007-4D86-9D27-2784C2D59C94}" parentId="{903D683D-E956-41A0-87A0-4A0ACF2A3EC0}">
    <text>July 2023 now</text>
  </threadedComment>
  <threadedComment ref="D79" dT="2024-02-22T15:12:46.20" personId="{09FAC3F1-DFDB-4CF8-9903-358701529E2B}" id="{5EB79390-D49F-4610-A389-9A566FE7B07F}" parentId="{903D683D-E956-41A0-87A0-4A0ACF2A3EC0}">
    <text>This is now February 2024 CBO Economic Projections Fiscal Year Table row, row 98</text>
  </threadedComment>
  <threadedComment ref="D79" dT="2024-06-27T14:35:02.92" personId="{2C68A5A1-706F-4A3E-93A3-741BBABEC4EA}" id="{7727E27A-5B75-4F93-BBAF-2B2028A6DBD6}" parentId="{903D683D-E956-41A0-87A0-4A0ACF2A3EC0}">
    <text>June 2024 Econ projections Fiscal Year sheet row 98. Pasted for 2021 onward</text>
  </threadedComment>
  <threadedComment ref="D80" dT="2023-02-15T20:56:03.85" personId="{609654FB-393E-4954-B3A3-EDB231775774}" id="{3EBCE0D2-6A48-4CE9-BC8C-5855F5261D1F}">
    <text>February 2023 CBO Economic Projections, Fiscal Year Table row 116</text>
  </threadedComment>
  <threadedComment ref="D80" dT="2023-07-27T18:47:32.66" personId="{609654FB-393E-4954-B3A3-EDB231775774}" id="{A6D061A0-2D6B-4586-A606-81C5A9C89977}" parentId="{3EBCE0D2-6A48-4CE9-BC8C-5855F5261D1F}">
    <text>July now</text>
  </threadedComment>
  <threadedComment ref="D80" dT="2024-02-22T15:13:36.88" personId="{09FAC3F1-DFDB-4CF8-9903-358701529E2B}" id="{5B0E85F2-3E88-4DE5-B75D-A1DFDE5E2251}" parentId="{3EBCE0D2-6A48-4CE9-BC8C-5855F5261D1F}">
    <text>February 2024 CBO Economic Projections, Fiscal Year Table, row 118</text>
  </threadedComment>
  <threadedComment ref="D80" dT="2024-06-27T14:36:46.17" personId="{2C68A5A1-706F-4A3E-93A3-741BBABEC4EA}" id="{742D0AD1-132D-49B8-ACB8-D7A00789C5CC}" parentId="{3EBCE0D2-6A48-4CE9-BC8C-5855F5261D1F}">
    <text>June 2024 CBO Economic Projections, Fiscal Year Table, row 118 pasted from 2021 onward</text>
  </threadedComment>
  <threadedComment ref="D81" dT="2023-02-15T20:57:01.88" personId="{609654FB-393E-4954-B3A3-EDB231775774}" id="{48184811-5BD0-438A-8E38-4FDE0C8DFA8F}">
    <text>February 2023 CBO Economic Projections Fiscal Year Table row 110</text>
  </threadedComment>
  <threadedComment ref="D81" dT="2023-07-27T18:47:56.03" personId="{609654FB-393E-4954-B3A3-EDB231775774}" id="{42694EC8-B4D2-4CD1-BAD5-30DE831C4BF2}" parentId="{48184811-5BD0-438A-8E38-4FDE0C8DFA8F}">
    <text>July now</text>
  </threadedComment>
  <threadedComment ref="D81" dT="2024-02-22T15:15:43.17" personId="{09FAC3F1-DFDB-4CF8-9903-358701529E2B}" id="{7286570C-B0B2-4C53-B491-EBC2A429EFF9}" parentId="{48184811-5BD0-438A-8E38-4FDE0C8DFA8F}">
    <text>This is now February 2024 CBO Economic Projections Fiscal Year Table, row 112</text>
  </threadedComment>
  <threadedComment ref="D81" dT="2024-06-27T14:37:42.80" personId="{2C68A5A1-706F-4A3E-93A3-741BBABEC4EA}" id="{BDF2F21B-F60E-4F9C-A5EF-0E83248D90F2}" parentId="{48184811-5BD0-438A-8E38-4FDE0C8DFA8F}">
    <text>June 2024 CBO Economic Projections Fiscal Year Table, row 112 from 2021 onward</text>
  </threadedComment>
  <threadedComment ref="D102" dT="2023-02-15T21:14:11.24" personId="{609654FB-393E-4954-B3A3-EDB231775774}" id="{D2748782-D0E6-49AC-8A19-1F2FBF9255CC}">
    <text>February 2023 CBO Economic Projections Quarterly Table, row 96</text>
  </threadedComment>
  <threadedComment ref="D102" dT="2023-07-27T18:51:44.27" personId="{609654FB-393E-4954-B3A3-EDB231775774}" id="{7967E3A9-28DA-40F3-87FB-C23201CBC514}" parentId="{D2748782-D0E6-49AC-8A19-1F2FBF9255CC}">
    <text>Same table and row, July 2023</text>
  </threadedComment>
  <threadedComment ref="D102" dT="2024-02-22T15:28:26.88" personId="{09FAC3F1-DFDB-4CF8-9903-358701529E2B}" id="{3C76C544-F68F-455F-86CF-8627D74B7C59}" parentId="{D2748782-D0E6-49AC-8A19-1F2FBF9255CC}">
    <text>February 2024 CBO Economic Projections Quarterly Table, row 98</text>
  </threadedComment>
  <threadedComment ref="D102" dT="2024-06-27T14:40:11.35" personId="{2C68A5A1-706F-4A3E-93A3-741BBABEC4EA}" id="{A345901C-E565-4819-91C3-A4DED1F11875}" parentId="{D2748782-D0E6-49AC-8A19-1F2FBF9255CC}">
    <text>Ju 2024 economic projections quarterly table row 98 pasted from 2021 Q1 onward</text>
  </threadedComment>
  <threadedComment ref="D103" dT="2023-02-15T21:14:52.42" personId="{609654FB-393E-4954-B3A3-EDB231775774}" id="{A46F7C4F-6912-4219-A6BF-9B291D29572E}">
    <text>February 2023 CBO Economic Projections quarterly tables, row 98</text>
  </threadedComment>
  <threadedComment ref="D103" dT="2023-07-27T18:51:58.38" personId="{609654FB-393E-4954-B3A3-EDB231775774}" id="{7A0F03B6-E33D-4474-9555-B84E69B17617}" parentId="{A46F7C4F-6912-4219-A6BF-9B291D29572E}">
    <text>Same table and row, July 2023</text>
  </threadedComment>
  <threadedComment ref="D103" dT="2024-02-22T15:30:49.62" personId="{09FAC3F1-DFDB-4CF8-9903-358701529E2B}" id="{8B50D8B1-7987-47E1-B1DC-D2F70DCC216E}" parentId="{A46F7C4F-6912-4219-A6BF-9B291D29572E}">
    <text>February 2024 CBO Economic Projections quarterly tables, row 100</text>
  </threadedComment>
  <threadedComment ref="D103" dT="2024-06-27T14:41:16.43" personId="{2C68A5A1-706F-4A3E-93A3-741BBABEC4EA}" id="{6425957B-D42C-489A-A538-4AA95EC109FD}" parentId="{A46F7C4F-6912-4219-A6BF-9B291D29572E}">
    <text>June 2024 CBO Economic Projections Quarterly table row 100 from 2021 Q1 onward</text>
  </threadedComment>
  <threadedComment ref="D104" dT="2023-02-15T21:15:38.27" personId="{609654FB-393E-4954-B3A3-EDB231775774}" id="{76E953CB-BD49-43CF-8F2D-8BFB47D725D7}">
    <text>February 2023 CBO Economic Projections quarterly table, row 116</text>
  </threadedComment>
  <threadedComment ref="D104" dT="2023-07-27T18:51:50.61" personId="{609654FB-393E-4954-B3A3-EDB231775774}" id="{5483793C-0C25-47A5-BAF9-EF712CAD7D04}" parentId="{76E953CB-BD49-43CF-8F2D-8BFB47D725D7}">
    <text>Same table and row, July 2023</text>
  </threadedComment>
  <threadedComment ref="D104" dT="2024-02-22T15:37:14.65" personId="{09FAC3F1-DFDB-4CF8-9903-358701529E2B}" id="{385DCECF-44A3-4344-9011-2A6CE78C506F}" parentId="{76E953CB-BD49-43CF-8F2D-8BFB47D725D7}">
    <text>This is now February 2024 CBO Economic Projections Quarterly Table, row 118</text>
  </threadedComment>
  <threadedComment ref="D104" dT="2024-06-27T14:41:57.04" personId="{2C68A5A1-706F-4A3E-93A3-741BBABEC4EA}" id="{A7C417EA-C785-474D-B0D2-8C33C43492C2}" parentId="{76E953CB-BD49-43CF-8F2D-8BFB47D725D7}">
    <text xml:space="preserve">June 2024 CBO Economic Projections Quarterly Table, row 118 from 2021 Q1 onward
</text>
  </threadedComment>
  <threadedComment ref="D105" dT="2023-02-15T21:16:25.78" personId="{609654FB-393E-4954-B3A3-EDB231775774}" id="{8FB584A5-2B54-4AD8-94A1-F46A717E4FE5}">
    <text>February 2023 CBO Economic Projections quarterly table row 112</text>
  </threadedComment>
  <threadedComment ref="D105" dT="2023-07-27T18:52:05.52" personId="{609654FB-393E-4954-B3A3-EDB231775774}" id="{0C631DB7-7EAD-4CD2-978E-4DD9468CD3B1}" parentId="{8FB584A5-2B54-4AD8-94A1-F46A717E4FE5}">
    <text>Same table and row, July 2023</text>
  </threadedComment>
  <threadedComment ref="D105" dT="2024-02-22T15:42:56.34" personId="{09FAC3F1-DFDB-4CF8-9903-358701529E2B}" id="{19BF4626-D0E8-42B5-BD70-3452F9A463CA}" parentId="{8FB584A5-2B54-4AD8-94A1-F46A717E4FE5}">
    <text>February 2024 CBO Economic Projections quarterly table row 114 corporate profits domestic</text>
  </threadedComment>
  <threadedComment ref="D105" dT="2024-06-27T14:43:33.75" personId="{2C68A5A1-706F-4A3E-93A3-741BBABEC4EA}" id="{BA2256D4-F0D9-4901-B7FD-C47AE6B4FB99}" parentId="{8FB584A5-2B54-4AD8-94A1-F46A717E4FE5}">
    <text xml:space="preserve">June 2024 CBO Economic Projections quarterly table row 114 corporate profits domestic with IVA and CCAdj, from 2021 Q1 onward
</text>
  </threadedComment>
  <threadedComment ref="U128" dT="2023-04-27T03:02:33.18" personId="{2C68A5A1-706F-4A3E-93A3-741BBABEC4EA}" id="{65B2F617-D738-4757-983D-98D9DB3870FB}">
    <text>I can't drag these over because of circular references.</text>
  </threadedComment>
  <threadedComment ref="V131" dT="2023-07-27T14:08:57.55" personId="{2C68A5A1-706F-4A3E-93A3-741BBABEC4EA}" id="{0AC09EFD-8A54-444C-A82D-77111C533292}">
    <text>Drag my predecessor forward in August 2023!! (Corporate taxes come in late, and we couldn't update in July!)</text>
  </threadedComment>
  <threadedComment ref="W131" dT="2023-10-26T13:42:51.37" personId="{609654FB-393E-4954-B3A3-EDB231775774}" id="{1B45073C-05DE-4E50-B57C-9DA43CA3E5DB}">
    <text>Drag forward in November by same logic as in previous cell.</text>
  </threadedComment>
  <threadedComment ref="X131" dT="2024-01-24T19:09:22.97" personId="{09FAC3F1-DFDB-4CF8-9903-358701529E2B}" id="{1EFE3D94-A914-4335-ADA0-94B1C8F72E64}">
    <text>Drag forward in February because we get Q4 Data 1 month late.</text>
  </threadedComment>
</ThreadedComments>
</file>

<file path=xl/threadedComments/threadedComment13.xml><?xml version="1.0" encoding="utf-8"?>
<ThreadedComments xmlns="http://schemas.microsoft.com/office/spreadsheetml/2018/threadedcomments" xmlns:x="http://schemas.openxmlformats.org/spreadsheetml/2006/main">
  <threadedComment ref="B62" dT="2022-12-08T15:25:37.53" personId="{104078EE-2393-4C21-9029-18A325FBDB70}" id="{3D2D0DDD-7B5A-43DF-B8EA-F946232323B5}">
    <text>These series are in inst/extdata/projections.xlsx. See the dictionary sheet in that workbook to locate these in CBO. When there's a new baseline, update projections.xlsx and pull in the variables here as well.</text>
  </threadedComment>
  <threadedComment ref="B64" dT="2023-07-27T18:54:18.72" personId="{609654FB-393E-4954-B3A3-EDB231775774}" id="{0DF18CD1-DDA4-4936-9B9E-36F885A8A9DF}">
    <text>July 2023 10-year economic projections Quarterly Table line 116</text>
  </threadedComment>
  <threadedComment ref="B64" dT="2024-02-22T16:14:54.16" personId="{09FAC3F1-DFDB-4CF8-9903-358701529E2B}" id="{5E636256-C425-4746-8026-732FFB49DCA6}" parentId="{0DF18CD1-DDA4-4936-9B9E-36F885A8A9DF}">
    <text>February 2024 CBO Economic Projections, Quarterly Table, Line 118</text>
  </threadedComment>
  <threadedComment ref="B64" dT="2024-06-27T14:46:21.05" personId="{2C68A5A1-706F-4A3E-93A3-741BBABEC4EA}" id="{D50CF423-E0D1-4B94-95BB-8C460DAA2108}" parentId="{0DF18CD1-DDA4-4936-9B9E-36F885A8A9DF}">
    <text>June 2024 CBO Economic Projections, Quarterly Table, Line 118 pasted from 2021 Q1 onward</text>
  </threadedComment>
  <threadedComment ref="B65" dT="2023-07-27T18:58:29.78" personId="{609654FB-393E-4954-B3A3-EDB231775774}" id="{9DDFDF05-CB8A-4154-92B5-FB4AFBAE30F8}">
    <text>July 2023 10-year economic projections quarterly table line 127</text>
  </threadedComment>
  <threadedComment ref="B65" dT="2024-02-22T16:17:18.71" personId="{09FAC3F1-DFDB-4CF8-9903-358701529E2B}" id="{415918D2-8F3E-4EB4-8C8E-353F5D499194}" parentId="{9DDFDF05-CB8A-4154-92B5-FB4AFBAE30F8}">
    <text>July 2023 CBO Economic Projections, Quarterly Table Line 129</text>
  </threadedComment>
  <threadedComment ref="B65" dT="2024-06-27T14:46:52.06" personId="{2C68A5A1-706F-4A3E-93A3-741BBABEC4EA}" id="{50296040-D0CA-4737-BBB1-FF0CC10742F9}" parentId="{9DDFDF05-CB8A-4154-92B5-FB4AFBAE30F8}">
    <text>June 2024 CBO Economic Projections, Quarterly Table Line 129 from 2021 Q1 onward</text>
  </threadedComment>
  <threadedComment ref="B66" dT="2023-07-27T18:58:47.03" personId="{609654FB-393E-4954-B3A3-EDB231775774}" id="{C72DB8C1-80AB-49EE-8306-B3882C563DE7}">
    <text>July 2023 economic projections quarterly table line 129</text>
  </threadedComment>
  <threadedComment ref="B66" dT="2024-02-22T16:18:11.19" personId="{09FAC3F1-DFDB-4CF8-9903-358701529E2B}" id="{D3B155C7-B049-48E7-A2B4-C43A9DB0EA80}" parentId="{C72DB8C1-80AB-49EE-8306-B3882C563DE7}">
    <text>February 2024 Economic Projections, Quarterly Table line 131</text>
  </threadedComment>
  <threadedComment ref="B66" dT="2024-06-27T14:47:56.28" personId="{2C68A5A1-706F-4A3E-93A3-741BBABEC4EA}" id="{75F43EB2-3F3C-4D75-9509-C56EEAB4DD69}" parentId="{C72DB8C1-80AB-49EE-8306-B3882C563DE7}">
    <text xml:space="preserve">June  2024 Economic Projections, Quarterly Table line 131 from 2021 Q1 onward
</text>
  </threadedComment>
  <threadedComment ref="B67" dT="2023-07-27T18:59:18.12" personId="{609654FB-393E-4954-B3A3-EDB231775774}" id="{65400755-1E7E-45CD-B1D4-DAC1E9F13C96}">
    <text>July 2023 economic projections quarterly table line 139</text>
  </threadedComment>
  <threadedComment ref="B67" dT="2024-02-22T16:22:22.44" personId="{09FAC3F1-DFDB-4CF8-9903-358701529E2B}" id="{B6540356-436A-4581-AA68-7BEB752C9369}" parentId="{65400755-1E7E-45CD-B1D4-DAC1E9F13C96}">
    <text>February 2024 CBO Economic Projections, Quarterly Table, row 141</text>
  </threadedComment>
  <threadedComment ref="B67" dT="2024-06-27T14:50:57.19" personId="{2C68A5A1-706F-4A3E-93A3-741BBABEC4EA}" id="{D9A57EA5-FB02-4C18-A6DA-50261F26F942}" parentId="{65400755-1E7E-45CD-B1D4-DAC1E9F13C96}">
    <text>June 2024 CBO Economic Projections, Quarterly Table, row 141 from 2021 Q1 onward</text>
  </threadedComment>
  <threadedComment ref="B68" dT="2023-07-27T18:59:50.42" personId="{609654FB-393E-4954-B3A3-EDB231775774}" id="{2342851E-1027-489D-A9C9-2E8A800F814B}">
    <text>July 2023 economic projections quarterly table line 150</text>
  </threadedComment>
  <threadedComment ref="B68" dT="2024-02-22T16:24:23.29" personId="{09FAC3F1-DFDB-4CF8-9903-358701529E2B}" id="{1C910F0A-56B8-478F-AC70-88B4D842C6E9}" parentId="{2342851E-1027-489D-A9C9-2E8A800F814B}">
    <text>February 2024 CBO Economic Projections, Quarterly Table, Line 152</text>
  </threadedComment>
  <threadedComment ref="B68" dT="2024-06-27T14:51:10.46" personId="{2C68A5A1-706F-4A3E-93A3-741BBABEC4EA}" id="{E134738C-B99D-4F51-A452-DDB0BD4715FF}" parentId="{2342851E-1027-489D-A9C9-2E8A800F814B}">
    <text>June 2024 CBO Economic Projections, Quarterly Table, Line 152 from 2021 Q1 onward</text>
  </threadedComment>
  <threadedComment ref="B69" dT="2023-07-27T19:00:00.27" personId="{609654FB-393E-4954-B3A3-EDB231775774}" id="{7C559531-A861-49AD-8365-07F57C6BE5A0}">
    <text>July 2023 economic projections quarterly table line 152</text>
  </threadedComment>
  <threadedComment ref="B69" dT="2024-02-22T16:28:42.10" personId="{09FAC3F1-DFDB-4CF8-9903-358701529E2B}" id="{90DE8F8A-2245-44B5-B9ED-169DA3A954BB}" parentId="{7C559531-A861-49AD-8365-07F57C6BE5A0}">
    <text>This is now February 2024 economic Projections, Quarterly Table, row 154</text>
  </threadedComment>
</ThreadedComments>
</file>

<file path=xl/threadedComments/threadedComment14.xml><?xml version="1.0" encoding="utf-8"?>
<ThreadedComments xmlns="http://schemas.microsoft.com/office/spreadsheetml/2018/threadedcomments" xmlns:x="http://schemas.openxmlformats.org/spreadsheetml/2006/main">
  <threadedComment ref="F12" dT="2023-11-30T19:08:24.34" personId="{2C68A5A1-706F-4A3E-93A3-741BBABEC4EA}" id="{91113C3B-1C03-4C87-BD7C-A804D513BAAF}">
    <text>Not smoothed anymore. Added 12 based on strong data from Goldman release. Added 3 to  2023 Q4</text>
  </threadedComment>
  <threadedComment ref="K31" dT="2023-11-30T19:08:24.34" personId="{2C68A5A1-706F-4A3E-93A3-741BBABEC4EA}" id="{9A81032B-E202-4D06-B8AF-1233277CB3E9}">
    <text>Not smoothed anymore. Added 12 based on strong data from Goldman release. Added 3 to  2023 Q4</text>
  </threadedComment>
</ThreadedComments>
</file>

<file path=xl/threadedComments/threadedComment15.xml><?xml version="1.0" encoding="utf-8"?>
<ThreadedComments xmlns="http://schemas.microsoft.com/office/spreadsheetml/2018/threadedcomments" xmlns:x="http://schemas.openxmlformats.org/spreadsheetml/2006/main">
  <threadedComment ref="B4" dT="2021-06-08T17:55:11.90" personId="{6F934F46-906E-4DFC-AA15-8C66AF925C04}" id="{932956EA-9A05-4B8D-ABE8-9A5A953CB2B6}">
    <text>CRFB assumes 8% of forgivable loans will bee repaid, So they actually have $261 in their score</text>
  </threadedComment>
</ThreadedComments>
</file>

<file path=xl/threadedComments/threadedComment16.xml><?xml version="1.0" encoding="utf-8"?>
<ThreadedComments xmlns="http://schemas.microsoft.com/office/spreadsheetml/2018/threadedcomments" xmlns:x="http://schemas.openxmlformats.org/spreadsheetml/2006/main">
  <threadedComment ref="L5" dT="2021-06-22T12:09:07.79" personId="{58CF8BEC-4104-46F7-BE4F-2C9403635492}" id="{DC73AD49-B7D6-4667-A66E-8EE403D2E997}">
    <text>BEA categorizes rental assistance as capital transfer payments. 203 was disbursed in 2021Q1; 100 of that was from the December legislation, 103 of that was from ARP.</text>
  </threadedComment>
  <threadedComment ref="O5" dT="2021-08-27T14:15:21.89" personId="{58CF8BEC-4104-46F7-BE4F-2C9403635492}" id="{DF115210-C3D9-4849-892E-0C642306D5B7}">
    <text>We changed the CBO score to reflect that more money was going out in 2021 than anticipated as of July 2021</text>
  </threadedComment>
</ThreadedComments>
</file>

<file path=xl/worksheets/_rels/sheet2.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8" Type="http://schemas.openxmlformats.org/officeDocument/2006/relationships/hyperlink" Target="mailto:lasgova@usecon" TargetMode="External"/><Relationship Id="rId3" Type="http://schemas.openxmlformats.org/officeDocument/2006/relationships/hyperlink" Target="https://www.bea.gov/help/faq/1415" TargetMode="External"/><Relationship Id="rId7" Type="http://schemas.openxmlformats.org/officeDocument/2006/relationships/hyperlink" Target="https://www.bea.gov/help/faq/1409" TargetMode="External"/><Relationship Id="rId2" Type="http://schemas.openxmlformats.org/officeDocument/2006/relationships/hyperlink" Target="https://www.bea.gov/help/faq/121" TargetMode="External"/><Relationship Id="rId1" Type="http://schemas.openxmlformats.org/officeDocument/2006/relationships/hyperlink" Target="https://www.bea.gov/help/faq/1407" TargetMode="External"/><Relationship Id="rId6" Type="http://schemas.openxmlformats.org/officeDocument/2006/relationships/hyperlink" Target="https://www.bea.gov/help/faq/121" TargetMode="External"/><Relationship Id="rId5" Type="http://schemas.openxmlformats.org/officeDocument/2006/relationships/hyperlink" Target="https://www.bea.gov/help/faq/1407" TargetMode="External"/><Relationship Id="rId4" Type="http://schemas.openxmlformats.org/officeDocument/2006/relationships/hyperlink" Target="https://www.bea.gov/help/faq/1409" TargetMode="Externa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ivotTable" Target="../pivotTables/pivotTable1.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ivotTable" Target="../pivotTables/pivotTable2.xm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 Id="rId4" Type="http://schemas.microsoft.com/office/2017/10/relationships/threadedComment" Target="../threadedComments/threadedComment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 Id="rId4" Type="http://schemas.microsoft.com/office/2017/10/relationships/threadedComment" Target="../threadedComments/threadedComment6.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 Id="rId4" Type="http://schemas.microsoft.com/office/2017/10/relationships/threadedComment" Target="../threadedComments/threadedComment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9.xml"/><Relationship Id="rId4" Type="http://schemas.microsoft.com/office/2017/10/relationships/threadedComment" Target="../threadedComments/threadedComment8.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hyperlink" Target="https://www.cbo.gov/system/files/2023-03/58983-IDR.pdf" TargetMode="External"/><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1.xml"/><Relationship Id="rId4" Type="http://schemas.microsoft.com/office/2017/10/relationships/threadedComment" Target="../threadedComments/threadedComment10.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2.xml"/><Relationship Id="rId4" Type="http://schemas.microsoft.com/office/2017/10/relationships/threadedComment" Target="../threadedComments/threadedComment11.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3.xml"/><Relationship Id="rId1" Type="http://schemas.openxmlformats.org/officeDocument/2006/relationships/printerSettings" Target="../printerSettings/printerSettings1.bin"/><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4.xml"/><Relationship Id="rId4" Type="http://schemas.microsoft.com/office/2017/10/relationships/threadedComment" Target="../threadedComments/threadedComment13.xml"/></Relationships>
</file>

<file path=xl/worksheets/_rels/sheet27.xml.rels><?xml version="1.0" encoding="UTF-8" standalone="yes"?>
<Relationships xmlns="http://schemas.openxmlformats.org/package/2006/relationships"><Relationship Id="rId1" Type="http://schemas.openxmlformats.org/officeDocument/2006/relationships/hyperlink" Target="https://www.americanactionforum.org/research/tracker-paycheck-protection-program-loans/"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9.xml.rels><?xml version="1.0" encoding="UTF-8" standalone="yes"?>
<Relationships xmlns="http://schemas.openxmlformats.org/package/2006/relationships"><Relationship Id="rId1" Type="http://schemas.openxmlformats.org/officeDocument/2006/relationships/hyperlink" Target="https://www.bea.gov/sites/default/files/2021-05/effects-of-selected-federal-pandemic-response-programs-on-personal-income-april-2021.pdf" TargetMode="External"/></Relationships>
</file>

<file path=xl/worksheets/_rels/sheet3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16.xml"/><Relationship Id="rId4" Type="http://schemas.microsoft.com/office/2017/10/relationships/threadedComment" Target="../threadedComments/threadedComment14.xml"/></Relationships>
</file>

<file path=xl/worksheets/_rels/sheet31.xml.rels><?xml version="1.0" encoding="UTF-8" standalone="yes"?>
<Relationships xmlns="http://schemas.openxmlformats.org/package/2006/relationships"><Relationship Id="rId1" Type="http://schemas.openxmlformats.org/officeDocument/2006/relationships/hyperlink" Target="http://www.cbo.gov/publication/56517" TargetMode="External"/></Relationships>
</file>

<file path=xl/worksheets/_rels/sheet32.xml.rels><?xml version="1.0" encoding="UTF-8" standalone="yes"?>
<Relationships xmlns="http://schemas.openxmlformats.org/package/2006/relationships"><Relationship Id="rId3" Type="http://schemas.openxmlformats.org/officeDocument/2006/relationships/hyperlink" Target="https://www.benefits.gov/benefit/5868" TargetMode="External"/><Relationship Id="rId2" Type="http://schemas.openxmlformats.org/officeDocument/2006/relationships/hyperlink" Target="https://www.apta.com/advocacy-legislation-policy/legislative-updates-alerts/updates/inflation-reduction-act-public-transit-tax-credits-and-new-investments/" TargetMode="External"/><Relationship Id="rId1" Type="http://schemas.openxmlformats.org/officeDocument/2006/relationships/hyperlink" Target="https://www.rd.usda.gov/programs-services/energy-programs/rural-energy-america-program-renewable-energy-systems-energy-efficiency-improvement-guaranteed-loans" TargetMode="External"/><Relationship Id="rId4" Type="http://schemas.openxmlformats.org/officeDocument/2006/relationships/hyperlink" Target="https://www.cbo.gov/system/files/2022-09/PL117-169_9-7-22.pdf" TargetMode="External"/></Relationships>
</file>

<file path=xl/worksheets/_rels/sheet3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5.vml"/><Relationship Id="rId1" Type="http://schemas.openxmlformats.org/officeDocument/2006/relationships/drawing" Target="../drawings/drawing17.xml"/><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34.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drawing" Target="../drawings/drawing18.xml"/><Relationship Id="rId4" Type="http://schemas.microsoft.com/office/2017/10/relationships/threadedComment" Target="../threadedComments/threadedComment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0:Q43"/>
  <sheetViews>
    <sheetView zoomScale="82" zoomScaleNormal="82" workbookViewId="0">
      <selection activeCell="D43" sqref="D43"/>
    </sheetView>
  </sheetViews>
  <sheetFormatPr defaultColWidth="10.85546875" defaultRowHeight="15" x14ac:dyDescent="0.25"/>
  <cols>
    <col min="2" max="2" width="34.140625" customWidth="1"/>
    <col min="17" max="17" width="38.42578125" customWidth="1"/>
  </cols>
  <sheetData>
    <row r="10" spans="2:17" x14ac:dyDescent="0.25">
      <c r="B10" s="1240" t="s">
        <v>0</v>
      </c>
      <c r="C10" s="1241"/>
      <c r="D10" s="1241"/>
      <c r="E10" s="1241"/>
      <c r="F10" s="1241"/>
      <c r="G10" s="1241"/>
      <c r="H10" s="1241"/>
      <c r="I10" s="1241"/>
      <c r="J10" s="1241"/>
      <c r="K10" s="1241"/>
      <c r="L10" s="1241"/>
      <c r="M10" s="1241"/>
      <c r="N10" s="1241"/>
      <c r="O10" s="1241"/>
      <c r="P10" s="1241"/>
      <c r="Q10" s="1242"/>
    </row>
    <row r="11" spans="2:17" x14ac:dyDescent="0.25">
      <c r="B11" s="1243"/>
      <c r="C11" s="1244"/>
      <c r="D11" s="1244"/>
      <c r="E11" s="1244"/>
      <c r="F11" s="1244"/>
      <c r="G11" s="1244"/>
      <c r="H11" s="1244"/>
      <c r="I11" s="1244"/>
      <c r="J11" s="1244"/>
      <c r="K11" s="1244"/>
      <c r="L11" s="1244"/>
      <c r="M11" s="1244"/>
      <c r="N11" s="1244"/>
      <c r="O11" s="1244"/>
      <c r="P11" s="1244"/>
      <c r="Q11" s="1245"/>
    </row>
    <row r="12" spans="2:17" x14ac:dyDescent="0.25">
      <c r="B12" s="10" t="s">
        <v>1</v>
      </c>
      <c r="C12" s="7"/>
      <c r="D12" s="7"/>
      <c r="E12" s="7"/>
      <c r="F12" s="7"/>
      <c r="G12" s="7"/>
      <c r="H12" s="7"/>
      <c r="I12" s="7"/>
      <c r="J12" s="7"/>
      <c r="K12" s="7"/>
      <c r="L12" s="7"/>
      <c r="M12" s="7"/>
      <c r="N12" s="7"/>
      <c r="O12" s="7"/>
      <c r="P12" s="7"/>
      <c r="Q12" s="5"/>
    </row>
    <row r="13" spans="2:17" x14ac:dyDescent="0.25">
      <c r="B13" s="9" t="s">
        <v>2</v>
      </c>
      <c r="C13" s="1246" t="s">
        <v>3</v>
      </c>
      <c r="D13" s="1246"/>
      <c r="E13" s="1246"/>
      <c r="F13" s="1246"/>
      <c r="G13" s="1246"/>
      <c r="H13" s="1246"/>
      <c r="I13" s="1246"/>
      <c r="J13" s="1246"/>
      <c r="K13" s="1246"/>
      <c r="L13" s="1246"/>
      <c r="M13" s="1246"/>
      <c r="N13" s="1246"/>
      <c r="O13" s="1246"/>
      <c r="P13" s="1246"/>
      <c r="Q13" s="1247"/>
    </row>
    <row r="14" spans="2:17" x14ac:dyDescent="0.25">
      <c r="B14" s="9" t="s">
        <v>4</v>
      </c>
      <c r="C14" s="6" t="s">
        <v>5</v>
      </c>
      <c r="D14" s="6"/>
      <c r="E14" s="6"/>
      <c r="F14" s="6"/>
      <c r="G14" s="6"/>
      <c r="H14" s="6"/>
      <c r="I14" s="6"/>
      <c r="J14" s="6"/>
      <c r="K14" s="6"/>
      <c r="L14" s="6"/>
      <c r="M14" s="6"/>
      <c r="N14" s="6"/>
      <c r="O14" s="6"/>
      <c r="P14" s="6"/>
      <c r="Q14" s="13"/>
    </row>
    <row r="15" spans="2:17" x14ac:dyDescent="0.25">
      <c r="B15" s="9" t="s">
        <v>6</v>
      </c>
      <c r="C15" s="6" t="s">
        <v>7</v>
      </c>
      <c r="D15" s="6"/>
      <c r="E15" s="6"/>
      <c r="F15" s="6"/>
      <c r="G15" s="6"/>
      <c r="H15" s="6"/>
      <c r="I15" s="6"/>
      <c r="J15" s="6"/>
      <c r="K15" s="6"/>
      <c r="L15" s="6"/>
      <c r="M15" s="6"/>
      <c r="N15" s="6"/>
      <c r="O15" s="6"/>
      <c r="P15" s="6"/>
      <c r="Q15" s="13"/>
    </row>
    <row r="16" spans="2:17" x14ac:dyDescent="0.25">
      <c r="B16" s="9" t="s">
        <v>8</v>
      </c>
      <c r="C16" s="6" t="s">
        <v>831</v>
      </c>
      <c r="D16" s="6"/>
      <c r="E16" s="6"/>
      <c r="F16" s="6"/>
      <c r="G16" s="6"/>
      <c r="H16" s="6"/>
      <c r="I16" s="6"/>
      <c r="J16" s="6"/>
      <c r="K16" s="6"/>
      <c r="L16" s="6"/>
      <c r="M16" s="6"/>
      <c r="N16" s="6"/>
      <c r="O16" s="6"/>
      <c r="P16" s="6"/>
      <c r="Q16" s="13"/>
    </row>
    <row r="17" spans="2:17" x14ac:dyDescent="0.25">
      <c r="B17" s="9" t="s">
        <v>9</v>
      </c>
      <c r="C17" s="6" t="s">
        <v>10</v>
      </c>
      <c r="D17" s="6"/>
      <c r="E17" s="6"/>
      <c r="F17" s="6"/>
      <c r="G17" s="6"/>
      <c r="H17" s="6"/>
      <c r="I17" s="6"/>
      <c r="J17" s="6"/>
      <c r="K17" s="6"/>
      <c r="L17" s="6"/>
      <c r="M17" s="6"/>
      <c r="N17" s="6"/>
      <c r="O17" s="6"/>
      <c r="P17" s="6"/>
      <c r="Q17" s="13"/>
    </row>
    <row r="18" spans="2:17" x14ac:dyDescent="0.25">
      <c r="B18" s="9" t="s">
        <v>832</v>
      </c>
      <c r="C18" s="6" t="s">
        <v>11</v>
      </c>
      <c r="D18" s="6"/>
      <c r="E18" s="6"/>
      <c r="F18" s="6"/>
      <c r="G18" s="6"/>
      <c r="H18" s="6"/>
      <c r="I18" s="6"/>
      <c r="J18" s="6"/>
      <c r="K18" s="6"/>
      <c r="L18" s="6"/>
      <c r="M18" s="6"/>
      <c r="N18" s="6"/>
      <c r="O18" s="6"/>
      <c r="P18" s="6"/>
      <c r="Q18" s="13"/>
    </row>
    <row r="19" spans="2:17" x14ac:dyDescent="0.25">
      <c r="B19" s="9" t="s">
        <v>12</v>
      </c>
      <c r="C19" s="6" t="s">
        <v>833</v>
      </c>
      <c r="D19" s="6"/>
      <c r="E19" s="6"/>
      <c r="F19" s="6"/>
      <c r="G19" s="6"/>
      <c r="H19" s="6"/>
      <c r="I19" s="6"/>
      <c r="J19" s="6"/>
      <c r="K19" s="6"/>
      <c r="L19" s="6"/>
      <c r="M19" s="6"/>
      <c r="N19" s="6"/>
      <c r="O19" s="6"/>
      <c r="P19" s="6"/>
      <c r="Q19" s="13"/>
    </row>
    <row r="20" spans="2:17" ht="30.75" customHeight="1" x14ac:dyDescent="0.25">
      <c r="B20" s="9" t="s">
        <v>13</v>
      </c>
      <c r="C20" s="1238" t="s">
        <v>14</v>
      </c>
      <c r="D20" s="1238"/>
      <c r="E20" s="1238"/>
      <c r="F20" s="1238"/>
      <c r="G20" s="1238"/>
      <c r="H20" s="1238"/>
      <c r="I20" s="1238"/>
      <c r="J20" s="1238"/>
      <c r="K20" s="1238"/>
      <c r="L20" s="1238"/>
      <c r="M20" s="1238"/>
      <c r="N20" s="1238"/>
      <c r="O20" s="1238"/>
      <c r="P20" s="1238"/>
      <c r="Q20" s="1239"/>
    </row>
    <row r="21" spans="2:17" x14ac:dyDescent="0.25">
      <c r="B21" s="9" t="s">
        <v>15</v>
      </c>
      <c r="C21" s="6" t="s">
        <v>16</v>
      </c>
      <c r="D21" s="6"/>
      <c r="E21" s="6"/>
      <c r="F21" s="6"/>
      <c r="G21" s="6"/>
      <c r="H21" s="6"/>
      <c r="I21" s="6"/>
      <c r="J21" s="6"/>
      <c r="K21" s="6"/>
      <c r="L21" s="6"/>
      <c r="M21" s="6"/>
      <c r="N21" s="6"/>
      <c r="O21" s="6"/>
      <c r="P21" s="6"/>
      <c r="Q21" s="13"/>
    </row>
    <row r="22" spans="2:17" ht="32.25" customHeight="1" x14ac:dyDescent="0.25">
      <c r="B22" s="1" t="s">
        <v>835</v>
      </c>
      <c r="C22" s="1238" t="s">
        <v>834</v>
      </c>
      <c r="D22" s="1238"/>
      <c r="E22" s="1238"/>
      <c r="F22" s="1238"/>
      <c r="G22" s="1238"/>
      <c r="H22" s="1238"/>
      <c r="I22" s="1238"/>
      <c r="J22" s="1238"/>
      <c r="K22" s="1238"/>
      <c r="L22" s="1238"/>
      <c r="M22" s="1238"/>
      <c r="N22" s="1238"/>
      <c r="O22" s="1238"/>
      <c r="P22" s="1238"/>
      <c r="Q22" s="1239"/>
    </row>
    <row r="23" spans="2:17" ht="31.35" customHeight="1" x14ac:dyDescent="0.25">
      <c r="B23" s="9" t="s">
        <v>17</v>
      </c>
      <c r="C23" s="1238" t="s">
        <v>836</v>
      </c>
      <c r="D23" s="1238"/>
      <c r="E23" s="1238"/>
      <c r="F23" s="1238"/>
      <c r="G23" s="1238"/>
      <c r="H23" s="1238"/>
      <c r="I23" s="1238"/>
      <c r="J23" s="1238"/>
      <c r="K23" s="1238"/>
      <c r="L23" s="1238"/>
      <c r="M23" s="1238"/>
      <c r="N23" s="1238"/>
      <c r="O23" s="1238"/>
      <c r="P23" s="1238"/>
      <c r="Q23" s="1239"/>
    </row>
    <row r="24" spans="2:17" x14ac:dyDescent="0.25">
      <c r="B24" s="9" t="s">
        <v>18</v>
      </c>
      <c r="C24" s="6" t="s">
        <v>19</v>
      </c>
      <c r="D24" s="6"/>
      <c r="E24" s="6"/>
      <c r="F24" s="6"/>
      <c r="G24" s="6"/>
      <c r="H24" s="6"/>
      <c r="I24" s="6"/>
      <c r="J24" s="6"/>
      <c r="K24" s="6"/>
      <c r="L24" s="6"/>
      <c r="M24" s="6"/>
      <c r="N24" s="6"/>
      <c r="O24" s="6"/>
      <c r="P24" s="6"/>
      <c r="Q24" s="13"/>
    </row>
    <row r="25" spans="2:17" x14ac:dyDescent="0.25">
      <c r="B25" s="9" t="s">
        <v>20</v>
      </c>
      <c r="C25" s="6" t="s">
        <v>21</v>
      </c>
      <c r="D25" s="6"/>
      <c r="E25" s="6"/>
      <c r="F25" s="6"/>
      <c r="G25" s="6"/>
      <c r="H25" s="6"/>
      <c r="I25" s="6"/>
      <c r="J25" s="6"/>
      <c r="K25" s="6"/>
      <c r="L25" s="6"/>
      <c r="M25" s="6"/>
      <c r="N25" s="6"/>
      <c r="O25" s="6"/>
      <c r="P25" s="6"/>
      <c r="Q25" s="13"/>
    </row>
    <row r="26" spans="2:17" x14ac:dyDescent="0.25">
      <c r="B26" s="9" t="s">
        <v>22</v>
      </c>
      <c r="C26" s="6" t="s">
        <v>23</v>
      </c>
      <c r="D26" s="6"/>
      <c r="E26" s="6"/>
      <c r="F26" s="6"/>
      <c r="G26" s="6"/>
      <c r="H26" s="6"/>
      <c r="I26" s="6"/>
      <c r="J26" s="6"/>
      <c r="K26" s="6"/>
      <c r="L26" s="6"/>
      <c r="M26" s="6"/>
      <c r="N26" s="6"/>
      <c r="O26" s="6"/>
      <c r="P26" s="6"/>
      <c r="Q26" s="13"/>
    </row>
    <row r="27" spans="2:17" x14ac:dyDescent="0.25">
      <c r="B27" s="9" t="s">
        <v>24</v>
      </c>
      <c r="C27" s="6" t="s">
        <v>837</v>
      </c>
      <c r="D27" s="6"/>
      <c r="E27" s="6"/>
      <c r="F27" s="6"/>
      <c r="G27" s="6"/>
      <c r="H27" s="6"/>
      <c r="I27" s="6"/>
      <c r="J27" s="6"/>
      <c r="K27" s="6"/>
      <c r="L27" s="6"/>
      <c r="M27" s="6"/>
      <c r="N27" s="6"/>
      <c r="O27" s="6"/>
      <c r="P27" s="6"/>
      <c r="Q27" s="13"/>
    </row>
    <row r="28" spans="2:17" x14ac:dyDescent="0.25">
      <c r="B28" s="9" t="s">
        <v>25</v>
      </c>
      <c r="C28" s="6" t="s">
        <v>838</v>
      </c>
      <c r="D28" s="6"/>
      <c r="E28" s="6"/>
      <c r="F28" s="6"/>
      <c r="G28" s="6"/>
      <c r="H28" s="6"/>
      <c r="I28" s="6"/>
      <c r="J28" s="6"/>
      <c r="K28" s="6"/>
      <c r="L28" s="6"/>
      <c r="M28" s="6"/>
      <c r="N28" s="6"/>
      <c r="O28" s="6"/>
      <c r="P28" s="6"/>
      <c r="Q28" s="13"/>
    </row>
    <row r="29" spans="2:17" x14ac:dyDescent="0.25">
      <c r="B29" s="9" t="s">
        <v>26</v>
      </c>
      <c r="C29" s="6" t="s">
        <v>27</v>
      </c>
      <c r="D29" s="6"/>
      <c r="E29" s="6"/>
      <c r="F29" s="6"/>
      <c r="G29" s="6"/>
      <c r="H29" s="6"/>
      <c r="I29" s="6"/>
      <c r="J29" s="6"/>
      <c r="K29" s="6"/>
      <c r="L29" s="6"/>
      <c r="M29" s="6"/>
      <c r="N29" s="6"/>
      <c r="O29" s="6"/>
      <c r="P29" s="6"/>
      <c r="Q29" s="13"/>
    </row>
    <row r="30" spans="2:17" x14ac:dyDescent="0.25">
      <c r="B30" s="9"/>
      <c r="C30" s="6"/>
      <c r="D30" s="6"/>
      <c r="E30" s="6"/>
      <c r="F30" s="6"/>
      <c r="G30" s="6"/>
      <c r="H30" s="6"/>
      <c r="I30" s="6"/>
      <c r="J30" s="6"/>
      <c r="K30" s="6"/>
      <c r="L30" s="6"/>
      <c r="M30" s="6"/>
      <c r="N30" s="6"/>
      <c r="O30" s="6"/>
      <c r="P30" s="6"/>
      <c r="Q30" s="13"/>
    </row>
    <row r="31" spans="2:17" x14ac:dyDescent="0.25">
      <c r="B31" s="11" t="s">
        <v>28</v>
      </c>
      <c r="C31" s="6"/>
      <c r="D31" s="6"/>
      <c r="E31" s="6"/>
      <c r="F31" s="6"/>
      <c r="G31" s="6"/>
      <c r="H31" s="6"/>
      <c r="I31" s="6"/>
      <c r="J31" s="6"/>
      <c r="K31" s="6"/>
      <c r="L31" s="6"/>
      <c r="M31" s="6"/>
      <c r="N31" s="6"/>
      <c r="O31" s="6"/>
      <c r="P31" s="6"/>
      <c r="Q31" s="13"/>
    </row>
    <row r="32" spans="2:17" x14ac:dyDescent="0.25">
      <c r="B32" s="9" t="s">
        <v>29</v>
      </c>
      <c r="C32" s="6"/>
      <c r="D32" s="6"/>
      <c r="E32" s="6"/>
      <c r="F32" s="6"/>
      <c r="G32" s="6"/>
      <c r="H32" s="6"/>
      <c r="I32" s="6"/>
      <c r="J32" s="6"/>
      <c r="K32" s="6"/>
      <c r="L32" s="6"/>
      <c r="M32" s="6"/>
      <c r="N32" s="6"/>
      <c r="O32" s="6"/>
      <c r="P32" s="6"/>
      <c r="Q32" s="13"/>
    </row>
    <row r="33" spans="2:17" ht="30.75" customHeight="1" x14ac:dyDescent="0.25">
      <c r="B33" s="1237" t="s">
        <v>839</v>
      </c>
      <c r="C33" s="1238"/>
      <c r="D33" s="1238"/>
      <c r="E33" s="1238"/>
      <c r="F33" s="1238"/>
      <c r="G33" s="1238"/>
      <c r="H33" s="1238"/>
      <c r="I33" s="1238"/>
      <c r="J33" s="1238"/>
      <c r="K33" s="1238"/>
      <c r="L33" s="1238"/>
      <c r="M33" s="1238"/>
      <c r="N33" s="1238"/>
      <c r="O33" s="1238"/>
      <c r="P33" s="1238"/>
      <c r="Q33" s="1239"/>
    </row>
    <row r="34" spans="2:17" x14ac:dyDescent="0.25">
      <c r="B34" s="3" t="s">
        <v>30</v>
      </c>
      <c r="C34" s="6"/>
      <c r="D34" s="6"/>
      <c r="E34" s="6"/>
      <c r="F34" s="6"/>
      <c r="G34" s="6"/>
      <c r="H34" s="6"/>
      <c r="I34" s="6"/>
      <c r="J34" s="6"/>
      <c r="K34" s="6"/>
      <c r="L34" s="6"/>
      <c r="M34" s="6"/>
      <c r="N34" s="6"/>
      <c r="O34" s="6"/>
      <c r="P34" s="6"/>
      <c r="Q34" s="13"/>
    </row>
    <row r="35" spans="2:17" x14ac:dyDescent="0.25">
      <c r="B35" s="9" t="s">
        <v>31</v>
      </c>
      <c r="C35" s="6"/>
      <c r="D35" s="6"/>
      <c r="E35" s="6"/>
      <c r="F35" s="6"/>
      <c r="G35" s="6"/>
      <c r="H35" s="6"/>
      <c r="I35" s="6"/>
      <c r="J35" s="6"/>
      <c r="K35" s="6"/>
      <c r="L35" s="6"/>
      <c r="M35" s="6"/>
      <c r="N35" s="6"/>
      <c r="O35" s="6"/>
      <c r="P35" s="6"/>
      <c r="Q35" s="13"/>
    </row>
    <row r="36" spans="2:17" x14ac:dyDescent="0.25">
      <c r="B36" s="8" t="s">
        <v>32</v>
      </c>
      <c r="C36" s="12"/>
      <c r="D36" s="12"/>
      <c r="E36" s="12"/>
      <c r="F36" s="12"/>
      <c r="G36" s="12"/>
      <c r="H36" s="12"/>
      <c r="I36" s="12"/>
      <c r="J36" s="12"/>
      <c r="K36" s="12"/>
      <c r="L36" s="12"/>
      <c r="M36" s="12"/>
      <c r="N36" s="12"/>
      <c r="O36" s="12"/>
      <c r="P36" s="12"/>
      <c r="Q36" s="2"/>
    </row>
    <row r="39" spans="2:17" x14ac:dyDescent="0.25">
      <c r="B39" s="4"/>
      <c r="C39" s="4"/>
      <c r="D39" s="4"/>
      <c r="E39" s="4"/>
      <c r="F39" s="4"/>
      <c r="G39" s="4"/>
      <c r="H39" s="4"/>
      <c r="I39" s="4"/>
      <c r="J39" s="4"/>
      <c r="K39" s="4"/>
      <c r="L39" s="4"/>
      <c r="M39" s="4"/>
      <c r="N39" s="4"/>
      <c r="O39" s="4"/>
      <c r="P39" s="4"/>
      <c r="Q39" s="4"/>
    </row>
    <row r="40" spans="2:17" x14ac:dyDescent="0.25">
      <c r="B40" s="4"/>
      <c r="C40" s="4"/>
      <c r="D40" s="4"/>
      <c r="E40" s="4"/>
      <c r="F40" s="4"/>
      <c r="G40" s="4"/>
      <c r="H40" s="4"/>
      <c r="I40" s="4"/>
      <c r="J40" s="4"/>
      <c r="K40" s="4"/>
      <c r="L40" s="4"/>
      <c r="M40" s="4"/>
      <c r="N40" s="4"/>
      <c r="O40" s="4"/>
      <c r="P40" s="4"/>
      <c r="Q40" s="4"/>
    </row>
    <row r="41" spans="2:17" x14ac:dyDescent="0.25">
      <c r="B41" s="4"/>
      <c r="C41" s="4"/>
      <c r="D41" s="4"/>
      <c r="E41" s="4"/>
      <c r="F41" s="4"/>
      <c r="G41" s="4"/>
      <c r="H41" s="4"/>
      <c r="I41" s="4"/>
      <c r="J41" s="4"/>
      <c r="K41" s="4"/>
      <c r="L41" s="4"/>
      <c r="M41" s="4"/>
      <c r="N41" s="4"/>
      <c r="O41" s="4"/>
      <c r="P41" s="4"/>
      <c r="Q41" s="4"/>
    </row>
    <row r="42" spans="2:17" x14ac:dyDescent="0.25">
      <c r="B42" s="4"/>
      <c r="C42" s="4"/>
      <c r="D42" s="4"/>
      <c r="E42" s="4"/>
      <c r="F42" s="4"/>
      <c r="G42" s="4"/>
      <c r="H42" s="4"/>
      <c r="I42" s="4"/>
      <c r="J42" s="4"/>
      <c r="K42" s="4"/>
      <c r="L42" s="4"/>
      <c r="M42" s="4"/>
      <c r="N42" s="4"/>
      <c r="O42" s="4"/>
      <c r="P42" s="4"/>
      <c r="Q42" s="4"/>
    </row>
    <row r="43" spans="2:17" x14ac:dyDescent="0.25">
      <c r="B43" s="4"/>
      <c r="C43" s="4"/>
      <c r="D43" s="4"/>
      <c r="E43" s="4"/>
      <c r="F43" s="4"/>
      <c r="G43" s="4"/>
      <c r="H43" s="4"/>
      <c r="I43" s="4"/>
      <c r="J43" s="4"/>
      <c r="K43" s="4"/>
      <c r="L43" s="4"/>
      <c r="M43" s="4"/>
      <c r="N43" s="4"/>
      <c r="O43" s="4"/>
      <c r="P43" s="4"/>
      <c r="Q43" s="4"/>
    </row>
  </sheetData>
  <mergeCells count="6">
    <mergeCell ref="B33:Q33"/>
    <mergeCell ref="B10:Q11"/>
    <mergeCell ref="C13:Q13"/>
    <mergeCell ref="C22:Q22"/>
    <mergeCell ref="C20:Q20"/>
    <mergeCell ref="C23:Q2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6"/>
  <sheetViews>
    <sheetView zoomScaleNormal="100" workbookViewId="0">
      <selection activeCell="C4" sqref="C4"/>
    </sheetView>
  </sheetViews>
  <sheetFormatPr defaultColWidth="10.85546875" defaultRowHeight="15" x14ac:dyDescent="0.25"/>
  <cols>
    <col min="1" max="1" width="44.140625" customWidth="1"/>
    <col min="2" max="2" width="58.85546875" customWidth="1"/>
    <col min="3" max="3" width="56.42578125" customWidth="1"/>
    <col min="5" max="5" width="42.85546875" customWidth="1"/>
    <col min="6" max="6" width="21.42578125" customWidth="1"/>
  </cols>
  <sheetData>
    <row r="1" spans="1:7" ht="47.85" customHeight="1" x14ac:dyDescent="0.25">
      <c r="A1" s="25" t="s">
        <v>33</v>
      </c>
      <c r="B1" s="26" t="s">
        <v>34</v>
      </c>
      <c r="C1" s="26" t="s">
        <v>35</v>
      </c>
      <c r="D1" s="27" t="s">
        <v>36</v>
      </c>
      <c r="E1" s="16"/>
      <c r="F1" s="16"/>
    </row>
    <row r="2" spans="1:7" ht="16.5" customHeight="1" x14ac:dyDescent="0.25">
      <c r="A2" s="1250" t="s">
        <v>37</v>
      </c>
      <c r="B2" s="1251"/>
      <c r="C2" s="1251"/>
      <c r="D2" s="1252"/>
      <c r="E2" s="16"/>
      <c r="F2" s="16"/>
    </row>
    <row r="3" spans="1:7" ht="148.35" customHeight="1" x14ac:dyDescent="0.25">
      <c r="A3" s="19" t="s">
        <v>852</v>
      </c>
      <c r="B3" s="14" t="s">
        <v>1749</v>
      </c>
      <c r="C3" s="14" t="s">
        <v>850</v>
      </c>
      <c r="D3" s="23" t="s">
        <v>922</v>
      </c>
    </row>
    <row r="4" spans="1:7" ht="85.5" customHeight="1" x14ac:dyDescent="0.25">
      <c r="A4" s="19" t="s">
        <v>1826</v>
      </c>
      <c r="B4" s="14" t="s">
        <v>1827</v>
      </c>
      <c r="C4" s="14" t="s">
        <v>921</v>
      </c>
      <c r="D4" s="23" t="s">
        <v>922</v>
      </c>
      <c r="E4" s="14"/>
      <c r="F4" s="14"/>
    </row>
    <row r="5" spans="1:7" ht="168" customHeight="1" x14ac:dyDescent="0.25">
      <c r="A5" s="19" t="s">
        <v>840</v>
      </c>
      <c r="B5" s="14" t="s">
        <v>841</v>
      </c>
      <c r="C5" s="14" t="s">
        <v>863</v>
      </c>
      <c r="D5" s="23" t="s">
        <v>922</v>
      </c>
      <c r="E5" s="14"/>
      <c r="F5" s="14"/>
    </row>
    <row r="6" spans="1:7" ht="105" customHeight="1" x14ac:dyDescent="0.25">
      <c r="A6" s="19" t="s">
        <v>842</v>
      </c>
      <c r="B6" s="14" t="s">
        <v>38</v>
      </c>
      <c r="C6" s="14" t="s">
        <v>39</v>
      </c>
      <c r="D6" s="23" t="s">
        <v>922</v>
      </c>
      <c r="E6" s="14"/>
      <c r="F6" s="14"/>
    </row>
    <row r="7" spans="1:7" ht="61.5" customHeight="1" x14ac:dyDescent="0.25">
      <c r="A7" s="19" t="s">
        <v>1829</v>
      </c>
      <c r="B7" s="14" t="s">
        <v>1830</v>
      </c>
      <c r="C7" s="14" t="s">
        <v>1834</v>
      </c>
      <c r="D7" s="23" t="s">
        <v>922</v>
      </c>
      <c r="E7" s="14"/>
      <c r="F7" s="14"/>
    </row>
    <row r="8" spans="1:7" ht="100.35" customHeight="1" x14ac:dyDescent="0.25">
      <c r="A8" s="19" t="s">
        <v>42</v>
      </c>
      <c r="B8" s="14" t="s">
        <v>43</v>
      </c>
      <c r="C8" s="28" t="s">
        <v>44</v>
      </c>
      <c r="D8" s="23" t="s">
        <v>922</v>
      </c>
      <c r="E8" s="17"/>
      <c r="F8" s="14"/>
      <c r="G8" s="29"/>
    </row>
    <row r="9" spans="1:7" ht="78" customHeight="1" x14ac:dyDescent="0.25">
      <c r="A9" s="19" t="s">
        <v>45</v>
      </c>
      <c r="B9" s="14" t="s">
        <v>46</v>
      </c>
      <c r="C9" s="14" t="s">
        <v>869</v>
      </c>
      <c r="D9" s="23" t="s">
        <v>922</v>
      </c>
      <c r="E9" s="14"/>
      <c r="F9" s="14"/>
    </row>
    <row r="10" spans="1:7" ht="67.5" customHeight="1" x14ac:dyDescent="0.25">
      <c r="A10" s="19" t="s">
        <v>816</v>
      </c>
      <c r="B10" s="14" t="s">
        <v>826</v>
      </c>
      <c r="C10" s="14" t="s">
        <v>883</v>
      </c>
      <c r="D10" s="23" t="s">
        <v>922</v>
      </c>
      <c r="E10" s="14"/>
      <c r="F10" s="14"/>
    </row>
    <row r="11" spans="1:7" ht="63.6" customHeight="1" x14ac:dyDescent="0.25">
      <c r="A11" s="19" t="s">
        <v>47</v>
      </c>
      <c r="B11" s="14" t="s">
        <v>48</v>
      </c>
      <c r="C11" s="14" t="s">
        <v>843</v>
      </c>
      <c r="D11" s="15"/>
      <c r="E11" s="14"/>
      <c r="F11" s="14"/>
    </row>
    <row r="12" spans="1:7" ht="15" customHeight="1" x14ac:dyDescent="0.25">
      <c r="A12" s="1250" t="s">
        <v>844</v>
      </c>
      <c r="B12" s="1251"/>
      <c r="C12" s="1251"/>
      <c r="D12" s="1252"/>
      <c r="E12" s="16"/>
      <c r="F12" s="14"/>
    </row>
    <row r="13" spans="1:7" ht="29.85" customHeight="1" x14ac:dyDescent="0.25">
      <c r="A13" s="20" t="s">
        <v>9</v>
      </c>
      <c r="B13" s="1256" t="s">
        <v>846</v>
      </c>
      <c r="C13" s="1256"/>
      <c r="D13" s="24"/>
      <c r="E13" s="16"/>
      <c r="F13" s="14"/>
    </row>
    <row r="14" spans="1:7" ht="48.6" customHeight="1" x14ac:dyDescent="0.25">
      <c r="A14" s="18" t="s">
        <v>845</v>
      </c>
      <c r="B14" s="1256" t="s">
        <v>856</v>
      </c>
      <c r="C14" s="1256"/>
      <c r="D14" s="23"/>
      <c r="E14" s="16"/>
      <c r="F14" s="14"/>
    </row>
    <row r="15" spans="1:7" ht="48.6" customHeight="1" x14ac:dyDescent="0.25">
      <c r="A15" s="18" t="s">
        <v>847</v>
      </c>
      <c r="B15" s="1256" t="s">
        <v>848</v>
      </c>
      <c r="C15" s="1256"/>
      <c r="D15" s="15"/>
      <c r="E15" s="16"/>
      <c r="F15" s="14"/>
    </row>
    <row r="16" spans="1:7" x14ac:dyDescent="0.25">
      <c r="A16" s="1253" t="s">
        <v>59</v>
      </c>
      <c r="B16" s="1254"/>
      <c r="C16" s="1254"/>
      <c r="D16" s="1255"/>
      <c r="E16" s="14"/>
      <c r="F16" s="14"/>
    </row>
    <row r="17" spans="1:6" ht="36.6" customHeight="1" x14ac:dyDescent="0.25">
      <c r="A17" s="1248" t="s">
        <v>849</v>
      </c>
      <c r="B17" s="1249"/>
      <c r="C17" s="1249"/>
      <c r="D17" s="24"/>
      <c r="E17" s="14"/>
      <c r="F17" s="14"/>
    </row>
    <row r="18" spans="1:6" ht="145.5" customHeight="1" x14ac:dyDescent="0.25">
      <c r="A18" s="19" t="s">
        <v>60</v>
      </c>
      <c r="B18" s="14" t="s">
        <v>870</v>
      </c>
      <c r="C18" s="14" t="s">
        <v>877</v>
      </c>
      <c r="D18" s="23"/>
      <c r="E18" s="14"/>
      <c r="F18" s="14"/>
    </row>
    <row r="19" spans="1:6" ht="63.6" customHeight="1" x14ac:dyDescent="0.25">
      <c r="A19" s="19" t="s">
        <v>61</v>
      </c>
      <c r="B19" s="14" t="s">
        <v>871</v>
      </c>
      <c r="C19" s="14" t="s">
        <v>872</v>
      </c>
      <c r="D19" s="23"/>
      <c r="E19" s="14"/>
      <c r="F19" s="14"/>
    </row>
    <row r="20" spans="1:6" ht="63.6" customHeight="1" x14ac:dyDescent="0.25">
      <c r="A20" s="19" t="s">
        <v>873</v>
      </c>
      <c r="B20" s="14" t="s">
        <v>874</v>
      </c>
      <c r="C20" s="14" t="s">
        <v>875</v>
      </c>
      <c r="D20" s="23"/>
      <c r="E20" s="14"/>
      <c r="F20" s="14"/>
    </row>
    <row r="21" spans="1:6" ht="34.35" customHeight="1" x14ac:dyDescent="0.25">
      <c r="A21" s="1248" t="s">
        <v>823</v>
      </c>
      <c r="B21" s="1249"/>
      <c r="C21" s="1249"/>
      <c r="D21" s="15"/>
      <c r="E21" s="14"/>
      <c r="F21" s="14"/>
    </row>
    <row r="22" spans="1:6" x14ac:dyDescent="0.25">
      <c r="A22" s="1253" t="s">
        <v>62</v>
      </c>
      <c r="B22" s="1254"/>
      <c r="C22" s="1254"/>
      <c r="D22" s="1255"/>
      <c r="E22" s="14"/>
      <c r="F22" s="14"/>
    </row>
    <row r="23" spans="1:6" ht="29.1" customHeight="1" x14ac:dyDescent="0.25">
      <c r="A23" s="19" t="s">
        <v>63</v>
      </c>
      <c r="B23" s="14"/>
      <c r="C23" s="14" t="s">
        <v>64</v>
      </c>
      <c r="D23" s="24"/>
      <c r="E23" s="14"/>
      <c r="F23" s="14"/>
    </row>
    <row r="24" spans="1:6" ht="57.6" customHeight="1" x14ac:dyDescent="0.25">
      <c r="A24" s="19" t="s">
        <v>65</v>
      </c>
      <c r="B24" s="14" t="s">
        <v>66</v>
      </c>
      <c r="C24" s="14" t="s">
        <v>67</v>
      </c>
      <c r="D24" s="23"/>
      <c r="E24" s="14"/>
      <c r="F24" s="14"/>
    </row>
    <row r="25" spans="1:6" ht="29.1" customHeight="1" x14ac:dyDescent="0.25">
      <c r="A25" s="19" t="s">
        <v>68</v>
      </c>
      <c r="B25" s="14" t="s">
        <v>69</v>
      </c>
      <c r="C25" s="14" t="s">
        <v>862</v>
      </c>
      <c r="D25" s="23"/>
      <c r="E25" s="14"/>
      <c r="F25" s="14"/>
    </row>
    <row r="26" spans="1:6" ht="72" customHeight="1" x14ac:dyDescent="0.25">
      <c r="A26" s="21" t="s">
        <v>70</v>
      </c>
      <c r="B26" s="22" t="s">
        <v>71</v>
      </c>
      <c r="C26" s="22" t="s">
        <v>72</v>
      </c>
      <c r="D26" s="15"/>
      <c r="E26" s="14"/>
      <c r="F26" s="14"/>
    </row>
  </sheetData>
  <mergeCells count="9">
    <mergeCell ref="A21:C21"/>
    <mergeCell ref="A12:D12"/>
    <mergeCell ref="A16:D16"/>
    <mergeCell ref="A22:D22"/>
    <mergeCell ref="A2:D2"/>
    <mergeCell ref="B13:C13"/>
    <mergeCell ref="B14:C14"/>
    <mergeCell ref="B15:C15"/>
    <mergeCell ref="A17:C17"/>
  </mergeCells>
  <conditionalFormatting sqref="D3">
    <cfRule type="containsText" dxfId="12" priority="1" operator="containsText" text="Yes">
      <formula>NOT(ISERROR(SEARCH("Yes",D3)))</formula>
    </cfRule>
  </conditionalFormatting>
  <conditionalFormatting sqref="D4:D11 D13:D15">
    <cfRule type="containsText" dxfId="11" priority="6" operator="containsText" text="Yes">
      <formula>NOT(ISERROR(SEARCH("Yes",D4)))</formula>
    </cfRule>
  </conditionalFormatting>
  <conditionalFormatting sqref="D10">
    <cfRule type="containsText" dxfId="10" priority="2" operator="containsText" text="Yes">
      <formula>NOT(ISERROR(SEARCH("Yes",D10)))</formula>
    </cfRule>
  </conditionalFormatting>
  <conditionalFormatting sqref="D17:D21">
    <cfRule type="containsText" dxfId="9" priority="3" operator="containsText" text="Yes">
      <formula>NOT(ISERROR(SEARCH("Yes",D17)))</formula>
    </cfRule>
  </conditionalFormatting>
  <conditionalFormatting sqref="D23:D26">
    <cfRule type="containsText" dxfId="8" priority="4" operator="containsText" text="Yes">
      <formula>NOT(ISERROR(SEARCH("Yes",D23)))</formula>
    </cfRule>
  </conditionalFormatting>
  <hyperlinks>
    <hyperlink ref="C8" r:id="rId1" xr:uid="{00000000-0004-0000-0100-000000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5"/>
  <sheetViews>
    <sheetView zoomScale="79" zoomScaleNormal="85" workbookViewId="0">
      <pane ySplit="1" topLeftCell="A4" activePane="bottomLeft" state="frozen"/>
      <selection pane="bottomLeft" activeCell="B9" sqref="B9"/>
    </sheetView>
  </sheetViews>
  <sheetFormatPr defaultColWidth="10.85546875" defaultRowHeight="15" x14ac:dyDescent="0.25"/>
  <cols>
    <col min="1" max="1" width="30.85546875" customWidth="1"/>
    <col min="2" max="2" width="109.42578125" customWidth="1"/>
    <col min="3" max="3" width="47" customWidth="1"/>
    <col min="4" max="4" width="18.85546875" customWidth="1"/>
    <col min="5" max="5" width="58.85546875" customWidth="1"/>
    <col min="6" max="6" width="33.140625" customWidth="1"/>
  </cols>
  <sheetData>
    <row r="1" spans="1:6" ht="47.85" customHeight="1" x14ac:dyDescent="0.25">
      <c r="A1" s="25" t="s">
        <v>33</v>
      </c>
      <c r="B1" s="26" t="s">
        <v>34</v>
      </c>
      <c r="C1" s="26" t="s">
        <v>35</v>
      </c>
      <c r="D1" s="27" t="s">
        <v>36</v>
      </c>
      <c r="E1" s="30"/>
      <c r="F1" s="30"/>
    </row>
    <row r="2" spans="1:6" ht="16.5" customHeight="1" x14ac:dyDescent="0.25">
      <c r="A2" s="1250" t="s">
        <v>37</v>
      </c>
      <c r="B2" s="1251"/>
      <c r="C2" s="1251"/>
      <c r="D2" s="1252"/>
      <c r="E2" s="30"/>
      <c r="F2" s="30"/>
    </row>
    <row r="3" spans="1:6" ht="148.35" customHeight="1" x14ac:dyDescent="0.25">
      <c r="A3" s="19" t="s">
        <v>852</v>
      </c>
      <c r="B3" s="14" t="s">
        <v>851</v>
      </c>
      <c r="C3" s="14" t="s">
        <v>850</v>
      </c>
      <c r="D3" s="23" t="s">
        <v>1924</v>
      </c>
    </row>
    <row r="4" spans="1:6" ht="148.35" customHeight="1" x14ac:dyDescent="0.25">
      <c r="A4" s="19" t="s">
        <v>79</v>
      </c>
      <c r="B4" s="14" t="s">
        <v>40</v>
      </c>
      <c r="C4" s="14" t="s">
        <v>906</v>
      </c>
      <c r="D4" s="23" t="s">
        <v>1924</v>
      </c>
      <c r="E4" s="14"/>
      <c r="F4" s="14"/>
    </row>
    <row r="5" spans="1:6" ht="61.5" customHeight="1" x14ac:dyDescent="0.25">
      <c r="A5" s="19" t="s">
        <v>73</v>
      </c>
      <c r="B5" s="14" t="s">
        <v>74</v>
      </c>
      <c r="C5" s="32" t="s">
        <v>44</v>
      </c>
      <c r="D5" s="23" t="s">
        <v>919</v>
      </c>
    </row>
    <row r="6" spans="1:6" ht="78" customHeight="1" x14ac:dyDescent="0.25">
      <c r="A6" s="19" t="s">
        <v>45</v>
      </c>
      <c r="B6" s="14" t="s">
        <v>46</v>
      </c>
      <c r="C6" s="14" t="s">
        <v>869</v>
      </c>
      <c r="D6" s="23" t="s">
        <v>1925</v>
      </c>
      <c r="E6" s="14"/>
      <c r="F6" s="14"/>
    </row>
    <row r="7" spans="1:6" ht="50.85" customHeight="1" x14ac:dyDescent="0.25">
      <c r="A7" s="19" t="s">
        <v>816</v>
      </c>
      <c r="B7" s="14" t="s">
        <v>826</v>
      </c>
      <c r="C7" s="14" t="s">
        <v>1435</v>
      </c>
      <c r="D7" s="23" t="s">
        <v>919</v>
      </c>
      <c r="E7" s="16"/>
      <c r="F7" s="14"/>
    </row>
    <row r="8" spans="1:6" ht="78.599999999999994" customHeight="1" x14ac:dyDescent="0.25">
      <c r="A8" s="19" t="s">
        <v>75</v>
      </c>
      <c r="B8" s="14" t="s">
        <v>76</v>
      </c>
      <c r="C8" s="14" t="s">
        <v>77</v>
      </c>
      <c r="D8" s="23" t="s">
        <v>919</v>
      </c>
      <c r="E8" s="16"/>
      <c r="F8" s="14"/>
    </row>
    <row r="9" spans="1:6" ht="96.6" customHeight="1" x14ac:dyDescent="0.25">
      <c r="A9" s="19" t="s">
        <v>47</v>
      </c>
      <c r="B9" s="14" t="s">
        <v>48</v>
      </c>
      <c r="C9" s="14" t="s">
        <v>843</v>
      </c>
      <c r="D9" s="23" t="s">
        <v>919</v>
      </c>
      <c r="E9" s="16"/>
      <c r="F9" s="14"/>
    </row>
    <row r="10" spans="1:6" ht="22.5" customHeight="1" x14ac:dyDescent="0.25">
      <c r="A10" s="1250" t="s">
        <v>844</v>
      </c>
      <c r="B10" s="1251"/>
      <c r="C10" s="1251"/>
      <c r="D10" s="1252"/>
      <c r="E10" s="16"/>
      <c r="F10" s="14"/>
    </row>
    <row r="11" spans="1:6" ht="22.5" customHeight="1" x14ac:dyDescent="0.25">
      <c r="A11" s="20" t="s">
        <v>75</v>
      </c>
      <c r="B11" s="1263" t="s">
        <v>854</v>
      </c>
      <c r="C11" s="1264"/>
      <c r="D11" s="31"/>
      <c r="E11" s="16"/>
      <c r="F11" s="14"/>
    </row>
    <row r="12" spans="1:6" ht="33" customHeight="1" x14ac:dyDescent="0.25">
      <c r="A12" s="20" t="s">
        <v>853</v>
      </c>
      <c r="B12" s="1256" t="s">
        <v>855</v>
      </c>
      <c r="C12" s="1256"/>
      <c r="D12" s="23"/>
      <c r="E12" s="14"/>
      <c r="F12" s="14"/>
    </row>
    <row r="13" spans="1:6" ht="39.6" customHeight="1" x14ac:dyDescent="0.25">
      <c r="A13" s="18" t="s">
        <v>845</v>
      </c>
      <c r="B13" s="1256" t="s">
        <v>856</v>
      </c>
      <c r="C13" s="1256"/>
      <c r="D13" s="23"/>
    </row>
    <row r="14" spans="1:6" ht="38.85" customHeight="1" x14ac:dyDescent="0.25">
      <c r="A14" s="18" t="s">
        <v>847</v>
      </c>
      <c r="B14" s="1256" t="s">
        <v>848</v>
      </c>
      <c r="C14" s="1256"/>
      <c r="D14" s="23"/>
    </row>
    <row r="15" spans="1:6" ht="20.100000000000001" customHeight="1" x14ac:dyDescent="0.25">
      <c r="A15" s="1253" t="s">
        <v>59</v>
      </c>
      <c r="B15" s="1254"/>
      <c r="C15" s="1254"/>
      <c r="D15" s="1255"/>
    </row>
    <row r="16" spans="1:6" ht="24.6" customHeight="1" x14ac:dyDescent="0.25">
      <c r="A16" s="1257" t="s">
        <v>824</v>
      </c>
      <c r="B16" s="1258"/>
      <c r="C16" s="1259"/>
      <c r="D16" s="23"/>
    </row>
    <row r="17" spans="1:7" ht="101.85" customHeight="1" x14ac:dyDescent="0.25">
      <c r="A17" s="18" t="s">
        <v>60</v>
      </c>
      <c r="B17" s="33" t="s">
        <v>870</v>
      </c>
      <c r="C17" s="33" t="s">
        <v>877</v>
      </c>
      <c r="D17" s="34"/>
      <c r="E17" s="33"/>
      <c r="F17" s="33"/>
      <c r="G17" s="33"/>
    </row>
    <row r="18" spans="1:7" ht="101.1" customHeight="1" x14ac:dyDescent="0.25">
      <c r="A18" s="18" t="s">
        <v>61</v>
      </c>
      <c r="B18" s="33" t="s">
        <v>871</v>
      </c>
      <c r="C18" s="33" t="s">
        <v>872</v>
      </c>
      <c r="D18" s="34"/>
      <c r="E18" s="33"/>
      <c r="F18" s="33"/>
      <c r="G18" s="33"/>
    </row>
    <row r="19" spans="1:7" ht="57.6" customHeight="1" x14ac:dyDescent="0.25">
      <c r="A19" s="18" t="s">
        <v>873</v>
      </c>
      <c r="B19" s="33" t="s">
        <v>874</v>
      </c>
      <c r="C19" s="33" t="s">
        <v>875</v>
      </c>
      <c r="D19" s="34"/>
      <c r="E19" s="33"/>
      <c r="F19" s="33"/>
      <c r="G19" s="33"/>
    </row>
    <row r="20" spans="1:7" ht="37.5" customHeight="1" x14ac:dyDescent="0.25">
      <c r="A20" s="1260" t="s">
        <v>823</v>
      </c>
      <c r="B20" s="1261"/>
      <c r="C20" s="1262"/>
      <c r="D20" s="23"/>
    </row>
    <row r="21" spans="1:7" x14ac:dyDescent="0.25">
      <c r="A21" s="1253" t="s">
        <v>62</v>
      </c>
      <c r="B21" s="1254"/>
      <c r="C21" s="1254"/>
      <c r="D21" s="1255"/>
    </row>
    <row r="22" spans="1:7" ht="29.1" customHeight="1" x14ac:dyDescent="0.25">
      <c r="A22" s="19" t="s">
        <v>63</v>
      </c>
      <c r="B22" s="14" t="s">
        <v>78</v>
      </c>
      <c r="C22" s="14" t="s">
        <v>64</v>
      </c>
      <c r="D22" s="23"/>
    </row>
    <row r="23" spans="1:7" ht="72" customHeight="1" x14ac:dyDescent="0.25">
      <c r="A23" s="19" t="s">
        <v>65</v>
      </c>
      <c r="B23" s="14" t="s">
        <v>66</v>
      </c>
      <c r="C23" s="14" t="s">
        <v>67</v>
      </c>
      <c r="D23" s="23"/>
    </row>
    <row r="24" spans="1:7" ht="29.1" customHeight="1" x14ac:dyDescent="0.25">
      <c r="A24" s="19" t="s">
        <v>68</v>
      </c>
      <c r="B24" s="14" t="s">
        <v>69</v>
      </c>
      <c r="C24" s="14" t="s">
        <v>862</v>
      </c>
      <c r="D24" s="23"/>
    </row>
    <row r="25" spans="1:7" ht="101.1" customHeight="1" x14ac:dyDescent="0.25">
      <c r="A25" s="21" t="s">
        <v>70</v>
      </c>
      <c r="B25" s="22" t="s">
        <v>71</v>
      </c>
      <c r="C25" s="22" t="s">
        <v>72</v>
      </c>
      <c r="D25" s="15"/>
    </row>
  </sheetData>
  <mergeCells count="10">
    <mergeCell ref="A21:D21"/>
    <mergeCell ref="A16:C16"/>
    <mergeCell ref="A20:C20"/>
    <mergeCell ref="A2:D2"/>
    <mergeCell ref="A10:D10"/>
    <mergeCell ref="B11:C11"/>
    <mergeCell ref="A15:D15"/>
    <mergeCell ref="B12:C12"/>
    <mergeCell ref="B13:C13"/>
    <mergeCell ref="B14:C14"/>
  </mergeCells>
  <conditionalFormatting sqref="D3:D5 D7:D9">
    <cfRule type="containsText" dxfId="7" priority="6" operator="containsText" text="Yes">
      <formula>NOT(ISERROR(SEARCH("Yes",D3)))</formula>
    </cfRule>
  </conditionalFormatting>
  <conditionalFormatting sqref="D6">
    <cfRule type="containsText" dxfId="6" priority="1" operator="containsText" text="Yes">
      <formula>NOT(ISERROR(SEARCH("Yes",D6)))</formula>
    </cfRule>
  </conditionalFormatting>
  <conditionalFormatting sqref="D12:D14">
    <cfRule type="containsText" dxfId="5" priority="3" operator="containsText" text="Yes">
      <formula>NOT(ISERROR(SEARCH("Yes",D12)))</formula>
    </cfRule>
  </conditionalFormatting>
  <conditionalFormatting sqref="D16 D20 D22:D137">
    <cfRule type="containsText" dxfId="4" priority="7" operator="containsText" text="Yes">
      <formula>NOT(ISERROR(SEARCH("Yes",D16)))</formula>
    </cfRule>
  </conditionalFormatting>
  <hyperlinks>
    <hyperlink ref="C5" r:id="rId1" xr:uid="{00000000-0004-0000-0200-00000000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81"/>
  <sheetViews>
    <sheetView zoomScale="109" workbookViewId="0">
      <selection activeCell="I9" sqref="I9"/>
    </sheetView>
  </sheetViews>
  <sheetFormatPr defaultColWidth="10.85546875" defaultRowHeight="15" x14ac:dyDescent="0.25"/>
  <cols>
    <col min="1" max="1" width="15.140625" customWidth="1"/>
    <col min="2" max="2" width="28.42578125" customWidth="1"/>
    <col min="3" max="3" width="25.140625" customWidth="1"/>
    <col min="4" max="4" width="11.140625" customWidth="1"/>
    <col min="5" max="5" width="15.140625" customWidth="1"/>
    <col min="6" max="6" width="12.42578125" customWidth="1"/>
    <col min="7" max="7" width="11.85546875" customWidth="1"/>
  </cols>
  <sheetData>
    <row r="1" spans="1:11" x14ac:dyDescent="0.25">
      <c r="A1" s="60" t="s">
        <v>85</v>
      </c>
      <c r="B1" s="60" t="s">
        <v>86</v>
      </c>
      <c r="C1" s="60" t="s">
        <v>87</v>
      </c>
      <c r="D1" s="60" t="s">
        <v>88</v>
      </c>
      <c r="E1" s="60" t="s">
        <v>89</v>
      </c>
      <c r="F1" s="60" t="s">
        <v>90</v>
      </c>
    </row>
    <row r="2" spans="1:11" x14ac:dyDescent="0.25">
      <c r="C2" s="56" t="str">
        <f>'Haver Pivoted'!A1</f>
        <v>name</v>
      </c>
      <c r="D2" s="61" t="s">
        <v>1944</v>
      </c>
      <c r="E2" s="61" t="s">
        <v>1945</v>
      </c>
      <c r="F2" s="61"/>
      <c r="H2" s="62"/>
    </row>
    <row r="3" spans="1:11" x14ac:dyDescent="0.25">
      <c r="B3" s="56" t="s">
        <v>91</v>
      </c>
      <c r="C3" s="56" t="str">
        <f>'Haver Pivoted'!A2</f>
        <v>gdp</v>
      </c>
      <c r="D3">
        <v>27610.1</v>
      </c>
      <c r="E3" s="56">
        <f>'Haver Pivoted'!HH2</f>
        <v>27610.1</v>
      </c>
      <c r="F3" s="56">
        <f>E3-D3</f>
        <v>0</v>
      </c>
      <c r="G3" s="63">
        <f>F3/D3</f>
        <v>0</v>
      </c>
      <c r="H3" s="64"/>
    </row>
    <row r="4" spans="1:11" x14ac:dyDescent="0.25">
      <c r="B4" s="56" t="s">
        <v>92</v>
      </c>
      <c r="C4" s="56" t="str">
        <f>'Haver Pivoted'!A3</f>
        <v>gdph</v>
      </c>
      <c r="D4">
        <v>22490.7</v>
      </c>
      <c r="E4" s="56">
        <f>'Haver Pivoted'!HH3</f>
        <v>22490.7</v>
      </c>
      <c r="F4" s="56">
        <f t="shared" ref="F4:F67" si="0">E4-D4</f>
        <v>0</v>
      </c>
      <c r="G4" s="63">
        <f t="shared" ref="G4:G67" si="1">F4/D4</f>
        <v>0</v>
      </c>
      <c r="H4" s="64"/>
    </row>
    <row r="5" spans="1:11" x14ac:dyDescent="0.25">
      <c r="B5" s="56" t="s">
        <v>93</v>
      </c>
      <c r="C5" s="56" t="str">
        <f>'Haver Pivoted'!A4</f>
        <v>jgdp</v>
      </c>
      <c r="D5">
        <v>122.792</v>
      </c>
      <c r="E5" s="56">
        <f>'Haver Pivoted'!HH4</f>
        <v>122.792</v>
      </c>
      <c r="F5" s="56">
        <f t="shared" si="0"/>
        <v>0</v>
      </c>
      <c r="G5" s="63">
        <f t="shared" si="1"/>
        <v>0</v>
      </c>
      <c r="H5" s="65"/>
    </row>
    <row r="6" spans="1:11" x14ac:dyDescent="0.25">
      <c r="B6" s="56" t="s">
        <v>94</v>
      </c>
      <c r="C6" s="56" t="str">
        <f>'Haver Pivoted'!A5</f>
        <v>c</v>
      </c>
      <c r="D6">
        <v>18679.5</v>
      </c>
      <c r="E6" s="56">
        <f>'Haver Pivoted'!HH5</f>
        <v>18679.5</v>
      </c>
      <c r="F6" s="56">
        <f t="shared" si="0"/>
        <v>0</v>
      </c>
      <c r="G6" s="63">
        <f t="shared" si="1"/>
        <v>0</v>
      </c>
    </row>
    <row r="7" spans="1:11" x14ac:dyDescent="0.25">
      <c r="B7" s="56" t="s">
        <v>95</v>
      </c>
      <c r="C7" s="56" t="str">
        <f>'Haver Pivoted'!A6</f>
        <v>ch</v>
      </c>
      <c r="D7">
        <v>15461.4</v>
      </c>
      <c r="E7" s="56">
        <f>'Haver Pivoted'!HH6</f>
        <v>15461.4</v>
      </c>
      <c r="F7" s="56">
        <f t="shared" si="0"/>
        <v>0</v>
      </c>
      <c r="G7" s="63">
        <f t="shared" si="1"/>
        <v>0</v>
      </c>
      <c r="K7" s="65"/>
    </row>
    <row r="8" spans="1:11" x14ac:dyDescent="0.25">
      <c r="B8" s="56" t="s">
        <v>96</v>
      </c>
      <c r="C8" s="56" t="str">
        <f>'Haver Pivoted'!A7</f>
        <v>jc</v>
      </c>
      <c r="D8">
        <v>120.81399999999999</v>
      </c>
      <c r="E8" s="56">
        <f>'Haver Pivoted'!HH7</f>
        <v>120.81399999999999</v>
      </c>
      <c r="F8" s="56">
        <f t="shared" si="0"/>
        <v>0</v>
      </c>
      <c r="G8" s="63">
        <f t="shared" si="1"/>
        <v>0</v>
      </c>
    </row>
    <row r="9" spans="1:11" x14ac:dyDescent="0.25">
      <c r="B9" s="56" t="s">
        <v>97</v>
      </c>
      <c r="C9" s="56" t="str">
        <f>'Haver Pivoted'!A8</f>
        <v>jgf</v>
      </c>
      <c r="D9">
        <v>120.09699999999999</v>
      </c>
      <c r="E9" s="56">
        <f>'Haver Pivoted'!HH8</f>
        <v>120.09699999999999</v>
      </c>
      <c r="F9" s="56">
        <f t="shared" si="0"/>
        <v>0</v>
      </c>
      <c r="G9" s="63">
        <f t="shared" si="1"/>
        <v>0</v>
      </c>
    </row>
    <row r="10" spans="1:11" x14ac:dyDescent="0.25">
      <c r="B10" s="56" t="s">
        <v>98</v>
      </c>
      <c r="C10" s="56" t="str">
        <f>'Haver Pivoted'!A9</f>
        <v>jgs</v>
      </c>
      <c r="D10">
        <v>127.717</v>
      </c>
      <c r="E10" s="56">
        <f>'Haver Pivoted'!HH9</f>
        <v>127.717</v>
      </c>
      <c r="F10" s="56">
        <f t="shared" si="0"/>
        <v>0</v>
      </c>
      <c r="G10" s="63">
        <f t="shared" si="1"/>
        <v>0</v>
      </c>
    </row>
    <row r="11" spans="1:11" x14ac:dyDescent="0.25">
      <c r="B11" s="56" t="s">
        <v>99</v>
      </c>
      <c r="C11" s="56" t="str">
        <f>'Haver Pivoted'!A10</f>
        <v>jgse</v>
      </c>
      <c r="D11">
        <v>127.176</v>
      </c>
      <c r="E11" s="56">
        <f>'Haver Pivoted'!HH10</f>
        <v>127.176</v>
      </c>
      <c r="F11" s="56">
        <f t="shared" si="0"/>
        <v>0</v>
      </c>
      <c r="G11" s="63">
        <f t="shared" si="1"/>
        <v>0</v>
      </c>
    </row>
    <row r="12" spans="1:11" x14ac:dyDescent="0.25">
      <c r="B12" s="56" t="s">
        <v>100</v>
      </c>
      <c r="C12" s="56" t="str">
        <f>'Haver Pivoted'!A11</f>
        <v>jgsi</v>
      </c>
      <c r="D12">
        <v>130.56700000000001</v>
      </c>
      <c r="E12" s="56">
        <f>'Haver Pivoted'!HH11</f>
        <v>130.56700000000001</v>
      </c>
      <c r="F12" s="56">
        <f t="shared" si="0"/>
        <v>0</v>
      </c>
      <c r="G12" s="63">
        <f t="shared" si="1"/>
        <v>0</v>
      </c>
    </row>
    <row r="13" spans="1:11" x14ac:dyDescent="0.25">
      <c r="A13" s="56" t="s">
        <v>55</v>
      </c>
      <c r="B13" s="56" t="s">
        <v>55</v>
      </c>
      <c r="C13" s="56" t="str">
        <f>'Haver Pivoted'!A12</f>
        <v>yptmr</v>
      </c>
      <c r="D13">
        <v>946.3</v>
      </c>
      <c r="E13" s="56">
        <f>'Haver Pivoted'!HH12</f>
        <v>946.3</v>
      </c>
      <c r="F13" s="56">
        <f t="shared" si="0"/>
        <v>0</v>
      </c>
      <c r="G13" s="63">
        <f t="shared" si="1"/>
        <v>0</v>
      </c>
      <c r="I13" s="66"/>
    </row>
    <row r="14" spans="1:11" x14ac:dyDescent="0.25">
      <c r="A14" s="56" t="s">
        <v>54</v>
      </c>
      <c r="B14" s="56" t="s">
        <v>101</v>
      </c>
      <c r="C14" s="56" t="str">
        <f>'Haver Pivoted'!A13</f>
        <v>yptmd</v>
      </c>
      <c r="D14">
        <v>880.6</v>
      </c>
      <c r="E14" s="56">
        <f>'Haver Pivoted'!HH13</f>
        <v>880.6</v>
      </c>
      <c r="F14" s="56">
        <f t="shared" si="0"/>
        <v>0</v>
      </c>
      <c r="G14" s="63">
        <f t="shared" si="1"/>
        <v>0</v>
      </c>
    </row>
    <row r="15" spans="1:11" x14ac:dyDescent="0.25">
      <c r="A15" s="56" t="s">
        <v>53</v>
      </c>
      <c r="B15" s="56" t="s">
        <v>102</v>
      </c>
      <c r="C15" s="56" t="str">
        <f>'Haver Pivoted'!A14</f>
        <v>yptu</v>
      </c>
      <c r="D15">
        <v>21</v>
      </c>
      <c r="E15" s="56">
        <f>'Haver Pivoted'!HH14</f>
        <v>21</v>
      </c>
      <c r="F15" s="56">
        <f t="shared" si="0"/>
        <v>0</v>
      </c>
      <c r="G15" s="63">
        <f t="shared" si="1"/>
        <v>0</v>
      </c>
    </row>
    <row r="16" spans="1:11" x14ac:dyDescent="0.25">
      <c r="B16" s="56" t="s">
        <v>57</v>
      </c>
      <c r="C16" s="56" t="str">
        <f>'Haver Pivoted'!A15</f>
        <v>gtfp</v>
      </c>
      <c r="D16">
        <v>3987.8</v>
      </c>
      <c r="E16" s="56">
        <f>'Haver Pivoted'!HH15</f>
        <v>3987.8</v>
      </c>
      <c r="F16" s="56">
        <f t="shared" si="0"/>
        <v>0</v>
      </c>
      <c r="G16" s="63">
        <f t="shared" si="1"/>
        <v>0</v>
      </c>
    </row>
    <row r="17" spans="1:7" x14ac:dyDescent="0.25">
      <c r="B17" s="56" t="s">
        <v>103</v>
      </c>
      <c r="C17" s="56" t="str">
        <f>'Haver Pivoted'!A16</f>
        <v>ypog</v>
      </c>
      <c r="D17">
        <v>131.19999999999999</v>
      </c>
      <c r="E17" s="56">
        <f>'Haver Pivoted'!HH16</f>
        <v>131.19999999999999</v>
      </c>
      <c r="F17" s="56">
        <f t="shared" si="0"/>
        <v>0</v>
      </c>
      <c r="G17" s="63">
        <f t="shared" si="1"/>
        <v>0</v>
      </c>
    </row>
    <row r="18" spans="1:7" x14ac:dyDescent="0.25">
      <c r="B18" s="56" t="s">
        <v>104</v>
      </c>
      <c r="C18" s="56" t="str">
        <f>'Haver Pivoted'!A17</f>
        <v>yptx</v>
      </c>
      <c r="D18">
        <v>2765.3</v>
      </c>
      <c r="E18" s="56">
        <f>'Haver Pivoted'!HH17</f>
        <v>2765.3</v>
      </c>
      <c r="F18" s="56">
        <f t="shared" si="0"/>
        <v>0</v>
      </c>
      <c r="G18" s="63">
        <f t="shared" si="1"/>
        <v>0</v>
      </c>
    </row>
    <row r="19" spans="1:7" x14ac:dyDescent="0.25">
      <c r="B19" s="56" t="s">
        <v>105</v>
      </c>
      <c r="C19" s="56" t="str">
        <f>'Haver Pivoted'!A18</f>
        <v>ytpi</v>
      </c>
      <c r="D19">
        <v>1830.7</v>
      </c>
      <c r="E19" s="56">
        <f>'Haver Pivoted'!HH18</f>
        <v>1830.7</v>
      </c>
      <c r="F19" s="56">
        <f t="shared" si="0"/>
        <v>0</v>
      </c>
      <c r="G19" s="63">
        <f t="shared" si="1"/>
        <v>0</v>
      </c>
    </row>
    <row r="20" spans="1:7" x14ac:dyDescent="0.25">
      <c r="B20" s="56" t="s">
        <v>106</v>
      </c>
      <c r="C20" s="56" t="str">
        <f>'Haver Pivoted'!A19</f>
        <v>yctlg</v>
      </c>
      <c r="D20">
        <v>566.70000000000005</v>
      </c>
      <c r="E20" s="56">
        <f>'Haver Pivoted'!HH19</f>
        <v>566.70000000000005</v>
      </c>
      <c r="F20" s="56">
        <f t="shared" si="0"/>
        <v>0</v>
      </c>
      <c r="G20" s="63">
        <f t="shared" si="1"/>
        <v>0</v>
      </c>
    </row>
    <row r="21" spans="1:7" x14ac:dyDescent="0.25">
      <c r="B21" s="56" t="s">
        <v>107</v>
      </c>
      <c r="C21" s="56" t="str">
        <f>'Haver Pivoted'!A20</f>
        <v>g</v>
      </c>
      <c r="D21">
        <v>4794.8</v>
      </c>
      <c r="E21" s="56">
        <f>'Haver Pivoted'!HH20</f>
        <v>4794.8</v>
      </c>
      <c r="F21" s="56">
        <f t="shared" si="0"/>
        <v>0</v>
      </c>
      <c r="G21" s="63">
        <f t="shared" si="1"/>
        <v>0</v>
      </c>
    </row>
    <row r="22" spans="1:7" x14ac:dyDescent="0.25">
      <c r="B22" s="56" t="s">
        <v>108</v>
      </c>
      <c r="C22" s="56" t="str">
        <f>'Haver Pivoted'!A21</f>
        <v>grcsi</v>
      </c>
      <c r="D22">
        <v>1823.3</v>
      </c>
      <c r="E22" s="56">
        <f>'Haver Pivoted'!HH21</f>
        <v>1823.3</v>
      </c>
      <c r="F22" s="56">
        <f t="shared" si="0"/>
        <v>0</v>
      </c>
      <c r="G22" s="63">
        <f t="shared" si="1"/>
        <v>0</v>
      </c>
    </row>
    <row r="23" spans="1:7" x14ac:dyDescent="0.25">
      <c r="B23" s="56" t="s">
        <v>96</v>
      </c>
      <c r="C23" s="56" t="str">
        <f>'Haver Pivoted'!A22</f>
        <v>dc</v>
      </c>
      <c r="D23">
        <v>120.81399999999999</v>
      </c>
      <c r="E23" s="56">
        <f>'Haver Pivoted'!HH22</f>
        <v>120.81399999999999</v>
      </c>
      <c r="F23" s="56">
        <f t="shared" si="0"/>
        <v>0</v>
      </c>
      <c r="G23" s="63">
        <f t="shared" si="1"/>
        <v>0</v>
      </c>
    </row>
    <row r="24" spans="1:7" x14ac:dyDescent="0.25">
      <c r="A24" s="56" t="s">
        <v>109</v>
      </c>
      <c r="B24" s="56" t="s">
        <v>110</v>
      </c>
      <c r="C24" s="56" t="str">
        <f>'Haver Pivoted'!A23</f>
        <v>gf</v>
      </c>
      <c r="D24">
        <v>1791.9</v>
      </c>
      <c r="E24" s="56">
        <f>'Haver Pivoted'!HH23</f>
        <v>1791.9</v>
      </c>
      <c r="F24" s="56">
        <f t="shared" si="0"/>
        <v>0</v>
      </c>
      <c r="G24" s="63">
        <f t="shared" si="1"/>
        <v>0</v>
      </c>
    </row>
    <row r="25" spans="1:7" x14ac:dyDescent="0.25">
      <c r="A25" s="56" t="s">
        <v>109</v>
      </c>
      <c r="B25" s="56" t="s">
        <v>111</v>
      </c>
      <c r="C25" s="56" t="str">
        <f>'Haver Pivoted'!A24</f>
        <v>gs</v>
      </c>
      <c r="D25">
        <v>3002.9</v>
      </c>
      <c r="E25" s="56">
        <f>'Haver Pivoted'!HH24</f>
        <v>3002.9</v>
      </c>
      <c r="F25" s="56">
        <f t="shared" si="0"/>
        <v>0</v>
      </c>
      <c r="G25" s="63">
        <f t="shared" si="1"/>
        <v>0</v>
      </c>
    </row>
    <row r="26" spans="1:7" x14ac:dyDescent="0.25">
      <c r="B26" s="56" t="s">
        <v>112</v>
      </c>
      <c r="C26" s="56" t="str">
        <f>'Haver Pivoted'!A25</f>
        <v>gfh</v>
      </c>
      <c r="D26">
        <v>1492.3</v>
      </c>
      <c r="E26" s="56">
        <f>'Haver Pivoted'!HH25</f>
        <v>1492.3</v>
      </c>
      <c r="F26" s="56">
        <f t="shared" si="0"/>
        <v>0</v>
      </c>
      <c r="G26" s="63">
        <f t="shared" si="1"/>
        <v>0</v>
      </c>
    </row>
    <row r="27" spans="1:7" x14ac:dyDescent="0.25">
      <c r="B27" s="56" t="s">
        <v>113</v>
      </c>
      <c r="C27" s="56" t="str">
        <f>'Haver Pivoted'!A26</f>
        <v>gsh</v>
      </c>
      <c r="D27">
        <v>2351.4</v>
      </c>
      <c r="E27" s="56">
        <f>'Haver Pivoted'!HH26</f>
        <v>2351.4</v>
      </c>
      <c r="F27" s="56">
        <f t="shared" si="0"/>
        <v>0</v>
      </c>
      <c r="G27" s="63">
        <f t="shared" si="1"/>
        <v>0</v>
      </c>
    </row>
    <row r="28" spans="1:7" x14ac:dyDescent="0.25">
      <c r="A28" s="56" t="s">
        <v>58</v>
      </c>
      <c r="B28" s="56" t="s">
        <v>114</v>
      </c>
      <c r="C28" s="56" t="s">
        <v>115</v>
      </c>
      <c r="D28">
        <v>2188.6999999999998</v>
      </c>
      <c r="E28" s="56">
        <f>'Haver Pivoted'!HH27</f>
        <v>2188.6999999999998</v>
      </c>
      <c r="F28" s="56">
        <f t="shared" si="0"/>
        <v>0</v>
      </c>
      <c r="G28" s="63">
        <f t="shared" si="1"/>
        <v>0</v>
      </c>
    </row>
    <row r="29" spans="1:7" x14ac:dyDescent="0.25">
      <c r="A29" s="56" t="s">
        <v>58</v>
      </c>
      <c r="B29" s="56" t="s">
        <v>116</v>
      </c>
      <c r="C29" s="56" t="s">
        <v>117</v>
      </c>
      <c r="D29">
        <v>171.6</v>
      </c>
      <c r="E29" s="56">
        <f>'Haver Pivoted'!HH28</f>
        <v>171.6</v>
      </c>
      <c r="F29" s="56">
        <f t="shared" si="0"/>
        <v>0</v>
      </c>
      <c r="G29" s="63">
        <f t="shared" si="1"/>
        <v>0</v>
      </c>
    </row>
    <row r="30" spans="1:7" x14ac:dyDescent="0.25">
      <c r="A30" s="56" t="s">
        <v>58</v>
      </c>
      <c r="B30" s="56" t="s">
        <v>118</v>
      </c>
      <c r="C30" s="56" t="s">
        <v>119</v>
      </c>
      <c r="D30">
        <v>418</v>
      </c>
      <c r="E30" s="56">
        <f>'Haver Pivoted'!HH29</f>
        <v>418</v>
      </c>
      <c r="F30" s="56">
        <f t="shared" si="0"/>
        <v>0</v>
      </c>
      <c r="G30" s="63">
        <f t="shared" si="1"/>
        <v>0</v>
      </c>
    </row>
    <row r="31" spans="1:7" x14ac:dyDescent="0.25">
      <c r="A31" s="56" t="s">
        <v>58</v>
      </c>
      <c r="B31" s="56" t="s">
        <v>120</v>
      </c>
      <c r="C31" s="56" t="s">
        <v>121</v>
      </c>
      <c r="D31">
        <v>1801.4</v>
      </c>
      <c r="E31" s="56">
        <f>'Haver Pivoted'!HH30</f>
        <v>1801.4</v>
      </c>
      <c r="F31" s="56">
        <f t="shared" si="0"/>
        <v>0</v>
      </c>
      <c r="G31" s="63">
        <f t="shared" si="1"/>
        <v>0</v>
      </c>
    </row>
    <row r="32" spans="1:7" x14ac:dyDescent="0.25">
      <c r="A32" s="56" t="s">
        <v>122</v>
      </c>
      <c r="B32" s="56" t="s">
        <v>123</v>
      </c>
      <c r="C32" s="56" t="str">
        <f>'Haver Pivoted'!A31</f>
        <v>gftfp</v>
      </c>
      <c r="D32">
        <v>2930.1</v>
      </c>
      <c r="E32" s="56">
        <f>'Haver Pivoted'!HH31</f>
        <v>2930.1</v>
      </c>
      <c r="F32" s="56">
        <f t="shared" si="0"/>
        <v>0</v>
      </c>
      <c r="G32" s="63">
        <f t="shared" si="1"/>
        <v>0</v>
      </c>
    </row>
    <row r="33" spans="1:10" x14ac:dyDescent="0.25">
      <c r="A33" s="56" t="s">
        <v>51</v>
      </c>
      <c r="B33" s="55" t="s">
        <v>124</v>
      </c>
      <c r="C33" s="56" t="str">
        <f>'Haver Pivoted'!A32</f>
        <v>gfeg</v>
      </c>
      <c r="D33">
        <v>918.5</v>
      </c>
      <c r="E33" s="56">
        <f>'Haver Pivoted'!HH32</f>
        <v>918.5</v>
      </c>
      <c r="F33" s="56">
        <f t="shared" si="0"/>
        <v>0</v>
      </c>
      <c r="G33" s="63">
        <f t="shared" si="1"/>
        <v>0</v>
      </c>
    </row>
    <row r="34" spans="1:10" x14ac:dyDescent="0.25">
      <c r="A34" s="56" t="s">
        <v>58</v>
      </c>
      <c r="B34" s="56" t="s">
        <v>125</v>
      </c>
      <c r="C34" s="56" t="str">
        <f>'Haver Pivoted'!A33</f>
        <v>gsrpt</v>
      </c>
      <c r="D34">
        <v>576.6</v>
      </c>
      <c r="E34" s="56">
        <f>'Haver Pivoted'!HH33</f>
        <v>576.6</v>
      </c>
      <c r="F34" s="56">
        <f t="shared" si="0"/>
        <v>0</v>
      </c>
      <c r="G34" s="63">
        <f t="shared" si="1"/>
        <v>0</v>
      </c>
    </row>
    <row r="35" spans="1:10" x14ac:dyDescent="0.25">
      <c r="A35" s="56" t="s">
        <v>58</v>
      </c>
      <c r="B35" s="56" t="s">
        <v>126</v>
      </c>
      <c r="C35" s="56" t="str">
        <f>'Haver Pivoted'!A34</f>
        <v>gsrpri</v>
      </c>
      <c r="D35">
        <v>1659.2</v>
      </c>
      <c r="E35" s="56">
        <f>'Haver Pivoted'!HH34</f>
        <v>1659.2</v>
      </c>
      <c r="F35" s="56">
        <f t="shared" si="0"/>
        <v>0</v>
      </c>
      <c r="G35" s="63">
        <f t="shared" si="1"/>
        <v>0</v>
      </c>
    </row>
    <row r="36" spans="1:10" x14ac:dyDescent="0.25">
      <c r="A36" s="56" t="s">
        <v>58</v>
      </c>
      <c r="B36" s="56" t="s">
        <v>127</v>
      </c>
      <c r="C36" s="56" t="str">
        <f>'Haver Pivoted'!A35</f>
        <v>gsrcp</v>
      </c>
      <c r="D36">
        <v>148.69999999999999</v>
      </c>
      <c r="E36" s="56">
        <f>'Haver Pivoted'!HH35</f>
        <v>148.69999999999999</v>
      </c>
      <c r="F36" s="56">
        <f t="shared" si="0"/>
        <v>0</v>
      </c>
      <c r="G36" s="63">
        <f t="shared" si="1"/>
        <v>0</v>
      </c>
    </row>
    <row r="37" spans="1:10" x14ac:dyDescent="0.25">
      <c r="A37" s="56" t="s">
        <v>58</v>
      </c>
      <c r="B37" s="56" t="s">
        <v>128</v>
      </c>
      <c r="C37" s="56" t="str">
        <f>'Haver Pivoted'!A36</f>
        <v>gsrs</v>
      </c>
      <c r="D37">
        <v>21.9</v>
      </c>
      <c r="E37" s="56">
        <f>'Haver Pivoted'!HH36</f>
        <v>21.9</v>
      </c>
      <c r="F37" s="56">
        <f t="shared" si="0"/>
        <v>0</v>
      </c>
      <c r="G37" s="63">
        <f t="shared" si="1"/>
        <v>0</v>
      </c>
    </row>
    <row r="38" spans="1:10" x14ac:dyDescent="0.25">
      <c r="A38" s="56" t="s">
        <v>57</v>
      </c>
      <c r="B38" s="56" t="s">
        <v>129</v>
      </c>
      <c r="C38" s="56" t="str">
        <f>'Haver Pivoted'!A37</f>
        <v>gstfp</v>
      </c>
      <c r="D38">
        <v>1057.5999999999999</v>
      </c>
      <c r="E38" s="56">
        <f>'Haver Pivoted'!HH37</f>
        <v>1057.5999999999999</v>
      </c>
      <c r="F38" s="56">
        <f t="shared" si="0"/>
        <v>0</v>
      </c>
      <c r="G38" s="63">
        <f t="shared" si="1"/>
        <v>0</v>
      </c>
    </row>
    <row r="39" spans="1:10" x14ac:dyDescent="0.25">
      <c r="B39" s="56" t="s">
        <v>130</v>
      </c>
      <c r="C39" s="56" t="str">
        <f>'Haver Pivoted'!A38</f>
        <v>gset</v>
      </c>
      <c r="D39">
        <v>3985.3</v>
      </c>
      <c r="E39" s="56">
        <f>'Haver Pivoted'!HH38</f>
        <v>3985.3</v>
      </c>
      <c r="F39" s="56">
        <f t="shared" si="0"/>
        <v>0</v>
      </c>
      <c r="G39" s="63">
        <f t="shared" si="1"/>
        <v>0</v>
      </c>
    </row>
    <row r="40" spans="1:10" x14ac:dyDescent="0.25">
      <c r="B40" s="56" t="s">
        <v>131</v>
      </c>
      <c r="C40" s="56" t="str">
        <f>'Haver Pivoted'!A39</f>
        <v>gfeghhx</v>
      </c>
      <c r="D40">
        <v>622.95699999999999</v>
      </c>
      <c r="E40" s="56">
        <f>'Haver Pivoted'!HH39</f>
        <v>622.95699999999999</v>
      </c>
      <c r="F40" s="56">
        <f t="shared" si="0"/>
        <v>0</v>
      </c>
      <c r="G40" s="63">
        <f t="shared" si="1"/>
        <v>0</v>
      </c>
    </row>
    <row r="41" spans="1:10" x14ac:dyDescent="0.25">
      <c r="A41" s="56" t="s">
        <v>132</v>
      </c>
      <c r="B41" s="56" t="s">
        <v>133</v>
      </c>
      <c r="C41" s="56" t="str">
        <f>'Haver Pivoted'!A40</f>
        <v>gfeghdx</v>
      </c>
      <c r="D41">
        <v>590.947</v>
      </c>
      <c r="E41" s="56">
        <f>'Haver Pivoted'!HH40</f>
        <v>590.947</v>
      </c>
      <c r="F41" s="56">
        <f t="shared" si="0"/>
        <v>0</v>
      </c>
      <c r="G41" s="63">
        <f t="shared" si="1"/>
        <v>0</v>
      </c>
    </row>
    <row r="42" spans="1:10" x14ac:dyDescent="0.25">
      <c r="A42" s="56" t="s">
        <v>51</v>
      </c>
      <c r="B42" s="56" t="s">
        <v>134</v>
      </c>
      <c r="C42" s="56" t="str">
        <f>'Haver Pivoted'!A41</f>
        <v>gfeigx</v>
      </c>
      <c r="D42">
        <v>90.495000000000005</v>
      </c>
      <c r="E42" s="56">
        <f>'Haver Pivoted'!HH41</f>
        <v>90.495000000000005</v>
      </c>
      <c r="F42" s="56">
        <f t="shared" si="0"/>
        <v>0</v>
      </c>
      <c r="G42" s="63">
        <f t="shared" si="1"/>
        <v>0</v>
      </c>
    </row>
    <row r="43" spans="1:10" x14ac:dyDescent="0.25">
      <c r="B43" s="56" t="s">
        <v>135</v>
      </c>
      <c r="C43" s="56" t="str">
        <f>'Haver Pivoted'!A42</f>
        <v>gfsub</v>
      </c>
      <c r="D43">
        <v>102.4</v>
      </c>
      <c r="E43" s="56">
        <f>'Haver Pivoted'!HH42</f>
        <v>102.4</v>
      </c>
      <c r="F43" s="56">
        <f t="shared" si="0"/>
        <v>0</v>
      </c>
      <c r="G43" s="63">
        <f t="shared" si="1"/>
        <v>0</v>
      </c>
      <c r="I43" s="67"/>
      <c r="J43" s="64"/>
    </row>
    <row r="44" spans="1:10" x14ac:dyDescent="0.25">
      <c r="B44" s="56" t="s">
        <v>136</v>
      </c>
      <c r="C44" s="56" t="str">
        <f>'Haver Pivoted'!A43</f>
        <v>gssub</v>
      </c>
      <c r="D44">
        <v>0.7</v>
      </c>
      <c r="E44" s="56">
        <f>'Haver Pivoted'!HH43</f>
        <v>0.7</v>
      </c>
      <c r="F44" s="56">
        <f t="shared" si="0"/>
        <v>0</v>
      </c>
      <c r="G44" s="63">
        <f t="shared" si="1"/>
        <v>0</v>
      </c>
      <c r="I44" s="57"/>
      <c r="J44" s="64"/>
    </row>
    <row r="45" spans="1:10" x14ac:dyDescent="0.25">
      <c r="B45" s="56" t="s">
        <v>52</v>
      </c>
      <c r="C45" s="56" t="str">
        <f>'Haver Pivoted'!A44</f>
        <v>gsub</v>
      </c>
      <c r="D45">
        <v>103.1</v>
      </c>
      <c r="E45" s="56">
        <f>'Haver Pivoted'!HH44</f>
        <v>103.1</v>
      </c>
      <c r="F45" s="56">
        <f t="shared" si="0"/>
        <v>0</v>
      </c>
      <c r="G45" s="63">
        <f t="shared" si="1"/>
        <v>0</v>
      </c>
      <c r="I45" s="57"/>
      <c r="J45" s="65"/>
    </row>
    <row r="46" spans="1:10" x14ac:dyDescent="0.25">
      <c r="A46" s="56" t="s">
        <v>56</v>
      </c>
      <c r="B46" s="56" t="s">
        <v>56</v>
      </c>
      <c r="C46" s="56" t="str">
        <f>'Haver Pivoted'!A45</f>
        <v>gftfpe</v>
      </c>
      <c r="D46">
        <v>0</v>
      </c>
      <c r="E46" s="56">
        <f>'Haver Pivoted'!HH45</f>
        <v>0</v>
      </c>
      <c r="F46" s="56">
        <f t="shared" si="0"/>
        <v>0</v>
      </c>
      <c r="G46" s="63" t="e">
        <f t="shared" si="1"/>
        <v>#DIV/0!</v>
      </c>
      <c r="I46" s="57"/>
      <c r="J46" s="65"/>
    </row>
    <row r="47" spans="1:10" x14ac:dyDescent="0.25">
      <c r="B47" s="56" t="s">
        <v>137</v>
      </c>
      <c r="C47" s="56" t="str">
        <f>'Haver Pivoted'!A46</f>
        <v>gftfpr</v>
      </c>
      <c r="D47">
        <v>0</v>
      </c>
      <c r="E47" s="56">
        <f>'Haver Pivoted'!HH46</f>
        <v>0</v>
      </c>
      <c r="F47" s="56">
        <f t="shared" si="0"/>
        <v>0</v>
      </c>
      <c r="G47" s="63" t="e">
        <f t="shared" si="1"/>
        <v>#DIV/0!</v>
      </c>
      <c r="I47" s="57"/>
      <c r="J47" s="65"/>
    </row>
    <row r="48" spans="1:10" x14ac:dyDescent="0.25">
      <c r="A48" s="56" t="s">
        <v>50</v>
      </c>
      <c r="B48" s="56" t="s">
        <v>138</v>
      </c>
      <c r="C48" s="56" t="str">
        <f>'Haver Pivoted'!A47</f>
        <v>gftfpp</v>
      </c>
      <c r="D48">
        <v>0</v>
      </c>
      <c r="E48" s="56">
        <f>'Haver Pivoted'!HH47</f>
        <v>0</v>
      </c>
      <c r="F48" s="56">
        <f t="shared" si="0"/>
        <v>0</v>
      </c>
      <c r="G48" s="63" t="e">
        <f t="shared" si="1"/>
        <v>#DIV/0!</v>
      </c>
      <c r="J48" s="65"/>
    </row>
    <row r="49" spans="1:9" x14ac:dyDescent="0.25">
      <c r="A49" s="56" t="s">
        <v>49</v>
      </c>
      <c r="B49" s="56" t="s">
        <v>139</v>
      </c>
      <c r="C49" s="56" t="str">
        <f>'Haver Pivoted'!A48</f>
        <v>gftfpv</v>
      </c>
      <c r="D49">
        <v>0</v>
      </c>
      <c r="E49" s="56">
        <f>'Haver Pivoted'!HH48</f>
        <v>0</v>
      </c>
      <c r="F49" s="56">
        <f t="shared" si="0"/>
        <v>0</v>
      </c>
      <c r="G49" s="63" t="e">
        <f t="shared" si="1"/>
        <v>#DIV/0!</v>
      </c>
      <c r="H49" s="58"/>
      <c r="I49" s="58"/>
    </row>
    <row r="50" spans="1:9" x14ac:dyDescent="0.25">
      <c r="A50" s="56" t="s">
        <v>140</v>
      </c>
      <c r="B50" s="53" t="s">
        <v>141</v>
      </c>
      <c r="C50" s="56" t="str">
        <f>'Haver Pivoted'!A49</f>
        <v>gfsubp</v>
      </c>
      <c r="D50">
        <v>0</v>
      </c>
      <c r="E50" s="56">
        <f>'Haver Pivoted'!HH49</f>
        <v>0</v>
      </c>
      <c r="F50" s="56">
        <f t="shared" si="0"/>
        <v>0</v>
      </c>
      <c r="G50" s="63" t="e">
        <f t="shared" si="1"/>
        <v>#DIV/0!</v>
      </c>
      <c r="H50" s="49"/>
      <c r="I50" s="50"/>
    </row>
    <row r="51" spans="1:9" x14ac:dyDescent="0.25">
      <c r="A51" s="56" t="s">
        <v>52</v>
      </c>
      <c r="B51" s="53" t="s">
        <v>142</v>
      </c>
      <c r="C51" s="56" t="str">
        <f>'Haver Pivoted'!A50</f>
        <v>gfsubg</v>
      </c>
      <c r="D51">
        <v>0</v>
      </c>
      <c r="E51" s="56">
        <f>'Haver Pivoted'!HH50</f>
        <v>0</v>
      </c>
      <c r="F51" s="56">
        <f t="shared" si="0"/>
        <v>0</v>
      </c>
      <c r="G51" s="63" t="e">
        <f t="shared" si="1"/>
        <v>#DIV/0!</v>
      </c>
      <c r="H51" s="69"/>
      <c r="I51" s="68"/>
    </row>
    <row r="52" spans="1:9" x14ac:dyDescent="0.25">
      <c r="A52" s="56" t="s">
        <v>52</v>
      </c>
      <c r="B52" s="53" t="s">
        <v>143</v>
      </c>
      <c r="C52" s="56" t="str">
        <f>'Haver Pivoted'!A51</f>
        <v>gfsube</v>
      </c>
      <c r="D52">
        <v>0</v>
      </c>
      <c r="E52" s="56">
        <f>'Haver Pivoted'!HH51</f>
        <v>0</v>
      </c>
      <c r="F52" s="56">
        <f t="shared" si="0"/>
        <v>0</v>
      </c>
      <c r="G52" s="63" t="e">
        <f t="shared" si="1"/>
        <v>#DIV/0!</v>
      </c>
      <c r="H52" s="52"/>
      <c r="I52" s="50"/>
    </row>
    <row r="53" spans="1:9" x14ac:dyDescent="0.25">
      <c r="A53" s="56" t="s">
        <v>52</v>
      </c>
      <c r="B53" s="53" t="s">
        <v>144</v>
      </c>
      <c r="C53" s="56" t="str">
        <f>'Haver Pivoted'!A52</f>
        <v>gfsubs</v>
      </c>
      <c r="D53">
        <v>0</v>
      </c>
      <c r="E53" s="56">
        <f>'Haver Pivoted'!HH52</f>
        <v>0</v>
      </c>
      <c r="F53" s="56">
        <f t="shared" si="0"/>
        <v>0</v>
      </c>
      <c r="G53" s="63" t="e">
        <f t="shared" si="1"/>
        <v>#DIV/0!</v>
      </c>
      <c r="H53" s="52"/>
      <c r="I53" s="50"/>
    </row>
    <row r="54" spans="1:9" x14ac:dyDescent="0.25">
      <c r="A54" s="56" t="s">
        <v>52</v>
      </c>
      <c r="B54" s="53" t="s">
        <v>145</v>
      </c>
      <c r="C54" s="56" t="str">
        <f>'Haver Pivoted'!A53</f>
        <v>gfsubf</v>
      </c>
      <c r="D54">
        <v>0</v>
      </c>
      <c r="E54" s="56">
        <f>'Haver Pivoted'!HH53</f>
        <v>0</v>
      </c>
      <c r="F54" s="56">
        <f t="shared" si="0"/>
        <v>0</v>
      </c>
      <c r="G54" s="63" t="e">
        <f t="shared" si="1"/>
        <v>#DIV/0!</v>
      </c>
      <c r="H54" s="49"/>
      <c r="I54" s="50"/>
    </row>
    <row r="55" spans="1:9" x14ac:dyDescent="0.25">
      <c r="A55" s="56" t="s">
        <v>146</v>
      </c>
      <c r="B55" s="53" t="s">
        <v>147</v>
      </c>
      <c r="C55" s="56" t="str">
        <f>'Haver Pivoted'!A54</f>
        <v>gfsubv</v>
      </c>
      <c r="D55">
        <v>0</v>
      </c>
      <c r="E55" s="56">
        <f>'Haver Pivoted'!HH54</f>
        <v>0</v>
      </c>
      <c r="F55" s="56">
        <f t="shared" si="0"/>
        <v>0</v>
      </c>
      <c r="G55" s="63" t="e">
        <f t="shared" si="1"/>
        <v>#DIV/0!</v>
      </c>
    </row>
    <row r="56" spans="1:9" x14ac:dyDescent="0.25">
      <c r="A56" s="56" t="s">
        <v>52</v>
      </c>
      <c r="B56" s="53" t="s">
        <v>148</v>
      </c>
      <c r="C56" s="56" t="str">
        <f>'Haver Pivoted'!A55</f>
        <v>gfsubk</v>
      </c>
      <c r="D56">
        <v>0</v>
      </c>
      <c r="E56" s="56">
        <f>'Haver Pivoted'!HH55</f>
        <v>0</v>
      </c>
      <c r="F56" s="56">
        <f t="shared" si="0"/>
        <v>0</v>
      </c>
      <c r="G56" s="63" t="e">
        <f t="shared" si="1"/>
        <v>#DIV/0!</v>
      </c>
      <c r="H56" s="49"/>
      <c r="I56" s="50"/>
    </row>
    <row r="57" spans="1:9" x14ac:dyDescent="0.25">
      <c r="A57" s="56" t="s">
        <v>51</v>
      </c>
      <c r="B57" s="55" t="s">
        <v>149</v>
      </c>
      <c r="C57" s="56" t="str">
        <f>'Haver Pivoted'!A56</f>
        <v>gfegc</v>
      </c>
      <c r="D57">
        <v>0</v>
      </c>
      <c r="E57" s="56">
        <f>'Haver Pivoted'!HH56</f>
        <v>0</v>
      </c>
      <c r="F57" s="56">
        <f t="shared" si="0"/>
        <v>0</v>
      </c>
      <c r="G57" s="63"/>
      <c r="H57" s="49"/>
      <c r="I57" s="50"/>
    </row>
    <row r="58" spans="1:9" x14ac:dyDescent="0.25">
      <c r="A58" s="56" t="s">
        <v>51</v>
      </c>
      <c r="B58" s="55" t="s">
        <v>150</v>
      </c>
      <c r="C58" s="56" t="str">
        <f>'Haver Pivoted'!A57</f>
        <v>gfege</v>
      </c>
      <c r="D58">
        <v>0</v>
      </c>
      <c r="E58" s="56">
        <f>'Haver Pivoted'!HH57</f>
        <v>0</v>
      </c>
      <c r="F58" s="56">
        <f t="shared" si="0"/>
        <v>0</v>
      </c>
      <c r="G58" s="63" t="e">
        <f t="shared" si="1"/>
        <v>#DIV/0!</v>
      </c>
      <c r="H58" s="49"/>
      <c r="I58" s="50"/>
    </row>
    <row r="59" spans="1:9" x14ac:dyDescent="0.25">
      <c r="A59" s="56" t="s">
        <v>151</v>
      </c>
      <c r="B59" s="55" t="s">
        <v>152</v>
      </c>
      <c r="C59" s="56" t="str">
        <f>'Haver Pivoted'!A58</f>
        <v>gfegv</v>
      </c>
      <c r="D59">
        <v>0</v>
      </c>
      <c r="E59" s="56">
        <f>'Haver Pivoted'!HH58</f>
        <v>0</v>
      </c>
      <c r="F59" s="56">
        <f t="shared" si="0"/>
        <v>0</v>
      </c>
      <c r="G59" s="63" t="e">
        <f t="shared" si="1"/>
        <v>#DIV/0!</v>
      </c>
    </row>
    <row r="60" spans="1:9" x14ac:dyDescent="0.25">
      <c r="A60" s="56" t="s">
        <v>53</v>
      </c>
      <c r="B60" s="56" t="s">
        <v>153</v>
      </c>
      <c r="C60" s="56" t="str">
        <f>'Haver Pivoted'!A59</f>
        <v>yptue</v>
      </c>
      <c r="D60">
        <v>0</v>
      </c>
      <c r="E60" s="56">
        <f>'Haver Pivoted'!HH59</f>
        <v>0</v>
      </c>
      <c r="F60" s="56">
        <f t="shared" si="0"/>
        <v>0</v>
      </c>
      <c r="G60" s="63" t="e">
        <f t="shared" si="1"/>
        <v>#DIV/0!</v>
      </c>
    </row>
    <row r="61" spans="1:9" x14ac:dyDescent="0.25">
      <c r="A61" s="56" t="s">
        <v>53</v>
      </c>
      <c r="B61" s="56" t="s">
        <v>154</v>
      </c>
      <c r="C61" s="56" t="str">
        <f>'Haver Pivoted'!A60</f>
        <v>yptup</v>
      </c>
      <c r="D61">
        <v>0</v>
      </c>
      <c r="E61" s="56">
        <f>'Haver Pivoted'!HH60</f>
        <v>0</v>
      </c>
      <c r="F61" s="56">
        <f t="shared" si="0"/>
        <v>0</v>
      </c>
      <c r="G61" s="63" t="e">
        <f t="shared" si="1"/>
        <v>#DIV/0!</v>
      </c>
    </row>
    <row r="62" spans="1:9" x14ac:dyDescent="0.25">
      <c r="A62" s="56" t="s">
        <v>53</v>
      </c>
      <c r="B62" s="56" t="s">
        <v>155</v>
      </c>
      <c r="C62" s="56" t="str">
        <f>'Haver Pivoted'!A61</f>
        <v>yptuc</v>
      </c>
      <c r="D62">
        <v>0</v>
      </c>
      <c r="E62" s="56">
        <f>'Haver Pivoted'!HH61</f>
        <v>0</v>
      </c>
      <c r="F62" s="56">
        <f t="shared" si="0"/>
        <v>0</v>
      </c>
      <c r="G62" s="63" t="e">
        <f t="shared" si="1"/>
        <v>#DIV/0!</v>
      </c>
    </row>
    <row r="63" spans="1:9" x14ac:dyDescent="0.25">
      <c r="B63" s="56" t="s">
        <v>156</v>
      </c>
      <c r="C63" s="56" t="str">
        <f>'Haver Pivoted'!A62</f>
        <v>gftfpu</v>
      </c>
      <c r="D63">
        <v>0</v>
      </c>
      <c r="E63" s="56">
        <f>'Haver Pivoted'!HH62</f>
        <v>0</v>
      </c>
      <c r="F63" s="56">
        <f t="shared" si="0"/>
        <v>0</v>
      </c>
      <c r="G63" s="63" t="e">
        <f t="shared" si="1"/>
        <v>#DIV/0!</v>
      </c>
      <c r="H63" s="55"/>
      <c r="I63" s="55"/>
    </row>
    <row r="64" spans="1:9" x14ac:dyDescent="0.25">
      <c r="A64" s="56" t="s">
        <v>53</v>
      </c>
      <c r="B64" s="59" t="s">
        <v>157</v>
      </c>
      <c r="C64" s="56" t="str">
        <f>'Haver Pivoted'!A63</f>
        <v>yptub</v>
      </c>
      <c r="D64">
        <v>0</v>
      </c>
      <c r="E64" s="56">
        <f>'Haver Pivoted'!HH63</f>
        <v>0</v>
      </c>
      <c r="F64" s="56">
        <f t="shared" si="0"/>
        <v>0</v>
      </c>
      <c r="G64" s="63" t="e">
        <f t="shared" si="1"/>
        <v>#DIV/0!</v>
      </c>
      <c r="H64" s="55"/>
      <c r="I64" s="55"/>
    </row>
    <row r="65" spans="1:9" x14ac:dyDescent="0.25">
      <c r="A65" s="56" t="s">
        <v>53</v>
      </c>
      <c r="B65" s="56" t="s">
        <v>158</v>
      </c>
      <c r="C65" s="56" t="str">
        <f>'Haver Pivoted'!A64</f>
        <v>yptol</v>
      </c>
      <c r="D65">
        <v>0</v>
      </c>
      <c r="E65" s="56">
        <f>'Haver Pivoted'!HH64</f>
        <v>0</v>
      </c>
      <c r="F65" s="56">
        <f t="shared" si="0"/>
        <v>0</v>
      </c>
      <c r="G65" s="63" t="e">
        <f t="shared" si="1"/>
        <v>#DIV/0!</v>
      </c>
      <c r="H65" s="55"/>
      <c r="I65" s="55"/>
    </row>
    <row r="66" spans="1:9" x14ac:dyDescent="0.25">
      <c r="B66" s="56" t="s">
        <v>159</v>
      </c>
      <c r="C66" s="56" t="str">
        <f>'Haver Pivoted'!A65</f>
        <v>gfctp</v>
      </c>
      <c r="D66">
        <v>561.29999999999995</v>
      </c>
      <c r="E66" s="56">
        <f>'Haver Pivoted'!HH65</f>
        <v>561.29999999999995</v>
      </c>
      <c r="F66" s="56">
        <f t="shared" si="0"/>
        <v>0</v>
      </c>
      <c r="G66" s="63">
        <f t="shared" si="1"/>
        <v>0</v>
      </c>
      <c r="H66" s="55"/>
      <c r="I66" s="55"/>
    </row>
    <row r="67" spans="1:9" x14ac:dyDescent="0.25">
      <c r="A67" s="56" t="s">
        <v>57</v>
      </c>
      <c r="B67" s="54" t="s">
        <v>160</v>
      </c>
      <c r="C67" s="56" t="str">
        <f>'Haver Pivoted'!A66</f>
        <v>gftffx</v>
      </c>
      <c r="D67">
        <v>103.06100000000001</v>
      </c>
      <c r="E67" s="56">
        <f>'Haver Pivoted'!HH66</f>
        <v>103.06100000000001</v>
      </c>
      <c r="F67" s="56">
        <f t="shared" si="0"/>
        <v>0</v>
      </c>
      <c r="G67" s="63">
        <f t="shared" si="1"/>
        <v>0</v>
      </c>
      <c r="H67" s="55"/>
      <c r="I67" s="55"/>
    </row>
    <row r="68" spans="1:9" x14ac:dyDescent="0.25">
      <c r="B68" s="56" t="s">
        <v>161</v>
      </c>
      <c r="C68" s="56" t="str">
        <f>'Haver Pivoted'!A67</f>
        <v>cpiu</v>
      </c>
      <c r="D68">
        <v>306.034333333333</v>
      </c>
      <c r="E68" s="56">
        <f>'Haver Pivoted'!HH67</f>
        <v>306.034333333333</v>
      </c>
      <c r="F68" s="56">
        <f t="shared" ref="F68:F81" si="2">E68-D68</f>
        <v>0</v>
      </c>
      <c r="G68" s="63">
        <f t="shared" ref="G68:G81" si="3">F68/D68</f>
        <v>0</v>
      </c>
      <c r="H68" s="55"/>
      <c r="I68" s="55"/>
    </row>
    <row r="69" spans="1:9" x14ac:dyDescent="0.25">
      <c r="C69" s="56" t="str">
        <f>'Haver Pivoted'!A68</f>
        <v>pcw</v>
      </c>
      <c r="D69">
        <v>300.327333333333</v>
      </c>
      <c r="E69" s="56">
        <f>'Haver Pivoted'!HH68</f>
        <v>300.327333333333</v>
      </c>
      <c r="F69" s="56">
        <f t="shared" si="2"/>
        <v>0</v>
      </c>
      <c r="G69" s="63">
        <f t="shared" si="3"/>
        <v>0</v>
      </c>
    </row>
    <row r="70" spans="1:9" x14ac:dyDescent="0.25">
      <c r="B70" s="56" t="s">
        <v>162</v>
      </c>
      <c r="C70" s="56" t="str">
        <f>'Haver Pivoted'!A69</f>
        <v>gdppothq</v>
      </c>
      <c r="D70">
        <v>22369.7</v>
      </c>
      <c r="E70" s="56">
        <f>'Haver Pivoted'!HH69</f>
        <v>22369.7</v>
      </c>
      <c r="F70" s="56">
        <f t="shared" si="2"/>
        <v>0</v>
      </c>
      <c r="G70" s="63">
        <f t="shared" si="3"/>
        <v>0</v>
      </c>
    </row>
    <row r="71" spans="1:9" x14ac:dyDescent="0.25">
      <c r="B71" s="56" t="s">
        <v>163</v>
      </c>
      <c r="C71" s="56" t="str">
        <f>'Haver Pivoted'!A70</f>
        <v>gdppotq</v>
      </c>
      <c r="D71">
        <v>27476.6</v>
      </c>
      <c r="E71" s="56">
        <f>'Haver Pivoted'!HH70</f>
        <v>27476.6</v>
      </c>
      <c r="F71" s="56">
        <f t="shared" si="2"/>
        <v>0</v>
      </c>
      <c r="G71" s="63">
        <f t="shared" si="3"/>
        <v>0</v>
      </c>
    </row>
    <row r="72" spans="1:9" x14ac:dyDescent="0.25">
      <c r="B72" s="56" t="s">
        <v>164</v>
      </c>
      <c r="C72" s="56" t="str">
        <f>'Haver Pivoted'!A71</f>
        <v>recessq</v>
      </c>
      <c r="D72">
        <v>-1</v>
      </c>
      <c r="E72" s="56">
        <f>'Haver Pivoted'!HH71</f>
        <v>-1</v>
      </c>
      <c r="F72" s="56">
        <f t="shared" si="2"/>
        <v>0</v>
      </c>
      <c r="G72" s="63">
        <f t="shared" si="3"/>
        <v>0</v>
      </c>
    </row>
    <row r="73" spans="1:9" x14ac:dyDescent="0.25">
      <c r="A73" s="56" t="s">
        <v>165</v>
      </c>
      <c r="B73" s="56" t="s">
        <v>166</v>
      </c>
      <c r="C73" s="56" t="str">
        <f>'Haver Pivoted'!A72</f>
        <v>lasgova</v>
      </c>
      <c r="D73">
        <v>5325.3333333333303</v>
      </c>
      <c r="E73" s="56">
        <f>'Haver Pivoted'!HH72</f>
        <v>5325.3333333333303</v>
      </c>
      <c r="F73" s="56">
        <f t="shared" si="2"/>
        <v>0</v>
      </c>
      <c r="G73" s="63">
        <f t="shared" si="3"/>
        <v>0</v>
      </c>
    </row>
    <row r="74" spans="1:9" x14ac:dyDescent="0.25">
      <c r="A74" s="56" t="s">
        <v>165</v>
      </c>
      <c r="B74" s="56" t="s">
        <v>167</v>
      </c>
      <c r="C74" s="56" t="str">
        <f>'Haver Pivoted'!A73</f>
        <v>lalgova</v>
      </c>
      <c r="D74">
        <v>14587</v>
      </c>
      <c r="E74" s="56">
        <f>'Haver Pivoted'!HH73</f>
        <v>14587</v>
      </c>
      <c r="F74" s="56">
        <f t="shared" si="2"/>
        <v>0</v>
      </c>
      <c r="G74" s="63">
        <f t="shared" si="3"/>
        <v>0</v>
      </c>
    </row>
    <row r="75" spans="1:9" x14ac:dyDescent="0.25">
      <c r="A75" s="56" t="s">
        <v>165</v>
      </c>
      <c r="B75" s="56" t="s">
        <v>168</v>
      </c>
      <c r="C75" s="56" t="str">
        <f>'Haver Pivoted'!A74</f>
        <v>cpgs</v>
      </c>
      <c r="D75">
        <v>410267.66666666698</v>
      </c>
      <c r="E75" s="56">
        <f>'Haver Pivoted'!HH74</f>
        <v>410267.66666666698</v>
      </c>
      <c r="F75" s="56">
        <f t="shared" si="2"/>
        <v>0</v>
      </c>
      <c r="G75" s="63">
        <f t="shared" si="3"/>
        <v>0</v>
      </c>
    </row>
    <row r="76" spans="1:9" x14ac:dyDescent="0.25">
      <c r="B76" s="56" t="s">
        <v>169</v>
      </c>
      <c r="C76" s="56" t="str">
        <f>'Haver Pivoted'!A75</f>
        <v>jgdp_growth</v>
      </c>
      <c r="D76">
        <v>8.2355549351746903E-3</v>
      </c>
      <c r="E76" s="56">
        <f>'Haver Pivoted'!HH75</f>
        <v>8.2355549351746903E-3</v>
      </c>
      <c r="F76" s="51">
        <f t="shared" si="2"/>
        <v>0</v>
      </c>
      <c r="G76" s="63">
        <f t="shared" si="3"/>
        <v>0</v>
      </c>
    </row>
    <row r="77" spans="1:9" x14ac:dyDescent="0.25">
      <c r="B77" s="56" t="s">
        <v>170</v>
      </c>
      <c r="C77" s="56" t="str">
        <f>'Haver Pivoted'!A76</f>
        <v>jc_growth</v>
      </c>
      <c r="D77">
        <v>6.4143147512578701E-3</v>
      </c>
      <c r="E77" s="56">
        <f>'Haver Pivoted'!HH76</f>
        <v>6.4143147512578701E-3</v>
      </c>
      <c r="F77" s="51">
        <f t="shared" si="2"/>
        <v>0</v>
      </c>
      <c r="G77" s="63">
        <f t="shared" si="3"/>
        <v>0</v>
      </c>
    </row>
    <row r="78" spans="1:9" x14ac:dyDescent="0.25">
      <c r="B78" s="56" t="s">
        <v>171</v>
      </c>
      <c r="C78" s="56" t="str">
        <f>'Haver Pivoted'!A77</f>
        <v>jgf_growth</v>
      </c>
      <c r="D78">
        <v>9.7870229456919998E-3</v>
      </c>
      <c r="E78" s="56">
        <f>'Haver Pivoted'!HH77</f>
        <v>9.7870229456919998E-3</v>
      </c>
      <c r="F78" s="51">
        <f t="shared" si="2"/>
        <v>0</v>
      </c>
      <c r="G78" s="63">
        <f t="shared" si="3"/>
        <v>0</v>
      </c>
    </row>
    <row r="79" spans="1:9" x14ac:dyDescent="0.25">
      <c r="B79" s="56" t="s">
        <v>172</v>
      </c>
      <c r="C79" s="56" t="str">
        <f>'Haver Pivoted'!A78</f>
        <v>jgs_growth</v>
      </c>
      <c r="D79">
        <v>1.4053530453285799E-2</v>
      </c>
      <c r="E79" s="56">
        <f>'Haver Pivoted'!HH78</f>
        <v>1.4053530453285799E-2</v>
      </c>
      <c r="F79" s="51">
        <f>E79/D79-1</f>
        <v>0</v>
      </c>
      <c r="G79" s="63">
        <f t="shared" si="3"/>
        <v>0</v>
      </c>
    </row>
    <row r="80" spans="1:9" x14ac:dyDescent="0.25">
      <c r="B80" s="56" t="s">
        <v>173</v>
      </c>
      <c r="C80" s="56" t="str">
        <f>'Haver Pivoted'!A79</f>
        <v>jgse_growth</v>
      </c>
      <c r="D80">
        <v>1.6627230287139499E-2</v>
      </c>
      <c r="E80" s="56">
        <f>'Haver Pivoted'!HH79</f>
        <v>1.6627230287139499E-2</v>
      </c>
      <c r="F80" s="51">
        <f t="shared" si="2"/>
        <v>0</v>
      </c>
      <c r="G80" s="63">
        <f t="shared" si="3"/>
        <v>0</v>
      </c>
    </row>
    <row r="81" spans="2:7" x14ac:dyDescent="0.25">
      <c r="B81" s="56" t="s">
        <v>174</v>
      </c>
      <c r="C81" s="56" t="str">
        <f>'Haver Pivoted'!A80</f>
        <v>jgsi_growth</v>
      </c>
      <c r="D81">
        <v>2.8033363542803199E-3</v>
      </c>
      <c r="E81" s="56">
        <f>'Haver Pivoted'!HH80</f>
        <v>2.8033363542803199E-3</v>
      </c>
      <c r="F81" s="51">
        <f t="shared" si="2"/>
        <v>0</v>
      </c>
      <c r="G81" s="63">
        <f t="shared" si="3"/>
        <v>0</v>
      </c>
    </row>
  </sheetData>
  <conditionalFormatting sqref="F3:F81">
    <cfRule type="cellIs" dxfId="3" priority="1" operator="lessThan">
      <formula>0</formula>
    </cfRule>
    <cfRule type="cellIs" dxfId="2" priority="2" operator="greaterThan">
      <formula>0</formula>
    </cfRule>
  </conditionalFormatting>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9"/>
  <sheetViews>
    <sheetView zoomScaleNormal="100" workbookViewId="0">
      <selection activeCell="D4" sqref="D4"/>
    </sheetView>
  </sheetViews>
  <sheetFormatPr defaultColWidth="10.85546875" defaultRowHeight="15" x14ac:dyDescent="0.25"/>
  <cols>
    <col min="1" max="1" width="23.85546875" customWidth="1"/>
    <col min="2" max="2" width="79.42578125" customWidth="1"/>
    <col min="3" max="3" width="33.42578125" customWidth="1"/>
  </cols>
  <sheetData>
    <row r="1" spans="1:4" ht="47.85" customHeight="1" x14ac:dyDescent="0.25">
      <c r="A1" s="44" t="s">
        <v>33</v>
      </c>
      <c r="B1" s="45" t="s">
        <v>34</v>
      </c>
      <c r="C1" s="45" t="s">
        <v>35</v>
      </c>
      <c r="D1" s="46" t="s">
        <v>36</v>
      </c>
    </row>
    <row r="2" spans="1:4" ht="116.1" customHeight="1" x14ac:dyDescent="0.25">
      <c r="A2" s="41" t="s">
        <v>876</v>
      </c>
      <c r="B2" s="42" t="s">
        <v>904</v>
      </c>
      <c r="C2" s="42" t="s">
        <v>905</v>
      </c>
      <c r="D2" s="38" t="s">
        <v>919</v>
      </c>
    </row>
    <row r="3" spans="1:4" ht="63.75" customHeight="1" x14ac:dyDescent="0.25">
      <c r="A3" s="19" t="s">
        <v>79</v>
      </c>
      <c r="B3" s="37" t="s">
        <v>40</v>
      </c>
      <c r="C3" s="37" t="s">
        <v>41</v>
      </c>
      <c r="D3" s="39" t="s">
        <v>922</v>
      </c>
    </row>
    <row r="4" spans="1:4" ht="137.25" customHeight="1" x14ac:dyDescent="0.25">
      <c r="A4" s="47" t="s">
        <v>80</v>
      </c>
      <c r="B4" s="37" t="s">
        <v>903</v>
      </c>
      <c r="C4" s="14" t="s">
        <v>878</v>
      </c>
      <c r="D4" s="39"/>
    </row>
    <row r="5" spans="1:4" ht="29.25" customHeight="1" x14ac:dyDescent="0.25">
      <c r="A5" s="47" t="s">
        <v>81</v>
      </c>
      <c r="B5" s="48" t="s">
        <v>82</v>
      </c>
      <c r="C5" s="35" t="s">
        <v>83</v>
      </c>
      <c r="D5" s="39"/>
    </row>
    <row r="6" spans="1:4" ht="43.35" customHeight="1" x14ac:dyDescent="0.25">
      <c r="A6" s="21" t="s">
        <v>84</v>
      </c>
      <c r="B6" s="43" t="s">
        <v>880</v>
      </c>
      <c r="C6" s="36" t="s">
        <v>879</v>
      </c>
      <c r="D6" s="40"/>
    </row>
    <row r="8" spans="1:4" x14ac:dyDescent="0.25">
      <c r="B8" s="29"/>
    </row>
    <row r="9" spans="1:4" x14ac:dyDescent="0.25">
      <c r="B9" s="29"/>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J89"/>
  <sheetViews>
    <sheetView zoomScaleNormal="100" workbookViewId="0">
      <pane xSplit="1" ySplit="1" topLeftCell="GX2" activePane="bottomRight" state="frozen"/>
      <selection pane="topRight" activeCell="B1" sqref="B1"/>
      <selection pane="bottomLeft" activeCell="A2" sqref="A2"/>
      <selection pane="bottomRight" activeCell="A19" sqref="A19"/>
    </sheetView>
  </sheetViews>
  <sheetFormatPr defaultColWidth="10.85546875" defaultRowHeight="15" x14ac:dyDescent="0.25"/>
  <cols>
    <col min="1" max="218" width="11.7109375" customWidth="1"/>
  </cols>
  <sheetData>
    <row r="1" spans="1:218" x14ac:dyDescent="0.25">
      <c r="A1" s="76" t="s">
        <v>1947</v>
      </c>
      <c r="B1" s="76" t="s">
        <v>1948</v>
      </c>
      <c r="C1" s="76" t="s">
        <v>1949</v>
      </c>
      <c r="D1" s="76" t="s">
        <v>1950</v>
      </c>
      <c r="E1" s="76" t="s">
        <v>1951</v>
      </c>
      <c r="F1" s="76" t="s">
        <v>1952</v>
      </c>
      <c r="G1" s="76" t="s">
        <v>1953</v>
      </c>
      <c r="H1" s="76" t="s">
        <v>1954</v>
      </c>
      <c r="I1" s="76" t="s">
        <v>1955</v>
      </c>
      <c r="J1" s="76" t="s">
        <v>1956</v>
      </c>
      <c r="K1" s="76" t="s">
        <v>1957</v>
      </c>
      <c r="L1" s="76" t="s">
        <v>1958</v>
      </c>
      <c r="M1" s="76" t="s">
        <v>1959</v>
      </c>
      <c r="N1" s="76" t="s">
        <v>1960</v>
      </c>
      <c r="O1" s="76" t="s">
        <v>1961</v>
      </c>
      <c r="P1" s="76" t="s">
        <v>1962</v>
      </c>
      <c r="Q1" s="76" t="s">
        <v>1963</v>
      </c>
      <c r="R1" s="76" t="s">
        <v>1964</v>
      </c>
      <c r="S1" s="76" t="s">
        <v>1965</v>
      </c>
      <c r="T1" s="76" t="s">
        <v>1966</v>
      </c>
      <c r="U1" s="76" t="s">
        <v>1967</v>
      </c>
      <c r="V1" s="76" t="s">
        <v>1968</v>
      </c>
      <c r="W1" s="76" t="s">
        <v>1969</v>
      </c>
      <c r="X1" s="76" t="s">
        <v>1970</v>
      </c>
      <c r="Y1" s="76" t="s">
        <v>1971</v>
      </c>
      <c r="Z1" s="76" t="s">
        <v>1972</v>
      </c>
      <c r="AA1" s="76" t="s">
        <v>1973</v>
      </c>
      <c r="AB1" s="76" t="s">
        <v>1974</v>
      </c>
      <c r="AC1" s="76" t="s">
        <v>1975</v>
      </c>
      <c r="AD1" s="76" t="s">
        <v>1976</v>
      </c>
      <c r="AE1" s="76" t="s">
        <v>1977</v>
      </c>
      <c r="AF1" s="76" t="s">
        <v>1978</v>
      </c>
      <c r="AG1" s="76" t="s">
        <v>1979</v>
      </c>
      <c r="AH1" s="76" t="s">
        <v>1980</v>
      </c>
      <c r="AI1" s="76" t="s">
        <v>1981</v>
      </c>
      <c r="AJ1" s="76" t="s">
        <v>1982</v>
      </c>
      <c r="AK1" s="76" t="s">
        <v>1983</v>
      </c>
      <c r="AL1" s="76" t="s">
        <v>1984</v>
      </c>
      <c r="AM1" s="76" t="s">
        <v>1985</v>
      </c>
      <c r="AN1" s="76" t="s">
        <v>1986</v>
      </c>
      <c r="AO1" s="76" t="s">
        <v>1987</v>
      </c>
      <c r="AP1" s="76" t="s">
        <v>1988</v>
      </c>
      <c r="AQ1" s="76" t="s">
        <v>1989</v>
      </c>
      <c r="AR1" s="76" t="s">
        <v>1990</v>
      </c>
      <c r="AS1" s="76" t="s">
        <v>1991</v>
      </c>
      <c r="AT1" s="76" t="s">
        <v>1992</v>
      </c>
      <c r="AU1" s="76" t="s">
        <v>1993</v>
      </c>
      <c r="AV1" s="76" t="s">
        <v>1994</v>
      </c>
      <c r="AW1" s="76" t="s">
        <v>1995</v>
      </c>
      <c r="AX1" s="76" t="s">
        <v>1996</v>
      </c>
      <c r="AY1" s="76" t="s">
        <v>1997</v>
      </c>
      <c r="AZ1" s="76" t="s">
        <v>1998</v>
      </c>
      <c r="BA1" s="76" t="s">
        <v>1999</v>
      </c>
      <c r="BB1" s="76" t="s">
        <v>2000</v>
      </c>
      <c r="BC1" s="76" t="s">
        <v>2001</v>
      </c>
      <c r="BD1" s="76" t="s">
        <v>2002</v>
      </c>
      <c r="BE1" s="76" t="s">
        <v>2003</v>
      </c>
      <c r="BF1" s="76" t="s">
        <v>2004</v>
      </c>
      <c r="BG1" s="76" t="s">
        <v>2005</v>
      </c>
      <c r="BH1" s="76" t="s">
        <v>2006</v>
      </c>
      <c r="BI1" s="76" t="s">
        <v>2007</v>
      </c>
      <c r="BJ1" s="76" t="s">
        <v>2008</v>
      </c>
      <c r="BK1" s="76" t="s">
        <v>2009</v>
      </c>
      <c r="BL1" s="76" t="s">
        <v>2010</v>
      </c>
      <c r="BM1" s="76" t="s">
        <v>2011</v>
      </c>
      <c r="BN1" s="76" t="s">
        <v>2012</v>
      </c>
      <c r="BO1" s="76" t="s">
        <v>2013</v>
      </c>
      <c r="BP1" s="76" t="s">
        <v>2014</v>
      </c>
      <c r="BQ1" s="76" t="s">
        <v>2015</v>
      </c>
      <c r="BR1" s="76" t="s">
        <v>2016</v>
      </c>
      <c r="BS1" s="76" t="s">
        <v>2017</v>
      </c>
      <c r="BT1" s="76" t="s">
        <v>2018</v>
      </c>
      <c r="BU1" s="76" t="s">
        <v>2019</v>
      </c>
      <c r="BV1" s="76" t="s">
        <v>2020</v>
      </c>
      <c r="BW1" s="76" t="s">
        <v>2021</v>
      </c>
      <c r="BX1" s="76" t="s">
        <v>2022</v>
      </c>
      <c r="BY1" s="76" t="s">
        <v>2023</v>
      </c>
      <c r="BZ1" s="76" t="s">
        <v>2024</v>
      </c>
      <c r="CA1" s="76" t="s">
        <v>2025</v>
      </c>
      <c r="CB1" s="76" t="s">
        <v>2026</v>
      </c>
      <c r="CC1" s="76" t="s">
        <v>2027</v>
      </c>
      <c r="CD1" s="76" t="s">
        <v>2028</v>
      </c>
      <c r="CE1" s="76" t="s">
        <v>2029</v>
      </c>
      <c r="CF1" s="76" t="s">
        <v>2030</v>
      </c>
      <c r="CG1" s="76" t="s">
        <v>2031</v>
      </c>
      <c r="CH1" s="76" t="s">
        <v>2032</v>
      </c>
      <c r="CI1" s="76" t="s">
        <v>2033</v>
      </c>
      <c r="CJ1" s="76" t="s">
        <v>2034</v>
      </c>
      <c r="CK1" s="76" t="s">
        <v>2035</v>
      </c>
      <c r="CL1" s="76" t="s">
        <v>2036</v>
      </c>
      <c r="CM1" s="76" t="s">
        <v>2037</v>
      </c>
      <c r="CN1" s="76" t="s">
        <v>2038</v>
      </c>
      <c r="CO1" s="76" t="s">
        <v>2039</v>
      </c>
      <c r="CP1" s="76" t="s">
        <v>2040</v>
      </c>
      <c r="CQ1" s="76" t="s">
        <v>2041</v>
      </c>
      <c r="CR1" s="76" t="s">
        <v>2042</v>
      </c>
      <c r="CS1" s="76" t="s">
        <v>2043</v>
      </c>
      <c r="CT1" s="76" t="s">
        <v>2044</v>
      </c>
      <c r="CU1" s="76" t="s">
        <v>2045</v>
      </c>
      <c r="CV1" s="76" t="s">
        <v>2046</v>
      </c>
      <c r="CW1" s="76" t="s">
        <v>2047</v>
      </c>
      <c r="CX1" s="76" t="s">
        <v>2048</v>
      </c>
      <c r="CY1" s="76" t="s">
        <v>2049</v>
      </c>
      <c r="CZ1" s="76" t="s">
        <v>2050</v>
      </c>
      <c r="DA1" s="76" t="s">
        <v>2051</v>
      </c>
      <c r="DB1" s="76" t="s">
        <v>2052</v>
      </c>
      <c r="DC1" s="76" t="s">
        <v>2053</v>
      </c>
      <c r="DD1" s="76" t="s">
        <v>2054</v>
      </c>
      <c r="DE1" s="76" t="s">
        <v>2055</v>
      </c>
      <c r="DF1" s="76" t="s">
        <v>2056</v>
      </c>
      <c r="DG1" s="76" t="s">
        <v>2057</v>
      </c>
      <c r="DH1" s="76" t="s">
        <v>2058</v>
      </c>
      <c r="DI1" s="76" t="s">
        <v>2059</v>
      </c>
      <c r="DJ1" s="76" t="s">
        <v>2060</v>
      </c>
      <c r="DK1" s="76" t="s">
        <v>2061</v>
      </c>
      <c r="DL1" s="76" t="s">
        <v>2062</v>
      </c>
      <c r="DM1" s="76" t="s">
        <v>2063</v>
      </c>
      <c r="DN1" s="76" t="s">
        <v>2064</v>
      </c>
      <c r="DO1" s="76" t="s">
        <v>2065</v>
      </c>
      <c r="DP1" s="76" t="s">
        <v>2066</v>
      </c>
      <c r="DQ1" s="76" t="s">
        <v>2067</v>
      </c>
      <c r="DR1" s="76" t="s">
        <v>2068</v>
      </c>
      <c r="DS1" s="76" t="s">
        <v>2069</v>
      </c>
      <c r="DT1" s="76" t="s">
        <v>2070</v>
      </c>
      <c r="DU1" s="76" t="s">
        <v>2071</v>
      </c>
      <c r="DV1" s="76" t="s">
        <v>2072</v>
      </c>
      <c r="DW1" s="76" t="s">
        <v>2073</v>
      </c>
      <c r="DX1" s="76" t="s">
        <v>2074</v>
      </c>
      <c r="DY1" s="76" t="s">
        <v>2075</v>
      </c>
      <c r="DZ1" s="76" t="s">
        <v>2076</v>
      </c>
      <c r="EA1" s="76" t="s">
        <v>2077</v>
      </c>
      <c r="EB1" s="76" t="s">
        <v>2078</v>
      </c>
      <c r="EC1" s="76" t="s">
        <v>2079</v>
      </c>
      <c r="ED1" s="76" t="s">
        <v>2080</v>
      </c>
      <c r="EE1" s="76" t="s">
        <v>2081</v>
      </c>
      <c r="EF1" s="76" t="s">
        <v>2082</v>
      </c>
      <c r="EG1" s="76" t="s">
        <v>2083</v>
      </c>
      <c r="EH1" s="76" t="s">
        <v>2084</v>
      </c>
      <c r="EI1" s="76" t="s">
        <v>2085</v>
      </c>
      <c r="EJ1" s="76" t="s">
        <v>2086</v>
      </c>
      <c r="EK1" s="76" t="s">
        <v>2087</v>
      </c>
      <c r="EL1" s="76" t="s">
        <v>2088</v>
      </c>
      <c r="EM1" s="76" t="s">
        <v>2089</v>
      </c>
      <c r="EN1" s="76" t="s">
        <v>2090</v>
      </c>
      <c r="EO1" s="76" t="s">
        <v>2091</v>
      </c>
      <c r="EP1" s="76" t="s">
        <v>2092</v>
      </c>
      <c r="EQ1" s="76" t="s">
        <v>2093</v>
      </c>
      <c r="ER1" s="76" t="s">
        <v>2094</v>
      </c>
      <c r="ES1" s="76" t="s">
        <v>2095</v>
      </c>
      <c r="ET1" s="76" t="s">
        <v>2096</v>
      </c>
      <c r="EU1" s="76" t="s">
        <v>2097</v>
      </c>
      <c r="EV1" s="76" t="s">
        <v>2098</v>
      </c>
      <c r="EW1" s="76" t="s">
        <v>2099</v>
      </c>
      <c r="EX1" s="76" t="s">
        <v>2100</v>
      </c>
      <c r="EY1" s="76" t="s">
        <v>2101</v>
      </c>
      <c r="EZ1" s="76" t="s">
        <v>2102</v>
      </c>
      <c r="FA1" s="76" t="s">
        <v>2103</v>
      </c>
      <c r="FB1" s="76" t="s">
        <v>2104</v>
      </c>
      <c r="FC1" s="76" t="s">
        <v>2105</v>
      </c>
      <c r="FD1" s="76" t="s">
        <v>2106</v>
      </c>
      <c r="FE1" s="76" t="s">
        <v>2107</v>
      </c>
      <c r="FF1" s="76" t="s">
        <v>2108</v>
      </c>
      <c r="FG1" s="76" t="s">
        <v>2109</v>
      </c>
      <c r="FH1" s="76" t="s">
        <v>2110</v>
      </c>
      <c r="FI1" s="76" t="s">
        <v>2111</v>
      </c>
      <c r="FJ1" s="76" t="s">
        <v>2112</v>
      </c>
      <c r="FK1" s="76" t="s">
        <v>2113</v>
      </c>
      <c r="FL1" s="76" t="s">
        <v>2114</v>
      </c>
      <c r="FM1" s="76" t="s">
        <v>2115</v>
      </c>
      <c r="FN1" s="76" t="s">
        <v>2116</v>
      </c>
      <c r="FO1" s="76" t="s">
        <v>2117</v>
      </c>
      <c r="FP1" s="76" t="s">
        <v>2118</v>
      </c>
      <c r="FQ1" s="76" t="s">
        <v>2119</v>
      </c>
      <c r="FR1" s="76" t="s">
        <v>2120</v>
      </c>
      <c r="FS1" s="76" t="s">
        <v>2121</v>
      </c>
      <c r="FT1" s="76" t="s">
        <v>2122</v>
      </c>
      <c r="FU1" s="76" t="s">
        <v>2123</v>
      </c>
      <c r="FV1" s="76" t="s">
        <v>2124</v>
      </c>
      <c r="FW1" s="76" t="s">
        <v>2125</v>
      </c>
      <c r="FX1" s="76" t="s">
        <v>2126</v>
      </c>
      <c r="FY1" s="76" t="s">
        <v>2127</v>
      </c>
      <c r="FZ1" s="76" t="s">
        <v>2128</v>
      </c>
      <c r="GA1" s="76" t="s">
        <v>2129</v>
      </c>
      <c r="GB1" s="76" t="s">
        <v>2130</v>
      </c>
      <c r="GC1" s="76" t="s">
        <v>2131</v>
      </c>
      <c r="GD1" s="76" t="s">
        <v>2132</v>
      </c>
      <c r="GE1" s="76" t="s">
        <v>2133</v>
      </c>
      <c r="GF1" s="76" t="s">
        <v>2134</v>
      </c>
      <c r="GG1" s="76" t="s">
        <v>2135</v>
      </c>
      <c r="GH1" s="76" t="s">
        <v>2136</v>
      </c>
      <c r="GI1" s="76" t="s">
        <v>2137</v>
      </c>
      <c r="GJ1" s="76" t="s">
        <v>2138</v>
      </c>
      <c r="GK1" s="76" t="s">
        <v>2139</v>
      </c>
      <c r="GL1" s="76" t="s">
        <v>2140</v>
      </c>
      <c r="GM1" s="76" t="s">
        <v>2141</v>
      </c>
      <c r="GN1" s="76" t="s">
        <v>2142</v>
      </c>
      <c r="GO1" s="76" t="s">
        <v>2143</v>
      </c>
      <c r="GP1" s="76" t="s">
        <v>2144</v>
      </c>
      <c r="GQ1" s="76" t="s">
        <v>2145</v>
      </c>
      <c r="GR1" s="76" t="s">
        <v>2146</v>
      </c>
      <c r="GS1" s="76" t="s">
        <v>2147</v>
      </c>
      <c r="GT1" s="76" t="s">
        <v>2148</v>
      </c>
      <c r="GU1" s="76" t="s">
        <v>2149</v>
      </c>
      <c r="GV1" s="76" t="s">
        <v>2150</v>
      </c>
      <c r="GW1" s="76" t="s">
        <v>2151</v>
      </c>
      <c r="GX1" s="76" t="s">
        <v>2152</v>
      </c>
      <c r="GY1" s="76" t="s">
        <v>2153</v>
      </c>
      <c r="GZ1" s="76" t="s">
        <v>2154</v>
      </c>
      <c r="HA1" s="76" t="s">
        <v>2155</v>
      </c>
      <c r="HB1" s="76" t="s">
        <v>2156</v>
      </c>
      <c r="HC1" s="76" t="s">
        <v>2157</v>
      </c>
      <c r="HD1" s="76" t="s">
        <v>2158</v>
      </c>
      <c r="HE1" s="76" t="s">
        <v>2159</v>
      </c>
      <c r="HF1" s="76" t="s">
        <v>2160</v>
      </c>
      <c r="HG1" s="76" t="s">
        <v>2161</v>
      </c>
      <c r="HH1" s="76" t="s">
        <v>2162</v>
      </c>
      <c r="HI1" s="76" t="s">
        <v>2163</v>
      </c>
      <c r="HJ1" s="76" t="s">
        <v>2164</v>
      </c>
    </row>
    <row r="2" spans="1:218" x14ac:dyDescent="0.25">
      <c r="A2" s="35" t="s">
        <v>2165</v>
      </c>
      <c r="B2" s="35">
        <v>1051.2</v>
      </c>
      <c r="C2" s="35">
        <v>1067.4000000000001</v>
      </c>
      <c r="D2" s="35">
        <v>1086.0999999999999</v>
      </c>
      <c r="E2" s="35">
        <v>1088.5999999999999</v>
      </c>
      <c r="F2" s="35">
        <v>1135.2</v>
      </c>
      <c r="G2" s="35">
        <v>1156.3</v>
      </c>
      <c r="H2" s="35">
        <v>1177.7</v>
      </c>
      <c r="I2" s="35">
        <v>1190.3</v>
      </c>
      <c r="J2" s="35">
        <v>1230.5999999999999</v>
      </c>
      <c r="K2" s="35">
        <v>1266.4000000000001</v>
      </c>
      <c r="L2" s="35">
        <v>1290.5999999999999</v>
      </c>
      <c r="M2" s="35">
        <v>1328.9</v>
      </c>
      <c r="N2" s="35">
        <v>1377.5</v>
      </c>
      <c r="O2" s="35">
        <v>1413.9</v>
      </c>
      <c r="P2" s="35">
        <v>1433.8</v>
      </c>
      <c r="Q2" s="35">
        <v>1476.3</v>
      </c>
      <c r="R2" s="35">
        <v>1491.2</v>
      </c>
      <c r="S2" s="35">
        <v>1530.1</v>
      </c>
      <c r="T2" s="35">
        <v>1560</v>
      </c>
      <c r="U2" s="35">
        <v>1599.7</v>
      </c>
      <c r="V2" s="35">
        <v>1616.1</v>
      </c>
      <c r="W2" s="35">
        <v>1651.9</v>
      </c>
      <c r="X2" s="35">
        <v>1709.8</v>
      </c>
      <c r="Y2" s="35">
        <v>1761.8</v>
      </c>
      <c r="Z2" s="35">
        <v>1820.5</v>
      </c>
      <c r="AA2" s="35">
        <v>1852.3</v>
      </c>
      <c r="AB2" s="35">
        <v>1886.6</v>
      </c>
      <c r="AC2" s="35">
        <v>1934.3</v>
      </c>
      <c r="AD2" s="35">
        <v>1988.6</v>
      </c>
      <c r="AE2" s="35">
        <v>2055.9</v>
      </c>
      <c r="AF2" s="35">
        <v>2118.5</v>
      </c>
      <c r="AG2" s="35">
        <v>2164.3000000000002</v>
      </c>
      <c r="AH2" s="35">
        <v>2202.8000000000002</v>
      </c>
      <c r="AI2" s="35">
        <v>2331.6</v>
      </c>
      <c r="AJ2" s="35">
        <v>2395.1</v>
      </c>
      <c r="AK2" s="35">
        <v>2476.9</v>
      </c>
      <c r="AL2" s="35">
        <v>2526.6</v>
      </c>
      <c r="AM2" s="35">
        <v>2591.1999999999998</v>
      </c>
      <c r="AN2" s="35">
        <v>2667.6</v>
      </c>
      <c r="AO2" s="35">
        <v>2723.9</v>
      </c>
      <c r="AP2" s="35">
        <v>2789.8</v>
      </c>
      <c r="AQ2" s="35">
        <v>2797.4</v>
      </c>
      <c r="AR2" s="35">
        <v>2856.5</v>
      </c>
      <c r="AS2" s="35">
        <v>2985.6</v>
      </c>
      <c r="AT2" s="35">
        <v>3124.2</v>
      </c>
      <c r="AU2" s="35">
        <v>3162.5</v>
      </c>
      <c r="AV2" s="35">
        <v>3260.6</v>
      </c>
      <c r="AW2" s="35">
        <v>3280.8</v>
      </c>
      <c r="AX2" s="35">
        <v>3274.3</v>
      </c>
      <c r="AY2" s="35">
        <v>3332</v>
      </c>
      <c r="AZ2" s="35">
        <v>3366.3</v>
      </c>
      <c r="BA2" s="35">
        <v>3402.6</v>
      </c>
      <c r="BB2" s="35">
        <v>3473.4</v>
      </c>
      <c r="BC2" s="35">
        <v>3578.8</v>
      </c>
      <c r="BD2" s="35">
        <v>3689.2</v>
      </c>
      <c r="BE2" s="35">
        <v>3794.7</v>
      </c>
      <c r="BF2" s="35">
        <v>3908.1</v>
      </c>
      <c r="BG2" s="35">
        <v>4009.6</v>
      </c>
      <c r="BH2" s="35">
        <v>4084.3</v>
      </c>
      <c r="BI2" s="35">
        <v>4148.6000000000004</v>
      </c>
      <c r="BJ2" s="35">
        <v>4230.2</v>
      </c>
      <c r="BK2" s="35">
        <v>4294.8999999999996</v>
      </c>
      <c r="BL2" s="35">
        <v>4386.8</v>
      </c>
      <c r="BM2" s="35">
        <v>4444.1000000000004</v>
      </c>
      <c r="BN2" s="35">
        <v>4507.8999999999996</v>
      </c>
      <c r="BO2" s="35">
        <v>4545.3</v>
      </c>
      <c r="BP2" s="35">
        <v>4607.7</v>
      </c>
      <c r="BQ2" s="35">
        <v>4657.6000000000004</v>
      </c>
      <c r="BR2" s="35">
        <v>4722.2</v>
      </c>
      <c r="BS2" s="35">
        <v>4806.2</v>
      </c>
      <c r="BT2" s="35">
        <v>4884.6000000000004</v>
      </c>
      <c r="BU2" s="35">
        <v>5008</v>
      </c>
      <c r="BV2" s="35">
        <v>5073.3999999999996</v>
      </c>
      <c r="BW2" s="35">
        <v>5190</v>
      </c>
      <c r="BX2" s="35">
        <v>5282.8</v>
      </c>
      <c r="BY2" s="35">
        <v>5399.5</v>
      </c>
      <c r="BZ2" s="35">
        <v>5511.3</v>
      </c>
      <c r="CA2" s="35">
        <v>5612.5</v>
      </c>
      <c r="CB2" s="35">
        <v>5695.4</v>
      </c>
      <c r="CC2" s="35">
        <v>5747.2</v>
      </c>
      <c r="CD2" s="35">
        <v>5872.7</v>
      </c>
      <c r="CE2" s="35">
        <v>5960</v>
      </c>
      <c r="CF2" s="35">
        <v>6015.1</v>
      </c>
      <c r="CG2" s="35">
        <v>6004.7</v>
      </c>
      <c r="CH2" s="35">
        <v>6035.2</v>
      </c>
      <c r="CI2" s="35">
        <v>6126.9</v>
      </c>
      <c r="CJ2" s="35">
        <v>6205.9</v>
      </c>
      <c r="CK2" s="35">
        <v>6264.5</v>
      </c>
      <c r="CL2" s="35">
        <v>6363.1</v>
      </c>
      <c r="CM2" s="35">
        <v>6470.8</v>
      </c>
      <c r="CN2" s="35">
        <v>6566.6</v>
      </c>
      <c r="CO2" s="35">
        <v>6680.8</v>
      </c>
      <c r="CP2" s="35">
        <v>6729.5</v>
      </c>
      <c r="CQ2" s="35">
        <v>6808.9</v>
      </c>
      <c r="CR2" s="35">
        <v>6882.1</v>
      </c>
      <c r="CS2" s="35">
        <v>7013.7</v>
      </c>
      <c r="CT2" s="35">
        <v>7115.7</v>
      </c>
      <c r="CU2" s="35">
        <v>7246.9</v>
      </c>
      <c r="CV2" s="35">
        <v>7331.1</v>
      </c>
      <c r="CW2" s="35">
        <v>7455.3</v>
      </c>
      <c r="CX2" s="35">
        <v>7522.3</v>
      </c>
      <c r="CY2" s="35">
        <v>7581</v>
      </c>
      <c r="CZ2" s="35">
        <v>7683.1</v>
      </c>
      <c r="DA2" s="35">
        <v>7772.6</v>
      </c>
      <c r="DB2" s="35">
        <v>7868.5</v>
      </c>
      <c r="DC2" s="35">
        <v>8032.8</v>
      </c>
      <c r="DD2" s="35">
        <v>8131.4</v>
      </c>
      <c r="DE2" s="35">
        <v>8259.7999999999993</v>
      </c>
      <c r="DF2" s="35">
        <v>8362.7000000000007</v>
      </c>
      <c r="DG2" s="35">
        <v>8518.7999999999993</v>
      </c>
      <c r="DH2" s="35">
        <v>8662.7999999999993</v>
      </c>
      <c r="DI2" s="35">
        <v>8765.9</v>
      </c>
      <c r="DJ2" s="35">
        <v>8866.5</v>
      </c>
      <c r="DK2" s="35">
        <v>8969.7000000000007</v>
      </c>
      <c r="DL2" s="35">
        <v>9121.1</v>
      </c>
      <c r="DM2" s="35">
        <v>9294</v>
      </c>
      <c r="DN2" s="35">
        <v>9411.7000000000007</v>
      </c>
      <c r="DO2" s="35">
        <v>9526.2000000000007</v>
      </c>
      <c r="DP2" s="35">
        <v>9686.6</v>
      </c>
      <c r="DQ2" s="35">
        <v>9900.2000000000007</v>
      </c>
      <c r="DR2" s="35">
        <v>10002.200000000001</v>
      </c>
      <c r="DS2" s="35">
        <v>10247.700000000001</v>
      </c>
      <c r="DT2" s="35">
        <v>10318.200000000001</v>
      </c>
      <c r="DU2" s="35">
        <v>10435.700000000001</v>
      </c>
      <c r="DV2" s="35">
        <v>10470.200000000001</v>
      </c>
      <c r="DW2" s="35">
        <v>10599</v>
      </c>
      <c r="DX2" s="35">
        <v>10598</v>
      </c>
      <c r="DY2" s="35">
        <v>10660.5</v>
      </c>
      <c r="DZ2" s="35">
        <v>10783.5</v>
      </c>
      <c r="EA2" s="35">
        <v>10887.5</v>
      </c>
      <c r="EB2" s="35">
        <v>10984</v>
      </c>
      <c r="EC2" s="35">
        <v>11061.4</v>
      </c>
      <c r="ED2" s="35">
        <v>11174.1</v>
      </c>
      <c r="EE2" s="35">
        <v>11312.8</v>
      </c>
      <c r="EF2" s="35">
        <v>11566.7</v>
      </c>
      <c r="EG2" s="35">
        <v>11772.2</v>
      </c>
      <c r="EH2" s="35">
        <v>11923.4</v>
      </c>
      <c r="EI2" s="35">
        <v>12112.8</v>
      </c>
      <c r="EJ2" s="35">
        <v>12305.3</v>
      </c>
      <c r="EK2" s="35">
        <v>12527.2</v>
      </c>
      <c r="EL2" s="35">
        <v>12767.3</v>
      </c>
      <c r="EM2" s="35">
        <v>12922.7</v>
      </c>
      <c r="EN2" s="35">
        <v>13142.6</v>
      </c>
      <c r="EO2" s="35">
        <v>13324.2</v>
      </c>
      <c r="EP2" s="35">
        <v>13599.2</v>
      </c>
      <c r="EQ2" s="35">
        <v>13753.4</v>
      </c>
      <c r="ER2" s="35">
        <v>13870.2</v>
      </c>
      <c r="ES2" s="35">
        <v>14039.6</v>
      </c>
      <c r="ET2" s="35">
        <v>14215.7</v>
      </c>
      <c r="EU2" s="35">
        <v>14402.1</v>
      </c>
      <c r="EV2" s="35">
        <v>14564.1</v>
      </c>
      <c r="EW2" s="35">
        <v>14715.1</v>
      </c>
      <c r="EX2" s="35">
        <v>14706.5</v>
      </c>
      <c r="EY2" s="35">
        <v>14865.7</v>
      </c>
      <c r="EZ2" s="35">
        <v>14899</v>
      </c>
      <c r="FA2" s="35">
        <v>14608.2</v>
      </c>
      <c r="FB2" s="35">
        <v>14430.9</v>
      </c>
      <c r="FC2" s="35">
        <v>14381.2</v>
      </c>
      <c r="FD2" s="35">
        <v>14448.9</v>
      </c>
      <c r="FE2" s="35">
        <v>14651.2</v>
      </c>
      <c r="FF2" s="35">
        <v>14764.6</v>
      </c>
      <c r="FG2" s="35">
        <v>14980.2</v>
      </c>
      <c r="FH2" s="35">
        <v>15141.6</v>
      </c>
      <c r="FI2" s="35">
        <v>15309.5</v>
      </c>
      <c r="FJ2" s="35">
        <v>15351.4</v>
      </c>
      <c r="FK2" s="35">
        <v>15557.5</v>
      </c>
      <c r="FL2" s="35">
        <v>15647.7</v>
      </c>
      <c r="FM2" s="35">
        <v>15842.3</v>
      </c>
      <c r="FN2" s="35">
        <v>16068.8</v>
      </c>
      <c r="FO2" s="35">
        <v>16207.1</v>
      </c>
      <c r="FP2" s="35">
        <v>16319.5</v>
      </c>
      <c r="FQ2" s="35">
        <v>16420.400000000001</v>
      </c>
      <c r="FR2" s="35">
        <v>16648.2</v>
      </c>
      <c r="FS2" s="35">
        <v>16728.7</v>
      </c>
      <c r="FT2" s="35">
        <v>16953.8</v>
      </c>
      <c r="FU2" s="35">
        <v>17192</v>
      </c>
      <c r="FV2" s="35">
        <v>17197.7</v>
      </c>
      <c r="FW2" s="35">
        <v>17518.5</v>
      </c>
      <c r="FX2" s="35">
        <v>17804.2</v>
      </c>
      <c r="FY2" s="35">
        <v>17912.099999999999</v>
      </c>
      <c r="FZ2" s="35">
        <v>18063.5</v>
      </c>
      <c r="GA2" s="35">
        <v>18279.8</v>
      </c>
      <c r="GB2" s="35">
        <v>18401.599999999999</v>
      </c>
      <c r="GC2" s="35">
        <v>18435.099999999999</v>
      </c>
      <c r="GD2" s="35">
        <v>18525.900000000001</v>
      </c>
      <c r="GE2" s="35">
        <v>18711.7</v>
      </c>
      <c r="GF2" s="35">
        <v>18892.599999999999</v>
      </c>
      <c r="GG2" s="35">
        <v>19089.400000000001</v>
      </c>
      <c r="GH2" s="35">
        <v>19280.099999999999</v>
      </c>
      <c r="GI2" s="35">
        <v>19438.599999999999</v>
      </c>
      <c r="GJ2" s="35">
        <v>19692.599999999999</v>
      </c>
      <c r="GK2" s="35">
        <v>20037.099999999999</v>
      </c>
      <c r="GL2" s="35">
        <v>20328.599999999999</v>
      </c>
      <c r="GM2" s="35">
        <v>20580.900000000001</v>
      </c>
      <c r="GN2" s="35">
        <v>20798.7</v>
      </c>
      <c r="GO2" s="35">
        <v>20917.900000000001</v>
      </c>
      <c r="GP2" s="35">
        <v>21104.1</v>
      </c>
      <c r="GQ2" s="35">
        <v>21384.799999999999</v>
      </c>
      <c r="GR2" s="35">
        <v>21694.3</v>
      </c>
      <c r="GS2" s="35">
        <v>21902.400000000001</v>
      </c>
      <c r="GT2" s="35">
        <v>21706.5</v>
      </c>
      <c r="GU2" s="35">
        <v>19913.099999999999</v>
      </c>
      <c r="GV2" s="35">
        <v>21647.599999999999</v>
      </c>
      <c r="GW2" s="35">
        <v>22024.5</v>
      </c>
      <c r="GX2" s="35">
        <v>22600.2</v>
      </c>
      <c r="GY2" s="35">
        <v>23292.400000000001</v>
      </c>
      <c r="GZ2" s="35">
        <v>23829</v>
      </c>
      <c r="HA2" s="35">
        <v>24654.6</v>
      </c>
      <c r="HB2" s="35">
        <v>25029.1</v>
      </c>
      <c r="HC2">
        <v>25544.3</v>
      </c>
      <c r="HD2">
        <v>25994.6</v>
      </c>
      <c r="HE2">
        <v>26408.400000000001</v>
      </c>
      <c r="HF2">
        <v>26813.599999999999</v>
      </c>
      <c r="HG2">
        <v>27063</v>
      </c>
      <c r="HH2">
        <v>27610.1</v>
      </c>
      <c r="HI2">
        <v>27957</v>
      </c>
      <c r="HJ2">
        <v>28255.9</v>
      </c>
    </row>
    <row r="3" spans="1:218" x14ac:dyDescent="0.25">
      <c r="A3" s="35" t="s">
        <v>2166</v>
      </c>
      <c r="B3" s="35">
        <v>5300.7</v>
      </c>
      <c r="C3" s="35">
        <v>5308.2</v>
      </c>
      <c r="D3" s="35">
        <v>5357.1</v>
      </c>
      <c r="E3" s="35">
        <v>5299.7</v>
      </c>
      <c r="F3" s="35">
        <v>5443.6</v>
      </c>
      <c r="G3" s="35">
        <v>5473.1</v>
      </c>
      <c r="H3" s="35">
        <v>5518.1</v>
      </c>
      <c r="I3" s="35">
        <v>5531</v>
      </c>
      <c r="J3" s="35">
        <v>5632.6</v>
      </c>
      <c r="K3" s="35">
        <v>5760.5</v>
      </c>
      <c r="L3" s="35">
        <v>5814.9</v>
      </c>
      <c r="M3" s="35">
        <v>5912.2</v>
      </c>
      <c r="N3" s="35">
        <v>6058.5</v>
      </c>
      <c r="O3" s="35">
        <v>6124.5</v>
      </c>
      <c r="P3" s="35">
        <v>6092.3</v>
      </c>
      <c r="Q3" s="35">
        <v>6150.1</v>
      </c>
      <c r="R3" s="35">
        <v>6097.3</v>
      </c>
      <c r="S3" s="35">
        <v>6111.8</v>
      </c>
      <c r="T3" s="35">
        <v>6054</v>
      </c>
      <c r="U3" s="35">
        <v>6030.5</v>
      </c>
      <c r="V3" s="35">
        <v>5957</v>
      </c>
      <c r="W3" s="35">
        <v>5999.6</v>
      </c>
      <c r="X3" s="35">
        <v>6102.3</v>
      </c>
      <c r="Y3" s="35">
        <v>6184.5</v>
      </c>
      <c r="Z3" s="35">
        <v>6323.6</v>
      </c>
      <c r="AA3" s="35">
        <v>6370</v>
      </c>
      <c r="AB3" s="35">
        <v>6404.9</v>
      </c>
      <c r="AC3" s="35">
        <v>6451.2</v>
      </c>
      <c r="AD3" s="35">
        <v>6527.7</v>
      </c>
      <c r="AE3" s="35">
        <v>6654.5</v>
      </c>
      <c r="AF3" s="35">
        <v>6774.5</v>
      </c>
      <c r="AG3" s="35">
        <v>6774.6</v>
      </c>
      <c r="AH3" s="35">
        <v>6796.3</v>
      </c>
      <c r="AI3" s="35">
        <v>7058.9</v>
      </c>
      <c r="AJ3" s="35">
        <v>7129.9</v>
      </c>
      <c r="AK3" s="35">
        <v>7225.8</v>
      </c>
      <c r="AL3" s="35">
        <v>7238.7</v>
      </c>
      <c r="AM3" s="35">
        <v>7246.5</v>
      </c>
      <c r="AN3" s="35">
        <v>7300.3</v>
      </c>
      <c r="AO3" s="35">
        <v>7318.5</v>
      </c>
      <c r="AP3" s="35">
        <v>7341.6</v>
      </c>
      <c r="AQ3" s="35">
        <v>7190.3</v>
      </c>
      <c r="AR3" s="35">
        <v>7181.7</v>
      </c>
      <c r="AS3" s="35">
        <v>7315.7</v>
      </c>
      <c r="AT3" s="35">
        <v>7459</v>
      </c>
      <c r="AU3" s="35">
        <v>7403.7</v>
      </c>
      <c r="AV3" s="35">
        <v>7492.4</v>
      </c>
      <c r="AW3" s="35">
        <v>7410.8</v>
      </c>
      <c r="AX3" s="35">
        <v>7295.6</v>
      </c>
      <c r="AY3" s="35">
        <v>7328.9</v>
      </c>
      <c r="AZ3" s="35">
        <v>7300.9</v>
      </c>
      <c r="BA3" s="35">
        <v>7303.8</v>
      </c>
      <c r="BB3" s="35">
        <v>7400.1</v>
      </c>
      <c r="BC3" s="35">
        <v>7568.5</v>
      </c>
      <c r="BD3" s="35">
        <v>7719.7</v>
      </c>
      <c r="BE3" s="35">
        <v>7880.8</v>
      </c>
      <c r="BF3" s="35">
        <v>8034.8</v>
      </c>
      <c r="BG3" s="35">
        <v>8173.7</v>
      </c>
      <c r="BH3" s="35">
        <v>8252.5</v>
      </c>
      <c r="BI3" s="35">
        <v>8320.2000000000007</v>
      </c>
      <c r="BJ3" s="35">
        <v>8400.7999999999993</v>
      </c>
      <c r="BK3" s="35">
        <v>8474.7999999999993</v>
      </c>
      <c r="BL3" s="35">
        <v>8604.2000000000007</v>
      </c>
      <c r="BM3" s="35">
        <v>8668.2000000000007</v>
      </c>
      <c r="BN3" s="35">
        <v>8749.1</v>
      </c>
      <c r="BO3" s="35">
        <v>8788.5</v>
      </c>
      <c r="BP3" s="35">
        <v>8872.6</v>
      </c>
      <c r="BQ3" s="35">
        <v>8920.2000000000007</v>
      </c>
      <c r="BR3" s="35">
        <v>8986.4</v>
      </c>
      <c r="BS3" s="35">
        <v>9083.2999999999993</v>
      </c>
      <c r="BT3" s="35">
        <v>9162</v>
      </c>
      <c r="BU3" s="35">
        <v>9319.2999999999993</v>
      </c>
      <c r="BV3" s="35">
        <v>9367.5</v>
      </c>
      <c r="BW3" s="35">
        <v>9490.6</v>
      </c>
      <c r="BX3" s="35">
        <v>9546.2000000000007</v>
      </c>
      <c r="BY3" s="35">
        <v>9673.4</v>
      </c>
      <c r="BZ3" s="35">
        <v>9771.7000000000007</v>
      </c>
      <c r="CA3" s="35">
        <v>9846.2999999999993</v>
      </c>
      <c r="CB3" s="35">
        <v>9919.2000000000007</v>
      </c>
      <c r="CC3" s="35">
        <v>9938.7999999999993</v>
      </c>
      <c r="CD3" s="35">
        <v>10047.4</v>
      </c>
      <c r="CE3" s="35">
        <v>10083.9</v>
      </c>
      <c r="CF3" s="35">
        <v>10090.6</v>
      </c>
      <c r="CG3" s="35">
        <v>9998.7000000000007</v>
      </c>
      <c r="CH3" s="35">
        <v>9951.9</v>
      </c>
      <c r="CI3" s="35">
        <v>10029.5</v>
      </c>
      <c r="CJ3" s="35">
        <v>10080.200000000001</v>
      </c>
      <c r="CK3" s="35">
        <v>10115.299999999999</v>
      </c>
      <c r="CL3" s="35">
        <v>10236.4</v>
      </c>
      <c r="CM3" s="35">
        <v>10347.4</v>
      </c>
      <c r="CN3" s="35">
        <v>10449.700000000001</v>
      </c>
      <c r="CO3" s="35">
        <v>10558.6</v>
      </c>
      <c r="CP3" s="35">
        <v>10576.3</v>
      </c>
      <c r="CQ3" s="35">
        <v>10637.8</v>
      </c>
      <c r="CR3" s="35">
        <v>10688.6</v>
      </c>
      <c r="CS3" s="35">
        <v>10834</v>
      </c>
      <c r="CT3" s="35">
        <v>10939.1</v>
      </c>
      <c r="CU3" s="35">
        <v>11087.4</v>
      </c>
      <c r="CV3" s="35">
        <v>11152.2</v>
      </c>
      <c r="CW3" s="35">
        <v>11279.9</v>
      </c>
      <c r="CX3" s="35">
        <v>11320</v>
      </c>
      <c r="CY3" s="35">
        <v>11353.7</v>
      </c>
      <c r="CZ3" s="35">
        <v>11450.3</v>
      </c>
      <c r="DA3" s="35">
        <v>11528.1</v>
      </c>
      <c r="DB3" s="35">
        <v>11614.4</v>
      </c>
      <c r="DC3" s="35">
        <v>11808.1</v>
      </c>
      <c r="DD3" s="35">
        <v>11914.1</v>
      </c>
      <c r="DE3" s="35">
        <v>12037.8</v>
      </c>
      <c r="DF3" s="35">
        <v>12115.5</v>
      </c>
      <c r="DG3" s="35">
        <v>12317.2</v>
      </c>
      <c r="DH3" s="35">
        <v>12471</v>
      </c>
      <c r="DI3" s="35">
        <v>12577.5</v>
      </c>
      <c r="DJ3" s="35">
        <v>12703.7</v>
      </c>
      <c r="DK3" s="35">
        <v>12821.3</v>
      </c>
      <c r="DL3" s="35">
        <v>12982.8</v>
      </c>
      <c r="DM3" s="35">
        <v>13191.7</v>
      </c>
      <c r="DN3" s="35">
        <v>13315.6</v>
      </c>
      <c r="DO3" s="35">
        <v>13426.7</v>
      </c>
      <c r="DP3" s="35">
        <v>13604.8</v>
      </c>
      <c r="DQ3" s="35">
        <v>13828</v>
      </c>
      <c r="DR3" s="35">
        <v>13878.1</v>
      </c>
      <c r="DS3" s="35">
        <v>14130.9</v>
      </c>
      <c r="DT3" s="35">
        <v>14145.3</v>
      </c>
      <c r="DU3" s="35">
        <v>14229.8</v>
      </c>
      <c r="DV3" s="35">
        <v>14183.1</v>
      </c>
      <c r="DW3" s="35">
        <v>14271.7</v>
      </c>
      <c r="DX3" s="35">
        <v>14214.5</v>
      </c>
      <c r="DY3" s="35">
        <v>14253.6</v>
      </c>
      <c r="DZ3" s="35">
        <v>14372.8</v>
      </c>
      <c r="EA3" s="35">
        <v>14460.8</v>
      </c>
      <c r="EB3" s="35">
        <v>14519.6</v>
      </c>
      <c r="EC3" s="35">
        <v>14537.6</v>
      </c>
      <c r="ED3" s="35">
        <v>14614.1</v>
      </c>
      <c r="EE3" s="35">
        <v>14743.6</v>
      </c>
      <c r="EF3" s="35">
        <v>14988.8</v>
      </c>
      <c r="EG3" s="35">
        <v>15162.8</v>
      </c>
      <c r="EH3" s="35">
        <v>15248.7</v>
      </c>
      <c r="EI3" s="35">
        <v>15366.9</v>
      </c>
      <c r="EJ3" s="35">
        <v>15512.6</v>
      </c>
      <c r="EK3" s="35">
        <v>15670.9</v>
      </c>
      <c r="EL3" s="35">
        <v>15844.7</v>
      </c>
      <c r="EM3" s="35">
        <v>15922.8</v>
      </c>
      <c r="EN3" s="35">
        <v>16047.6</v>
      </c>
      <c r="EO3" s="35">
        <v>16136.7</v>
      </c>
      <c r="EP3" s="35">
        <v>16353.8</v>
      </c>
      <c r="EQ3" s="35">
        <v>16396.2</v>
      </c>
      <c r="ER3" s="35">
        <v>16420.7</v>
      </c>
      <c r="ES3" s="35">
        <v>16561.900000000001</v>
      </c>
      <c r="ET3" s="35">
        <v>16611.7</v>
      </c>
      <c r="EU3" s="35">
        <v>16713.3</v>
      </c>
      <c r="EV3" s="35">
        <v>16809.599999999999</v>
      </c>
      <c r="EW3" s="35">
        <v>16915.2</v>
      </c>
      <c r="EX3" s="35">
        <v>16843</v>
      </c>
      <c r="EY3" s="35">
        <v>16943.3</v>
      </c>
      <c r="EZ3" s="35">
        <v>16854.3</v>
      </c>
      <c r="FA3" s="35">
        <v>16485.400000000001</v>
      </c>
      <c r="FB3" s="35">
        <v>16298.3</v>
      </c>
      <c r="FC3" s="35">
        <v>16269.1</v>
      </c>
      <c r="FD3" s="35">
        <v>16326.3</v>
      </c>
      <c r="FE3" s="35">
        <v>16502.8</v>
      </c>
      <c r="FF3" s="35">
        <v>16582.7</v>
      </c>
      <c r="FG3" s="35">
        <v>16743.2</v>
      </c>
      <c r="FH3" s="35">
        <v>16872.3</v>
      </c>
      <c r="FI3" s="35">
        <v>16960.900000000001</v>
      </c>
      <c r="FJ3" s="35">
        <v>16920.599999999999</v>
      </c>
      <c r="FK3" s="35">
        <v>17035.099999999999</v>
      </c>
      <c r="FL3" s="35">
        <v>17031.3</v>
      </c>
      <c r="FM3" s="35">
        <v>17222.599999999999</v>
      </c>
      <c r="FN3" s="35">
        <v>17367</v>
      </c>
      <c r="FO3" s="35">
        <v>17444.5</v>
      </c>
      <c r="FP3" s="35">
        <v>17469.7</v>
      </c>
      <c r="FQ3" s="35">
        <v>17489.900000000001</v>
      </c>
      <c r="FR3" s="35">
        <v>17662.400000000001</v>
      </c>
      <c r="FS3" s="35">
        <v>17709.7</v>
      </c>
      <c r="FT3" s="35">
        <v>17860.5</v>
      </c>
      <c r="FU3" s="35">
        <v>18016.099999999999</v>
      </c>
      <c r="FV3" s="35">
        <v>17954</v>
      </c>
      <c r="FW3" s="35">
        <v>18185.900000000001</v>
      </c>
      <c r="FX3" s="35">
        <v>18406.900000000001</v>
      </c>
      <c r="FY3" s="35">
        <v>18500</v>
      </c>
      <c r="FZ3" s="35">
        <v>18666.599999999999</v>
      </c>
      <c r="GA3" s="35">
        <v>18782.2</v>
      </c>
      <c r="GB3" s="35">
        <v>18857.400000000001</v>
      </c>
      <c r="GC3" s="35">
        <v>18892.2</v>
      </c>
      <c r="GD3" s="35">
        <v>19001.7</v>
      </c>
      <c r="GE3" s="35">
        <v>19062.7</v>
      </c>
      <c r="GF3" s="35">
        <v>19197.900000000001</v>
      </c>
      <c r="GG3" s="35">
        <v>19304.400000000001</v>
      </c>
      <c r="GH3" s="35">
        <v>19398.3</v>
      </c>
      <c r="GI3" s="35">
        <v>19506.900000000001</v>
      </c>
      <c r="GJ3" s="35">
        <v>19660.8</v>
      </c>
      <c r="GK3" s="35">
        <v>19882.400000000001</v>
      </c>
      <c r="GL3" s="35">
        <v>20044.099999999999</v>
      </c>
      <c r="GM3" s="35">
        <v>20150.5</v>
      </c>
      <c r="GN3" s="35">
        <v>20276.2</v>
      </c>
      <c r="GO3" s="35">
        <v>20304.900000000001</v>
      </c>
      <c r="GP3" s="35">
        <v>20415.2</v>
      </c>
      <c r="GQ3" s="35">
        <v>20584.5</v>
      </c>
      <c r="GR3" s="35">
        <v>20817.599999999999</v>
      </c>
      <c r="GS3" s="35">
        <v>20951.099999999999</v>
      </c>
      <c r="GT3" s="35">
        <v>20665.599999999999</v>
      </c>
      <c r="GU3" s="35">
        <v>19034.8</v>
      </c>
      <c r="GV3" s="35">
        <v>20511.8</v>
      </c>
      <c r="GW3" s="35">
        <v>20724.099999999999</v>
      </c>
      <c r="GX3" s="35">
        <v>20990.5</v>
      </c>
      <c r="GY3" s="35">
        <v>21309.5</v>
      </c>
      <c r="GZ3" s="35">
        <v>21483.1</v>
      </c>
      <c r="HA3" s="35">
        <v>21847.599999999999</v>
      </c>
      <c r="HB3" s="35">
        <v>21738.9</v>
      </c>
      <c r="HC3">
        <v>21708.2</v>
      </c>
      <c r="HD3">
        <v>21851.1</v>
      </c>
      <c r="HE3">
        <v>21990</v>
      </c>
      <c r="HF3">
        <v>22112.3</v>
      </c>
      <c r="HG3">
        <v>22225.4</v>
      </c>
      <c r="HH3">
        <v>22490.7</v>
      </c>
      <c r="HI3">
        <v>22679.3</v>
      </c>
      <c r="HJ3">
        <v>22749.8</v>
      </c>
    </row>
    <row r="4" spans="1:218" x14ac:dyDescent="0.25">
      <c r="A4" s="35" t="s">
        <v>2167</v>
      </c>
      <c r="B4" s="35">
        <v>19.823</v>
      </c>
      <c r="C4" s="35">
        <v>20.109000000000002</v>
      </c>
      <c r="D4" s="35">
        <v>20.274000000000001</v>
      </c>
      <c r="E4" s="35">
        <v>20.539000000000001</v>
      </c>
      <c r="F4" s="35">
        <v>20.85</v>
      </c>
      <c r="G4" s="35">
        <v>21.13</v>
      </c>
      <c r="H4" s="35">
        <v>21.343</v>
      </c>
      <c r="I4" s="35">
        <v>21.52</v>
      </c>
      <c r="J4" s="35">
        <v>21.864999999999998</v>
      </c>
      <c r="K4" s="35">
        <v>21.998999999999999</v>
      </c>
      <c r="L4" s="35">
        <v>22.198</v>
      </c>
      <c r="M4" s="35">
        <v>22.45</v>
      </c>
      <c r="N4" s="35">
        <v>22.734999999999999</v>
      </c>
      <c r="O4" s="35">
        <v>23.111000000000001</v>
      </c>
      <c r="P4" s="35">
        <v>23.553000000000001</v>
      </c>
      <c r="Q4" s="35">
        <v>23.960999999999999</v>
      </c>
      <c r="R4" s="35">
        <v>24.446000000000002</v>
      </c>
      <c r="S4" s="35">
        <v>24.989000000000001</v>
      </c>
      <c r="T4" s="35">
        <v>25.759</v>
      </c>
      <c r="U4" s="35">
        <v>26.541</v>
      </c>
      <c r="V4" s="35">
        <v>27.140999999999998</v>
      </c>
      <c r="W4" s="35">
        <v>27.533999999999999</v>
      </c>
      <c r="X4" s="35">
        <v>28.021000000000001</v>
      </c>
      <c r="Y4" s="35">
        <v>28.489000000000001</v>
      </c>
      <c r="Z4" s="35">
        <v>28.8</v>
      </c>
      <c r="AA4" s="35">
        <v>29.088000000000001</v>
      </c>
      <c r="AB4" s="35">
        <v>29.459</v>
      </c>
      <c r="AC4" s="35">
        <v>29.96</v>
      </c>
      <c r="AD4" s="35">
        <v>30.443000000000001</v>
      </c>
      <c r="AE4" s="35">
        <v>30.925000000000001</v>
      </c>
      <c r="AF4" s="35">
        <v>31.350999999999999</v>
      </c>
      <c r="AG4" s="35">
        <v>31.875</v>
      </c>
      <c r="AH4" s="35">
        <v>32.396999999999998</v>
      </c>
      <c r="AI4" s="35">
        <v>33.042999999999999</v>
      </c>
      <c r="AJ4" s="35">
        <v>33.625999999999998</v>
      </c>
      <c r="AK4" s="35">
        <v>34.290999999999997</v>
      </c>
      <c r="AL4" s="35">
        <v>34.930999999999997</v>
      </c>
      <c r="AM4" s="35">
        <v>35.774999999999999</v>
      </c>
      <c r="AN4" s="35">
        <v>36.521999999999998</v>
      </c>
      <c r="AO4" s="35">
        <v>37.188000000000002</v>
      </c>
      <c r="AP4" s="35">
        <v>38.000999999999998</v>
      </c>
      <c r="AQ4" s="35">
        <v>38.902999999999999</v>
      </c>
      <c r="AR4" s="35">
        <v>39.770000000000003</v>
      </c>
      <c r="AS4" s="35">
        <v>40.825000000000003</v>
      </c>
      <c r="AT4" s="35">
        <v>41.906999999999996</v>
      </c>
      <c r="AU4" s="35">
        <v>42.694000000000003</v>
      </c>
      <c r="AV4" s="35">
        <v>43.524000000000001</v>
      </c>
      <c r="AW4" s="35">
        <v>44.243000000000002</v>
      </c>
      <c r="AX4" s="35">
        <v>44.877000000000002</v>
      </c>
      <c r="AY4" s="35">
        <v>45.472999999999999</v>
      </c>
      <c r="AZ4" s="35">
        <v>46.103999999999999</v>
      </c>
      <c r="BA4" s="35">
        <v>46.570999999999998</v>
      </c>
      <c r="BB4" s="35">
        <v>46.942999999999998</v>
      </c>
      <c r="BC4" s="35">
        <v>47.290999999999997</v>
      </c>
      <c r="BD4" s="35">
        <v>47.793999999999997</v>
      </c>
      <c r="BE4" s="35">
        <v>48.151000000000003</v>
      </c>
      <c r="BF4" s="35">
        <v>48.625999999999998</v>
      </c>
      <c r="BG4" s="35">
        <v>49.063000000000002</v>
      </c>
      <c r="BH4" s="35">
        <v>49.506</v>
      </c>
      <c r="BI4" s="35">
        <v>49.851999999999997</v>
      </c>
      <c r="BJ4" s="35">
        <v>50.363</v>
      </c>
      <c r="BK4" s="35">
        <v>50.66</v>
      </c>
      <c r="BL4" s="35">
        <v>50.997</v>
      </c>
      <c r="BM4" s="35">
        <v>51.262</v>
      </c>
      <c r="BN4" s="35">
        <v>51.515000000000001</v>
      </c>
      <c r="BO4" s="35">
        <v>51.695</v>
      </c>
      <c r="BP4" s="35">
        <v>51.941000000000003</v>
      </c>
      <c r="BQ4" s="35">
        <v>52.25</v>
      </c>
      <c r="BR4" s="35">
        <v>52.554000000000002</v>
      </c>
      <c r="BS4" s="35">
        <v>52.911000000000001</v>
      </c>
      <c r="BT4" s="35">
        <v>53.32</v>
      </c>
      <c r="BU4" s="35">
        <v>53.72</v>
      </c>
      <c r="BV4" s="35">
        <v>54.134999999999998</v>
      </c>
      <c r="BW4" s="35">
        <v>54.676000000000002</v>
      </c>
      <c r="BX4" s="35">
        <v>55.344999999999999</v>
      </c>
      <c r="BY4" s="35">
        <v>55.853999999999999</v>
      </c>
      <c r="BZ4" s="35">
        <v>56.392000000000003</v>
      </c>
      <c r="CA4" s="35">
        <v>57.002000000000002</v>
      </c>
      <c r="CB4" s="35">
        <v>57.424999999999997</v>
      </c>
      <c r="CC4" s="35">
        <v>57.817</v>
      </c>
      <c r="CD4" s="35">
        <v>58.447000000000003</v>
      </c>
      <c r="CE4" s="35">
        <v>59.100999999999999</v>
      </c>
      <c r="CF4" s="35">
        <v>59.612000000000002</v>
      </c>
      <c r="CG4" s="35">
        <v>60.067</v>
      </c>
      <c r="CH4" s="35">
        <v>60.651000000000003</v>
      </c>
      <c r="CI4" s="35">
        <v>61.088000000000001</v>
      </c>
      <c r="CJ4" s="35">
        <v>61.557000000000002</v>
      </c>
      <c r="CK4" s="35">
        <v>61.914999999999999</v>
      </c>
      <c r="CL4" s="35">
        <v>62.161999999999999</v>
      </c>
      <c r="CM4" s="35">
        <v>62.533000000000001</v>
      </c>
      <c r="CN4" s="35">
        <v>62.832999999999998</v>
      </c>
      <c r="CO4" s="35">
        <v>63.274999999999999</v>
      </c>
      <c r="CP4" s="35">
        <v>63.652000000000001</v>
      </c>
      <c r="CQ4" s="35">
        <v>64.027000000000001</v>
      </c>
      <c r="CR4" s="35">
        <v>64.349000000000004</v>
      </c>
      <c r="CS4" s="35">
        <v>64.727000000000004</v>
      </c>
      <c r="CT4" s="35">
        <v>65.058000000000007</v>
      </c>
      <c r="CU4" s="35">
        <v>65.369</v>
      </c>
      <c r="CV4" s="35">
        <v>65.716999999999999</v>
      </c>
      <c r="CW4" s="35">
        <v>66.082999999999998</v>
      </c>
      <c r="CX4" s="35">
        <v>66.459999999999994</v>
      </c>
      <c r="CY4" s="35">
        <v>66.784999999999997</v>
      </c>
      <c r="CZ4" s="35">
        <v>67.084000000000003</v>
      </c>
      <c r="DA4" s="35">
        <v>67.400999999999996</v>
      </c>
      <c r="DB4" s="35">
        <v>67.712000000000003</v>
      </c>
      <c r="DC4" s="35">
        <v>67.988</v>
      </c>
      <c r="DD4" s="35">
        <v>68.317999999999998</v>
      </c>
      <c r="DE4" s="35">
        <v>68.606999999999999</v>
      </c>
      <c r="DF4" s="35">
        <v>68.915000000000006</v>
      </c>
      <c r="DG4" s="35">
        <v>69.257999999999996</v>
      </c>
      <c r="DH4" s="35">
        <v>69.463999999999999</v>
      </c>
      <c r="DI4" s="35">
        <v>69.712999999999994</v>
      </c>
      <c r="DJ4" s="35">
        <v>69.783000000000001</v>
      </c>
      <c r="DK4" s="35">
        <v>69.963999999999999</v>
      </c>
      <c r="DL4" s="35">
        <v>70.234999999999999</v>
      </c>
      <c r="DM4" s="35">
        <v>70.424000000000007</v>
      </c>
      <c r="DN4" s="35">
        <v>70.614999999999995</v>
      </c>
      <c r="DO4" s="35">
        <v>70.933999999999997</v>
      </c>
      <c r="DP4" s="35">
        <v>71.206999999999994</v>
      </c>
      <c r="DQ4" s="35">
        <v>71.581000000000003</v>
      </c>
      <c r="DR4" s="35">
        <v>72.058000000000007</v>
      </c>
      <c r="DS4" s="35">
        <v>72.491</v>
      </c>
      <c r="DT4" s="35">
        <v>72.944999999999993</v>
      </c>
      <c r="DU4" s="35">
        <v>73.340999999999994</v>
      </c>
      <c r="DV4" s="35">
        <v>73.843000000000004</v>
      </c>
      <c r="DW4" s="35">
        <v>74.334999999999994</v>
      </c>
      <c r="DX4" s="35">
        <v>74.56</v>
      </c>
      <c r="DY4" s="35">
        <v>74.801000000000002</v>
      </c>
      <c r="DZ4" s="35">
        <v>74.998000000000005</v>
      </c>
      <c r="EA4" s="35">
        <v>75.295000000000002</v>
      </c>
      <c r="EB4" s="35">
        <v>75.632999999999996</v>
      </c>
      <c r="EC4" s="35">
        <v>76.072999999999993</v>
      </c>
      <c r="ED4" s="35">
        <v>76.481999999999999</v>
      </c>
      <c r="EE4" s="35">
        <v>76.745999999999995</v>
      </c>
      <c r="EF4" s="35">
        <v>77.185000000000002</v>
      </c>
      <c r="EG4" s="35">
        <v>77.632999999999996</v>
      </c>
      <c r="EH4" s="35">
        <v>78.191000000000003</v>
      </c>
      <c r="EI4" s="35">
        <v>78.825000000000003</v>
      </c>
      <c r="EJ4" s="35">
        <v>79.322999999999993</v>
      </c>
      <c r="EK4" s="35">
        <v>79.936000000000007</v>
      </c>
      <c r="EL4" s="35">
        <v>80.55</v>
      </c>
      <c r="EM4" s="35">
        <v>81.137</v>
      </c>
      <c r="EN4" s="35">
        <v>81.905000000000001</v>
      </c>
      <c r="EO4" s="35">
        <v>82.557000000000002</v>
      </c>
      <c r="EP4" s="35">
        <v>83.135000000000005</v>
      </c>
      <c r="EQ4" s="35">
        <v>83.870999999999995</v>
      </c>
      <c r="ER4" s="35">
        <v>84.486000000000004</v>
      </c>
      <c r="ES4" s="35">
        <v>84.805999999999997</v>
      </c>
      <c r="ET4" s="35">
        <v>85.655000000000001</v>
      </c>
      <c r="EU4" s="35">
        <v>86.200999999999993</v>
      </c>
      <c r="EV4" s="35">
        <v>86.567999999999998</v>
      </c>
      <c r="EW4" s="35">
        <v>86.981999999999999</v>
      </c>
      <c r="EX4" s="35">
        <v>87.358999999999995</v>
      </c>
      <c r="EY4" s="35">
        <v>87.677999999999997</v>
      </c>
      <c r="EZ4" s="35">
        <v>88.361000000000004</v>
      </c>
      <c r="FA4" s="35">
        <v>88.510999999999996</v>
      </c>
      <c r="FB4" s="35">
        <v>88.536000000000001</v>
      </c>
      <c r="FC4" s="35">
        <v>88.418000000000006</v>
      </c>
      <c r="FD4" s="35">
        <v>88.474000000000004</v>
      </c>
      <c r="FE4" s="35">
        <v>88.798000000000002</v>
      </c>
      <c r="FF4" s="35">
        <v>89.018000000000001</v>
      </c>
      <c r="FG4" s="35">
        <v>89.430999999999997</v>
      </c>
      <c r="FH4" s="35">
        <v>89.754999999999995</v>
      </c>
      <c r="FI4" s="35">
        <v>90.27</v>
      </c>
      <c r="FJ4" s="35">
        <v>90.71</v>
      </c>
      <c r="FK4" s="35">
        <v>91.363</v>
      </c>
      <c r="FL4" s="35">
        <v>91.84</v>
      </c>
      <c r="FM4" s="35">
        <v>91.950999999999993</v>
      </c>
      <c r="FN4" s="35">
        <v>92.495000000000005</v>
      </c>
      <c r="FO4" s="35">
        <v>92.881</v>
      </c>
      <c r="FP4" s="35">
        <v>93.459000000000003</v>
      </c>
      <c r="FQ4" s="35">
        <v>93.869</v>
      </c>
      <c r="FR4" s="35">
        <v>94.203999999999994</v>
      </c>
      <c r="FS4" s="35">
        <v>94.474000000000004</v>
      </c>
      <c r="FT4" s="35">
        <v>94.989000000000004</v>
      </c>
      <c r="FU4" s="35">
        <v>95.477000000000004</v>
      </c>
      <c r="FV4" s="35">
        <v>95.84</v>
      </c>
      <c r="FW4" s="35">
        <v>96.343000000000004</v>
      </c>
      <c r="FX4" s="35">
        <v>96.762</v>
      </c>
      <c r="FY4" s="35">
        <v>96.8</v>
      </c>
      <c r="FZ4" s="35">
        <v>96.742000000000004</v>
      </c>
      <c r="GA4" s="35">
        <v>97.302000000000007</v>
      </c>
      <c r="GB4" s="35">
        <v>97.536000000000001</v>
      </c>
      <c r="GC4" s="35">
        <v>97.527000000000001</v>
      </c>
      <c r="GD4" s="35">
        <v>97.468000000000004</v>
      </c>
      <c r="GE4" s="35">
        <v>98.108000000000004</v>
      </c>
      <c r="GF4" s="35">
        <v>98.372</v>
      </c>
      <c r="GG4" s="35">
        <v>98.884</v>
      </c>
      <c r="GH4" s="35">
        <v>99.388999999999996</v>
      </c>
      <c r="GI4" s="35">
        <v>99.656000000000006</v>
      </c>
      <c r="GJ4" s="35">
        <v>100.17400000000001</v>
      </c>
      <c r="GK4" s="35">
        <v>100.78</v>
      </c>
      <c r="GL4" s="35">
        <v>101.428</v>
      </c>
      <c r="GM4" s="35">
        <v>102.14</v>
      </c>
      <c r="GN4" s="35">
        <v>102.586</v>
      </c>
      <c r="GO4" s="35">
        <v>103.005</v>
      </c>
      <c r="GP4" s="35">
        <v>103.375</v>
      </c>
      <c r="GQ4" s="35">
        <v>103.878</v>
      </c>
      <c r="GR4" s="35">
        <v>104.21299999999999</v>
      </c>
      <c r="GS4" s="35">
        <v>104.566</v>
      </c>
      <c r="GT4" s="35">
        <v>105.042</v>
      </c>
      <c r="GU4" s="35">
        <v>104.661</v>
      </c>
      <c r="GV4" s="35">
        <v>105.593</v>
      </c>
      <c r="GW4" s="35">
        <v>106.33</v>
      </c>
      <c r="GX4" s="35">
        <v>107.73099999999999</v>
      </c>
      <c r="GY4" s="35">
        <v>109.33199999999999</v>
      </c>
      <c r="GZ4" s="35">
        <v>110.95699999999999</v>
      </c>
      <c r="HA4" s="35">
        <v>112.858</v>
      </c>
      <c r="HB4" s="35">
        <v>115.182</v>
      </c>
      <c r="HC4">
        <v>117.70399999999999</v>
      </c>
      <c r="HD4">
        <v>118.98</v>
      </c>
      <c r="HE4">
        <v>120.11499999999999</v>
      </c>
      <c r="HF4">
        <v>121.264</v>
      </c>
      <c r="HG4">
        <v>121.789</v>
      </c>
      <c r="HH4">
        <v>122.792</v>
      </c>
      <c r="HI4">
        <v>123.289</v>
      </c>
      <c r="HJ4">
        <v>124.218</v>
      </c>
    </row>
    <row r="5" spans="1:218" x14ac:dyDescent="0.25">
      <c r="A5" s="35" t="s">
        <v>2168</v>
      </c>
      <c r="B5" s="35">
        <v>631.70000000000005</v>
      </c>
      <c r="C5" s="35">
        <v>641.6</v>
      </c>
      <c r="D5" s="35">
        <v>653.5</v>
      </c>
      <c r="E5" s="35">
        <v>660.2</v>
      </c>
      <c r="F5" s="35">
        <v>679.2</v>
      </c>
      <c r="G5" s="35">
        <v>693.2</v>
      </c>
      <c r="H5" s="35">
        <v>705.6</v>
      </c>
      <c r="I5" s="35">
        <v>721.7</v>
      </c>
      <c r="J5" s="35">
        <v>738.9</v>
      </c>
      <c r="K5" s="35">
        <v>757.4</v>
      </c>
      <c r="L5" s="35">
        <v>775.8</v>
      </c>
      <c r="M5" s="35">
        <v>800.5</v>
      </c>
      <c r="N5" s="35">
        <v>825</v>
      </c>
      <c r="O5" s="35">
        <v>840.5</v>
      </c>
      <c r="P5" s="35">
        <v>858.9</v>
      </c>
      <c r="Q5" s="35">
        <v>873.9</v>
      </c>
      <c r="R5" s="35">
        <v>891.9</v>
      </c>
      <c r="S5" s="35">
        <v>920.4</v>
      </c>
      <c r="T5" s="35">
        <v>949.3</v>
      </c>
      <c r="U5" s="35">
        <v>959.1</v>
      </c>
      <c r="V5" s="35">
        <v>985.2</v>
      </c>
      <c r="W5" s="35">
        <v>1013.6</v>
      </c>
      <c r="X5" s="35">
        <v>1047.2</v>
      </c>
      <c r="Y5" s="35">
        <v>1076.2</v>
      </c>
      <c r="Z5" s="35">
        <v>1109.9000000000001</v>
      </c>
      <c r="AA5" s="35">
        <v>1129.5</v>
      </c>
      <c r="AB5" s="35">
        <v>1158.8</v>
      </c>
      <c r="AC5" s="35">
        <v>1192.4000000000001</v>
      </c>
      <c r="AD5" s="35">
        <v>1228.2</v>
      </c>
      <c r="AE5" s="35">
        <v>1256</v>
      </c>
      <c r="AF5" s="35">
        <v>1286.9000000000001</v>
      </c>
      <c r="AG5" s="35">
        <v>1324.8</v>
      </c>
      <c r="AH5" s="35">
        <v>1354.1</v>
      </c>
      <c r="AI5" s="35">
        <v>1411.4</v>
      </c>
      <c r="AJ5" s="35">
        <v>1442.2</v>
      </c>
      <c r="AK5" s="35">
        <v>1481.4</v>
      </c>
      <c r="AL5" s="35">
        <v>1517.1</v>
      </c>
      <c r="AM5" s="35">
        <v>1557.6</v>
      </c>
      <c r="AN5" s="35">
        <v>1611.9</v>
      </c>
      <c r="AO5" s="35">
        <v>1655</v>
      </c>
      <c r="AP5" s="35">
        <v>1702.3</v>
      </c>
      <c r="AQ5" s="35">
        <v>1704.7</v>
      </c>
      <c r="AR5" s="35">
        <v>1763.8</v>
      </c>
      <c r="AS5" s="35">
        <v>1831.9</v>
      </c>
      <c r="AT5" s="35">
        <v>1885.7</v>
      </c>
      <c r="AU5" s="35">
        <v>1917.5</v>
      </c>
      <c r="AV5" s="35">
        <v>1958.1</v>
      </c>
      <c r="AW5" s="35">
        <v>1974.4</v>
      </c>
      <c r="AX5" s="35">
        <v>2014.2</v>
      </c>
      <c r="AY5" s="35">
        <v>2039.6</v>
      </c>
      <c r="AZ5" s="35">
        <v>2085.6999999999998</v>
      </c>
      <c r="BA5" s="35">
        <v>2145.6</v>
      </c>
      <c r="BB5" s="35">
        <v>2184.6</v>
      </c>
      <c r="BC5" s="35">
        <v>2249.4</v>
      </c>
      <c r="BD5" s="35">
        <v>2319.9</v>
      </c>
      <c r="BE5" s="35">
        <v>2372.5</v>
      </c>
      <c r="BF5" s="35">
        <v>2418.1999999999998</v>
      </c>
      <c r="BG5" s="35">
        <v>2475.9</v>
      </c>
      <c r="BH5" s="35">
        <v>2513.5</v>
      </c>
      <c r="BI5" s="35">
        <v>2561.8000000000002</v>
      </c>
      <c r="BJ5" s="35">
        <v>2636</v>
      </c>
      <c r="BK5" s="35">
        <v>2681.8</v>
      </c>
      <c r="BL5" s="35">
        <v>2754.1</v>
      </c>
      <c r="BM5" s="35">
        <v>2779.4</v>
      </c>
      <c r="BN5" s="35">
        <v>2823.6</v>
      </c>
      <c r="BO5" s="35">
        <v>2851.5</v>
      </c>
      <c r="BP5" s="35">
        <v>2917.2</v>
      </c>
      <c r="BQ5" s="35">
        <v>2952.8</v>
      </c>
      <c r="BR5" s="35">
        <v>2983.5</v>
      </c>
      <c r="BS5" s="35">
        <v>3053.3</v>
      </c>
      <c r="BT5" s="35">
        <v>3117.4</v>
      </c>
      <c r="BU5" s="35">
        <v>3150.9</v>
      </c>
      <c r="BV5" s="35">
        <v>3231.9</v>
      </c>
      <c r="BW5" s="35">
        <v>3291.7</v>
      </c>
      <c r="BX5" s="35">
        <v>3361.9</v>
      </c>
      <c r="BY5" s="35">
        <v>3434.5</v>
      </c>
      <c r="BZ5" s="35">
        <v>3490.2</v>
      </c>
      <c r="CA5" s="35">
        <v>3553.8</v>
      </c>
      <c r="CB5" s="35">
        <v>3609.4</v>
      </c>
      <c r="CC5" s="35">
        <v>3653.7</v>
      </c>
      <c r="CD5" s="35">
        <v>3737.9</v>
      </c>
      <c r="CE5" s="35">
        <v>3783.4</v>
      </c>
      <c r="CF5" s="35">
        <v>3846.7</v>
      </c>
      <c r="CG5" s="35">
        <v>3867.9</v>
      </c>
      <c r="CH5" s="35">
        <v>3873.6</v>
      </c>
      <c r="CI5" s="35">
        <v>3926.9</v>
      </c>
      <c r="CJ5" s="35">
        <v>3973.3</v>
      </c>
      <c r="CK5" s="35">
        <v>4000</v>
      </c>
      <c r="CL5" s="35">
        <v>4100.3999999999996</v>
      </c>
      <c r="CM5" s="35">
        <v>4155.7</v>
      </c>
      <c r="CN5" s="35">
        <v>4227</v>
      </c>
      <c r="CO5" s="35">
        <v>4307.2</v>
      </c>
      <c r="CP5" s="35">
        <v>4349.5</v>
      </c>
      <c r="CQ5" s="35">
        <v>4418.6000000000004</v>
      </c>
      <c r="CR5" s="35">
        <v>4487.2</v>
      </c>
      <c r="CS5" s="35">
        <v>4552.7</v>
      </c>
      <c r="CT5" s="35">
        <v>4621.2</v>
      </c>
      <c r="CU5" s="35">
        <v>4683.2</v>
      </c>
      <c r="CV5" s="35">
        <v>4752.8</v>
      </c>
      <c r="CW5" s="35">
        <v>4826.7</v>
      </c>
      <c r="CX5" s="35">
        <v>4862.3999999999996</v>
      </c>
      <c r="CY5" s="35">
        <v>4933.6000000000004</v>
      </c>
      <c r="CZ5" s="35">
        <v>4998.7</v>
      </c>
      <c r="DA5" s="35">
        <v>5055.7</v>
      </c>
      <c r="DB5" s="35">
        <v>5130.6000000000004</v>
      </c>
      <c r="DC5" s="35">
        <v>5220.5</v>
      </c>
      <c r="DD5" s="35">
        <v>5274.5</v>
      </c>
      <c r="DE5" s="35">
        <v>5352.8</v>
      </c>
      <c r="DF5" s="35">
        <v>5433.1</v>
      </c>
      <c r="DG5" s="35">
        <v>5471.3</v>
      </c>
      <c r="DH5" s="35">
        <v>5579.2</v>
      </c>
      <c r="DI5" s="35">
        <v>5663.6</v>
      </c>
      <c r="DJ5" s="35">
        <v>5721.3</v>
      </c>
      <c r="DK5" s="35">
        <v>5832.6</v>
      </c>
      <c r="DL5" s="35">
        <v>5926.8</v>
      </c>
      <c r="DM5" s="35">
        <v>6028.2</v>
      </c>
      <c r="DN5" s="35">
        <v>6102</v>
      </c>
      <c r="DO5" s="35">
        <v>6230.6</v>
      </c>
      <c r="DP5" s="35">
        <v>6335.3</v>
      </c>
      <c r="DQ5" s="35">
        <v>6467</v>
      </c>
      <c r="DR5" s="35">
        <v>6618.2</v>
      </c>
      <c r="DS5" s="35">
        <v>6711.9</v>
      </c>
      <c r="DT5" s="35">
        <v>6820</v>
      </c>
      <c r="DU5" s="35">
        <v>6918.6</v>
      </c>
      <c r="DV5" s="35">
        <v>6995.3</v>
      </c>
      <c r="DW5" s="35">
        <v>7042.3</v>
      </c>
      <c r="DX5" s="35">
        <v>7070.3</v>
      </c>
      <c r="DY5" s="35">
        <v>7187.3</v>
      </c>
      <c r="DZ5" s="35">
        <v>7217.7</v>
      </c>
      <c r="EA5" s="35">
        <v>7308</v>
      </c>
      <c r="EB5" s="35">
        <v>7397.1</v>
      </c>
      <c r="EC5" s="35">
        <v>7473</v>
      </c>
      <c r="ED5" s="35">
        <v>7567.2</v>
      </c>
      <c r="EE5" s="35">
        <v>7661.5</v>
      </c>
      <c r="EF5" s="35">
        <v>7820.9</v>
      </c>
      <c r="EG5" s="35">
        <v>7913.5</v>
      </c>
      <c r="EH5" s="35">
        <v>8048.8</v>
      </c>
      <c r="EI5" s="35">
        <v>8147.1</v>
      </c>
      <c r="EJ5" s="35">
        <v>8283.2999999999993</v>
      </c>
      <c r="EK5" s="35">
        <v>8448.6</v>
      </c>
      <c r="EL5" s="35">
        <v>8551.7000000000007</v>
      </c>
      <c r="EM5" s="35">
        <v>8701.1</v>
      </c>
      <c r="EN5" s="35">
        <v>8868.1</v>
      </c>
      <c r="EO5" s="35">
        <v>8955.2999999999993</v>
      </c>
      <c r="EP5" s="35">
        <v>9100.2000000000007</v>
      </c>
      <c r="EQ5" s="35">
        <v>9227.6</v>
      </c>
      <c r="ER5" s="35">
        <v>9353.7999999999993</v>
      </c>
      <c r="ES5" s="35">
        <v>9427.4</v>
      </c>
      <c r="ET5" s="35">
        <v>9572.1</v>
      </c>
      <c r="EU5" s="35">
        <v>9678.7000000000007</v>
      </c>
      <c r="EV5" s="35">
        <v>9798.4</v>
      </c>
      <c r="EW5" s="35">
        <v>9937.1</v>
      </c>
      <c r="EX5" s="35">
        <v>10004.4</v>
      </c>
      <c r="EY5" s="35">
        <v>10129.9</v>
      </c>
      <c r="EZ5" s="35">
        <v>10159.1</v>
      </c>
      <c r="FA5" s="35">
        <v>9906.9</v>
      </c>
      <c r="FB5" s="35">
        <v>9815</v>
      </c>
      <c r="FC5" s="35">
        <v>9805.5</v>
      </c>
      <c r="FD5" s="35">
        <v>9939.4</v>
      </c>
      <c r="FE5" s="35">
        <v>10005</v>
      </c>
      <c r="FF5" s="35">
        <v>10101.799999999999</v>
      </c>
      <c r="FG5" s="35">
        <v>10208.1</v>
      </c>
      <c r="FH5" s="35">
        <v>10300.799999999999</v>
      </c>
      <c r="FI5" s="35">
        <v>10430.299999999999</v>
      </c>
      <c r="FJ5" s="35">
        <v>10558.2</v>
      </c>
      <c r="FK5" s="35">
        <v>10673</v>
      </c>
      <c r="FL5" s="35">
        <v>10755</v>
      </c>
      <c r="FM5" s="35">
        <v>10809.2</v>
      </c>
      <c r="FN5" s="35">
        <v>10959.3</v>
      </c>
      <c r="FO5" s="35">
        <v>11005.1</v>
      </c>
      <c r="FP5" s="35">
        <v>11059.4</v>
      </c>
      <c r="FQ5" s="35">
        <v>11165.7</v>
      </c>
      <c r="FR5" s="35">
        <v>11277.7</v>
      </c>
      <c r="FS5" s="35">
        <v>11315.7</v>
      </c>
      <c r="FT5" s="35">
        <v>11408.4</v>
      </c>
      <c r="FU5" s="35">
        <v>11551.2</v>
      </c>
      <c r="FV5" s="35">
        <v>11646</v>
      </c>
      <c r="FW5" s="35">
        <v>11810.5</v>
      </c>
      <c r="FX5" s="35">
        <v>11959.8</v>
      </c>
      <c r="FY5" s="35">
        <v>12081.6</v>
      </c>
      <c r="FZ5" s="35">
        <v>12119.8</v>
      </c>
      <c r="GA5" s="35">
        <v>12264.1</v>
      </c>
      <c r="GB5" s="35">
        <v>12382.5</v>
      </c>
      <c r="GC5" s="35">
        <v>12423.4</v>
      </c>
      <c r="GD5" s="35">
        <v>12523.2</v>
      </c>
      <c r="GE5" s="35">
        <v>12665.1</v>
      </c>
      <c r="GF5" s="35">
        <v>12797.1</v>
      </c>
      <c r="GG5" s="35">
        <v>12922</v>
      </c>
      <c r="GH5" s="35">
        <v>13097.3</v>
      </c>
      <c r="GI5" s="35">
        <v>13188.7</v>
      </c>
      <c r="GJ5" s="35">
        <v>13325.1</v>
      </c>
      <c r="GK5" s="35">
        <v>13551.4</v>
      </c>
      <c r="GL5" s="35">
        <v>13745.1</v>
      </c>
      <c r="GM5" s="35">
        <v>13891.3</v>
      </c>
      <c r="GN5" s="35">
        <v>14002.2</v>
      </c>
      <c r="GO5" s="35">
        <v>14099.2</v>
      </c>
      <c r="GP5" s="35">
        <v>14148</v>
      </c>
      <c r="GQ5" s="35">
        <v>14336.8</v>
      </c>
      <c r="GR5" s="35">
        <v>14517.7</v>
      </c>
      <c r="GS5" s="35">
        <v>14668</v>
      </c>
      <c r="GT5" s="35">
        <v>14473.1</v>
      </c>
      <c r="GU5" s="35">
        <v>13168.9</v>
      </c>
      <c r="GV5" s="35">
        <v>14456.2</v>
      </c>
      <c r="GW5" s="35">
        <v>14726.7</v>
      </c>
      <c r="GX5" s="35">
        <v>15217.7</v>
      </c>
      <c r="GY5" s="35">
        <v>15950.9</v>
      </c>
      <c r="GZ5" s="35">
        <v>16285.1</v>
      </c>
      <c r="HA5" s="35">
        <v>16718.2</v>
      </c>
      <c r="HB5" s="35">
        <v>17030.599999999999</v>
      </c>
      <c r="HC5">
        <v>17415.099999999999</v>
      </c>
      <c r="HD5">
        <v>17684.2</v>
      </c>
      <c r="HE5">
        <v>17917</v>
      </c>
      <c r="HF5">
        <v>18269.599999999999</v>
      </c>
      <c r="HG5">
        <v>18419</v>
      </c>
      <c r="HH5">
        <v>18679.5</v>
      </c>
      <c r="HI5">
        <v>18914.5</v>
      </c>
      <c r="HJ5">
        <v>19164.2</v>
      </c>
    </row>
    <row r="6" spans="1:218" x14ac:dyDescent="0.25">
      <c r="A6" s="35" t="s">
        <v>2169</v>
      </c>
      <c r="B6" s="35">
        <v>3248.9</v>
      </c>
      <c r="C6" s="35">
        <v>3263.6</v>
      </c>
      <c r="D6" s="35">
        <v>3292.2</v>
      </c>
      <c r="E6" s="35">
        <v>3283.2</v>
      </c>
      <c r="F6" s="35">
        <v>3346.3</v>
      </c>
      <c r="G6" s="35">
        <v>3377</v>
      </c>
      <c r="H6" s="35">
        <v>3403.9</v>
      </c>
      <c r="I6" s="35">
        <v>3460.4</v>
      </c>
      <c r="J6" s="35">
        <v>3506.1</v>
      </c>
      <c r="K6" s="35">
        <v>3572.8</v>
      </c>
      <c r="L6" s="35">
        <v>3627.9</v>
      </c>
      <c r="M6" s="35">
        <v>3713</v>
      </c>
      <c r="N6" s="35">
        <v>3780.8</v>
      </c>
      <c r="O6" s="35">
        <v>3779.1</v>
      </c>
      <c r="P6" s="35">
        <v>3792.4</v>
      </c>
      <c r="Q6" s="35">
        <v>3781.1</v>
      </c>
      <c r="R6" s="35">
        <v>3747.3</v>
      </c>
      <c r="S6" s="35">
        <v>3760.8</v>
      </c>
      <c r="T6" s="35">
        <v>3776.9</v>
      </c>
      <c r="U6" s="35">
        <v>3721.7</v>
      </c>
      <c r="V6" s="35">
        <v>3752.9</v>
      </c>
      <c r="W6" s="35">
        <v>3814.7</v>
      </c>
      <c r="X6" s="35">
        <v>3868.9</v>
      </c>
      <c r="Y6" s="35">
        <v>3910.5</v>
      </c>
      <c r="Z6" s="35">
        <v>3988.7</v>
      </c>
      <c r="AA6" s="35">
        <v>4025.4</v>
      </c>
      <c r="AB6" s="35">
        <v>4067.8</v>
      </c>
      <c r="AC6" s="35">
        <v>4120.5</v>
      </c>
      <c r="AD6" s="35">
        <v>4169.1000000000004</v>
      </c>
      <c r="AE6" s="35">
        <v>4191.7</v>
      </c>
      <c r="AF6" s="35">
        <v>4231.3</v>
      </c>
      <c r="AG6" s="35">
        <v>4295</v>
      </c>
      <c r="AH6" s="35">
        <v>4319.1000000000004</v>
      </c>
      <c r="AI6" s="35">
        <v>4411.3999999999996</v>
      </c>
      <c r="AJ6" s="35">
        <v>4430</v>
      </c>
      <c r="AK6" s="35">
        <v>4465.7</v>
      </c>
      <c r="AL6" s="35">
        <v>4488.8</v>
      </c>
      <c r="AM6" s="35">
        <v>4485.8999999999996</v>
      </c>
      <c r="AN6" s="35">
        <v>4529.6000000000004</v>
      </c>
      <c r="AO6" s="35">
        <v>4540.8</v>
      </c>
      <c r="AP6" s="35">
        <v>4534.3</v>
      </c>
      <c r="AQ6" s="35">
        <v>4432.2</v>
      </c>
      <c r="AR6" s="35">
        <v>4480.8</v>
      </c>
      <c r="AS6" s="35">
        <v>4541.3999999999996</v>
      </c>
      <c r="AT6" s="35">
        <v>4556.6000000000004</v>
      </c>
      <c r="AU6" s="35">
        <v>4556.8999999999996</v>
      </c>
      <c r="AV6" s="35">
        <v>4578</v>
      </c>
      <c r="AW6" s="35">
        <v>4546.7</v>
      </c>
      <c r="AX6" s="35">
        <v>4580.2</v>
      </c>
      <c r="AY6" s="35">
        <v>4594.1000000000004</v>
      </c>
      <c r="AZ6" s="35">
        <v>4624.8999999999996</v>
      </c>
      <c r="BA6" s="35">
        <v>4706</v>
      </c>
      <c r="BB6" s="35">
        <v>4752.5</v>
      </c>
      <c r="BC6" s="35">
        <v>4849.3</v>
      </c>
      <c r="BD6" s="35">
        <v>4936.2</v>
      </c>
      <c r="BE6" s="35">
        <v>5014.8999999999996</v>
      </c>
      <c r="BF6" s="35">
        <v>5056.5</v>
      </c>
      <c r="BG6" s="35">
        <v>5127.3</v>
      </c>
      <c r="BH6" s="35">
        <v>5165.3999999999996</v>
      </c>
      <c r="BI6" s="35">
        <v>5232.3</v>
      </c>
      <c r="BJ6" s="35">
        <v>5321.2</v>
      </c>
      <c r="BK6" s="35">
        <v>5370</v>
      </c>
      <c r="BL6" s="35">
        <v>5472</v>
      </c>
      <c r="BM6" s="35">
        <v>5483.9</v>
      </c>
      <c r="BN6" s="35">
        <v>5531.8</v>
      </c>
      <c r="BO6" s="35">
        <v>5592.1</v>
      </c>
      <c r="BP6" s="35">
        <v>5691</v>
      </c>
      <c r="BQ6" s="35">
        <v>5725.8</v>
      </c>
      <c r="BR6" s="35">
        <v>5731.2</v>
      </c>
      <c r="BS6" s="35">
        <v>5809.4</v>
      </c>
      <c r="BT6" s="35">
        <v>5875.6</v>
      </c>
      <c r="BU6" s="35">
        <v>5888.1</v>
      </c>
      <c r="BV6" s="35">
        <v>5992.1</v>
      </c>
      <c r="BW6" s="35">
        <v>6036.4</v>
      </c>
      <c r="BX6" s="35">
        <v>6090</v>
      </c>
      <c r="BY6" s="35">
        <v>6159.2</v>
      </c>
      <c r="BZ6" s="35">
        <v>6187.8</v>
      </c>
      <c r="CA6" s="35">
        <v>6216.7</v>
      </c>
      <c r="CB6" s="35">
        <v>6276.9</v>
      </c>
      <c r="CC6" s="35">
        <v>6304.2</v>
      </c>
      <c r="CD6" s="35">
        <v>6357.2</v>
      </c>
      <c r="CE6" s="35">
        <v>6376.6</v>
      </c>
      <c r="CF6" s="35">
        <v>6401.8</v>
      </c>
      <c r="CG6" s="35">
        <v>6353.1</v>
      </c>
      <c r="CH6" s="35">
        <v>6329.2</v>
      </c>
      <c r="CI6" s="35">
        <v>6381.7</v>
      </c>
      <c r="CJ6" s="35">
        <v>6413.5</v>
      </c>
      <c r="CK6" s="35">
        <v>6410.3</v>
      </c>
      <c r="CL6" s="35">
        <v>6530.3</v>
      </c>
      <c r="CM6" s="35">
        <v>6574.7</v>
      </c>
      <c r="CN6" s="35">
        <v>6645.1</v>
      </c>
      <c r="CO6" s="35">
        <v>6724.3</v>
      </c>
      <c r="CP6" s="35">
        <v>6750.1</v>
      </c>
      <c r="CQ6" s="35">
        <v>6811.5</v>
      </c>
      <c r="CR6" s="35">
        <v>6887.3</v>
      </c>
      <c r="CS6" s="35">
        <v>6947.8</v>
      </c>
      <c r="CT6" s="35">
        <v>7027.3</v>
      </c>
      <c r="CU6" s="35">
        <v>7081.9</v>
      </c>
      <c r="CV6" s="35">
        <v>7135.9</v>
      </c>
      <c r="CW6" s="35">
        <v>7213.1</v>
      </c>
      <c r="CX6" s="35">
        <v>7231</v>
      </c>
      <c r="CY6" s="35">
        <v>7294.4</v>
      </c>
      <c r="CZ6" s="35">
        <v>7360.5</v>
      </c>
      <c r="DA6" s="35">
        <v>7411.9</v>
      </c>
      <c r="DB6" s="35">
        <v>7480.2</v>
      </c>
      <c r="DC6" s="35">
        <v>7560.7</v>
      </c>
      <c r="DD6" s="35">
        <v>7606.5</v>
      </c>
      <c r="DE6" s="35">
        <v>7667.1</v>
      </c>
      <c r="DF6" s="35">
        <v>7747.9</v>
      </c>
      <c r="DG6" s="35">
        <v>7782.8</v>
      </c>
      <c r="DH6" s="35">
        <v>7915.4</v>
      </c>
      <c r="DI6" s="35">
        <v>8010</v>
      </c>
      <c r="DJ6" s="35">
        <v>8091</v>
      </c>
      <c r="DK6" s="35">
        <v>8233.5</v>
      </c>
      <c r="DL6" s="35">
        <v>8340.7999999999993</v>
      </c>
      <c r="DM6" s="35">
        <v>8461.2999999999993</v>
      </c>
      <c r="DN6" s="35">
        <v>8548.2000000000007</v>
      </c>
      <c r="DO6" s="35">
        <v>8679.1</v>
      </c>
      <c r="DP6" s="35">
        <v>8776.7000000000007</v>
      </c>
      <c r="DQ6" s="35">
        <v>8905.1</v>
      </c>
      <c r="DR6" s="35">
        <v>9039.7000000000007</v>
      </c>
      <c r="DS6" s="35">
        <v>9124.2000000000007</v>
      </c>
      <c r="DT6" s="35">
        <v>9211.6</v>
      </c>
      <c r="DU6" s="35">
        <v>9292.1</v>
      </c>
      <c r="DV6" s="35">
        <v>9325.7999999999993</v>
      </c>
      <c r="DW6" s="35">
        <v>9344.5</v>
      </c>
      <c r="DX6" s="35">
        <v>9377</v>
      </c>
      <c r="DY6" s="35">
        <v>9528.2999999999993</v>
      </c>
      <c r="DZ6" s="35">
        <v>9549.5</v>
      </c>
      <c r="EA6" s="35">
        <v>9597.7999999999993</v>
      </c>
      <c r="EB6" s="35">
        <v>9665</v>
      </c>
      <c r="EC6" s="35">
        <v>9718.7000000000007</v>
      </c>
      <c r="ED6" s="35">
        <v>9766.6</v>
      </c>
      <c r="EE6" s="35">
        <v>9878.4</v>
      </c>
      <c r="EF6" s="35">
        <v>10018.1</v>
      </c>
      <c r="EG6" s="35">
        <v>10087.1</v>
      </c>
      <c r="EH6" s="35">
        <v>10181.1</v>
      </c>
      <c r="EI6" s="35">
        <v>10236.700000000001</v>
      </c>
      <c r="EJ6" s="35">
        <v>10356.9</v>
      </c>
      <c r="EK6" s="35">
        <v>10474.1</v>
      </c>
      <c r="EL6" s="35">
        <v>10540.6</v>
      </c>
      <c r="EM6" s="35">
        <v>10657.4</v>
      </c>
      <c r="EN6" s="35">
        <v>10745.9</v>
      </c>
      <c r="EO6" s="35">
        <v>10765.7</v>
      </c>
      <c r="EP6" s="35">
        <v>10883.1</v>
      </c>
      <c r="EQ6" s="35">
        <v>10939.5</v>
      </c>
      <c r="ER6" s="35">
        <v>11009.7</v>
      </c>
      <c r="ES6" s="35">
        <v>11114.8</v>
      </c>
      <c r="ET6" s="35">
        <v>11183.3</v>
      </c>
      <c r="EU6" s="35">
        <v>11212.7</v>
      </c>
      <c r="EV6" s="35">
        <v>11287.5</v>
      </c>
      <c r="EW6" s="35">
        <v>11331.9</v>
      </c>
      <c r="EX6" s="35">
        <v>11316.4</v>
      </c>
      <c r="EY6" s="35">
        <v>11347.6</v>
      </c>
      <c r="EZ6" s="35">
        <v>11260.1</v>
      </c>
      <c r="FA6" s="35">
        <v>11158.8</v>
      </c>
      <c r="FB6" s="35">
        <v>11130.5</v>
      </c>
      <c r="FC6" s="35">
        <v>11075.7</v>
      </c>
      <c r="FD6" s="35">
        <v>11150.2</v>
      </c>
      <c r="FE6" s="35">
        <v>11137.9</v>
      </c>
      <c r="FF6" s="35">
        <v>11202.5</v>
      </c>
      <c r="FG6" s="35">
        <v>11303</v>
      </c>
      <c r="FH6" s="35">
        <v>11383.6</v>
      </c>
      <c r="FI6" s="35">
        <v>11453.4</v>
      </c>
      <c r="FJ6" s="35">
        <v>11497.1</v>
      </c>
      <c r="FK6" s="35">
        <v>11509</v>
      </c>
      <c r="FL6" s="35">
        <v>11544</v>
      </c>
      <c r="FM6" s="35">
        <v>11563.9</v>
      </c>
      <c r="FN6" s="35">
        <v>11647.3</v>
      </c>
      <c r="FO6" s="35">
        <v>11667.8</v>
      </c>
      <c r="FP6" s="35">
        <v>11691.4</v>
      </c>
      <c r="FQ6" s="35">
        <v>11738</v>
      </c>
      <c r="FR6" s="35">
        <v>11814.3</v>
      </c>
      <c r="FS6" s="35">
        <v>11848.1</v>
      </c>
      <c r="FT6" s="35">
        <v>11896.3</v>
      </c>
      <c r="FU6" s="35">
        <v>12001</v>
      </c>
      <c r="FV6" s="35">
        <v>12044.2</v>
      </c>
      <c r="FW6" s="35">
        <v>12159.9</v>
      </c>
      <c r="FX6" s="35">
        <v>12280.1</v>
      </c>
      <c r="FY6" s="35">
        <v>12421.6</v>
      </c>
      <c r="FZ6" s="35">
        <v>12516.9</v>
      </c>
      <c r="GA6" s="35">
        <v>12603.1</v>
      </c>
      <c r="GB6" s="35">
        <v>12691.8</v>
      </c>
      <c r="GC6" s="35">
        <v>12743.4</v>
      </c>
      <c r="GD6" s="35">
        <v>12839.6</v>
      </c>
      <c r="GE6" s="35">
        <v>12903.3</v>
      </c>
      <c r="GF6" s="35">
        <v>12993.1</v>
      </c>
      <c r="GG6" s="35">
        <v>13060.1</v>
      </c>
      <c r="GH6" s="35">
        <v>13160.5</v>
      </c>
      <c r="GI6" s="35">
        <v>13225.7</v>
      </c>
      <c r="GJ6" s="35">
        <v>13315.4</v>
      </c>
      <c r="GK6" s="35">
        <v>13460.9</v>
      </c>
      <c r="GL6" s="35">
        <v>13558.4</v>
      </c>
      <c r="GM6" s="35">
        <v>13631</v>
      </c>
      <c r="GN6" s="35">
        <v>13693.8</v>
      </c>
      <c r="GO6" s="35">
        <v>13736.6</v>
      </c>
      <c r="GP6" s="35">
        <v>13752.6</v>
      </c>
      <c r="GQ6" s="35">
        <v>13862.8</v>
      </c>
      <c r="GR6" s="35">
        <v>14003.8</v>
      </c>
      <c r="GS6" s="35">
        <v>14093.9</v>
      </c>
      <c r="GT6" s="35">
        <v>13862.3</v>
      </c>
      <c r="GU6" s="35">
        <v>12668.7</v>
      </c>
      <c r="GV6" s="35">
        <v>13793.9</v>
      </c>
      <c r="GW6" s="35">
        <v>13982.9</v>
      </c>
      <c r="GX6" s="35">
        <v>14282.6</v>
      </c>
      <c r="GY6" s="35">
        <v>14745.6</v>
      </c>
      <c r="GZ6" s="35">
        <v>14848.8</v>
      </c>
      <c r="HA6" s="35">
        <v>14995.6</v>
      </c>
      <c r="HB6" s="35">
        <v>14995.2</v>
      </c>
      <c r="HC6">
        <v>15069.2</v>
      </c>
      <c r="HD6">
        <v>15127.4</v>
      </c>
      <c r="HE6">
        <v>15171.4</v>
      </c>
      <c r="HF6">
        <v>15312.9</v>
      </c>
      <c r="HG6">
        <v>15343.6</v>
      </c>
      <c r="HH6">
        <v>15461.4</v>
      </c>
      <c r="HI6">
        <v>15586.7</v>
      </c>
      <c r="HJ6">
        <v>15663.8</v>
      </c>
    </row>
    <row r="7" spans="1:218" x14ac:dyDescent="0.25">
      <c r="A7" s="35" t="s">
        <v>2170</v>
      </c>
      <c r="B7" s="35">
        <v>19.443999999999999</v>
      </c>
      <c r="C7" s="35">
        <v>19.658999999999999</v>
      </c>
      <c r="D7" s="35">
        <v>19.850999999999999</v>
      </c>
      <c r="E7" s="35">
        <v>20.108000000000001</v>
      </c>
      <c r="F7" s="35">
        <v>20.298999999999999</v>
      </c>
      <c r="G7" s="35">
        <v>20.53</v>
      </c>
      <c r="H7" s="35">
        <v>20.731999999999999</v>
      </c>
      <c r="I7" s="35">
        <v>20.86</v>
      </c>
      <c r="J7" s="35">
        <v>21.08</v>
      </c>
      <c r="K7" s="35">
        <v>21.202000000000002</v>
      </c>
      <c r="L7" s="35">
        <v>21.388000000000002</v>
      </c>
      <c r="M7" s="35">
        <v>21.562000000000001</v>
      </c>
      <c r="N7" s="35">
        <v>21.823</v>
      </c>
      <c r="O7" s="35">
        <v>22.242000000000001</v>
      </c>
      <c r="P7" s="35">
        <v>22.646999999999998</v>
      </c>
      <c r="Q7" s="35">
        <v>23.11</v>
      </c>
      <c r="R7" s="35">
        <v>23.797999999999998</v>
      </c>
      <c r="S7" s="35">
        <v>24.472000000000001</v>
      </c>
      <c r="T7" s="35">
        <v>25.132000000000001</v>
      </c>
      <c r="U7" s="35">
        <v>25.771000000000001</v>
      </c>
      <c r="V7" s="35">
        <v>26.256</v>
      </c>
      <c r="W7" s="35">
        <v>26.577999999999999</v>
      </c>
      <c r="X7" s="35">
        <v>27.076000000000001</v>
      </c>
      <c r="Y7" s="35">
        <v>27.53</v>
      </c>
      <c r="Z7" s="35">
        <v>27.832999999999998</v>
      </c>
      <c r="AA7" s="35">
        <v>28.065999999999999</v>
      </c>
      <c r="AB7" s="35">
        <v>28.492000000000001</v>
      </c>
      <c r="AC7" s="35">
        <v>28.942</v>
      </c>
      <c r="AD7" s="35">
        <v>29.465</v>
      </c>
      <c r="AE7" s="35">
        <v>29.969000000000001</v>
      </c>
      <c r="AF7" s="35">
        <v>30.42</v>
      </c>
      <c r="AG7" s="35">
        <v>30.852</v>
      </c>
      <c r="AH7" s="35">
        <v>31.358000000000001</v>
      </c>
      <c r="AI7" s="35">
        <v>32.002000000000002</v>
      </c>
      <c r="AJ7" s="35">
        <v>32.564</v>
      </c>
      <c r="AK7" s="35">
        <v>33.179000000000002</v>
      </c>
      <c r="AL7" s="35">
        <v>33.804000000000002</v>
      </c>
      <c r="AM7" s="35">
        <v>34.728000000000002</v>
      </c>
      <c r="AN7" s="35">
        <v>35.590000000000003</v>
      </c>
      <c r="AO7" s="35">
        <v>36.451000000000001</v>
      </c>
      <c r="AP7" s="35">
        <v>37.545000000000002</v>
      </c>
      <c r="AQ7" s="35">
        <v>38.463999999999999</v>
      </c>
      <c r="AR7" s="35">
        <v>39.363999999999997</v>
      </c>
      <c r="AS7" s="35">
        <v>40.338000000000001</v>
      </c>
      <c r="AT7" s="35">
        <v>41.384</v>
      </c>
      <c r="AU7" s="35">
        <v>42.078000000000003</v>
      </c>
      <c r="AV7" s="35">
        <v>42.771999999999998</v>
      </c>
      <c r="AW7" s="35">
        <v>43.427</v>
      </c>
      <c r="AX7" s="35">
        <v>43.978999999999999</v>
      </c>
      <c r="AY7" s="35">
        <v>44.402000000000001</v>
      </c>
      <c r="AZ7" s="35">
        <v>45.103000000000002</v>
      </c>
      <c r="BA7" s="35">
        <v>45.600999999999999</v>
      </c>
      <c r="BB7" s="35">
        <v>45.978000000000002</v>
      </c>
      <c r="BC7" s="35">
        <v>46.398000000000003</v>
      </c>
      <c r="BD7" s="35">
        <v>47.008000000000003</v>
      </c>
      <c r="BE7" s="35">
        <v>47.317999999999998</v>
      </c>
      <c r="BF7" s="35">
        <v>47.83</v>
      </c>
      <c r="BG7" s="35">
        <v>48.292999999999999</v>
      </c>
      <c r="BH7" s="35">
        <v>48.665999999999997</v>
      </c>
      <c r="BI7" s="35">
        <v>48.966000000000001</v>
      </c>
      <c r="BJ7" s="35">
        <v>49.543999999999997</v>
      </c>
      <c r="BK7" s="35">
        <v>49.945</v>
      </c>
      <c r="BL7" s="35">
        <v>50.337000000000003</v>
      </c>
      <c r="BM7" s="35">
        <v>50.688000000000002</v>
      </c>
      <c r="BN7" s="35">
        <v>51.046999999999997</v>
      </c>
      <c r="BO7" s="35">
        <v>50.993000000000002</v>
      </c>
      <c r="BP7" s="35">
        <v>51.262999999999998</v>
      </c>
      <c r="BQ7" s="35">
        <v>51.573</v>
      </c>
      <c r="BR7" s="35">
        <v>52.061</v>
      </c>
      <c r="BS7" s="35">
        <v>52.564</v>
      </c>
      <c r="BT7" s="35">
        <v>53.061999999999998</v>
      </c>
      <c r="BU7" s="35">
        <v>53.52</v>
      </c>
      <c r="BV7" s="35">
        <v>53.942999999999998</v>
      </c>
      <c r="BW7" s="35">
        <v>54.539000000000001</v>
      </c>
      <c r="BX7" s="35">
        <v>55.210999999999999</v>
      </c>
      <c r="BY7" s="35">
        <v>55.768999999999998</v>
      </c>
      <c r="BZ7" s="35">
        <v>56.41</v>
      </c>
      <c r="CA7" s="35">
        <v>57.17</v>
      </c>
      <c r="CB7" s="35">
        <v>57.506999999999998</v>
      </c>
      <c r="CC7" s="35">
        <v>57.959000000000003</v>
      </c>
      <c r="CD7" s="35">
        <v>58.798999999999999</v>
      </c>
      <c r="CE7" s="35">
        <v>59.332999999999998</v>
      </c>
      <c r="CF7" s="35">
        <v>60.087000000000003</v>
      </c>
      <c r="CG7" s="35">
        <v>60.881999999999998</v>
      </c>
      <c r="CH7" s="35">
        <v>61.201999999999998</v>
      </c>
      <c r="CI7" s="35">
        <v>61.536000000000001</v>
      </c>
      <c r="CJ7" s="35">
        <v>61.954000000000001</v>
      </c>
      <c r="CK7" s="35">
        <v>62.404000000000003</v>
      </c>
      <c r="CL7" s="35">
        <v>62.795000000000002</v>
      </c>
      <c r="CM7" s="35">
        <v>63.212000000000003</v>
      </c>
      <c r="CN7" s="35">
        <v>63.615000000000002</v>
      </c>
      <c r="CO7" s="35">
        <v>64.058999999999997</v>
      </c>
      <c r="CP7" s="35">
        <v>64.441000000000003</v>
      </c>
      <c r="CQ7" s="35">
        <v>64.873999999999995</v>
      </c>
      <c r="CR7" s="35">
        <v>65.155000000000001</v>
      </c>
      <c r="CS7" s="35">
        <v>65.531000000000006</v>
      </c>
      <c r="CT7" s="35">
        <v>65.766000000000005</v>
      </c>
      <c r="CU7" s="35">
        <v>66.132999999999996</v>
      </c>
      <c r="CV7" s="35">
        <v>66.606999999999999</v>
      </c>
      <c r="CW7" s="35">
        <v>66.92</v>
      </c>
      <c r="CX7" s="35">
        <v>67.247</v>
      </c>
      <c r="CY7" s="35">
        <v>67.638999999999996</v>
      </c>
      <c r="CZ7" s="35">
        <v>67.915000000000006</v>
      </c>
      <c r="DA7" s="35">
        <v>68.213999999999999</v>
      </c>
      <c r="DB7" s="35">
        <v>68.593000000000004</v>
      </c>
      <c r="DC7" s="35">
        <v>69.052000000000007</v>
      </c>
      <c r="DD7" s="35">
        <v>69.346000000000004</v>
      </c>
      <c r="DE7" s="35">
        <v>69.819000000000003</v>
      </c>
      <c r="DF7" s="35">
        <v>70.126999999999995</v>
      </c>
      <c r="DG7" s="35">
        <v>70.302999999999997</v>
      </c>
      <c r="DH7" s="35">
        <v>70.488</v>
      </c>
      <c r="DI7" s="35">
        <v>70.709999999999994</v>
      </c>
      <c r="DJ7" s="35">
        <v>70.715000000000003</v>
      </c>
      <c r="DK7" s="35">
        <v>70.843000000000004</v>
      </c>
      <c r="DL7" s="35">
        <v>71.061999999999998</v>
      </c>
      <c r="DM7" s="35">
        <v>71.248999999999995</v>
      </c>
      <c r="DN7" s="35">
        <v>71.39</v>
      </c>
      <c r="DO7" s="35">
        <v>71.796000000000006</v>
      </c>
      <c r="DP7" s="35">
        <v>72.191000000000003</v>
      </c>
      <c r="DQ7" s="35">
        <v>72.629000000000005</v>
      </c>
      <c r="DR7" s="35">
        <v>73.218999999999994</v>
      </c>
      <c r="DS7" s="35">
        <v>73.567999999999998</v>
      </c>
      <c r="DT7" s="35">
        <v>74.042000000000002</v>
      </c>
      <c r="DU7" s="35">
        <v>74.459999999999994</v>
      </c>
      <c r="DV7" s="35">
        <v>75.012</v>
      </c>
      <c r="DW7" s="35">
        <v>75.363</v>
      </c>
      <c r="DX7" s="35">
        <v>75.400999999999996</v>
      </c>
      <c r="DY7" s="35">
        <v>75.432000000000002</v>
      </c>
      <c r="DZ7" s="35">
        <v>75.584000000000003</v>
      </c>
      <c r="EA7" s="35">
        <v>76.144999999999996</v>
      </c>
      <c r="EB7" s="35">
        <v>76.539000000000001</v>
      </c>
      <c r="EC7" s="35">
        <v>76.896000000000001</v>
      </c>
      <c r="ED7" s="35">
        <v>77.483999999999995</v>
      </c>
      <c r="EE7" s="35">
        <v>77.561999999999998</v>
      </c>
      <c r="EF7" s="35">
        <v>78.072999999999993</v>
      </c>
      <c r="EG7" s="35">
        <v>78.456999999999994</v>
      </c>
      <c r="EH7" s="35">
        <v>79.061999999999998</v>
      </c>
      <c r="EI7" s="35">
        <v>79.593999999999994</v>
      </c>
      <c r="EJ7" s="35">
        <v>79.984999999999999</v>
      </c>
      <c r="EK7" s="35">
        <v>80.668999999999997</v>
      </c>
      <c r="EL7" s="35">
        <v>81.138000000000005</v>
      </c>
      <c r="EM7" s="35">
        <v>81.650000000000006</v>
      </c>
      <c r="EN7" s="35">
        <v>82.531999999999996</v>
      </c>
      <c r="EO7" s="35">
        <v>83.188999999999993</v>
      </c>
      <c r="EP7" s="35">
        <v>83.620999999999995</v>
      </c>
      <c r="EQ7" s="35">
        <v>84.355000000000004</v>
      </c>
      <c r="ER7" s="35">
        <v>84.962000000000003</v>
      </c>
      <c r="ES7" s="35">
        <v>84.822000000000003</v>
      </c>
      <c r="ET7" s="35">
        <v>85.596999999999994</v>
      </c>
      <c r="EU7" s="35">
        <v>86.323999999999998</v>
      </c>
      <c r="EV7" s="35">
        <v>86.811999999999998</v>
      </c>
      <c r="EW7" s="35">
        <v>87.694000000000003</v>
      </c>
      <c r="EX7" s="35">
        <v>88.408000000000001</v>
      </c>
      <c r="EY7" s="35">
        <v>89.269000000000005</v>
      </c>
      <c r="EZ7" s="35">
        <v>90.221000000000004</v>
      </c>
      <c r="FA7" s="35">
        <v>88.781000000000006</v>
      </c>
      <c r="FB7" s="35">
        <v>88.180999999999997</v>
      </c>
      <c r="FC7" s="35">
        <v>88.531999999999996</v>
      </c>
      <c r="FD7" s="35">
        <v>89.141999999999996</v>
      </c>
      <c r="FE7" s="35">
        <v>89.83</v>
      </c>
      <c r="FF7" s="35">
        <v>90.177000000000007</v>
      </c>
      <c r="FG7" s="35">
        <v>90.316999999999993</v>
      </c>
      <c r="FH7" s="35">
        <v>90.49</v>
      </c>
      <c r="FI7" s="35">
        <v>91.07</v>
      </c>
      <c r="FJ7" s="35">
        <v>91.834999999999994</v>
      </c>
      <c r="FK7" s="35">
        <v>92.738</v>
      </c>
      <c r="FL7" s="35">
        <v>93.167000000000002</v>
      </c>
      <c r="FM7" s="35">
        <v>93.474999999999994</v>
      </c>
      <c r="FN7" s="35">
        <v>94.093999999999994</v>
      </c>
      <c r="FO7" s="35">
        <v>94.320999999999998</v>
      </c>
      <c r="FP7" s="35">
        <v>94.594999999999999</v>
      </c>
      <c r="FQ7" s="35">
        <v>95.126000000000005</v>
      </c>
      <c r="FR7" s="35">
        <v>95.459000000000003</v>
      </c>
      <c r="FS7" s="35">
        <v>95.507999999999996</v>
      </c>
      <c r="FT7" s="35">
        <v>95.900999999999996</v>
      </c>
      <c r="FU7" s="35">
        <v>96.254000000000005</v>
      </c>
      <c r="FV7" s="35">
        <v>96.695999999999998</v>
      </c>
      <c r="FW7" s="35">
        <v>97.129000000000005</v>
      </c>
      <c r="FX7" s="35">
        <v>97.394000000000005</v>
      </c>
      <c r="FY7" s="35">
        <v>97.265000000000001</v>
      </c>
      <c r="FZ7" s="35">
        <v>96.828999999999994</v>
      </c>
      <c r="GA7" s="35">
        <v>97.311999999999998</v>
      </c>
      <c r="GB7" s="35">
        <v>97.564999999999998</v>
      </c>
      <c r="GC7" s="35">
        <v>97.49</v>
      </c>
      <c r="GD7" s="35">
        <v>97.537999999999997</v>
      </c>
      <c r="GE7" s="35">
        <v>98.156999999999996</v>
      </c>
      <c r="GF7" s="35">
        <v>98.495999999999995</v>
      </c>
      <c r="GG7" s="35">
        <v>98.947000000000003</v>
      </c>
      <c r="GH7" s="35">
        <v>99.524000000000001</v>
      </c>
      <c r="GI7" s="35">
        <v>99.724000000000004</v>
      </c>
      <c r="GJ7" s="35">
        <v>100.07599999999999</v>
      </c>
      <c r="GK7" s="35">
        <v>100.676</v>
      </c>
      <c r="GL7" s="35">
        <v>101.38</v>
      </c>
      <c r="GM7" s="35">
        <v>101.91200000000001</v>
      </c>
      <c r="GN7" s="35">
        <v>102.254</v>
      </c>
      <c r="GO7" s="35">
        <v>102.642</v>
      </c>
      <c r="GP7" s="35">
        <v>102.877</v>
      </c>
      <c r="GQ7" s="35">
        <v>103.422</v>
      </c>
      <c r="GR7" s="35">
        <v>103.67400000000001</v>
      </c>
      <c r="GS7" s="35">
        <v>104.08</v>
      </c>
      <c r="GT7" s="35">
        <v>104.416</v>
      </c>
      <c r="GU7" s="35">
        <v>103.962</v>
      </c>
      <c r="GV7" s="35">
        <v>104.819</v>
      </c>
      <c r="GW7" s="35">
        <v>105.343</v>
      </c>
      <c r="GX7" s="35">
        <v>106.578</v>
      </c>
      <c r="GY7" s="35">
        <v>108.208</v>
      </c>
      <c r="GZ7" s="35">
        <v>109.705</v>
      </c>
      <c r="HA7" s="35">
        <v>111.514</v>
      </c>
      <c r="HB7" s="35">
        <v>113.59</v>
      </c>
      <c r="HC7">
        <v>115.577</v>
      </c>
      <c r="HD7">
        <v>116.905</v>
      </c>
      <c r="HE7">
        <v>118.098</v>
      </c>
      <c r="HF7">
        <v>119.309</v>
      </c>
      <c r="HG7">
        <v>120.044</v>
      </c>
      <c r="HH7">
        <v>120.81399999999999</v>
      </c>
      <c r="HI7">
        <v>121.351</v>
      </c>
      <c r="HJ7">
        <v>122.34699999999999</v>
      </c>
    </row>
    <row r="8" spans="1:218" x14ac:dyDescent="0.25">
      <c r="A8" s="35" t="s">
        <v>2171</v>
      </c>
      <c r="B8" s="35">
        <v>17.722000000000001</v>
      </c>
      <c r="C8" s="35">
        <v>17.956</v>
      </c>
      <c r="D8" s="35">
        <v>18.263000000000002</v>
      </c>
      <c r="E8" s="35">
        <v>18.495000000000001</v>
      </c>
      <c r="F8" s="35">
        <v>19.081</v>
      </c>
      <c r="G8" s="35">
        <v>19.437000000000001</v>
      </c>
      <c r="H8" s="35">
        <v>19.719000000000001</v>
      </c>
      <c r="I8" s="35">
        <v>20.122</v>
      </c>
      <c r="J8" s="35">
        <v>20.952999999999999</v>
      </c>
      <c r="K8" s="35">
        <v>21.166</v>
      </c>
      <c r="L8" s="35">
        <v>21.34</v>
      </c>
      <c r="M8" s="35">
        <v>21.803999999999998</v>
      </c>
      <c r="N8" s="35">
        <v>22.155000000000001</v>
      </c>
      <c r="O8" s="35">
        <v>22.54</v>
      </c>
      <c r="P8" s="35">
        <v>23.006</v>
      </c>
      <c r="Q8" s="35">
        <v>23.498000000000001</v>
      </c>
      <c r="R8" s="35">
        <v>23.739000000000001</v>
      </c>
      <c r="S8" s="35">
        <v>24.167999999999999</v>
      </c>
      <c r="T8" s="35">
        <v>24.873999999999999</v>
      </c>
      <c r="U8" s="35">
        <v>25.7</v>
      </c>
      <c r="V8" s="35">
        <v>26.167000000000002</v>
      </c>
      <c r="W8" s="35">
        <v>26.545999999999999</v>
      </c>
      <c r="X8" s="35">
        <v>26.904</v>
      </c>
      <c r="Y8" s="35">
        <v>27.521999999999998</v>
      </c>
      <c r="Z8" s="35">
        <v>27.923999999999999</v>
      </c>
      <c r="AA8" s="35">
        <v>28.158000000000001</v>
      </c>
      <c r="AB8" s="35">
        <v>28.481000000000002</v>
      </c>
      <c r="AC8" s="35">
        <v>29.242000000000001</v>
      </c>
      <c r="AD8" s="35">
        <v>29.655999999999999</v>
      </c>
      <c r="AE8" s="35">
        <v>29.992999999999999</v>
      </c>
      <c r="AF8" s="35">
        <v>30.140999999999998</v>
      </c>
      <c r="AG8" s="35">
        <v>31.013999999999999</v>
      </c>
      <c r="AH8" s="35">
        <v>31.369</v>
      </c>
      <c r="AI8" s="35">
        <v>31.984999999999999</v>
      </c>
      <c r="AJ8" s="35">
        <v>32.520000000000003</v>
      </c>
      <c r="AK8" s="35">
        <v>33.081000000000003</v>
      </c>
      <c r="AL8" s="35">
        <v>33.691000000000003</v>
      </c>
      <c r="AM8" s="35">
        <v>34.200000000000003</v>
      </c>
      <c r="AN8" s="35">
        <v>34.997999999999998</v>
      </c>
      <c r="AO8" s="35">
        <v>35.768000000000001</v>
      </c>
      <c r="AP8" s="35">
        <v>36.475000000000001</v>
      </c>
      <c r="AQ8" s="35">
        <v>37.884999999999998</v>
      </c>
      <c r="AR8" s="35">
        <v>38.268999999999998</v>
      </c>
      <c r="AS8" s="35">
        <v>39.420999999999999</v>
      </c>
      <c r="AT8" s="35">
        <v>40.209000000000003</v>
      </c>
      <c r="AU8" s="35">
        <v>41.143999999999998</v>
      </c>
      <c r="AV8" s="35">
        <v>42.045999999999999</v>
      </c>
      <c r="AW8" s="35">
        <v>42.851999999999997</v>
      </c>
      <c r="AX8" s="35">
        <v>43.536000000000001</v>
      </c>
      <c r="AY8" s="35">
        <v>44.399000000000001</v>
      </c>
      <c r="AZ8" s="35">
        <v>44.771000000000001</v>
      </c>
      <c r="BA8" s="35">
        <v>45.3</v>
      </c>
      <c r="BB8" s="35">
        <v>45.384999999999998</v>
      </c>
      <c r="BC8" s="35">
        <v>45.734999999999999</v>
      </c>
      <c r="BD8" s="35">
        <v>46.241999999999997</v>
      </c>
      <c r="BE8" s="35">
        <v>46.543999999999997</v>
      </c>
      <c r="BF8" s="35">
        <v>47.146999999999998</v>
      </c>
      <c r="BG8" s="35">
        <v>47.616999999999997</v>
      </c>
      <c r="BH8" s="35">
        <v>48.325000000000003</v>
      </c>
      <c r="BI8" s="35">
        <v>48.92</v>
      </c>
      <c r="BJ8" s="35">
        <v>48.725000000000001</v>
      </c>
      <c r="BK8" s="35">
        <v>48.84</v>
      </c>
      <c r="BL8" s="35">
        <v>49.100999999999999</v>
      </c>
      <c r="BM8" s="35">
        <v>49.423000000000002</v>
      </c>
      <c r="BN8" s="35">
        <v>49.298000000000002</v>
      </c>
      <c r="BO8" s="35">
        <v>49.174999999999997</v>
      </c>
      <c r="BP8" s="35">
        <v>49.244999999999997</v>
      </c>
      <c r="BQ8" s="35">
        <v>49.3</v>
      </c>
      <c r="BR8" s="35">
        <v>49.216999999999999</v>
      </c>
      <c r="BS8" s="35">
        <v>49.45</v>
      </c>
      <c r="BT8" s="35">
        <v>49.808</v>
      </c>
      <c r="BU8" s="35">
        <v>49.911999999999999</v>
      </c>
      <c r="BV8" s="35">
        <v>50.593000000000004</v>
      </c>
      <c r="BW8" s="35">
        <v>51.09</v>
      </c>
      <c r="BX8" s="35">
        <v>51.381999999999998</v>
      </c>
      <c r="BY8" s="35">
        <v>51.795999999999999</v>
      </c>
      <c r="BZ8" s="35">
        <v>52.18</v>
      </c>
      <c r="CA8" s="35">
        <v>52.563000000000002</v>
      </c>
      <c r="CB8" s="35">
        <v>52.825000000000003</v>
      </c>
      <c r="CC8" s="35">
        <v>53.014000000000003</v>
      </c>
      <c r="CD8" s="35">
        <v>53.386000000000003</v>
      </c>
      <c r="CE8" s="35">
        <v>54.302999999999997</v>
      </c>
      <c r="CF8" s="35">
        <v>54.375999999999998</v>
      </c>
      <c r="CG8" s="35">
        <v>55.023000000000003</v>
      </c>
      <c r="CH8" s="35">
        <v>55.517000000000003</v>
      </c>
      <c r="CI8" s="35">
        <v>55.79</v>
      </c>
      <c r="CJ8" s="35">
        <v>56.508000000000003</v>
      </c>
      <c r="CK8" s="35">
        <v>57.079000000000001</v>
      </c>
      <c r="CL8" s="35">
        <v>57.162999999999997</v>
      </c>
      <c r="CM8" s="35">
        <v>57.371000000000002</v>
      </c>
      <c r="CN8" s="35">
        <v>57.872</v>
      </c>
      <c r="CO8" s="35">
        <v>58.234999999999999</v>
      </c>
      <c r="CP8" s="35">
        <v>58.381</v>
      </c>
      <c r="CQ8" s="35">
        <v>58.637</v>
      </c>
      <c r="CR8" s="35">
        <v>59.061999999999998</v>
      </c>
      <c r="CS8" s="35">
        <v>59.591000000000001</v>
      </c>
      <c r="CT8" s="35">
        <v>59.865000000000002</v>
      </c>
      <c r="CU8" s="35">
        <v>60.366999999999997</v>
      </c>
      <c r="CV8" s="35">
        <v>60.713000000000001</v>
      </c>
      <c r="CW8" s="35">
        <v>61.212000000000003</v>
      </c>
      <c r="CX8" s="35">
        <v>61.728000000000002</v>
      </c>
      <c r="CY8" s="35">
        <v>62.139000000000003</v>
      </c>
      <c r="CZ8" s="35">
        <v>62.460999999999999</v>
      </c>
      <c r="DA8" s="35">
        <v>63.323</v>
      </c>
      <c r="DB8" s="35">
        <v>63.472000000000001</v>
      </c>
      <c r="DC8" s="35">
        <v>63.131999999999998</v>
      </c>
      <c r="DD8" s="35">
        <v>63.499000000000002</v>
      </c>
      <c r="DE8" s="35">
        <v>63.716000000000001</v>
      </c>
      <c r="DF8" s="35">
        <v>63.933999999999997</v>
      </c>
      <c r="DG8" s="35">
        <v>64.353999999999999</v>
      </c>
      <c r="DH8" s="35">
        <v>64.503</v>
      </c>
      <c r="DI8" s="35">
        <v>64.953999999999994</v>
      </c>
      <c r="DJ8" s="35">
        <v>64.682000000000002</v>
      </c>
      <c r="DK8" s="35">
        <v>65.099000000000004</v>
      </c>
      <c r="DL8" s="35">
        <v>65.524000000000001</v>
      </c>
      <c r="DM8" s="35">
        <v>65.734999999999999</v>
      </c>
      <c r="DN8" s="35">
        <v>65.947000000000003</v>
      </c>
      <c r="DO8" s="35">
        <v>66.503</v>
      </c>
      <c r="DP8" s="35">
        <v>67.105999999999995</v>
      </c>
      <c r="DQ8" s="35">
        <v>67.930999999999997</v>
      </c>
      <c r="DR8" s="35">
        <v>68.593000000000004</v>
      </c>
      <c r="DS8" s="35">
        <v>68.855999999999995</v>
      </c>
      <c r="DT8" s="35">
        <v>69.349000000000004</v>
      </c>
      <c r="DU8" s="35">
        <v>69.662000000000006</v>
      </c>
      <c r="DV8" s="35">
        <v>69.781999999999996</v>
      </c>
      <c r="DW8" s="35">
        <v>70.147999999999996</v>
      </c>
      <c r="DX8" s="35">
        <v>70.596999999999994</v>
      </c>
      <c r="DY8" s="35">
        <v>71.055000000000007</v>
      </c>
      <c r="DZ8" s="35">
        <v>71.515000000000001</v>
      </c>
      <c r="EA8" s="35">
        <v>72.191000000000003</v>
      </c>
      <c r="EB8" s="35">
        <v>72.811000000000007</v>
      </c>
      <c r="EC8" s="35">
        <v>74.161000000000001</v>
      </c>
      <c r="ED8" s="35">
        <v>74.965000000000003</v>
      </c>
      <c r="EE8" s="35">
        <v>75.498999999999995</v>
      </c>
      <c r="EF8" s="35">
        <v>76.182000000000002</v>
      </c>
      <c r="EG8" s="35">
        <v>76.751999999999995</v>
      </c>
      <c r="EH8" s="35">
        <v>77.405000000000001</v>
      </c>
      <c r="EI8" s="35">
        <v>78.076999999999998</v>
      </c>
      <c r="EJ8" s="35">
        <v>78.792000000000002</v>
      </c>
      <c r="EK8" s="35">
        <v>79.558999999999997</v>
      </c>
      <c r="EL8" s="35">
        <v>80.605999999999995</v>
      </c>
      <c r="EM8" s="35">
        <v>81.332999999999998</v>
      </c>
      <c r="EN8" s="35">
        <v>82.182000000000002</v>
      </c>
      <c r="EO8" s="35">
        <v>82.772000000000006</v>
      </c>
      <c r="EP8" s="35">
        <v>83.468999999999994</v>
      </c>
      <c r="EQ8" s="35">
        <v>84.051000000000002</v>
      </c>
      <c r="ER8" s="35">
        <v>84.673000000000002</v>
      </c>
      <c r="ES8" s="35">
        <v>85.114000000000004</v>
      </c>
      <c r="ET8" s="35">
        <v>85.841999999999999</v>
      </c>
      <c r="EU8" s="35">
        <v>86.528000000000006</v>
      </c>
      <c r="EV8" s="35">
        <v>87.123999999999995</v>
      </c>
      <c r="EW8" s="35">
        <v>87.822000000000003</v>
      </c>
      <c r="EX8" s="35">
        <v>88.563000000000002</v>
      </c>
      <c r="EY8" s="35">
        <v>89.47</v>
      </c>
      <c r="EZ8" s="35">
        <v>90.141000000000005</v>
      </c>
      <c r="FA8" s="35">
        <v>89.712000000000003</v>
      </c>
      <c r="FB8" s="35">
        <v>88.959000000000003</v>
      </c>
      <c r="FC8" s="35">
        <v>88.974999999999994</v>
      </c>
      <c r="FD8" s="35">
        <v>89.247</v>
      </c>
      <c r="FE8" s="35">
        <v>89.933000000000007</v>
      </c>
      <c r="FF8" s="35">
        <v>90.506</v>
      </c>
      <c r="FG8" s="35">
        <v>91.2</v>
      </c>
      <c r="FH8" s="35">
        <v>91.561999999999998</v>
      </c>
      <c r="FI8" s="35">
        <v>92.307000000000002</v>
      </c>
      <c r="FJ8" s="35">
        <v>93.135999999999996</v>
      </c>
      <c r="FK8" s="35">
        <v>93.978999999999999</v>
      </c>
      <c r="FL8" s="35">
        <v>94.305999999999997</v>
      </c>
      <c r="FM8" s="35">
        <v>94.18</v>
      </c>
      <c r="FN8" s="35">
        <v>94.506</v>
      </c>
      <c r="FO8" s="35">
        <v>94.715000000000003</v>
      </c>
      <c r="FP8" s="35">
        <v>94.897000000000006</v>
      </c>
      <c r="FQ8" s="35">
        <v>95.013000000000005</v>
      </c>
      <c r="FR8" s="35">
        <v>94.947000000000003</v>
      </c>
      <c r="FS8" s="35">
        <v>95.102000000000004</v>
      </c>
      <c r="FT8" s="35">
        <v>95.436000000000007</v>
      </c>
      <c r="FU8" s="35">
        <v>96.903999999999996</v>
      </c>
      <c r="FV8" s="35">
        <v>96.649000000000001</v>
      </c>
      <c r="FW8" s="35">
        <v>97.057000000000002</v>
      </c>
      <c r="FX8" s="35">
        <v>97.513000000000005</v>
      </c>
      <c r="FY8" s="35">
        <v>97.641999999999996</v>
      </c>
      <c r="FZ8" s="35">
        <v>97.451999999999998</v>
      </c>
      <c r="GA8" s="35">
        <v>97.641000000000005</v>
      </c>
      <c r="GB8" s="35">
        <v>97.73</v>
      </c>
      <c r="GC8" s="35">
        <v>97.611000000000004</v>
      </c>
      <c r="GD8" s="35">
        <v>97.503</v>
      </c>
      <c r="GE8" s="35">
        <v>98.022000000000006</v>
      </c>
      <c r="GF8" s="35">
        <v>98.403999999999996</v>
      </c>
      <c r="GG8" s="35">
        <v>98.891000000000005</v>
      </c>
      <c r="GH8" s="35">
        <v>99.36</v>
      </c>
      <c r="GI8" s="35">
        <v>99.682000000000002</v>
      </c>
      <c r="GJ8" s="35">
        <v>100.12</v>
      </c>
      <c r="GK8" s="35">
        <v>100.83799999999999</v>
      </c>
      <c r="GL8" s="35">
        <v>101.798</v>
      </c>
      <c r="GM8" s="35">
        <v>102.497</v>
      </c>
      <c r="GN8" s="35">
        <v>103.027</v>
      </c>
      <c r="GO8" s="35">
        <v>103.77800000000001</v>
      </c>
      <c r="GP8" s="35">
        <v>104.85599999999999</v>
      </c>
      <c r="GQ8" s="35">
        <v>104.229</v>
      </c>
      <c r="GR8" s="35">
        <v>104.39700000000001</v>
      </c>
      <c r="GS8" s="35">
        <v>104.759</v>
      </c>
      <c r="GT8" s="35">
        <v>105.08799999999999</v>
      </c>
      <c r="GU8" s="35">
        <v>105.113</v>
      </c>
      <c r="GV8" s="35">
        <v>105.71299999999999</v>
      </c>
      <c r="GW8" s="35">
        <v>106.48099999999999</v>
      </c>
      <c r="GX8" s="35">
        <v>107.378</v>
      </c>
      <c r="GY8" s="35">
        <v>108.42400000000001</v>
      </c>
      <c r="GZ8" s="35">
        <v>109.523</v>
      </c>
      <c r="HA8" s="35">
        <v>110.771</v>
      </c>
      <c r="HB8" s="35">
        <v>112.724</v>
      </c>
      <c r="HC8">
        <v>114.607</v>
      </c>
      <c r="HD8">
        <v>115.96599999999999</v>
      </c>
      <c r="HE8">
        <v>117.13500000000001</v>
      </c>
      <c r="HF8">
        <v>118.327</v>
      </c>
      <c r="HG8">
        <v>118.93300000000001</v>
      </c>
      <c r="HH8">
        <v>120.09699999999999</v>
      </c>
      <c r="HI8">
        <v>121.268</v>
      </c>
      <c r="HJ8">
        <v>122.627</v>
      </c>
    </row>
    <row r="9" spans="1:218" x14ac:dyDescent="0.25">
      <c r="A9" s="35" t="s">
        <v>2172</v>
      </c>
      <c r="B9" s="35">
        <v>12.676</v>
      </c>
      <c r="C9" s="35">
        <v>12.944000000000001</v>
      </c>
      <c r="D9" s="35">
        <v>13.178000000000001</v>
      </c>
      <c r="E9" s="35">
        <v>13.428000000000001</v>
      </c>
      <c r="F9" s="35">
        <v>13.733000000000001</v>
      </c>
      <c r="G9" s="35">
        <v>13.981</v>
      </c>
      <c r="H9" s="35">
        <v>14.178000000000001</v>
      </c>
      <c r="I9" s="35">
        <v>14.333</v>
      </c>
      <c r="J9" s="35">
        <v>14.654</v>
      </c>
      <c r="K9" s="35">
        <v>14.827</v>
      </c>
      <c r="L9" s="35">
        <v>15.052</v>
      </c>
      <c r="M9" s="35">
        <v>15.259</v>
      </c>
      <c r="N9" s="35">
        <v>15.558999999999999</v>
      </c>
      <c r="O9" s="35">
        <v>15.836</v>
      </c>
      <c r="P9" s="35">
        <v>16.048999999999999</v>
      </c>
      <c r="Q9" s="35">
        <v>16.353000000000002</v>
      </c>
      <c r="R9" s="35">
        <v>16.827999999999999</v>
      </c>
      <c r="S9" s="35">
        <v>17.413</v>
      </c>
      <c r="T9" s="35">
        <v>18.047999999999998</v>
      </c>
      <c r="U9" s="35">
        <v>18.579000000000001</v>
      </c>
      <c r="V9" s="35">
        <v>18.952999999999999</v>
      </c>
      <c r="W9" s="35">
        <v>19.329000000000001</v>
      </c>
      <c r="X9" s="35">
        <v>19.576000000000001</v>
      </c>
      <c r="Y9" s="35">
        <v>19.826000000000001</v>
      </c>
      <c r="Z9" s="35">
        <v>20.05</v>
      </c>
      <c r="AA9" s="35">
        <v>20.292999999999999</v>
      </c>
      <c r="AB9" s="35">
        <v>20.443999999999999</v>
      </c>
      <c r="AC9" s="35">
        <v>20.689</v>
      </c>
      <c r="AD9" s="35">
        <v>21.079000000000001</v>
      </c>
      <c r="AE9" s="35">
        <v>21.456</v>
      </c>
      <c r="AF9" s="35">
        <v>21.821000000000002</v>
      </c>
      <c r="AG9" s="35">
        <v>22.189</v>
      </c>
      <c r="AH9" s="35">
        <v>22.503</v>
      </c>
      <c r="AI9" s="35">
        <v>22.879000000000001</v>
      </c>
      <c r="AJ9" s="35">
        <v>23.227</v>
      </c>
      <c r="AK9" s="35">
        <v>23.56</v>
      </c>
      <c r="AL9" s="35">
        <v>24.120999999999999</v>
      </c>
      <c r="AM9" s="35">
        <v>24.672999999999998</v>
      </c>
      <c r="AN9" s="35">
        <v>25.509</v>
      </c>
      <c r="AO9" s="35">
        <v>26.007000000000001</v>
      </c>
      <c r="AP9" s="35">
        <v>26.684000000000001</v>
      </c>
      <c r="AQ9" s="35">
        <v>27.417000000000002</v>
      </c>
      <c r="AR9" s="35">
        <v>28.207999999999998</v>
      </c>
      <c r="AS9" s="35">
        <v>28.975999999999999</v>
      </c>
      <c r="AT9" s="35">
        <v>29.917000000000002</v>
      </c>
      <c r="AU9" s="35">
        <v>30.562000000000001</v>
      </c>
      <c r="AV9" s="35">
        <v>30.977</v>
      </c>
      <c r="AW9" s="35">
        <v>31.466000000000001</v>
      </c>
      <c r="AX9" s="35">
        <v>31.997</v>
      </c>
      <c r="AY9" s="35">
        <v>32.511000000000003</v>
      </c>
      <c r="AZ9" s="35">
        <v>33.021000000000001</v>
      </c>
      <c r="BA9" s="35">
        <v>33.441000000000003</v>
      </c>
      <c r="BB9" s="35">
        <v>33.680999999999997</v>
      </c>
      <c r="BC9" s="35">
        <v>34.051000000000002</v>
      </c>
      <c r="BD9" s="35">
        <v>34.381</v>
      </c>
      <c r="BE9" s="35">
        <v>34.642000000000003</v>
      </c>
      <c r="BF9" s="35">
        <v>35.145000000000003</v>
      </c>
      <c r="BG9" s="35">
        <v>35.478999999999999</v>
      </c>
      <c r="BH9" s="35">
        <v>35.81</v>
      </c>
      <c r="BI9" s="35">
        <v>36.165999999999997</v>
      </c>
      <c r="BJ9" s="35">
        <v>36.593000000000004</v>
      </c>
      <c r="BK9" s="35">
        <v>36.953000000000003</v>
      </c>
      <c r="BL9" s="35">
        <v>37.259</v>
      </c>
      <c r="BM9" s="35">
        <v>37.603999999999999</v>
      </c>
      <c r="BN9" s="35">
        <v>37.76</v>
      </c>
      <c r="BO9" s="35">
        <v>37.927</v>
      </c>
      <c r="BP9" s="35">
        <v>38.255000000000003</v>
      </c>
      <c r="BQ9" s="35">
        <v>38.741</v>
      </c>
      <c r="BR9" s="35">
        <v>39.295000000000002</v>
      </c>
      <c r="BS9" s="35">
        <v>39.776000000000003</v>
      </c>
      <c r="BT9" s="35">
        <v>40.252000000000002</v>
      </c>
      <c r="BU9" s="35">
        <v>40.491</v>
      </c>
      <c r="BV9" s="35">
        <v>40.698999999999998</v>
      </c>
      <c r="BW9" s="35">
        <v>41.095999999999997</v>
      </c>
      <c r="BX9" s="35">
        <v>41.442999999999998</v>
      </c>
      <c r="BY9" s="35">
        <v>41.917999999999999</v>
      </c>
      <c r="BZ9" s="35">
        <v>42.469000000000001</v>
      </c>
      <c r="CA9" s="35">
        <v>43.045999999999999</v>
      </c>
      <c r="CB9" s="35">
        <v>43.45</v>
      </c>
      <c r="CC9" s="35">
        <v>44.011000000000003</v>
      </c>
      <c r="CD9" s="35">
        <v>44.634</v>
      </c>
      <c r="CE9" s="35">
        <v>45.094000000000001</v>
      </c>
      <c r="CF9" s="35">
        <v>45.707000000000001</v>
      </c>
      <c r="CG9" s="35">
        <v>46.427</v>
      </c>
      <c r="CH9" s="35">
        <v>46.622</v>
      </c>
      <c r="CI9" s="35">
        <v>46.904000000000003</v>
      </c>
      <c r="CJ9" s="35">
        <v>47.29</v>
      </c>
      <c r="CK9" s="35">
        <v>47.703000000000003</v>
      </c>
      <c r="CL9" s="35">
        <v>48.042999999999999</v>
      </c>
      <c r="CM9" s="35">
        <v>48.616999999999997</v>
      </c>
      <c r="CN9" s="35">
        <v>48.975000000000001</v>
      </c>
      <c r="CO9" s="35">
        <v>49.31</v>
      </c>
      <c r="CP9" s="35">
        <v>49.597000000000001</v>
      </c>
      <c r="CQ9" s="35">
        <v>49.889000000000003</v>
      </c>
      <c r="CR9" s="35">
        <v>50.030999999999999</v>
      </c>
      <c r="CS9" s="35">
        <v>50.283000000000001</v>
      </c>
      <c r="CT9" s="35">
        <v>50.694000000000003</v>
      </c>
      <c r="CU9" s="35">
        <v>50.975000000000001</v>
      </c>
      <c r="CV9" s="35">
        <v>51.420999999999999</v>
      </c>
      <c r="CW9" s="35">
        <v>51.856999999999999</v>
      </c>
      <c r="CX9" s="35">
        <v>52.146000000000001</v>
      </c>
      <c r="CY9" s="35">
        <v>52.542000000000002</v>
      </c>
      <c r="CZ9" s="35">
        <v>52.758000000000003</v>
      </c>
      <c r="DA9" s="35">
        <v>52.96</v>
      </c>
      <c r="DB9" s="35">
        <v>53.488999999999997</v>
      </c>
      <c r="DC9" s="35">
        <v>53.561</v>
      </c>
      <c r="DD9" s="35">
        <v>53.899000000000001</v>
      </c>
      <c r="DE9" s="35">
        <v>54.286000000000001</v>
      </c>
      <c r="DF9" s="35">
        <v>54.646000000000001</v>
      </c>
      <c r="DG9" s="35">
        <v>54.823</v>
      </c>
      <c r="DH9" s="35">
        <v>55.061</v>
      </c>
      <c r="DI9" s="35">
        <v>55.493000000000002</v>
      </c>
      <c r="DJ9" s="35">
        <v>55.567</v>
      </c>
      <c r="DK9" s="35">
        <v>55.813000000000002</v>
      </c>
      <c r="DL9" s="35">
        <v>56.231000000000002</v>
      </c>
      <c r="DM9" s="35">
        <v>56.701000000000001</v>
      </c>
      <c r="DN9" s="35">
        <v>57.134999999999998</v>
      </c>
      <c r="DO9" s="35">
        <v>57.908999999999999</v>
      </c>
      <c r="DP9" s="35">
        <v>58.603999999999999</v>
      </c>
      <c r="DQ9" s="35">
        <v>59.277000000000001</v>
      </c>
      <c r="DR9" s="35">
        <v>60.033999999999999</v>
      </c>
      <c r="DS9" s="35">
        <v>60.671999999999997</v>
      </c>
      <c r="DT9" s="35">
        <v>61.323999999999998</v>
      </c>
      <c r="DU9" s="35">
        <v>62.09</v>
      </c>
      <c r="DV9" s="35">
        <v>62.832000000000001</v>
      </c>
      <c r="DW9" s="35">
        <v>63.076999999999998</v>
      </c>
      <c r="DX9" s="35">
        <v>63.241</v>
      </c>
      <c r="DY9" s="35">
        <v>63.363</v>
      </c>
      <c r="DZ9" s="35">
        <v>63.735999999999997</v>
      </c>
      <c r="EA9" s="35">
        <v>64.311000000000007</v>
      </c>
      <c r="EB9" s="35">
        <v>64.778000000000006</v>
      </c>
      <c r="EC9" s="35">
        <v>65.325000000000003</v>
      </c>
      <c r="ED9" s="35">
        <v>66.256</v>
      </c>
      <c r="EE9" s="35">
        <v>66.307000000000002</v>
      </c>
      <c r="EF9" s="35">
        <v>66.747</v>
      </c>
      <c r="EG9" s="35">
        <v>67.272999999999996</v>
      </c>
      <c r="EH9" s="35">
        <v>68.131</v>
      </c>
      <c r="EI9" s="35">
        <v>69.108000000000004</v>
      </c>
      <c r="EJ9" s="35">
        <v>70.224000000000004</v>
      </c>
      <c r="EK9" s="35">
        <v>71.438999999999993</v>
      </c>
      <c r="EL9" s="35">
        <v>72.085999999999999</v>
      </c>
      <c r="EM9" s="35">
        <v>73.010000000000005</v>
      </c>
      <c r="EN9" s="35">
        <v>74.180000000000007</v>
      </c>
      <c r="EO9" s="35">
        <v>75.391000000000005</v>
      </c>
      <c r="EP9" s="35">
        <v>75.930000000000007</v>
      </c>
      <c r="EQ9" s="35">
        <v>77.102999999999994</v>
      </c>
      <c r="ER9" s="35">
        <v>77.885999999999996</v>
      </c>
      <c r="ES9" s="35">
        <v>78.707999999999998</v>
      </c>
      <c r="ET9" s="35">
        <v>80.213999999999999</v>
      </c>
      <c r="EU9" s="35">
        <v>81.082999999999998</v>
      </c>
      <c r="EV9" s="35">
        <v>81.971000000000004</v>
      </c>
      <c r="EW9" s="35">
        <v>83.146000000000001</v>
      </c>
      <c r="EX9" s="35">
        <v>84.486000000000004</v>
      </c>
      <c r="EY9" s="35">
        <v>85.668999999999997</v>
      </c>
      <c r="EZ9" s="35">
        <v>86.826999999999998</v>
      </c>
      <c r="FA9" s="35">
        <v>85.784000000000006</v>
      </c>
      <c r="FB9" s="35">
        <v>84.68</v>
      </c>
      <c r="FC9" s="35">
        <v>84.875</v>
      </c>
      <c r="FD9" s="35">
        <v>85.316999999999993</v>
      </c>
      <c r="FE9" s="35">
        <v>85.932000000000002</v>
      </c>
      <c r="FF9" s="35">
        <v>86.789000000000001</v>
      </c>
      <c r="FG9" s="35">
        <v>87.373000000000005</v>
      </c>
      <c r="FH9" s="35">
        <v>87.834000000000003</v>
      </c>
      <c r="FI9" s="35">
        <v>88.572999999999993</v>
      </c>
      <c r="FJ9" s="35">
        <v>89.474000000000004</v>
      </c>
      <c r="FK9" s="35">
        <v>90.561999999999998</v>
      </c>
      <c r="FL9" s="35">
        <v>91.025000000000006</v>
      </c>
      <c r="FM9" s="35">
        <v>90.912999999999997</v>
      </c>
      <c r="FN9" s="35">
        <v>92.015000000000001</v>
      </c>
      <c r="FO9" s="35">
        <v>92.024000000000001</v>
      </c>
      <c r="FP9" s="35">
        <v>92.572000000000003</v>
      </c>
      <c r="FQ9" s="35">
        <v>93.706000000000003</v>
      </c>
      <c r="FR9" s="35">
        <v>94.775000000000006</v>
      </c>
      <c r="FS9" s="35">
        <v>95.259</v>
      </c>
      <c r="FT9" s="35">
        <v>96.013000000000005</v>
      </c>
      <c r="FU9" s="35">
        <v>96.567999999999998</v>
      </c>
      <c r="FV9" s="35">
        <v>97.34</v>
      </c>
      <c r="FW9" s="35">
        <v>97.641999999999996</v>
      </c>
      <c r="FX9" s="35">
        <v>98.161000000000001</v>
      </c>
      <c r="FY9" s="35">
        <v>98.075000000000003</v>
      </c>
      <c r="FZ9" s="35">
        <v>97.174000000000007</v>
      </c>
      <c r="GA9" s="35">
        <v>97.783000000000001</v>
      </c>
      <c r="GB9" s="35">
        <v>97.844999999999999</v>
      </c>
      <c r="GC9" s="35">
        <v>97.466999999999999</v>
      </c>
      <c r="GD9" s="35">
        <v>96.685000000000002</v>
      </c>
      <c r="GE9" s="35">
        <v>97.415999999999997</v>
      </c>
      <c r="GF9" s="35">
        <v>97.721999999999994</v>
      </c>
      <c r="GG9" s="35">
        <v>98.197999999999993</v>
      </c>
      <c r="GH9" s="35">
        <v>99.103999999999999</v>
      </c>
      <c r="GI9" s="35">
        <v>99.283000000000001</v>
      </c>
      <c r="GJ9" s="35">
        <v>100.164</v>
      </c>
      <c r="GK9" s="35">
        <v>101.44799999999999</v>
      </c>
      <c r="GL9" s="35">
        <v>102.759</v>
      </c>
      <c r="GM9" s="35">
        <v>103.807</v>
      </c>
      <c r="GN9" s="35">
        <v>104.739</v>
      </c>
      <c r="GO9" s="35">
        <v>105.197</v>
      </c>
      <c r="GP9" s="35">
        <v>104.74299999999999</v>
      </c>
      <c r="GQ9" s="35">
        <v>105.46</v>
      </c>
      <c r="GR9" s="35">
        <v>105.85599999999999</v>
      </c>
      <c r="GS9" s="35">
        <v>106.498</v>
      </c>
      <c r="GT9" s="35">
        <v>107.871</v>
      </c>
      <c r="GU9" s="35">
        <v>107.643</v>
      </c>
      <c r="GV9" s="35">
        <v>108.94</v>
      </c>
      <c r="GW9" s="35">
        <v>110.30200000000001</v>
      </c>
      <c r="GX9" s="35">
        <v>112.765</v>
      </c>
      <c r="GY9" s="35">
        <v>114.846</v>
      </c>
      <c r="GZ9" s="35">
        <v>116.664</v>
      </c>
      <c r="HA9" s="35">
        <v>118.892</v>
      </c>
      <c r="HB9" s="35">
        <v>121.509</v>
      </c>
      <c r="HC9">
        <v>125.49</v>
      </c>
      <c r="HD9">
        <v>126.015</v>
      </c>
      <c r="HE9">
        <v>126.86799999999999</v>
      </c>
      <c r="HF9">
        <v>126.866</v>
      </c>
      <c r="HG9">
        <v>125.947</v>
      </c>
      <c r="HH9">
        <v>127.717</v>
      </c>
      <c r="HI9">
        <v>127.92400000000001</v>
      </c>
      <c r="HJ9">
        <v>129.131</v>
      </c>
    </row>
    <row r="10" spans="1:218" x14ac:dyDescent="0.25">
      <c r="A10" s="35" t="s">
        <v>2173</v>
      </c>
      <c r="B10" s="35">
        <v>12.117000000000001</v>
      </c>
      <c r="C10" s="35">
        <v>12.358000000000001</v>
      </c>
      <c r="D10" s="35">
        <v>12.576000000000001</v>
      </c>
      <c r="E10" s="35">
        <v>12.788</v>
      </c>
      <c r="F10" s="35">
        <v>13.102</v>
      </c>
      <c r="G10" s="35">
        <v>13.348000000000001</v>
      </c>
      <c r="H10" s="35">
        <v>13.548999999999999</v>
      </c>
      <c r="I10" s="35">
        <v>13.672000000000001</v>
      </c>
      <c r="J10" s="35">
        <v>14.016999999999999</v>
      </c>
      <c r="K10" s="35">
        <v>14.201000000000001</v>
      </c>
      <c r="L10" s="35">
        <v>14.422000000000001</v>
      </c>
      <c r="M10" s="35">
        <v>14.601000000000001</v>
      </c>
      <c r="N10" s="35">
        <v>14.888999999999999</v>
      </c>
      <c r="O10" s="35">
        <v>15.141</v>
      </c>
      <c r="P10" s="35">
        <v>15.316000000000001</v>
      </c>
      <c r="Q10" s="35">
        <v>15.573</v>
      </c>
      <c r="R10" s="35">
        <v>15.951000000000001</v>
      </c>
      <c r="S10" s="35">
        <v>16.38</v>
      </c>
      <c r="T10" s="35">
        <v>16.850999999999999</v>
      </c>
      <c r="U10" s="35">
        <v>17.292000000000002</v>
      </c>
      <c r="V10" s="35">
        <v>17.637</v>
      </c>
      <c r="W10" s="35">
        <v>18.062000000000001</v>
      </c>
      <c r="X10" s="35">
        <v>18.34</v>
      </c>
      <c r="Y10" s="35">
        <v>18.606999999999999</v>
      </c>
      <c r="Z10" s="35">
        <v>18.849</v>
      </c>
      <c r="AA10" s="35">
        <v>19.094999999999999</v>
      </c>
      <c r="AB10" s="35">
        <v>19.262</v>
      </c>
      <c r="AC10" s="35">
        <v>19.516999999999999</v>
      </c>
      <c r="AD10" s="35">
        <v>19.913</v>
      </c>
      <c r="AE10" s="35">
        <v>20.309000000000001</v>
      </c>
      <c r="AF10" s="35">
        <v>20.672000000000001</v>
      </c>
      <c r="AG10" s="35">
        <v>21.050999999999998</v>
      </c>
      <c r="AH10" s="35">
        <v>21.356999999999999</v>
      </c>
      <c r="AI10" s="35">
        <v>21.7</v>
      </c>
      <c r="AJ10" s="35">
        <v>22.01</v>
      </c>
      <c r="AK10" s="35">
        <v>22.305</v>
      </c>
      <c r="AL10" s="35">
        <v>22.853000000000002</v>
      </c>
      <c r="AM10" s="35">
        <v>23.352</v>
      </c>
      <c r="AN10" s="35">
        <v>24.172999999999998</v>
      </c>
      <c r="AO10" s="35">
        <v>24.588000000000001</v>
      </c>
      <c r="AP10" s="35">
        <v>25.22</v>
      </c>
      <c r="AQ10" s="35">
        <v>25.905000000000001</v>
      </c>
      <c r="AR10" s="35">
        <v>26.625</v>
      </c>
      <c r="AS10" s="35">
        <v>27.332999999999998</v>
      </c>
      <c r="AT10" s="35">
        <v>28.25</v>
      </c>
      <c r="AU10" s="35">
        <v>28.84</v>
      </c>
      <c r="AV10" s="35">
        <v>29.184999999999999</v>
      </c>
      <c r="AW10" s="35">
        <v>29.632999999999999</v>
      </c>
      <c r="AX10" s="35">
        <v>30.152000000000001</v>
      </c>
      <c r="AY10" s="35">
        <v>30.632999999999999</v>
      </c>
      <c r="AZ10" s="35">
        <v>31.141999999999999</v>
      </c>
      <c r="BA10" s="35">
        <v>31.609000000000002</v>
      </c>
      <c r="BB10" s="35">
        <v>31.881</v>
      </c>
      <c r="BC10" s="35">
        <v>32.316000000000003</v>
      </c>
      <c r="BD10" s="35">
        <v>32.694000000000003</v>
      </c>
      <c r="BE10" s="35">
        <v>33.000999999999998</v>
      </c>
      <c r="BF10" s="35">
        <v>33.579000000000001</v>
      </c>
      <c r="BG10" s="35">
        <v>33.945</v>
      </c>
      <c r="BH10" s="35">
        <v>34.31</v>
      </c>
      <c r="BI10" s="35">
        <v>34.715000000000003</v>
      </c>
      <c r="BJ10" s="35">
        <v>35.173999999999999</v>
      </c>
      <c r="BK10" s="35">
        <v>35.576000000000001</v>
      </c>
      <c r="BL10" s="35">
        <v>35.905999999999999</v>
      </c>
      <c r="BM10" s="35">
        <v>36.268000000000001</v>
      </c>
      <c r="BN10" s="35">
        <v>36.4</v>
      </c>
      <c r="BO10" s="35">
        <v>36.51</v>
      </c>
      <c r="BP10" s="35">
        <v>36.822000000000003</v>
      </c>
      <c r="BQ10" s="35">
        <v>37.307000000000002</v>
      </c>
      <c r="BR10" s="35">
        <v>37.911999999999999</v>
      </c>
      <c r="BS10" s="35">
        <v>38.409999999999997</v>
      </c>
      <c r="BT10" s="35">
        <v>38.898000000000003</v>
      </c>
      <c r="BU10" s="35">
        <v>39.136000000000003</v>
      </c>
      <c r="BV10" s="35">
        <v>39.308999999999997</v>
      </c>
      <c r="BW10" s="35">
        <v>39.732999999999997</v>
      </c>
      <c r="BX10" s="35">
        <v>40.087000000000003</v>
      </c>
      <c r="BY10" s="35">
        <v>40.606000000000002</v>
      </c>
      <c r="BZ10" s="35">
        <v>41.222000000000001</v>
      </c>
      <c r="CA10" s="35">
        <v>41.835999999999999</v>
      </c>
      <c r="CB10" s="35">
        <v>42.247999999999998</v>
      </c>
      <c r="CC10" s="35">
        <v>42.869</v>
      </c>
      <c r="CD10" s="35">
        <v>43.548000000000002</v>
      </c>
      <c r="CE10" s="35">
        <v>44.012999999999998</v>
      </c>
      <c r="CF10" s="35">
        <v>44.652000000000001</v>
      </c>
      <c r="CG10" s="35">
        <v>45.497999999999998</v>
      </c>
      <c r="CH10" s="35">
        <v>45.713999999999999</v>
      </c>
      <c r="CI10" s="35">
        <v>46.000999999999998</v>
      </c>
      <c r="CJ10" s="35">
        <v>46.44</v>
      </c>
      <c r="CK10" s="35">
        <v>46.969000000000001</v>
      </c>
      <c r="CL10" s="35">
        <v>47.411000000000001</v>
      </c>
      <c r="CM10" s="35">
        <v>48.055999999999997</v>
      </c>
      <c r="CN10" s="35">
        <v>48.466999999999999</v>
      </c>
      <c r="CO10" s="35">
        <v>48.822000000000003</v>
      </c>
      <c r="CP10" s="35">
        <v>49.088999999999999</v>
      </c>
      <c r="CQ10" s="35">
        <v>49.378999999999998</v>
      </c>
      <c r="CR10" s="35">
        <v>49.54</v>
      </c>
      <c r="CS10" s="35">
        <v>49.792999999999999</v>
      </c>
      <c r="CT10" s="35">
        <v>50.21</v>
      </c>
      <c r="CU10" s="35">
        <v>50.502000000000002</v>
      </c>
      <c r="CV10" s="35">
        <v>50.942999999999998</v>
      </c>
      <c r="CW10" s="35">
        <v>51.378</v>
      </c>
      <c r="CX10" s="35">
        <v>51.613999999999997</v>
      </c>
      <c r="CY10" s="35">
        <v>52.011000000000003</v>
      </c>
      <c r="CZ10" s="35">
        <v>52.207999999999998</v>
      </c>
      <c r="DA10" s="35">
        <v>52.384999999999998</v>
      </c>
      <c r="DB10" s="35">
        <v>52.962000000000003</v>
      </c>
      <c r="DC10" s="35">
        <v>53.036999999999999</v>
      </c>
      <c r="DD10" s="35">
        <v>53.387999999999998</v>
      </c>
      <c r="DE10" s="35">
        <v>53.820999999999998</v>
      </c>
      <c r="DF10" s="35">
        <v>54.19</v>
      </c>
      <c r="DG10" s="35">
        <v>54.32</v>
      </c>
      <c r="DH10" s="35">
        <v>54.579000000000001</v>
      </c>
      <c r="DI10" s="35">
        <v>55.024999999999999</v>
      </c>
      <c r="DJ10" s="35">
        <v>55.112000000000002</v>
      </c>
      <c r="DK10" s="35">
        <v>55.405000000000001</v>
      </c>
      <c r="DL10" s="35">
        <v>55.837000000000003</v>
      </c>
      <c r="DM10" s="35">
        <v>56.34</v>
      </c>
      <c r="DN10" s="35">
        <v>56.820999999999998</v>
      </c>
      <c r="DO10" s="35">
        <v>57.673000000000002</v>
      </c>
      <c r="DP10" s="35">
        <v>58.472000000000001</v>
      </c>
      <c r="DQ10" s="35">
        <v>59.185000000000002</v>
      </c>
      <c r="DR10" s="35">
        <v>60.011000000000003</v>
      </c>
      <c r="DS10" s="35">
        <v>60.637999999999998</v>
      </c>
      <c r="DT10" s="35">
        <v>61.35</v>
      </c>
      <c r="DU10" s="35">
        <v>62.213999999999999</v>
      </c>
      <c r="DV10" s="35">
        <v>63.045000000000002</v>
      </c>
      <c r="DW10" s="35">
        <v>63.311</v>
      </c>
      <c r="DX10" s="35">
        <v>63.468000000000004</v>
      </c>
      <c r="DY10" s="35">
        <v>63.537999999999997</v>
      </c>
      <c r="DZ10" s="35">
        <v>63.935000000000002</v>
      </c>
      <c r="EA10" s="35">
        <v>64.566999999999993</v>
      </c>
      <c r="EB10" s="35">
        <v>65.099999999999994</v>
      </c>
      <c r="EC10" s="35">
        <v>65.754999999999995</v>
      </c>
      <c r="ED10" s="35">
        <v>66.789000000000001</v>
      </c>
      <c r="EE10" s="35">
        <v>66.835999999999999</v>
      </c>
      <c r="EF10" s="35">
        <v>67.364999999999995</v>
      </c>
      <c r="EG10" s="35">
        <v>67.98</v>
      </c>
      <c r="EH10" s="35">
        <v>68.947000000000003</v>
      </c>
      <c r="EI10" s="35">
        <v>69.87</v>
      </c>
      <c r="EJ10" s="35">
        <v>70.819000000000003</v>
      </c>
      <c r="EK10" s="35">
        <v>71.933000000000007</v>
      </c>
      <c r="EL10" s="35">
        <v>72.594999999999999</v>
      </c>
      <c r="EM10" s="35">
        <v>73.424000000000007</v>
      </c>
      <c r="EN10" s="35">
        <v>74.492000000000004</v>
      </c>
      <c r="EO10" s="35">
        <v>75.751000000000005</v>
      </c>
      <c r="EP10" s="35">
        <v>76.31</v>
      </c>
      <c r="EQ10" s="35">
        <v>77.367000000000004</v>
      </c>
      <c r="ER10" s="35">
        <v>78.082999999999998</v>
      </c>
      <c r="ES10" s="35">
        <v>78.665999999999997</v>
      </c>
      <c r="ET10" s="35">
        <v>80.055000000000007</v>
      </c>
      <c r="EU10" s="35">
        <v>80.929000000000002</v>
      </c>
      <c r="EV10" s="35">
        <v>81.84</v>
      </c>
      <c r="EW10" s="35">
        <v>83.063999999999993</v>
      </c>
      <c r="EX10" s="35">
        <v>84.537000000000006</v>
      </c>
      <c r="EY10" s="35">
        <v>85.850999999999999</v>
      </c>
      <c r="EZ10" s="35">
        <v>87.024000000000001</v>
      </c>
      <c r="FA10" s="35">
        <v>85.35</v>
      </c>
      <c r="FB10" s="35">
        <v>83.858999999999995</v>
      </c>
      <c r="FC10" s="35">
        <v>84.284000000000006</v>
      </c>
      <c r="FD10" s="35">
        <v>85.016000000000005</v>
      </c>
      <c r="FE10" s="35">
        <v>85.792000000000002</v>
      </c>
      <c r="FF10" s="35">
        <v>86.787999999999997</v>
      </c>
      <c r="FG10" s="35">
        <v>87.418999999999997</v>
      </c>
      <c r="FH10" s="35">
        <v>87.921999999999997</v>
      </c>
      <c r="FI10" s="35">
        <v>88.741</v>
      </c>
      <c r="FJ10" s="35">
        <v>89.727000000000004</v>
      </c>
      <c r="FK10" s="35">
        <v>90.858999999999995</v>
      </c>
      <c r="FL10" s="35">
        <v>91.197999999999993</v>
      </c>
      <c r="FM10" s="35">
        <v>90.867000000000004</v>
      </c>
      <c r="FN10" s="35">
        <v>92.066999999999993</v>
      </c>
      <c r="FO10" s="35">
        <v>91.918999999999997</v>
      </c>
      <c r="FP10" s="35">
        <v>92.477000000000004</v>
      </c>
      <c r="FQ10" s="35">
        <v>93.82</v>
      </c>
      <c r="FR10" s="35">
        <v>95.039000000000001</v>
      </c>
      <c r="FS10" s="35">
        <v>95.528000000000006</v>
      </c>
      <c r="FT10" s="35">
        <v>96.335999999999999</v>
      </c>
      <c r="FU10" s="35">
        <v>96.86</v>
      </c>
      <c r="FV10" s="35">
        <v>97.683000000000007</v>
      </c>
      <c r="FW10" s="35">
        <v>97.96</v>
      </c>
      <c r="FX10" s="35">
        <v>98.494</v>
      </c>
      <c r="FY10" s="35">
        <v>98.355000000000004</v>
      </c>
      <c r="FZ10" s="35">
        <v>97.266999999999996</v>
      </c>
      <c r="GA10" s="35">
        <v>97.921000000000006</v>
      </c>
      <c r="GB10" s="35">
        <v>97.936999999999998</v>
      </c>
      <c r="GC10" s="35">
        <v>97.49</v>
      </c>
      <c r="GD10" s="35">
        <v>96.588999999999999</v>
      </c>
      <c r="GE10" s="35">
        <v>97.31</v>
      </c>
      <c r="GF10" s="35">
        <v>97.668999999999997</v>
      </c>
      <c r="GG10" s="35">
        <v>98.147000000000006</v>
      </c>
      <c r="GH10" s="35">
        <v>99.114999999999995</v>
      </c>
      <c r="GI10" s="35">
        <v>99.218000000000004</v>
      </c>
      <c r="GJ10" s="35">
        <v>100.108</v>
      </c>
      <c r="GK10" s="35">
        <v>101.559</v>
      </c>
      <c r="GL10" s="35">
        <v>102.955</v>
      </c>
      <c r="GM10" s="35">
        <v>103.943</v>
      </c>
      <c r="GN10" s="35">
        <v>104.932</v>
      </c>
      <c r="GO10" s="35">
        <v>105.254</v>
      </c>
      <c r="GP10" s="35">
        <v>104.602</v>
      </c>
      <c r="GQ10" s="35">
        <v>105.227</v>
      </c>
      <c r="GR10" s="35">
        <v>105.613</v>
      </c>
      <c r="GS10" s="35">
        <v>106.369</v>
      </c>
      <c r="GT10" s="35">
        <v>107.994</v>
      </c>
      <c r="GU10" s="35">
        <v>107.79300000000001</v>
      </c>
      <c r="GV10" s="35">
        <v>109.14</v>
      </c>
      <c r="GW10" s="35">
        <v>110.675</v>
      </c>
      <c r="GX10" s="35">
        <v>113.297</v>
      </c>
      <c r="GY10" s="35">
        <v>115.264</v>
      </c>
      <c r="GZ10" s="35">
        <v>116.973</v>
      </c>
      <c r="HA10" s="35">
        <v>119.054</v>
      </c>
      <c r="HB10" s="35">
        <v>121.578</v>
      </c>
      <c r="HC10">
        <v>125.643</v>
      </c>
      <c r="HD10">
        <v>125.80500000000001</v>
      </c>
      <c r="HE10">
        <v>126.575</v>
      </c>
      <c r="HF10">
        <v>126.235</v>
      </c>
      <c r="HG10">
        <v>125.096</v>
      </c>
      <c r="HH10">
        <v>127.176</v>
      </c>
      <c r="HI10">
        <v>127.35599999999999</v>
      </c>
      <c r="HJ10">
        <v>128.67500000000001</v>
      </c>
    </row>
    <row r="11" spans="1:218" x14ac:dyDescent="0.25">
      <c r="A11" s="35" t="s">
        <v>2174</v>
      </c>
      <c r="B11" s="35">
        <v>15.584</v>
      </c>
      <c r="C11" s="35">
        <v>15.976000000000001</v>
      </c>
      <c r="D11" s="35">
        <v>16.285</v>
      </c>
      <c r="E11" s="35">
        <v>16.699000000000002</v>
      </c>
      <c r="F11" s="35">
        <v>16.98</v>
      </c>
      <c r="G11" s="35">
        <v>17.251000000000001</v>
      </c>
      <c r="H11" s="35">
        <v>17.439</v>
      </c>
      <c r="I11" s="35">
        <v>17.741</v>
      </c>
      <c r="J11" s="35">
        <v>17.968</v>
      </c>
      <c r="K11" s="35">
        <v>18.094000000000001</v>
      </c>
      <c r="L11" s="35">
        <v>18.344999999999999</v>
      </c>
      <c r="M11" s="35">
        <v>18.687999999999999</v>
      </c>
      <c r="N11" s="35">
        <v>19.047999999999998</v>
      </c>
      <c r="O11" s="35">
        <v>19.449000000000002</v>
      </c>
      <c r="P11" s="35">
        <v>19.844999999999999</v>
      </c>
      <c r="Q11" s="35">
        <v>20.378</v>
      </c>
      <c r="R11" s="35">
        <v>21.323</v>
      </c>
      <c r="S11" s="35">
        <v>22.663</v>
      </c>
      <c r="T11" s="35">
        <v>24.111000000000001</v>
      </c>
      <c r="U11" s="35">
        <v>25.113</v>
      </c>
      <c r="V11" s="35">
        <v>25.648</v>
      </c>
      <c r="W11" s="35">
        <v>25.774000000000001</v>
      </c>
      <c r="X11" s="35">
        <v>25.856000000000002</v>
      </c>
      <c r="Y11" s="35">
        <v>26.013000000000002</v>
      </c>
      <c r="Z11" s="35">
        <v>26.140999999999998</v>
      </c>
      <c r="AA11" s="35">
        <v>26.364999999999998</v>
      </c>
      <c r="AB11" s="35">
        <v>26.422999999999998</v>
      </c>
      <c r="AC11" s="35">
        <v>26.602</v>
      </c>
      <c r="AD11" s="35">
        <v>26.946000000000002</v>
      </c>
      <c r="AE11" s="35">
        <v>27.212</v>
      </c>
      <c r="AF11" s="35">
        <v>27.577999999999999</v>
      </c>
      <c r="AG11" s="35">
        <v>27.873000000000001</v>
      </c>
      <c r="AH11" s="35">
        <v>28.219000000000001</v>
      </c>
      <c r="AI11" s="35">
        <v>28.773</v>
      </c>
      <c r="AJ11" s="35">
        <v>29.324000000000002</v>
      </c>
      <c r="AK11" s="35">
        <v>29.847999999999999</v>
      </c>
      <c r="AL11" s="35">
        <v>30.463000000000001</v>
      </c>
      <c r="AM11" s="35">
        <v>31.29</v>
      </c>
      <c r="AN11" s="35">
        <v>32.204000000000001</v>
      </c>
      <c r="AO11" s="35">
        <v>33.118000000000002</v>
      </c>
      <c r="AP11" s="35">
        <v>34.021999999999998</v>
      </c>
      <c r="AQ11" s="35">
        <v>34.999000000000002</v>
      </c>
      <c r="AR11" s="35">
        <v>36.149000000000001</v>
      </c>
      <c r="AS11" s="35">
        <v>37.219000000000001</v>
      </c>
      <c r="AT11" s="35">
        <v>38.273000000000003</v>
      </c>
      <c r="AU11" s="35">
        <v>39.188000000000002</v>
      </c>
      <c r="AV11" s="35">
        <v>39.991</v>
      </c>
      <c r="AW11" s="35">
        <v>40.703000000000003</v>
      </c>
      <c r="AX11" s="35">
        <v>41.274000000000001</v>
      </c>
      <c r="AY11" s="35">
        <v>41.965000000000003</v>
      </c>
      <c r="AZ11" s="35">
        <v>42.46</v>
      </c>
      <c r="BA11" s="35">
        <v>42.567999999999998</v>
      </c>
      <c r="BB11" s="35">
        <v>42.606999999999999</v>
      </c>
      <c r="BC11" s="35">
        <v>42.55</v>
      </c>
      <c r="BD11" s="35">
        <v>42.573999999999998</v>
      </c>
      <c r="BE11" s="35">
        <v>42.561999999999998</v>
      </c>
      <c r="BF11" s="35">
        <v>42.607999999999997</v>
      </c>
      <c r="BG11" s="35">
        <v>42.759</v>
      </c>
      <c r="BH11" s="35">
        <v>42.896999999999998</v>
      </c>
      <c r="BI11" s="35">
        <v>42.984000000000002</v>
      </c>
      <c r="BJ11" s="35">
        <v>43.222999999999999</v>
      </c>
      <c r="BK11" s="35">
        <v>43.356999999999999</v>
      </c>
      <c r="BL11" s="35">
        <v>43.533999999999999</v>
      </c>
      <c r="BM11" s="35">
        <v>43.793999999999997</v>
      </c>
      <c r="BN11" s="35">
        <v>44.066000000000003</v>
      </c>
      <c r="BO11" s="35">
        <v>44.52</v>
      </c>
      <c r="BP11" s="35">
        <v>44.924999999999997</v>
      </c>
      <c r="BQ11" s="35">
        <v>45.411000000000001</v>
      </c>
      <c r="BR11" s="35">
        <v>45.701999999999998</v>
      </c>
      <c r="BS11" s="35">
        <v>46.087000000000003</v>
      </c>
      <c r="BT11" s="35">
        <v>46.497</v>
      </c>
      <c r="BU11" s="35">
        <v>46.743000000000002</v>
      </c>
      <c r="BV11" s="35">
        <v>47.119</v>
      </c>
      <c r="BW11" s="35">
        <v>47.378999999999998</v>
      </c>
      <c r="BX11" s="35">
        <v>47.685000000000002</v>
      </c>
      <c r="BY11" s="35">
        <v>47.936</v>
      </c>
      <c r="BZ11" s="35">
        <v>48.167999999999999</v>
      </c>
      <c r="CA11" s="35">
        <v>48.558999999999997</v>
      </c>
      <c r="CB11" s="35">
        <v>48.918999999999997</v>
      </c>
      <c r="CC11" s="35">
        <v>49.19</v>
      </c>
      <c r="CD11" s="35">
        <v>49.543999999999997</v>
      </c>
      <c r="CE11" s="35">
        <v>49.981000000000002</v>
      </c>
      <c r="CF11" s="35">
        <v>50.466000000000001</v>
      </c>
      <c r="CG11" s="35">
        <v>50.600999999999999</v>
      </c>
      <c r="CH11" s="35">
        <v>50.7</v>
      </c>
      <c r="CI11" s="35">
        <v>50.960999999999999</v>
      </c>
      <c r="CJ11" s="35">
        <v>51.097000000000001</v>
      </c>
      <c r="CK11" s="35">
        <v>50.969000000000001</v>
      </c>
      <c r="CL11" s="35">
        <v>50.835999999999999</v>
      </c>
      <c r="CM11" s="35">
        <v>51.076000000000001</v>
      </c>
      <c r="CN11" s="35">
        <v>51.180999999999997</v>
      </c>
      <c r="CO11" s="35">
        <v>51.414000000000001</v>
      </c>
      <c r="CP11" s="35">
        <v>51.795999999999999</v>
      </c>
      <c r="CQ11" s="35">
        <v>52.097999999999999</v>
      </c>
      <c r="CR11" s="35">
        <v>52.151000000000003</v>
      </c>
      <c r="CS11" s="35">
        <v>52.395000000000003</v>
      </c>
      <c r="CT11" s="35">
        <v>52.777000000000001</v>
      </c>
      <c r="CU11" s="35">
        <v>53.006</v>
      </c>
      <c r="CV11" s="35">
        <v>53.47</v>
      </c>
      <c r="CW11" s="35">
        <v>53.914999999999999</v>
      </c>
      <c r="CX11" s="35">
        <v>54.453000000000003</v>
      </c>
      <c r="CY11" s="35">
        <v>54.843000000000004</v>
      </c>
      <c r="CZ11" s="35">
        <v>55.145000000000003</v>
      </c>
      <c r="DA11" s="35">
        <v>55.463000000000001</v>
      </c>
      <c r="DB11" s="35">
        <v>55.761000000000003</v>
      </c>
      <c r="DC11" s="35">
        <v>55.822000000000003</v>
      </c>
      <c r="DD11" s="35">
        <v>56.1</v>
      </c>
      <c r="DE11" s="35">
        <v>56.280999999999999</v>
      </c>
      <c r="DF11" s="35">
        <v>56.598999999999997</v>
      </c>
      <c r="DG11" s="35">
        <v>56.984999999999999</v>
      </c>
      <c r="DH11" s="35">
        <v>57.13</v>
      </c>
      <c r="DI11" s="35">
        <v>57.497</v>
      </c>
      <c r="DJ11" s="35">
        <v>57.517000000000003</v>
      </c>
      <c r="DK11" s="35">
        <v>57.552</v>
      </c>
      <c r="DL11" s="35">
        <v>57.908000000000001</v>
      </c>
      <c r="DM11" s="35">
        <v>58.234000000000002</v>
      </c>
      <c r="DN11" s="35">
        <v>58.468000000000004</v>
      </c>
      <c r="DO11" s="35">
        <v>58.901000000000003</v>
      </c>
      <c r="DP11" s="35">
        <v>59.15</v>
      </c>
      <c r="DQ11" s="35">
        <v>59.654000000000003</v>
      </c>
      <c r="DR11" s="35">
        <v>60.125999999999998</v>
      </c>
      <c r="DS11" s="35">
        <v>60.811</v>
      </c>
      <c r="DT11" s="35">
        <v>61.209000000000003</v>
      </c>
      <c r="DU11" s="35">
        <v>61.569000000000003</v>
      </c>
      <c r="DV11" s="35">
        <v>61.948999999999998</v>
      </c>
      <c r="DW11" s="35">
        <v>62.107999999999997</v>
      </c>
      <c r="DX11" s="35">
        <v>62.302999999999997</v>
      </c>
      <c r="DY11" s="35">
        <v>62.637999999999998</v>
      </c>
      <c r="DZ11" s="35">
        <v>62.912999999999997</v>
      </c>
      <c r="EA11" s="35">
        <v>63.255000000000003</v>
      </c>
      <c r="EB11" s="35">
        <v>63.448999999999998</v>
      </c>
      <c r="EC11" s="35">
        <v>63.558999999999997</v>
      </c>
      <c r="ED11" s="35">
        <v>64.085999999999999</v>
      </c>
      <c r="EE11" s="35">
        <v>64.153000000000006</v>
      </c>
      <c r="EF11" s="35">
        <v>64.233999999999995</v>
      </c>
      <c r="EG11" s="35">
        <v>64.412000000000006</v>
      </c>
      <c r="EH11" s="35">
        <v>64.831000000000003</v>
      </c>
      <c r="EI11" s="35">
        <v>66.022000000000006</v>
      </c>
      <c r="EJ11" s="35">
        <v>67.8</v>
      </c>
      <c r="EK11" s="35">
        <v>69.427999999999997</v>
      </c>
      <c r="EL11" s="35">
        <v>70.015000000000001</v>
      </c>
      <c r="EM11" s="35">
        <v>71.331999999999994</v>
      </c>
      <c r="EN11" s="35">
        <v>72.921000000000006</v>
      </c>
      <c r="EO11" s="35">
        <v>73.938000000000002</v>
      </c>
      <c r="EP11" s="35">
        <v>74.397000000000006</v>
      </c>
      <c r="EQ11" s="35">
        <v>76.037000000000006</v>
      </c>
      <c r="ER11" s="35">
        <v>77.094999999999999</v>
      </c>
      <c r="ES11" s="35">
        <v>78.903000000000006</v>
      </c>
      <c r="ET11" s="35">
        <v>80.894000000000005</v>
      </c>
      <c r="EU11" s="35">
        <v>81.739999999999995</v>
      </c>
      <c r="EV11" s="35">
        <v>82.527000000000001</v>
      </c>
      <c r="EW11" s="35">
        <v>83.498000000000005</v>
      </c>
      <c r="EX11" s="35">
        <v>84.29</v>
      </c>
      <c r="EY11" s="35">
        <v>84.938000000000002</v>
      </c>
      <c r="EZ11" s="35">
        <v>86.036000000000001</v>
      </c>
      <c r="FA11" s="35">
        <v>87.611999999999995</v>
      </c>
      <c r="FB11" s="35">
        <v>88.159000000000006</v>
      </c>
      <c r="FC11" s="35">
        <v>87.385000000000005</v>
      </c>
      <c r="FD11" s="35">
        <v>86.596999999999994</v>
      </c>
      <c r="FE11" s="35">
        <v>86.53</v>
      </c>
      <c r="FF11" s="35">
        <v>86.775000000000006</v>
      </c>
      <c r="FG11" s="35">
        <v>87.153000000000006</v>
      </c>
      <c r="FH11" s="35">
        <v>87.427000000000007</v>
      </c>
      <c r="FI11" s="35">
        <v>87.82</v>
      </c>
      <c r="FJ11" s="35">
        <v>88.35</v>
      </c>
      <c r="FK11" s="35">
        <v>89.242999999999995</v>
      </c>
      <c r="FL11" s="35">
        <v>90.251999999999995</v>
      </c>
      <c r="FM11" s="35">
        <v>91.1</v>
      </c>
      <c r="FN11" s="35">
        <v>91.778000000000006</v>
      </c>
      <c r="FO11" s="35">
        <v>92.497</v>
      </c>
      <c r="FP11" s="35">
        <v>93.001999999999995</v>
      </c>
      <c r="FQ11" s="35">
        <v>93.183000000000007</v>
      </c>
      <c r="FR11" s="35">
        <v>93.552000000000007</v>
      </c>
      <c r="FS11" s="35">
        <v>94.016000000000005</v>
      </c>
      <c r="FT11" s="35">
        <v>94.519000000000005</v>
      </c>
      <c r="FU11" s="35">
        <v>95.221999999999994</v>
      </c>
      <c r="FV11" s="35">
        <v>95.751000000000005</v>
      </c>
      <c r="FW11" s="35">
        <v>96.174999999999997</v>
      </c>
      <c r="FX11" s="35">
        <v>96.62</v>
      </c>
      <c r="FY11" s="35">
        <v>96.778999999999996</v>
      </c>
      <c r="FZ11" s="35">
        <v>96.742000000000004</v>
      </c>
      <c r="GA11" s="35">
        <v>97.147999999999996</v>
      </c>
      <c r="GB11" s="35">
        <v>97.418000000000006</v>
      </c>
      <c r="GC11" s="35">
        <v>97.352999999999994</v>
      </c>
      <c r="GD11" s="35">
        <v>97.113</v>
      </c>
      <c r="GE11" s="35">
        <v>97.894000000000005</v>
      </c>
      <c r="GF11" s="35">
        <v>97.953000000000003</v>
      </c>
      <c r="GG11" s="35">
        <v>98.42</v>
      </c>
      <c r="GH11" s="35">
        <v>99.05</v>
      </c>
      <c r="GI11" s="35">
        <v>99.57</v>
      </c>
      <c r="GJ11" s="35">
        <v>100.41200000000001</v>
      </c>
      <c r="GK11" s="35">
        <v>100.968</v>
      </c>
      <c r="GL11" s="35">
        <v>101.911</v>
      </c>
      <c r="GM11" s="35">
        <v>103.214</v>
      </c>
      <c r="GN11" s="35">
        <v>103.89700000000001</v>
      </c>
      <c r="GO11" s="35">
        <v>104.94499999999999</v>
      </c>
      <c r="GP11" s="35">
        <v>105.355</v>
      </c>
      <c r="GQ11" s="35">
        <v>106.47199999999999</v>
      </c>
      <c r="GR11" s="35">
        <v>106.917</v>
      </c>
      <c r="GS11" s="35">
        <v>107.06100000000001</v>
      </c>
      <c r="GT11" s="35">
        <v>107.322</v>
      </c>
      <c r="GU11" s="35">
        <v>106.98099999999999</v>
      </c>
      <c r="GV11" s="35">
        <v>108.051</v>
      </c>
      <c r="GW11" s="35">
        <v>108.63</v>
      </c>
      <c r="GX11" s="35">
        <v>110.369</v>
      </c>
      <c r="GY11" s="35">
        <v>112.94199999999999</v>
      </c>
      <c r="GZ11" s="35">
        <v>115.264</v>
      </c>
      <c r="HA11" s="35">
        <v>118.19799999999999</v>
      </c>
      <c r="HB11" s="35">
        <v>121.27</v>
      </c>
      <c r="HC11">
        <v>124.827</v>
      </c>
      <c r="HD11">
        <v>127.185</v>
      </c>
      <c r="HE11">
        <v>128.44900000000001</v>
      </c>
      <c r="HF11">
        <v>130.08600000000001</v>
      </c>
      <c r="HG11">
        <v>130.202</v>
      </c>
      <c r="HH11">
        <v>130.56700000000001</v>
      </c>
      <c r="HI11">
        <v>130.893</v>
      </c>
      <c r="HJ11">
        <v>131.62799999999999</v>
      </c>
    </row>
    <row r="12" spans="1:218" x14ac:dyDescent="0.25">
      <c r="A12" s="35" t="s">
        <v>2175</v>
      </c>
      <c r="B12" s="35">
        <v>7</v>
      </c>
      <c r="C12" s="35">
        <v>7.2</v>
      </c>
      <c r="D12" s="35">
        <v>7.3</v>
      </c>
      <c r="E12" s="35">
        <v>7.5</v>
      </c>
      <c r="F12" s="35">
        <v>7.8</v>
      </c>
      <c r="G12" s="35">
        <v>8</v>
      </c>
      <c r="H12" s="35">
        <v>8.1</v>
      </c>
      <c r="I12" s="35">
        <v>8.3000000000000007</v>
      </c>
      <c r="J12" s="35">
        <v>8.5</v>
      </c>
      <c r="K12" s="35">
        <v>8.6999999999999993</v>
      </c>
      <c r="L12" s="35">
        <v>8.9</v>
      </c>
      <c r="M12" s="35">
        <v>9.1999999999999993</v>
      </c>
      <c r="N12" s="35">
        <v>9.5</v>
      </c>
      <c r="O12" s="35">
        <v>10</v>
      </c>
      <c r="P12" s="35">
        <v>10.5</v>
      </c>
      <c r="Q12" s="35">
        <v>11</v>
      </c>
      <c r="R12" s="35">
        <v>11.7</v>
      </c>
      <c r="S12" s="35">
        <v>12.4</v>
      </c>
      <c r="T12" s="35">
        <v>13.1</v>
      </c>
      <c r="U12" s="35">
        <v>13.8</v>
      </c>
      <c r="V12" s="35">
        <v>14.5</v>
      </c>
      <c r="W12" s="35">
        <v>15.2</v>
      </c>
      <c r="X12" s="35">
        <v>16</v>
      </c>
      <c r="Y12" s="35">
        <v>16.8</v>
      </c>
      <c r="Z12" s="35">
        <v>17.600000000000001</v>
      </c>
      <c r="AA12" s="35">
        <v>18.399999999999999</v>
      </c>
      <c r="AB12" s="35">
        <v>19.2</v>
      </c>
      <c r="AC12" s="35">
        <v>20</v>
      </c>
      <c r="AD12" s="35">
        <v>20.9</v>
      </c>
      <c r="AE12" s="35">
        <v>21.7</v>
      </c>
      <c r="AF12" s="35">
        <v>22.5</v>
      </c>
      <c r="AG12" s="35">
        <v>23.3</v>
      </c>
      <c r="AH12" s="35">
        <v>24.2</v>
      </c>
      <c r="AI12" s="35">
        <v>25</v>
      </c>
      <c r="AJ12" s="35">
        <v>26</v>
      </c>
      <c r="AK12" s="35">
        <v>27</v>
      </c>
      <c r="AL12" s="35">
        <v>28</v>
      </c>
      <c r="AM12" s="35">
        <v>29.2</v>
      </c>
      <c r="AN12" s="35">
        <v>30.5</v>
      </c>
      <c r="AO12" s="35">
        <v>32</v>
      </c>
      <c r="AP12" s="35">
        <v>33.6</v>
      </c>
      <c r="AQ12" s="35">
        <v>35.299999999999997</v>
      </c>
      <c r="AR12" s="35">
        <v>37</v>
      </c>
      <c r="AS12" s="35">
        <v>38.799999999999997</v>
      </c>
      <c r="AT12" s="35">
        <v>40.700000000000003</v>
      </c>
      <c r="AU12" s="35">
        <v>42.6</v>
      </c>
      <c r="AV12" s="35">
        <v>44.4</v>
      </c>
      <c r="AW12" s="35">
        <v>46.3</v>
      </c>
      <c r="AX12" s="35">
        <v>48.2</v>
      </c>
      <c r="AY12" s="35">
        <v>50.1</v>
      </c>
      <c r="AZ12" s="35">
        <v>51.8</v>
      </c>
      <c r="BA12" s="35">
        <v>53.6</v>
      </c>
      <c r="BB12" s="35">
        <v>55.2</v>
      </c>
      <c r="BC12" s="35">
        <v>56.9</v>
      </c>
      <c r="BD12" s="35">
        <v>58.7</v>
      </c>
      <c r="BE12" s="35">
        <v>60.4</v>
      </c>
      <c r="BF12" s="35">
        <v>62.5</v>
      </c>
      <c r="BG12" s="35">
        <v>64.099999999999994</v>
      </c>
      <c r="BH12" s="35">
        <v>65.599999999999994</v>
      </c>
      <c r="BI12" s="35">
        <v>66.900000000000006</v>
      </c>
      <c r="BJ12" s="35">
        <v>67.900000000000006</v>
      </c>
      <c r="BK12" s="35">
        <v>69.099999999999994</v>
      </c>
      <c r="BL12" s="35">
        <v>70.3</v>
      </c>
      <c r="BM12" s="35">
        <v>71.599999999999994</v>
      </c>
      <c r="BN12" s="35">
        <v>73</v>
      </c>
      <c r="BO12" s="35">
        <v>74.5</v>
      </c>
      <c r="BP12" s="35">
        <v>76</v>
      </c>
      <c r="BQ12" s="35">
        <v>77.599999999999994</v>
      </c>
      <c r="BR12" s="35">
        <v>79.599999999999994</v>
      </c>
      <c r="BS12" s="35">
        <v>81.099999999999994</v>
      </c>
      <c r="BT12" s="35">
        <v>82.3</v>
      </c>
      <c r="BU12" s="35">
        <v>83.3</v>
      </c>
      <c r="BV12" s="35">
        <v>83.4</v>
      </c>
      <c r="BW12" s="35">
        <v>85</v>
      </c>
      <c r="BX12" s="35">
        <v>87</v>
      </c>
      <c r="BY12" s="35">
        <v>89.7</v>
      </c>
      <c r="BZ12" s="35">
        <v>93.8</v>
      </c>
      <c r="CA12" s="35">
        <v>96.9</v>
      </c>
      <c r="CB12" s="35">
        <v>99.7</v>
      </c>
      <c r="CC12" s="35">
        <v>102.3</v>
      </c>
      <c r="CD12" s="35">
        <v>104.3</v>
      </c>
      <c r="CE12" s="35">
        <v>106.5</v>
      </c>
      <c r="CF12" s="35">
        <v>108.7</v>
      </c>
      <c r="CG12" s="35">
        <v>111</v>
      </c>
      <c r="CH12" s="35">
        <v>112.9</v>
      </c>
      <c r="CI12" s="35">
        <v>115.7</v>
      </c>
      <c r="CJ12" s="35">
        <v>118.9</v>
      </c>
      <c r="CK12" s="35">
        <v>122.5</v>
      </c>
      <c r="CL12" s="35">
        <v>127.2</v>
      </c>
      <c r="CM12" s="35">
        <v>131</v>
      </c>
      <c r="CN12" s="35">
        <v>134.5</v>
      </c>
      <c r="CO12" s="35">
        <v>137.69999999999999</v>
      </c>
      <c r="CP12" s="35">
        <v>143.4</v>
      </c>
      <c r="CQ12" s="35">
        <v>144.69999999999999</v>
      </c>
      <c r="CR12" s="35">
        <v>147.5</v>
      </c>
      <c r="CS12" s="35">
        <v>151.6</v>
      </c>
      <c r="CT12" s="35">
        <v>156.9</v>
      </c>
      <c r="CU12" s="35">
        <v>162.19999999999999</v>
      </c>
      <c r="CV12" s="35">
        <v>167.1</v>
      </c>
      <c r="CW12" s="35">
        <v>171.6</v>
      </c>
      <c r="CX12" s="35">
        <v>175.7</v>
      </c>
      <c r="CY12" s="35">
        <v>179.6</v>
      </c>
      <c r="CZ12" s="35">
        <v>183.2</v>
      </c>
      <c r="DA12" s="35">
        <v>186.5</v>
      </c>
      <c r="DB12" s="35">
        <v>189.6</v>
      </c>
      <c r="DC12" s="35">
        <v>192.9</v>
      </c>
      <c r="DD12" s="35">
        <v>196.5</v>
      </c>
      <c r="DE12" s="35">
        <v>200.4</v>
      </c>
      <c r="DF12" s="35">
        <v>204.4</v>
      </c>
      <c r="DG12" s="35">
        <v>207.1</v>
      </c>
      <c r="DH12" s="35">
        <v>208.3</v>
      </c>
      <c r="DI12" s="35">
        <v>207.9</v>
      </c>
      <c r="DJ12" s="35">
        <v>206.4</v>
      </c>
      <c r="DK12" s="35">
        <v>205.3</v>
      </c>
      <c r="DL12" s="35">
        <v>205</v>
      </c>
      <c r="DM12" s="35">
        <v>205.5</v>
      </c>
      <c r="DN12" s="35">
        <v>206.6</v>
      </c>
      <c r="DO12" s="35">
        <v>207.9</v>
      </c>
      <c r="DP12" s="35">
        <v>209.4</v>
      </c>
      <c r="DQ12" s="35">
        <v>211</v>
      </c>
      <c r="DR12" s="35">
        <v>213</v>
      </c>
      <c r="DS12" s="35">
        <v>216.1</v>
      </c>
      <c r="DT12" s="35">
        <v>220.7</v>
      </c>
      <c r="DU12" s="35">
        <v>226.7</v>
      </c>
      <c r="DV12" s="35">
        <v>233.8</v>
      </c>
      <c r="DW12" s="35">
        <v>240.4</v>
      </c>
      <c r="DX12" s="35">
        <v>245.8</v>
      </c>
      <c r="DY12" s="35">
        <v>250.3</v>
      </c>
      <c r="DZ12" s="35">
        <v>254.1</v>
      </c>
      <c r="EA12" s="35">
        <v>257.89999999999998</v>
      </c>
      <c r="EB12" s="35">
        <v>261.60000000000002</v>
      </c>
      <c r="EC12" s="35">
        <v>265.2</v>
      </c>
      <c r="ED12" s="35">
        <v>268.89999999999998</v>
      </c>
      <c r="EE12" s="35">
        <v>273.39999999999998</v>
      </c>
      <c r="EF12" s="35">
        <v>279</v>
      </c>
      <c r="EG12" s="35">
        <v>285.5</v>
      </c>
      <c r="EH12" s="35">
        <v>293</v>
      </c>
      <c r="EI12" s="35">
        <v>300.39999999999998</v>
      </c>
      <c r="EJ12" s="35">
        <v>308.60000000000002</v>
      </c>
      <c r="EK12" s="35">
        <v>315.39999999999998</v>
      </c>
      <c r="EL12" s="35">
        <v>323.2</v>
      </c>
      <c r="EM12" s="35">
        <v>329.2</v>
      </c>
      <c r="EN12" s="35">
        <v>335.1</v>
      </c>
      <c r="EO12" s="35">
        <v>341</v>
      </c>
      <c r="EP12" s="35">
        <v>389.6</v>
      </c>
      <c r="EQ12" s="35">
        <v>395.6</v>
      </c>
      <c r="ER12" s="35">
        <v>402.1</v>
      </c>
      <c r="ES12" s="35">
        <v>409.1</v>
      </c>
      <c r="ET12" s="35">
        <v>416.4</v>
      </c>
      <c r="EU12" s="35">
        <v>424.1</v>
      </c>
      <c r="EV12" s="35">
        <v>432</v>
      </c>
      <c r="EW12" s="35">
        <v>440.3</v>
      </c>
      <c r="EX12" s="35">
        <v>448.8</v>
      </c>
      <c r="EY12" s="35">
        <v>457.3</v>
      </c>
      <c r="EZ12" s="35">
        <v>465.9</v>
      </c>
      <c r="FA12" s="35">
        <v>474.5</v>
      </c>
      <c r="FB12" s="35">
        <v>482.9</v>
      </c>
      <c r="FC12" s="35">
        <v>490.4</v>
      </c>
      <c r="FD12" s="35">
        <v>496.7</v>
      </c>
      <c r="FE12" s="35">
        <v>501.8</v>
      </c>
      <c r="FF12" s="35">
        <v>506</v>
      </c>
      <c r="FG12" s="35">
        <v>510.5</v>
      </c>
      <c r="FH12" s="35">
        <v>515.70000000000005</v>
      </c>
      <c r="FI12" s="35">
        <v>521.4</v>
      </c>
      <c r="FJ12" s="35">
        <v>527.6</v>
      </c>
      <c r="FK12" s="35">
        <v>533.4</v>
      </c>
      <c r="FL12" s="35">
        <v>538.5</v>
      </c>
      <c r="FM12" s="35">
        <v>542.9</v>
      </c>
      <c r="FN12" s="35">
        <v>547</v>
      </c>
      <c r="FO12" s="35">
        <v>551.6</v>
      </c>
      <c r="FP12" s="35">
        <v>557.1</v>
      </c>
      <c r="FQ12" s="35">
        <v>563.4</v>
      </c>
      <c r="FR12" s="35">
        <v>570.29999999999995</v>
      </c>
      <c r="FS12" s="35">
        <v>567.1</v>
      </c>
      <c r="FT12" s="35">
        <v>573.70000000000005</v>
      </c>
      <c r="FU12" s="35">
        <v>580.20000000000005</v>
      </c>
      <c r="FV12" s="35">
        <v>587.5</v>
      </c>
      <c r="FW12" s="35">
        <v>595.6</v>
      </c>
      <c r="FX12" s="35">
        <v>604</v>
      </c>
      <c r="FY12" s="35">
        <v>612.79999999999995</v>
      </c>
      <c r="FZ12" s="35">
        <v>622.4</v>
      </c>
      <c r="GA12" s="35">
        <v>631.5</v>
      </c>
      <c r="GB12" s="35">
        <v>639.5</v>
      </c>
      <c r="GC12" s="35">
        <v>646.4</v>
      </c>
      <c r="GD12" s="35">
        <v>652.4</v>
      </c>
      <c r="GE12" s="35">
        <v>658.6</v>
      </c>
      <c r="GF12" s="35">
        <v>665.2</v>
      </c>
      <c r="GG12" s="35">
        <v>672.2</v>
      </c>
      <c r="GH12" s="35">
        <v>678.5</v>
      </c>
      <c r="GI12" s="35">
        <v>687.4</v>
      </c>
      <c r="GJ12" s="35">
        <v>696.3</v>
      </c>
      <c r="GK12" s="35">
        <v>705.1</v>
      </c>
      <c r="GL12" s="35">
        <v>714.4</v>
      </c>
      <c r="GM12" s="35">
        <v>725.7</v>
      </c>
      <c r="GN12" s="35">
        <v>739.2</v>
      </c>
      <c r="GO12" s="35">
        <v>755</v>
      </c>
      <c r="GP12" s="35">
        <v>771.9</v>
      </c>
      <c r="GQ12" s="35">
        <v>785.3</v>
      </c>
      <c r="GR12" s="35">
        <v>793.9</v>
      </c>
      <c r="GS12" s="35">
        <v>797.9</v>
      </c>
      <c r="GT12" s="35">
        <v>798.4</v>
      </c>
      <c r="GU12" s="35">
        <v>811.1</v>
      </c>
      <c r="GV12" s="35">
        <v>823.1</v>
      </c>
      <c r="GW12" s="35">
        <v>834.5</v>
      </c>
      <c r="GX12" s="35">
        <v>849.4</v>
      </c>
      <c r="GY12" s="35">
        <v>865.6</v>
      </c>
      <c r="GZ12" s="35">
        <v>882.6</v>
      </c>
      <c r="HA12" s="35">
        <v>900.3</v>
      </c>
      <c r="HB12" s="35">
        <v>918.2</v>
      </c>
      <c r="HC12">
        <v>924.7</v>
      </c>
      <c r="HD12">
        <v>927.2</v>
      </c>
      <c r="HE12">
        <v>934.2</v>
      </c>
      <c r="HF12">
        <v>938.1</v>
      </c>
      <c r="HG12">
        <v>941.9</v>
      </c>
      <c r="HH12">
        <v>946.3</v>
      </c>
      <c r="HI12">
        <v>951.3</v>
      </c>
      <c r="HJ12">
        <v>965.3</v>
      </c>
    </row>
    <row r="13" spans="1:218" x14ac:dyDescent="0.25">
      <c r="A13" s="35" t="s">
        <v>2176</v>
      </c>
      <c r="B13" s="35">
        <v>5</v>
      </c>
      <c r="C13" s="35">
        <v>5.3</v>
      </c>
      <c r="D13" s="35">
        <v>5.6</v>
      </c>
      <c r="E13" s="35">
        <v>5.9</v>
      </c>
      <c r="F13" s="35">
        <v>6.2</v>
      </c>
      <c r="G13" s="35">
        <v>6.6</v>
      </c>
      <c r="H13" s="35">
        <v>6.9</v>
      </c>
      <c r="I13" s="35">
        <v>7.3</v>
      </c>
      <c r="J13" s="35">
        <v>7.8</v>
      </c>
      <c r="K13" s="35">
        <v>8</v>
      </c>
      <c r="L13" s="35">
        <v>8.6</v>
      </c>
      <c r="M13" s="35">
        <v>8.5</v>
      </c>
      <c r="N13" s="35">
        <v>9</v>
      </c>
      <c r="O13" s="35">
        <v>9.6</v>
      </c>
      <c r="P13" s="35">
        <v>9.6999999999999993</v>
      </c>
      <c r="Q13" s="35">
        <v>10.1</v>
      </c>
      <c r="R13" s="35">
        <v>10.199999999999999</v>
      </c>
      <c r="S13" s="35">
        <v>11.1</v>
      </c>
      <c r="T13" s="35">
        <v>11.4</v>
      </c>
      <c r="U13" s="35">
        <v>12</v>
      </c>
      <c r="V13" s="35">
        <v>13.3</v>
      </c>
      <c r="W13" s="35">
        <v>13.8</v>
      </c>
      <c r="X13" s="35">
        <v>13.8</v>
      </c>
      <c r="Y13" s="35">
        <v>14.6</v>
      </c>
      <c r="Z13" s="35">
        <v>15.2</v>
      </c>
      <c r="AA13" s="35">
        <v>14.9</v>
      </c>
      <c r="AB13" s="35">
        <v>15.9</v>
      </c>
      <c r="AC13" s="35">
        <v>15.9</v>
      </c>
      <c r="AD13" s="35">
        <v>16.2</v>
      </c>
      <c r="AE13" s="35">
        <v>17.5</v>
      </c>
      <c r="AF13" s="35">
        <v>16.7</v>
      </c>
      <c r="AG13" s="35">
        <v>16.5</v>
      </c>
      <c r="AH13" s="35">
        <v>17.5</v>
      </c>
      <c r="AI13" s="35">
        <v>18.600000000000001</v>
      </c>
      <c r="AJ13" s="35">
        <v>18.899999999999999</v>
      </c>
      <c r="AK13" s="35">
        <v>19.5</v>
      </c>
      <c r="AL13" s="35">
        <v>20</v>
      </c>
      <c r="AM13" s="35">
        <v>20.8</v>
      </c>
      <c r="AN13" s="35">
        <v>21.1</v>
      </c>
      <c r="AO13" s="35">
        <v>22.4</v>
      </c>
      <c r="AP13" s="35">
        <v>23.4</v>
      </c>
      <c r="AQ13" s="35">
        <v>22.2</v>
      </c>
      <c r="AR13" s="35">
        <v>24.2</v>
      </c>
      <c r="AS13" s="35">
        <v>25.6</v>
      </c>
      <c r="AT13" s="35">
        <v>26.5</v>
      </c>
      <c r="AU13" s="35">
        <v>28.1</v>
      </c>
      <c r="AV13" s="35">
        <v>28.3</v>
      </c>
      <c r="AW13" s="35">
        <v>28</v>
      </c>
      <c r="AX13" s="35">
        <v>28.8</v>
      </c>
      <c r="AY13" s="35">
        <v>30.2</v>
      </c>
      <c r="AZ13" s="35">
        <v>30.8</v>
      </c>
      <c r="BA13" s="35">
        <v>30.8</v>
      </c>
      <c r="BB13" s="35">
        <v>33.200000000000003</v>
      </c>
      <c r="BC13" s="35">
        <v>33.4</v>
      </c>
      <c r="BD13" s="35">
        <v>34</v>
      </c>
      <c r="BE13" s="35">
        <v>34.9</v>
      </c>
      <c r="BF13" s="35">
        <v>35.700000000000003</v>
      </c>
      <c r="BG13" s="35">
        <v>36.200000000000003</v>
      </c>
      <c r="BH13" s="35">
        <v>36.799999999999997</v>
      </c>
      <c r="BI13" s="35">
        <v>37.6</v>
      </c>
      <c r="BJ13" s="35">
        <v>38.4</v>
      </c>
      <c r="BK13" s="35">
        <v>39.200000000000003</v>
      </c>
      <c r="BL13" s="35">
        <v>40.1</v>
      </c>
      <c r="BM13" s="35">
        <v>41.1</v>
      </c>
      <c r="BN13" s="35">
        <v>42.1</v>
      </c>
      <c r="BO13" s="35">
        <v>43.1</v>
      </c>
      <c r="BP13" s="35">
        <v>44.1</v>
      </c>
      <c r="BQ13" s="35">
        <v>45.2</v>
      </c>
      <c r="BR13" s="35">
        <v>46.2</v>
      </c>
      <c r="BS13" s="35">
        <v>47.3</v>
      </c>
      <c r="BT13" s="35">
        <v>48.4</v>
      </c>
      <c r="BU13" s="35">
        <v>49.4</v>
      </c>
      <c r="BV13" s="35">
        <v>50.9</v>
      </c>
      <c r="BW13" s="35">
        <v>52.2</v>
      </c>
      <c r="BX13" s="35">
        <v>53.7</v>
      </c>
      <c r="BY13" s="35">
        <v>55.4</v>
      </c>
      <c r="BZ13" s="35">
        <v>57.4</v>
      </c>
      <c r="CA13" s="35">
        <v>59.6</v>
      </c>
      <c r="CB13" s="35">
        <v>61.9</v>
      </c>
      <c r="CC13" s="35">
        <v>64.400000000000006</v>
      </c>
      <c r="CD13" s="35">
        <v>66.599999999999994</v>
      </c>
      <c r="CE13" s="35">
        <v>70.3</v>
      </c>
      <c r="CF13" s="35">
        <v>74.900000000000006</v>
      </c>
      <c r="CG13" s="35">
        <v>80.7</v>
      </c>
      <c r="CH13" s="35">
        <v>83.7</v>
      </c>
      <c r="CI13" s="35">
        <v>93.1</v>
      </c>
      <c r="CJ13" s="35">
        <v>98.4</v>
      </c>
      <c r="CK13" s="35">
        <v>112.5</v>
      </c>
      <c r="CL13" s="35">
        <v>108.3</v>
      </c>
      <c r="CM13" s="35">
        <v>115.4</v>
      </c>
      <c r="CN13" s="35">
        <v>120.6</v>
      </c>
      <c r="CO13" s="35">
        <v>120.8</v>
      </c>
      <c r="CP13" s="35">
        <v>124.4</v>
      </c>
      <c r="CQ13" s="35">
        <v>124.8</v>
      </c>
      <c r="CR13" s="35">
        <v>135.19999999999999</v>
      </c>
      <c r="CS13" s="35">
        <v>136</v>
      </c>
      <c r="CT13" s="35">
        <v>136.6</v>
      </c>
      <c r="CU13" s="35">
        <v>137.1</v>
      </c>
      <c r="CV13" s="35">
        <v>136.19999999999999</v>
      </c>
      <c r="CW13" s="35">
        <v>147.80000000000001</v>
      </c>
      <c r="CX13" s="35">
        <v>152.5</v>
      </c>
      <c r="CY13" s="35">
        <v>152.5</v>
      </c>
      <c r="CZ13" s="35">
        <v>152.69999999999999</v>
      </c>
      <c r="DA13" s="35">
        <v>140.69999999999999</v>
      </c>
      <c r="DB13" s="35">
        <v>151.30000000000001</v>
      </c>
      <c r="DC13" s="35">
        <v>165.8</v>
      </c>
      <c r="DD13" s="35">
        <v>158.80000000000001</v>
      </c>
      <c r="DE13" s="35">
        <v>156.9</v>
      </c>
      <c r="DF13" s="35">
        <v>161.4</v>
      </c>
      <c r="DG13" s="35">
        <v>159.4</v>
      </c>
      <c r="DH13" s="35">
        <v>163.69999999999999</v>
      </c>
      <c r="DI13" s="35">
        <v>168</v>
      </c>
      <c r="DJ13" s="35">
        <v>167.2</v>
      </c>
      <c r="DK13" s="35">
        <v>170</v>
      </c>
      <c r="DL13" s="35">
        <v>168.1</v>
      </c>
      <c r="DM13" s="35">
        <v>175.4</v>
      </c>
      <c r="DN13" s="35">
        <v>181.1</v>
      </c>
      <c r="DO13" s="35">
        <v>179.1</v>
      </c>
      <c r="DP13" s="35">
        <v>186.7</v>
      </c>
      <c r="DQ13" s="35">
        <v>191.3</v>
      </c>
      <c r="DR13" s="35">
        <v>190.2</v>
      </c>
      <c r="DS13" s="35">
        <v>198.3</v>
      </c>
      <c r="DT13" s="35">
        <v>204.8</v>
      </c>
      <c r="DU13" s="35">
        <v>204.8</v>
      </c>
      <c r="DV13" s="35">
        <v>215</v>
      </c>
      <c r="DW13" s="35">
        <v>230.1</v>
      </c>
      <c r="DX13" s="35">
        <v>217.4</v>
      </c>
      <c r="DY13" s="35">
        <v>246.5</v>
      </c>
      <c r="DZ13" s="35">
        <v>244.9</v>
      </c>
      <c r="EA13" s="35">
        <v>243.8</v>
      </c>
      <c r="EB13" s="35">
        <v>251.1</v>
      </c>
      <c r="EC13" s="35">
        <v>260.3</v>
      </c>
      <c r="ED13" s="35">
        <v>260.7</v>
      </c>
      <c r="EE13" s="35">
        <v>260.10000000000002</v>
      </c>
      <c r="EF13" s="35">
        <v>271.7</v>
      </c>
      <c r="EG13" s="35">
        <v>265.7</v>
      </c>
      <c r="EH13" s="35">
        <v>283.39999999999998</v>
      </c>
      <c r="EI13" s="35">
        <v>293</v>
      </c>
      <c r="EJ13" s="35">
        <v>288.3</v>
      </c>
      <c r="EK13" s="35">
        <v>294.5</v>
      </c>
      <c r="EL13" s="35">
        <v>301.3</v>
      </c>
      <c r="EM13" s="35">
        <v>310.8</v>
      </c>
      <c r="EN13" s="35">
        <v>300.10000000000002</v>
      </c>
      <c r="EO13" s="35">
        <v>305.39999999999998</v>
      </c>
      <c r="EP13" s="35">
        <v>291.3</v>
      </c>
      <c r="EQ13" s="35">
        <v>294.89999999999998</v>
      </c>
      <c r="ER13" s="35">
        <v>308.7</v>
      </c>
      <c r="ES13" s="35">
        <v>301.39999999999998</v>
      </c>
      <c r="ET13" s="35">
        <v>332.5</v>
      </c>
      <c r="EU13" s="35">
        <v>314.7</v>
      </c>
      <c r="EV13" s="35">
        <v>319.60000000000002</v>
      </c>
      <c r="EW13" s="35">
        <v>329.9</v>
      </c>
      <c r="EX13" s="35">
        <v>331.6</v>
      </c>
      <c r="EY13" s="35">
        <v>339.2</v>
      </c>
      <c r="EZ13" s="35">
        <v>340.8</v>
      </c>
      <c r="FA13" s="35">
        <v>341.8</v>
      </c>
      <c r="FB13" s="35">
        <v>358.4</v>
      </c>
      <c r="FC13" s="35">
        <v>368.9</v>
      </c>
      <c r="FD13" s="35">
        <v>378.2</v>
      </c>
      <c r="FE13" s="35">
        <v>372.8</v>
      </c>
      <c r="FF13" s="35">
        <v>382.1</v>
      </c>
      <c r="FG13" s="35">
        <v>385.7</v>
      </c>
      <c r="FH13" s="35">
        <v>405.6</v>
      </c>
      <c r="FI13" s="35">
        <v>414.1</v>
      </c>
      <c r="FJ13" s="35">
        <v>418.8</v>
      </c>
      <c r="FK13" s="35">
        <v>409.7</v>
      </c>
      <c r="FL13" s="35">
        <v>396.4</v>
      </c>
      <c r="FM13" s="35">
        <v>399.3</v>
      </c>
      <c r="FN13" s="35">
        <v>400.6</v>
      </c>
      <c r="FO13" s="35">
        <v>421.7</v>
      </c>
      <c r="FP13" s="35">
        <v>419</v>
      </c>
      <c r="FQ13" s="35">
        <v>428.9</v>
      </c>
      <c r="FR13" s="35">
        <v>424.8</v>
      </c>
      <c r="FS13" s="35">
        <v>438.4</v>
      </c>
      <c r="FT13" s="35">
        <v>448.2</v>
      </c>
      <c r="FU13" s="35">
        <v>448.6</v>
      </c>
      <c r="FV13" s="35">
        <v>459.5</v>
      </c>
      <c r="FW13" s="35">
        <v>481.5</v>
      </c>
      <c r="FX13" s="35">
        <v>507.2</v>
      </c>
      <c r="FY13" s="35">
        <v>515.29999999999995</v>
      </c>
      <c r="FZ13" s="35">
        <v>523.6</v>
      </c>
      <c r="GA13" s="35">
        <v>537.9</v>
      </c>
      <c r="GB13" s="35">
        <v>540.4</v>
      </c>
      <c r="GC13" s="35">
        <v>541.79999999999995</v>
      </c>
      <c r="GD13" s="35">
        <v>550.5</v>
      </c>
      <c r="GE13" s="35">
        <v>558.79999999999995</v>
      </c>
      <c r="GF13" s="35">
        <v>566.5</v>
      </c>
      <c r="GG13" s="35">
        <v>575.29999999999995</v>
      </c>
      <c r="GH13" s="35">
        <v>572.4</v>
      </c>
      <c r="GI13" s="35">
        <v>567.9</v>
      </c>
      <c r="GJ13" s="35">
        <v>578.79999999999995</v>
      </c>
      <c r="GK13" s="35">
        <v>575.79999999999995</v>
      </c>
      <c r="GL13" s="35">
        <v>581.9</v>
      </c>
      <c r="GM13" s="35">
        <v>592.6</v>
      </c>
      <c r="GN13" s="35">
        <v>595</v>
      </c>
      <c r="GO13" s="35">
        <v>589.5</v>
      </c>
      <c r="GP13" s="35">
        <v>598.70000000000005</v>
      </c>
      <c r="GQ13" s="35">
        <v>614.4</v>
      </c>
      <c r="GR13" s="35">
        <v>622.4</v>
      </c>
      <c r="GS13" s="35">
        <v>620.6</v>
      </c>
      <c r="GT13" s="35">
        <v>606.4</v>
      </c>
      <c r="GU13" s="35">
        <v>654.6</v>
      </c>
      <c r="GV13" s="35">
        <v>690.8</v>
      </c>
      <c r="GW13" s="35">
        <v>678.6</v>
      </c>
      <c r="GX13" s="35">
        <v>705</v>
      </c>
      <c r="GY13" s="35">
        <v>745.7</v>
      </c>
      <c r="GZ13" s="35">
        <v>749.2</v>
      </c>
      <c r="HA13" s="35">
        <v>746.1</v>
      </c>
      <c r="HB13" s="35">
        <v>791.4</v>
      </c>
      <c r="HC13">
        <v>818.7</v>
      </c>
      <c r="HD13">
        <v>819</v>
      </c>
      <c r="HE13">
        <v>828.4</v>
      </c>
      <c r="HF13">
        <v>871.5</v>
      </c>
      <c r="HG13">
        <v>911.4</v>
      </c>
      <c r="HH13">
        <v>880.6</v>
      </c>
      <c r="HI13">
        <v>868.3</v>
      </c>
      <c r="HJ13">
        <v>922.3</v>
      </c>
    </row>
    <row r="14" spans="1:218" x14ac:dyDescent="0.25">
      <c r="A14" s="35" t="s">
        <v>2177</v>
      </c>
      <c r="B14" s="35">
        <v>2.9</v>
      </c>
      <c r="C14" s="35">
        <v>3.9</v>
      </c>
      <c r="D14" s="35">
        <v>4.5999999999999996</v>
      </c>
      <c r="E14" s="35">
        <v>5.4</v>
      </c>
      <c r="F14" s="35">
        <v>5.7</v>
      </c>
      <c r="G14" s="35">
        <v>6.3</v>
      </c>
      <c r="H14" s="35">
        <v>6.3</v>
      </c>
      <c r="I14" s="35">
        <v>6.3</v>
      </c>
      <c r="J14" s="35">
        <v>6.5</v>
      </c>
      <c r="K14" s="35">
        <v>6.9</v>
      </c>
      <c r="L14" s="35">
        <v>5.8</v>
      </c>
      <c r="M14" s="35">
        <v>5</v>
      </c>
      <c r="N14" s="35">
        <v>4.5999999999999996</v>
      </c>
      <c r="O14" s="35">
        <v>4.5</v>
      </c>
      <c r="P14" s="35">
        <v>4.5</v>
      </c>
      <c r="Q14" s="35">
        <v>4.7</v>
      </c>
      <c r="R14" s="35">
        <v>5.8</v>
      </c>
      <c r="S14" s="35">
        <v>6.7</v>
      </c>
      <c r="T14" s="35">
        <v>6.9</v>
      </c>
      <c r="U14" s="35">
        <v>8.6</v>
      </c>
      <c r="V14" s="35">
        <v>14.2</v>
      </c>
      <c r="W14" s="35">
        <v>19.399999999999999</v>
      </c>
      <c r="X14" s="35">
        <v>20.2</v>
      </c>
      <c r="Y14" s="35">
        <v>18.8</v>
      </c>
      <c r="Z14" s="35">
        <v>17.7</v>
      </c>
      <c r="AA14" s="35">
        <v>16.3</v>
      </c>
      <c r="AB14" s="35">
        <v>16.100000000000001</v>
      </c>
      <c r="AC14" s="35">
        <v>15.5</v>
      </c>
      <c r="AD14" s="35">
        <v>15.5</v>
      </c>
      <c r="AE14" s="35">
        <v>13.3</v>
      </c>
      <c r="AF14" s="35">
        <v>11.9</v>
      </c>
      <c r="AG14" s="35">
        <v>11.8</v>
      </c>
      <c r="AH14" s="35">
        <v>10.8</v>
      </c>
      <c r="AI14" s="35">
        <v>9.4</v>
      </c>
      <c r="AJ14" s="35">
        <v>9</v>
      </c>
      <c r="AK14" s="35">
        <v>8.5</v>
      </c>
      <c r="AL14" s="35">
        <v>9.4</v>
      </c>
      <c r="AM14" s="35">
        <v>9.1999999999999993</v>
      </c>
      <c r="AN14" s="35">
        <v>9.6</v>
      </c>
      <c r="AO14" s="35">
        <v>10.6</v>
      </c>
      <c r="AP14" s="35">
        <v>12</v>
      </c>
      <c r="AQ14" s="35">
        <v>15.7</v>
      </c>
      <c r="AR14" s="35">
        <v>19</v>
      </c>
      <c r="AS14" s="35">
        <v>17.8</v>
      </c>
      <c r="AT14" s="35">
        <v>16.399999999999999</v>
      </c>
      <c r="AU14" s="35">
        <v>15.5</v>
      </c>
      <c r="AV14" s="35">
        <v>15</v>
      </c>
      <c r="AW14" s="35">
        <v>16.600000000000001</v>
      </c>
      <c r="AX14" s="35">
        <v>19.100000000000001</v>
      </c>
      <c r="AY14" s="35">
        <v>23.9</v>
      </c>
      <c r="AZ14" s="35">
        <v>26.1</v>
      </c>
      <c r="BA14" s="35">
        <v>31.8</v>
      </c>
      <c r="BB14" s="35">
        <v>30.3</v>
      </c>
      <c r="BC14" s="35">
        <v>32.1</v>
      </c>
      <c r="BD14" s="35">
        <v>23.3</v>
      </c>
      <c r="BE14" s="35">
        <v>20</v>
      </c>
      <c r="BF14" s="35">
        <v>17.3</v>
      </c>
      <c r="BG14" s="35">
        <v>15.7</v>
      </c>
      <c r="BH14" s="35">
        <v>15.1</v>
      </c>
      <c r="BI14" s="35">
        <v>15.9</v>
      </c>
      <c r="BJ14" s="35">
        <v>16.899999999999999</v>
      </c>
      <c r="BK14" s="35">
        <v>16</v>
      </c>
      <c r="BL14" s="35">
        <v>15</v>
      </c>
      <c r="BM14" s="35">
        <v>15.6</v>
      </c>
      <c r="BN14" s="35">
        <v>15.6</v>
      </c>
      <c r="BO14" s="35">
        <v>16.399999999999999</v>
      </c>
      <c r="BP14" s="35">
        <v>17</v>
      </c>
      <c r="BQ14" s="35">
        <v>16.899999999999999</v>
      </c>
      <c r="BR14" s="35">
        <v>15.5</v>
      </c>
      <c r="BS14" s="35">
        <v>15.1</v>
      </c>
      <c r="BT14" s="35">
        <v>14.4</v>
      </c>
      <c r="BU14" s="35">
        <v>13.5</v>
      </c>
      <c r="BV14" s="35">
        <v>13.9</v>
      </c>
      <c r="BW14" s="35">
        <v>13.2</v>
      </c>
      <c r="BX14" s="35">
        <v>13.2</v>
      </c>
      <c r="BY14" s="35">
        <v>13</v>
      </c>
      <c r="BZ14" s="35">
        <v>13.6</v>
      </c>
      <c r="CA14" s="35">
        <v>13.7</v>
      </c>
      <c r="CB14" s="35">
        <v>14.6</v>
      </c>
      <c r="CC14" s="35">
        <v>15.8</v>
      </c>
      <c r="CD14" s="35">
        <v>16.399999999999999</v>
      </c>
      <c r="CE14" s="35">
        <v>17.100000000000001</v>
      </c>
      <c r="CF14" s="35">
        <v>18.2</v>
      </c>
      <c r="CG14" s="35">
        <v>21</v>
      </c>
      <c r="CH14" s="35">
        <v>24.3</v>
      </c>
      <c r="CI14" s="35">
        <v>27.5</v>
      </c>
      <c r="CJ14" s="35">
        <v>25.9</v>
      </c>
      <c r="CK14" s="35">
        <v>29.4</v>
      </c>
      <c r="CL14" s="35">
        <v>39.700000000000003</v>
      </c>
      <c r="CM14" s="35">
        <v>41.2</v>
      </c>
      <c r="CN14" s="35">
        <v>39.6</v>
      </c>
      <c r="CO14" s="35">
        <v>38</v>
      </c>
      <c r="CP14" s="35">
        <v>35.1</v>
      </c>
      <c r="CQ14" s="35">
        <v>35.5</v>
      </c>
      <c r="CR14" s="35">
        <v>35.5</v>
      </c>
      <c r="CS14" s="35">
        <v>33.200000000000003</v>
      </c>
      <c r="CT14" s="35">
        <v>28</v>
      </c>
      <c r="CU14" s="35">
        <v>24.4</v>
      </c>
      <c r="CV14" s="35">
        <v>22.1</v>
      </c>
      <c r="CW14" s="35">
        <v>21.3</v>
      </c>
      <c r="CX14" s="35">
        <v>20.9</v>
      </c>
      <c r="CY14" s="35">
        <v>21.6</v>
      </c>
      <c r="CZ14" s="35">
        <v>22</v>
      </c>
      <c r="DA14" s="35">
        <v>22.5</v>
      </c>
      <c r="DB14" s="35">
        <v>23</v>
      </c>
      <c r="DC14" s="35">
        <v>22.7</v>
      </c>
      <c r="DD14" s="35">
        <v>21.6</v>
      </c>
      <c r="DE14" s="35">
        <v>21.7</v>
      </c>
      <c r="DF14" s="35">
        <v>21</v>
      </c>
      <c r="DG14" s="35">
        <v>20.399999999999999</v>
      </c>
      <c r="DH14" s="35">
        <v>19.600000000000001</v>
      </c>
      <c r="DI14" s="35">
        <v>19.399999999999999</v>
      </c>
      <c r="DJ14" s="35">
        <v>19.399999999999999</v>
      </c>
      <c r="DK14" s="35">
        <v>19.3</v>
      </c>
      <c r="DL14" s="35">
        <v>20.3</v>
      </c>
      <c r="DM14" s="35">
        <v>19.8</v>
      </c>
      <c r="DN14" s="35">
        <v>20.8</v>
      </c>
      <c r="DO14" s="35">
        <v>20.9</v>
      </c>
      <c r="DP14" s="35">
        <v>20.3</v>
      </c>
      <c r="DQ14" s="35">
        <v>20</v>
      </c>
      <c r="DR14" s="35">
        <v>20.5</v>
      </c>
      <c r="DS14" s="35">
        <v>20</v>
      </c>
      <c r="DT14" s="35">
        <v>20.6</v>
      </c>
      <c r="DU14" s="35">
        <v>21.9</v>
      </c>
      <c r="DV14" s="35">
        <v>25.5</v>
      </c>
      <c r="DW14" s="35">
        <v>28.4</v>
      </c>
      <c r="DX14" s="35">
        <v>33.1</v>
      </c>
      <c r="DY14" s="35">
        <v>40.6</v>
      </c>
      <c r="DZ14" s="35">
        <v>42.8</v>
      </c>
      <c r="EA14" s="35">
        <v>60.5</v>
      </c>
      <c r="EB14" s="35">
        <v>56.9</v>
      </c>
      <c r="EC14" s="35">
        <v>53.7</v>
      </c>
      <c r="ED14" s="35">
        <v>51.8</v>
      </c>
      <c r="EE14" s="35">
        <v>55.2</v>
      </c>
      <c r="EF14" s="35">
        <v>54.2</v>
      </c>
      <c r="EG14" s="35">
        <v>51.5</v>
      </c>
      <c r="EH14" s="35">
        <v>42.3</v>
      </c>
      <c r="EI14" s="35">
        <v>35.9</v>
      </c>
      <c r="EJ14" s="35">
        <v>34.700000000000003</v>
      </c>
      <c r="EK14" s="35">
        <v>32.9</v>
      </c>
      <c r="EL14" s="35">
        <v>32.1</v>
      </c>
      <c r="EM14" s="35">
        <v>30.9</v>
      </c>
      <c r="EN14" s="35">
        <v>31.6</v>
      </c>
      <c r="EO14" s="35">
        <v>32.5</v>
      </c>
      <c r="EP14" s="35">
        <v>30.3</v>
      </c>
      <c r="EQ14" s="35">
        <v>29.5</v>
      </c>
      <c r="ER14" s="35">
        <v>30.6</v>
      </c>
      <c r="ES14" s="35">
        <v>31.1</v>
      </c>
      <c r="ET14" s="35">
        <v>32.299999999999997</v>
      </c>
      <c r="EU14" s="35">
        <v>31.8</v>
      </c>
      <c r="EV14" s="35">
        <v>32.799999999999997</v>
      </c>
      <c r="EW14" s="35">
        <v>34</v>
      </c>
      <c r="EX14" s="35">
        <v>36.299999999999997</v>
      </c>
      <c r="EY14" s="35">
        <v>38.200000000000003</v>
      </c>
      <c r="EZ14" s="35">
        <v>58.2</v>
      </c>
      <c r="FA14" s="35">
        <v>71.900000000000006</v>
      </c>
      <c r="FB14" s="35">
        <v>101.6</v>
      </c>
      <c r="FC14" s="35">
        <v>130.30000000000001</v>
      </c>
      <c r="FD14" s="35">
        <v>144.4</v>
      </c>
      <c r="FE14" s="35">
        <v>148.6</v>
      </c>
      <c r="FF14" s="35">
        <v>159.30000000000001</v>
      </c>
      <c r="FG14" s="35">
        <v>141.19999999999999</v>
      </c>
      <c r="FH14" s="35">
        <v>131</v>
      </c>
      <c r="FI14" s="35">
        <v>123.9</v>
      </c>
      <c r="FJ14" s="35">
        <v>116.7</v>
      </c>
      <c r="FK14" s="35">
        <v>109.3</v>
      </c>
      <c r="FL14" s="35">
        <v>102.9</v>
      </c>
      <c r="FM14" s="35">
        <v>99.8</v>
      </c>
      <c r="FN14" s="35">
        <v>94.6</v>
      </c>
      <c r="FO14" s="35">
        <v>86.3</v>
      </c>
      <c r="FP14" s="35">
        <v>78.400000000000006</v>
      </c>
      <c r="FQ14" s="35">
        <v>75.099999999999994</v>
      </c>
      <c r="FR14" s="35">
        <v>69</v>
      </c>
      <c r="FS14" s="35">
        <v>64.8</v>
      </c>
      <c r="FT14" s="35">
        <v>59.1</v>
      </c>
      <c r="FU14" s="35">
        <v>57.1</v>
      </c>
      <c r="FV14" s="35">
        <v>39</v>
      </c>
      <c r="FW14" s="35">
        <v>35.799999999999997</v>
      </c>
      <c r="FX14" s="35">
        <v>34</v>
      </c>
      <c r="FY14" s="35">
        <v>33</v>
      </c>
      <c r="FZ14" s="35">
        <v>32.9</v>
      </c>
      <c r="GA14" s="35">
        <v>32.4</v>
      </c>
      <c r="GB14" s="35">
        <v>32.5</v>
      </c>
      <c r="GC14" s="35">
        <v>32.4</v>
      </c>
      <c r="GD14" s="35">
        <v>32.4</v>
      </c>
      <c r="GE14" s="35">
        <v>32.299999999999997</v>
      </c>
      <c r="GF14" s="35">
        <v>32.1</v>
      </c>
      <c r="GG14" s="35">
        <v>31.3</v>
      </c>
      <c r="GH14" s="35">
        <v>31.3</v>
      </c>
      <c r="GI14" s="35">
        <v>29.6</v>
      </c>
      <c r="GJ14" s="35">
        <v>29.6</v>
      </c>
      <c r="GK14" s="35">
        <v>30.3</v>
      </c>
      <c r="GL14" s="35">
        <v>30.5</v>
      </c>
      <c r="GM14" s="35">
        <v>27.5</v>
      </c>
      <c r="GN14" s="35">
        <v>25.3</v>
      </c>
      <c r="GO14" s="35">
        <v>27.1</v>
      </c>
      <c r="GP14" s="35">
        <v>30.5</v>
      </c>
      <c r="GQ14" s="35">
        <v>27.7</v>
      </c>
      <c r="GR14" s="35">
        <v>25</v>
      </c>
      <c r="GS14" s="35">
        <v>26.7</v>
      </c>
      <c r="GT14" s="35">
        <v>40.9</v>
      </c>
      <c r="GU14" s="35">
        <v>951.4</v>
      </c>
      <c r="GV14" s="35">
        <v>802.3</v>
      </c>
      <c r="GW14" s="35">
        <v>323.5</v>
      </c>
      <c r="GX14" s="35">
        <v>583.5</v>
      </c>
      <c r="GY14" s="35">
        <v>451.8</v>
      </c>
      <c r="GZ14" s="35">
        <v>226.8</v>
      </c>
      <c r="HA14" s="35">
        <v>33.9</v>
      </c>
      <c r="HB14" s="35">
        <v>26.2</v>
      </c>
      <c r="HC14">
        <v>21.4</v>
      </c>
      <c r="HD14">
        <v>19.600000000000001</v>
      </c>
      <c r="HE14">
        <v>22.1</v>
      </c>
      <c r="HF14">
        <v>22</v>
      </c>
      <c r="HG14">
        <v>22.3</v>
      </c>
      <c r="HH14">
        <v>21</v>
      </c>
      <c r="HI14">
        <v>22.7</v>
      </c>
      <c r="HJ14">
        <v>22.7</v>
      </c>
    </row>
    <row r="15" spans="1:218" x14ac:dyDescent="0.25">
      <c r="A15" s="35" t="s">
        <v>2178</v>
      </c>
      <c r="B15" s="35">
        <v>63</v>
      </c>
      <c r="C15" s="35">
        <v>73.099999999999994</v>
      </c>
      <c r="D15" s="35">
        <v>73.5</v>
      </c>
      <c r="E15" s="35">
        <v>77.400000000000006</v>
      </c>
      <c r="F15" s="35">
        <v>79.3</v>
      </c>
      <c r="G15" s="35">
        <v>86.9</v>
      </c>
      <c r="H15" s="35">
        <v>86.9</v>
      </c>
      <c r="I15" s="35">
        <v>88.5</v>
      </c>
      <c r="J15" s="35">
        <v>91.4</v>
      </c>
      <c r="K15" s="35">
        <v>91.9</v>
      </c>
      <c r="L15" s="35">
        <v>92.9</v>
      </c>
      <c r="M15" s="35">
        <v>103.1</v>
      </c>
      <c r="N15" s="35">
        <v>105.4</v>
      </c>
      <c r="O15" s="35">
        <v>107.6</v>
      </c>
      <c r="P15" s="35">
        <v>109.2</v>
      </c>
      <c r="Q15" s="35">
        <v>112.3</v>
      </c>
      <c r="R15" s="35">
        <v>117.5</v>
      </c>
      <c r="S15" s="35">
        <v>125.4</v>
      </c>
      <c r="T15" s="35">
        <v>132.19999999999999</v>
      </c>
      <c r="U15" s="35">
        <v>139.1</v>
      </c>
      <c r="V15" s="35">
        <v>149.80000000000001</v>
      </c>
      <c r="W15" s="35">
        <v>164.6</v>
      </c>
      <c r="X15" s="35">
        <v>167.7</v>
      </c>
      <c r="Y15" s="35">
        <v>170.4</v>
      </c>
      <c r="Z15" s="35">
        <v>174.7</v>
      </c>
      <c r="AA15" s="35">
        <v>173.1</v>
      </c>
      <c r="AB15" s="35">
        <v>180.1</v>
      </c>
      <c r="AC15" s="35">
        <v>182.7</v>
      </c>
      <c r="AD15" s="35">
        <v>185.5</v>
      </c>
      <c r="AE15" s="35">
        <v>186.4</v>
      </c>
      <c r="AF15" s="35">
        <v>191.7</v>
      </c>
      <c r="AG15" s="35">
        <v>194.3</v>
      </c>
      <c r="AH15" s="35">
        <v>197.7</v>
      </c>
      <c r="AI15" s="35">
        <v>199</v>
      </c>
      <c r="AJ15" s="35">
        <v>207.1</v>
      </c>
      <c r="AK15" s="35">
        <v>209.9</v>
      </c>
      <c r="AL15" s="35">
        <v>214.9</v>
      </c>
      <c r="AM15" s="35">
        <v>219.2</v>
      </c>
      <c r="AN15" s="35">
        <v>234.6</v>
      </c>
      <c r="AO15" s="35">
        <v>240.7</v>
      </c>
      <c r="AP15" s="35">
        <v>251.2</v>
      </c>
      <c r="AQ15" s="35">
        <v>256.2</v>
      </c>
      <c r="AR15" s="35">
        <v>287.89999999999998</v>
      </c>
      <c r="AS15" s="35">
        <v>290.7</v>
      </c>
      <c r="AT15" s="35">
        <v>296.10000000000002</v>
      </c>
      <c r="AU15" s="35">
        <v>299</v>
      </c>
      <c r="AV15" s="35">
        <v>317</v>
      </c>
      <c r="AW15" s="35">
        <v>319.2</v>
      </c>
      <c r="AX15" s="35">
        <v>324.3</v>
      </c>
      <c r="AY15" s="35">
        <v>333.2</v>
      </c>
      <c r="AZ15" s="35">
        <v>349.7</v>
      </c>
      <c r="BA15" s="35">
        <v>365.2</v>
      </c>
      <c r="BB15" s="35">
        <v>368</v>
      </c>
      <c r="BC15" s="35">
        <v>373.7</v>
      </c>
      <c r="BD15" s="35">
        <v>368.5</v>
      </c>
      <c r="BE15" s="35">
        <v>371.8</v>
      </c>
      <c r="BF15" s="35">
        <v>376.3</v>
      </c>
      <c r="BG15" s="35">
        <v>379</v>
      </c>
      <c r="BH15" s="35">
        <v>380.4</v>
      </c>
      <c r="BI15" s="35">
        <v>387.9</v>
      </c>
      <c r="BJ15" s="35">
        <v>398.1</v>
      </c>
      <c r="BK15" s="35">
        <v>400.5</v>
      </c>
      <c r="BL15" s="35">
        <v>405.6</v>
      </c>
      <c r="BM15" s="35">
        <v>408.3</v>
      </c>
      <c r="BN15" s="35">
        <v>419.9</v>
      </c>
      <c r="BO15" s="35">
        <v>425.6</v>
      </c>
      <c r="BP15" s="35">
        <v>433.1</v>
      </c>
      <c r="BQ15" s="35">
        <v>435.8</v>
      </c>
      <c r="BR15" s="35">
        <v>441.9</v>
      </c>
      <c r="BS15" s="35">
        <v>447.5</v>
      </c>
      <c r="BT15" s="35">
        <v>449.4</v>
      </c>
      <c r="BU15" s="35">
        <v>452.8</v>
      </c>
      <c r="BV15" s="35">
        <v>470.3</v>
      </c>
      <c r="BW15" s="35">
        <v>473.4</v>
      </c>
      <c r="BX15" s="35">
        <v>478.8</v>
      </c>
      <c r="BY15" s="35">
        <v>484.9</v>
      </c>
      <c r="BZ15" s="35">
        <v>508.2</v>
      </c>
      <c r="CA15" s="35">
        <v>515.70000000000005</v>
      </c>
      <c r="CB15" s="35">
        <v>524.70000000000005</v>
      </c>
      <c r="CC15" s="35">
        <v>535.79999999999995</v>
      </c>
      <c r="CD15" s="35">
        <v>556.20000000000005</v>
      </c>
      <c r="CE15" s="35">
        <v>567.5</v>
      </c>
      <c r="CF15" s="35">
        <v>578.1</v>
      </c>
      <c r="CG15" s="35">
        <v>596.79999999999995</v>
      </c>
      <c r="CH15" s="35">
        <v>622.5</v>
      </c>
      <c r="CI15" s="35">
        <v>643.5</v>
      </c>
      <c r="CJ15" s="35">
        <v>653.79999999999995</v>
      </c>
      <c r="CK15" s="35">
        <v>682.3</v>
      </c>
      <c r="CL15" s="35">
        <v>710.5</v>
      </c>
      <c r="CM15" s="35">
        <v>729.1</v>
      </c>
      <c r="CN15" s="35">
        <v>741.3</v>
      </c>
      <c r="CO15" s="35">
        <v>746</v>
      </c>
      <c r="CP15" s="35">
        <v>766.5</v>
      </c>
      <c r="CQ15" s="35">
        <v>771.7</v>
      </c>
      <c r="CR15" s="35">
        <v>786.3</v>
      </c>
      <c r="CS15" s="35">
        <v>791.3</v>
      </c>
      <c r="CT15" s="35">
        <v>805.3</v>
      </c>
      <c r="CU15" s="35">
        <v>810.1</v>
      </c>
      <c r="CV15" s="35">
        <v>813.6</v>
      </c>
      <c r="CW15" s="35">
        <v>833.8</v>
      </c>
      <c r="CX15" s="35">
        <v>857.9</v>
      </c>
      <c r="CY15" s="35">
        <v>865.6</v>
      </c>
      <c r="CZ15" s="35">
        <v>870.7</v>
      </c>
      <c r="DA15" s="35">
        <v>864.6</v>
      </c>
      <c r="DB15" s="35">
        <v>893.2</v>
      </c>
      <c r="DC15" s="35">
        <v>912.9</v>
      </c>
      <c r="DD15" s="35">
        <v>908.5</v>
      </c>
      <c r="DE15" s="35">
        <v>910.7</v>
      </c>
      <c r="DF15" s="35">
        <v>930.5</v>
      </c>
      <c r="DG15" s="35">
        <v>931.3</v>
      </c>
      <c r="DH15" s="35">
        <v>937.2</v>
      </c>
      <c r="DI15" s="35">
        <v>942.7</v>
      </c>
      <c r="DJ15" s="35">
        <v>951.8</v>
      </c>
      <c r="DK15" s="35">
        <v>956</v>
      </c>
      <c r="DL15" s="35">
        <v>957.4</v>
      </c>
      <c r="DM15" s="35">
        <v>966.4</v>
      </c>
      <c r="DN15" s="35">
        <v>983.4</v>
      </c>
      <c r="DO15" s="35">
        <v>985</v>
      </c>
      <c r="DP15" s="35">
        <v>996.1</v>
      </c>
      <c r="DQ15" s="35">
        <v>1004.3</v>
      </c>
      <c r="DR15" s="35">
        <v>1016.9</v>
      </c>
      <c r="DS15" s="35">
        <v>1042.3</v>
      </c>
      <c r="DT15" s="35">
        <v>1054.7</v>
      </c>
      <c r="DU15" s="35">
        <v>1065.5999999999999</v>
      </c>
      <c r="DV15" s="35">
        <v>1107.8</v>
      </c>
      <c r="DW15" s="35">
        <v>1139.0999999999999</v>
      </c>
      <c r="DX15" s="35">
        <v>1145.2</v>
      </c>
      <c r="DY15" s="35">
        <v>1191.2</v>
      </c>
      <c r="DZ15" s="35">
        <v>1221</v>
      </c>
      <c r="EA15" s="35">
        <v>1247.0999999999999</v>
      </c>
      <c r="EB15" s="35">
        <v>1259.9000000000001</v>
      </c>
      <c r="EC15" s="35">
        <v>1276.2</v>
      </c>
      <c r="ED15" s="35">
        <v>1294.5999999999999</v>
      </c>
      <c r="EE15" s="35">
        <v>1312.6</v>
      </c>
      <c r="EF15" s="35">
        <v>1335.5</v>
      </c>
      <c r="EG15" s="35">
        <v>1341.2</v>
      </c>
      <c r="EH15" s="35">
        <v>1379.6</v>
      </c>
      <c r="EI15" s="35">
        <v>1400.6</v>
      </c>
      <c r="EJ15" s="35">
        <v>1409.8</v>
      </c>
      <c r="EK15" s="35">
        <v>1427.9</v>
      </c>
      <c r="EL15" s="35">
        <v>1464.4</v>
      </c>
      <c r="EM15" s="35">
        <v>1486</v>
      </c>
      <c r="EN15" s="35">
        <v>1501</v>
      </c>
      <c r="EO15" s="35">
        <v>1512.3</v>
      </c>
      <c r="EP15" s="35">
        <v>1566.7</v>
      </c>
      <c r="EQ15" s="35">
        <v>1583.2</v>
      </c>
      <c r="ER15" s="35">
        <v>1608.5</v>
      </c>
      <c r="ES15" s="35">
        <v>1613.8</v>
      </c>
      <c r="ET15" s="35">
        <v>1680.2</v>
      </c>
      <c r="EU15" s="35">
        <v>1680.4</v>
      </c>
      <c r="EV15" s="35">
        <v>1700.2</v>
      </c>
      <c r="EW15" s="35">
        <v>1728.6</v>
      </c>
      <c r="EX15" s="35">
        <v>1768.2</v>
      </c>
      <c r="EY15" s="35">
        <v>2113</v>
      </c>
      <c r="EZ15" s="35">
        <v>1905.3</v>
      </c>
      <c r="FA15" s="35">
        <v>1890.8</v>
      </c>
      <c r="FB15" s="35">
        <v>2001.9</v>
      </c>
      <c r="FC15" s="35">
        <v>2140</v>
      </c>
      <c r="FD15" s="35">
        <v>2136.9</v>
      </c>
      <c r="FE15" s="35">
        <v>2152.1</v>
      </c>
      <c r="FF15" s="35">
        <v>2262.1999999999998</v>
      </c>
      <c r="FG15" s="35">
        <v>2268.6999999999998</v>
      </c>
      <c r="FH15" s="35">
        <v>2292</v>
      </c>
      <c r="FI15" s="35">
        <v>2302.6999999999998</v>
      </c>
      <c r="FJ15" s="35">
        <v>2313</v>
      </c>
      <c r="FK15" s="35">
        <v>2312.1</v>
      </c>
      <c r="FL15" s="35">
        <v>2303.1999999999998</v>
      </c>
      <c r="FM15" s="35">
        <v>2312.1999999999998</v>
      </c>
      <c r="FN15" s="35">
        <v>2296.8000000000002</v>
      </c>
      <c r="FO15" s="35">
        <v>2321.8000000000002</v>
      </c>
      <c r="FP15" s="35">
        <v>2325.6</v>
      </c>
      <c r="FQ15" s="35">
        <v>2346.1</v>
      </c>
      <c r="FR15" s="35">
        <v>2365.6999999999998</v>
      </c>
      <c r="FS15" s="35">
        <v>2378.3000000000002</v>
      </c>
      <c r="FT15" s="35">
        <v>2396</v>
      </c>
      <c r="FU15" s="35">
        <v>2403.6999999999998</v>
      </c>
      <c r="FV15" s="35">
        <v>2433.1999999999998</v>
      </c>
      <c r="FW15" s="35">
        <v>2484.5</v>
      </c>
      <c r="FX15" s="35">
        <v>2524.6</v>
      </c>
      <c r="FY15" s="35">
        <v>2552.1</v>
      </c>
      <c r="FZ15" s="35">
        <v>2597.6999999999998</v>
      </c>
      <c r="GA15" s="35">
        <v>2633.9</v>
      </c>
      <c r="GB15" s="35">
        <v>2647.8</v>
      </c>
      <c r="GC15" s="35">
        <v>2661.2</v>
      </c>
      <c r="GD15" s="35">
        <v>2686.2</v>
      </c>
      <c r="GE15" s="35">
        <v>2706.5</v>
      </c>
      <c r="GF15" s="35">
        <v>2726.3</v>
      </c>
      <c r="GG15" s="35">
        <v>2750.1</v>
      </c>
      <c r="GH15" s="35">
        <v>2779.1</v>
      </c>
      <c r="GI15" s="35">
        <v>2789.7</v>
      </c>
      <c r="GJ15" s="35">
        <v>2823.4</v>
      </c>
      <c r="GK15" s="35">
        <v>2837.6</v>
      </c>
      <c r="GL15" s="35">
        <v>2892.2</v>
      </c>
      <c r="GM15" s="35">
        <v>2917.2</v>
      </c>
      <c r="GN15" s="35">
        <v>2937.9</v>
      </c>
      <c r="GO15" s="35">
        <v>2956.5</v>
      </c>
      <c r="GP15" s="35">
        <v>3047.8</v>
      </c>
      <c r="GQ15" s="35">
        <v>3082.2</v>
      </c>
      <c r="GR15" s="35">
        <v>3105.1</v>
      </c>
      <c r="GS15" s="35">
        <v>3119</v>
      </c>
      <c r="GT15" s="35">
        <v>3174.3</v>
      </c>
      <c r="GU15" s="35">
        <v>5464.2</v>
      </c>
      <c r="GV15" s="35">
        <v>4358.2</v>
      </c>
      <c r="GW15" s="35">
        <v>3734.2</v>
      </c>
      <c r="GX15" s="35">
        <v>5993.5</v>
      </c>
      <c r="GY15" s="35">
        <v>4311.8</v>
      </c>
      <c r="GZ15" s="35">
        <v>4050.6</v>
      </c>
      <c r="HA15" s="35">
        <v>3860.6</v>
      </c>
      <c r="HB15" s="35">
        <v>3863.6</v>
      </c>
      <c r="HC15">
        <v>3890.5</v>
      </c>
      <c r="HD15">
        <v>3882.9</v>
      </c>
      <c r="HE15">
        <v>3974.9</v>
      </c>
      <c r="HF15">
        <v>4001.5</v>
      </c>
      <c r="HG15">
        <v>4017.3</v>
      </c>
      <c r="HH15">
        <v>3987.8</v>
      </c>
      <c r="HI15">
        <v>3979.2</v>
      </c>
      <c r="HJ15">
        <v>4141.5</v>
      </c>
    </row>
    <row r="16" spans="1:218" x14ac:dyDescent="0.25">
      <c r="A16" s="35" t="s">
        <v>2179</v>
      </c>
      <c r="B16" s="35">
        <v>1.2</v>
      </c>
      <c r="C16" s="35">
        <v>1.3</v>
      </c>
      <c r="D16" s="35">
        <v>1.3</v>
      </c>
      <c r="E16" s="35">
        <v>1.3</v>
      </c>
      <c r="F16" s="35">
        <v>1.4</v>
      </c>
      <c r="G16" s="35">
        <v>1.4</v>
      </c>
      <c r="H16" s="35">
        <v>1.5</v>
      </c>
      <c r="I16" s="35">
        <v>1.5</v>
      </c>
      <c r="J16" s="35">
        <v>1.7</v>
      </c>
      <c r="K16" s="35">
        <v>1.8</v>
      </c>
      <c r="L16" s="35">
        <v>1.8</v>
      </c>
      <c r="M16" s="35">
        <v>1.9</v>
      </c>
      <c r="N16" s="35">
        <v>1.8</v>
      </c>
      <c r="O16" s="35">
        <v>1.8</v>
      </c>
      <c r="P16" s="35">
        <v>1.8</v>
      </c>
      <c r="Q16" s="35">
        <v>1.9</v>
      </c>
      <c r="R16" s="35">
        <v>1.9</v>
      </c>
      <c r="S16" s="35">
        <v>2</v>
      </c>
      <c r="T16" s="35">
        <v>2.1</v>
      </c>
      <c r="U16" s="35">
        <v>2.2000000000000002</v>
      </c>
      <c r="V16" s="35">
        <v>2.2999999999999998</v>
      </c>
      <c r="W16" s="35">
        <v>2.4</v>
      </c>
      <c r="X16" s="35">
        <v>2.6</v>
      </c>
      <c r="Y16" s="35">
        <v>2.7</v>
      </c>
      <c r="Z16" s="35">
        <v>2.8</v>
      </c>
      <c r="AA16" s="35">
        <v>3</v>
      </c>
      <c r="AB16" s="35">
        <v>3.1</v>
      </c>
      <c r="AC16" s="35">
        <v>3.2</v>
      </c>
      <c r="AD16" s="35">
        <v>3.3</v>
      </c>
      <c r="AE16" s="35">
        <v>3.4</v>
      </c>
      <c r="AF16" s="35">
        <v>3.5</v>
      </c>
      <c r="AG16" s="35">
        <v>3.6</v>
      </c>
      <c r="AH16" s="35">
        <v>3.7</v>
      </c>
      <c r="AI16" s="35">
        <v>3.8</v>
      </c>
      <c r="AJ16" s="35">
        <v>3.9</v>
      </c>
      <c r="AK16" s="35">
        <v>4</v>
      </c>
      <c r="AL16" s="35">
        <v>4.0999999999999996</v>
      </c>
      <c r="AM16" s="35">
        <v>4.3</v>
      </c>
      <c r="AN16" s="35">
        <v>4.4000000000000004</v>
      </c>
      <c r="AO16" s="35">
        <v>4.5</v>
      </c>
      <c r="AP16" s="35">
        <v>4.5999999999999996</v>
      </c>
      <c r="AQ16" s="35">
        <v>4.8</v>
      </c>
      <c r="AR16" s="35">
        <v>5</v>
      </c>
      <c r="AS16" s="35">
        <v>5.3</v>
      </c>
      <c r="AT16" s="35">
        <v>5.6</v>
      </c>
      <c r="AU16" s="35">
        <v>5.9</v>
      </c>
      <c r="AV16" s="35">
        <v>6.1</v>
      </c>
      <c r="AW16" s="35">
        <v>6.3</v>
      </c>
      <c r="AX16" s="35">
        <v>6.7</v>
      </c>
      <c r="AY16" s="35">
        <v>6.9</v>
      </c>
      <c r="AZ16" s="35">
        <v>7.2</v>
      </c>
      <c r="BA16" s="35">
        <v>7.5</v>
      </c>
      <c r="BB16" s="35">
        <v>7.7</v>
      </c>
      <c r="BC16" s="35">
        <v>8</v>
      </c>
      <c r="BD16" s="35">
        <v>8.3000000000000007</v>
      </c>
      <c r="BE16" s="35">
        <v>8.5</v>
      </c>
      <c r="BF16" s="35">
        <v>8.8000000000000007</v>
      </c>
      <c r="BG16" s="35">
        <v>9.1</v>
      </c>
      <c r="BH16" s="35">
        <v>9.3000000000000007</v>
      </c>
      <c r="BI16" s="35">
        <v>9.5</v>
      </c>
      <c r="BJ16" s="35">
        <v>9.9</v>
      </c>
      <c r="BK16" s="35">
        <v>10.199999999999999</v>
      </c>
      <c r="BL16" s="35">
        <v>10.6</v>
      </c>
      <c r="BM16" s="35">
        <v>11</v>
      </c>
      <c r="BN16" s="35">
        <v>11.3</v>
      </c>
      <c r="BO16" s="35">
        <v>11.7</v>
      </c>
      <c r="BP16" s="35">
        <v>12.1</v>
      </c>
      <c r="BQ16" s="35">
        <v>12.7</v>
      </c>
      <c r="BR16" s="35">
        <v>12.7</v>
      </c>
      <c r="BS16" s="35">
        <v>12.9</v>
      </c>
      <c r="BT16" s="35">
        <v>13.5</v>
      </c>
      <c r="BU16" s="35">
        <v>13.7</v>
      </c>
      <c r="BV16" s="35">
        <v>14.2</v>
      </c>
      <c r="BW16" s="35">
        <v>14.8</v>
      </c>
      <c r="BX16" s="35">
        <v>15.1</v>
      </c>
      <c r="BY16" s="35">
        <v>15.4</v>
      </c>
      <c r="BZ16" s="35">
        <v>15.9</v>
      </c>
      <c r="CA16" s="35">
        <v>16.3</v>
      </c>
      <c r="CB16" s="35">
        <v>16.7</v>
      </c>
      <c r="CC16" s="35">
        <v>17.100000000000001</v>
      </c>
      <c r="CD16" s="35">
        <v>17.3</v>
      </c>
      <c r="CE16" s="35">
        <v>17.899999999999999</v>
      </c>
      <c r="CF16" s="35">
        <v>18.7</v>
      </c>
      <c r="CG16" s="35">
        <v>19.600000000000001</v>
      </c>
      <c r="CH16" s="35">
        <v>20.9</v>
      </c>
      <c r="CI16" s="35">
        <v>22.1</v>
      </c>
      <c r="CJ16" s="35">
        <v>23.1</v>
      </c>
      <c r="CK16" s="35">
        <v>24.2</v>
      </c>
      <c r="CL16" s="35">
        <v>25</v>
      </c>
      <c r="CM16" s="35">
        <v>25.8</v>
      </c>
      <c r="CN16" s="35">
        <v>26.4</v>
      </c>
      <c r="CO16" s="35">
        <v>26.8</v>
      </c>
      <c r="CP16" s="35">
        <v>28</v>
      </c>
      <c r="CQ16" s="35">
        <v>28.3</v>
      </c>
      <c r="CR16" s="35">
        <v>28.7</v>
      </c>
      <c r="CS16" s="35">
        <v>29.2</v>
      </c>
      <c r="CT16" s="35">
        <v>30.1</v>
      </c>
      <c r="CU16" s="35">
        <v>30.7</v>
      </c>
      <c r="CV16" s="35">
        <v>31.2</v>
      </c>
      <c r="CW16" s="35">
        <v>31.6</v>
      </c>
      <c r="CX16" s="35">
        <v>31.9</v>
      </c>
      <c r="CY16" s="35">
        <v>32.299999999999997</v>
      </c>
      <c r="CZ16" s="35">
        <v>32.9</v>
      </c>
      <c r="DA16" s="35">
        <v>33.5</v>
      </c>
      <c r="DB16" s="35">
        <v>34</v>
      </c>
      <c r="DC16" s="35">
        <v>34.6</v>
      </c>
      <c r="DD16" s="35">
        <v>35.200000000000003</v>
      </c>
      <c r="DE16" s="35">
        <v>35.799999999999997</v>
      </c>
      <c r="DF16" s="35">
        <v>37.200000000000003</v>
      </c>
      <c r="DG16" s="35">
        <v>38</v>
      </c>
      <c r="DH16" s="35">
        <v>38.6</v>
      </c>
      <c r="DI16" s="35">
        <v>39</v>
      </c>
      <c r="DJ16" s="35">
        <v>39.1</v>
      </c>
      <c r="DK16" s="35">
        <v>39.299999999999997</v>
      </c>
      <c r="DL16" s="35">
        <v>40</v>
      </c>
      <c r="DM16" s="35">
        <v>41.1</v>
      </c>
      <c r="DN16" s="35">
        <v>42.3</v>
      </c>
      <c r="DO16" s="35">
        <v>43.5</v>
      </c>
      <c r="DP16" s="35">
        <v>44.7</v>
      </c>
      <c r="DQ16" s="35">
        <v>45.8</v>
      </c>
      <c r="DR16" s="35">
        <v>46.9</v>
      </c>
      <c r="DS16" s="35">
        <v>48.1</v>
      </c>
      <c r="DT16" s="35">
        <v>49.3</v>
      </c>
      <c r="DU16" s="35">
        <v>50.6</v>
      </c>
      <c r="DV16" s="35">
        <v>51.5</v>
      </c>
      <c r="DW16" s="35">
        <v>52.5</v>
      </c>
      <c r="DX16" s="35">
        <v>53.4</v>
      </c>
      <c r="DY16" s="35">
        <v>54.3</v>
      </c>
      <c r="DZ16" s="35">
        <v>55.2</v>
      </c>
      <c r="EA16" s="35">
        <v>56</v>
      </c>
      <c r="EB16" s="35">
        <v>56.8</v>
      </c>
      <c r="EC16" s="35">
        <v>57.6</v>
      </c>
      <c r="ED16" s="35">
        <v>58.5</v>
      </c>
      <c r="EE16" s="35">
        <v>59.7</v>
      </c>
      <c r="EF16" s="35">
        <v>61.1</v>
      </c>
      <c r="EG16" s="35">
        <v>62.7</v>
      </c>
      <c r="EH16" s="35">
        <v>64.8</v>
      </c>
      <c r="EI16" s="35">
        <v>66.400000000000006</v>
      </c>
      <c r="EJ16" s="35">
        <v>67.7</v>
      </c>
      <c r="EK16" s="35">
        <v>68.7</v>
      </c>
      <c r="EL16" s="35">
        <v>70.3</v>
      </c>
      <c r="EM16" s="35">
        <v>71.2</v>
      </c>
      <c r="EN16" s="35">
        <v>72.099999999999994</v>
      </c>
      <c r="EO16" s="35">
        <v>73</v>
      </c>
      <c r="EP16" s="35">
        <v>74.400000000000006</v>
      </c>
      <c r="EQ16" s="35">
        <v>74.900000000000006</v>
      </c>
      <c r="ER16" s="35">
        <v>75.5</v>
      </c>
      <c r="ES16" s="35">
        <v>76.3</v>
      </c>
      <c r="ET16" s="35">
        <v>78</v>
      </c>
      <c r="EU16" s="35">
        <v>78.8</v>
      </c>
      <c r="EV16" s="35">
        <v>79.599999999999994</v>
      </c>
      <c r="EW16" s="35">
        <v>80.3</v>
      </c>
      <c r="EX16" s="35">
        <v>80.5</v>
      </c>
      <c r="EY16" s="35">
        <v>81</v>
      </c>
      <c r="EZ16" s="35">
        <v>81.2</v>
      </c>
      <c r="FA16" s="35">
        <v>81.2</v>
      </c>
      <c r="FB16" s="35">
        <v>80.599999999999994</v>
      </c>
      <c r="FC16" s="35">
        <v>80.3</v>
      </c>
      <c r="FD16" s="35">
        <v>79.900000000000006</v>
      </c>
      <c r="FE16" s="35">
        <v>79.5</v>
      </c>
      <c r="FF16" s="35">
        <v>79.5</v>
      </c>
      <c r="FG16" s="35">
        <v>79.3</v>
      </c>
      <c r="FH16" s="35">
        <v>79.3</v>
      </c>
      <c r="FI16" s="35">
        <v>79.5</v>
      </c>
      <c r="FJ16" s="35">
        <v>80.400000000000006</v>
      </c>
      <c r="FK16" s="35">
        <v>81.5</v>
      </c>
      <c r="FL16" s="35">
        <v>82.7</v>
      </c>
      <c r="FM16" s="35">
        <v>84.1</v>
      </c>
      <c r="FN16" s="35">
        <v>85.2</v>
      </c>
      <c r="FO16" s="35">
        <v>86.3</v>
      </c>
      <c r="FP16" s="35">
        <v>86.9</v>
      </c>
      <c r="FQ16" s="35">
        <v>86.8</v>
      </c>
      <c r="FR16" s="35">
        <v>86.7</v>
      </c>
      <c r="FS16" s="35">
        <v>86.5</v>
      </c>
      <c r="FT16" s="35">
        <v>86.9</v>
      </c>
      <c r="FU16" s="35">
        <v>87.9</v>
      </c>
      <c r="FV16" s="35">
        <v>89.7</v>
      </c>
      <c r="FW16" s="35">
        <v>91.2</v>
      </c>
      <c r="FX16" s="35">
        <v>92.7</v>
      </c>
      <c r="FY16" s="35">
        <v>94.2</v>
      </c>
      <c r="FZ16" s="35">
        <v>97.5</v>
      </c>
      <c r="GA16" s="35">
        <v>98.6</v>
      </c>
      <c r="GB16" s="35">
        <v>99.4</v>
      </c>
      <c r="GC16" s="35">
        <v>99.9</v>
      </c>
      <c r="GD16" s="35">
        <v>101.3</v>
      </c>
      <c r="GE16" s="35">
        <v>101.5</v>
      </c>
      <c r="GF16" s="35">
        <v>101.8</v>
      </c>
      <c r="GG16" s="35">
        <v>102.1</v>
      </c>
      <c r="GH16" s="35">
        <v>103.2</v>
      </c>
      <c r="GI16" s="35">
        <v>103.9</v>
      </c>
      <c r="GJ16" s="35">
        <v>104.9</v>
      </c>
      <c r="GK16" s="35">
        <v>106.3</v>
      </c>
      <c r="GL16" s="35">
        <v>109.1</v>
      </c>
      <c r="GM16" s="35">
        <v>110.6</v>
      </c>
      <c r="GN16" s="35">
        <v>112</v>
      </c>
      <c r="GO16" s="35">
        <v>113.3</v>
      </c>
      <c r="GP16" s="35">
        <v>114.2</v>
      </c>
      <c r="GQ16" s="35">
        <v>114.9</v>
      </c>
      <c r="GR16" s="35">
        <v>114.9</v>
      </c>
      <c r="GS16" s="35">
        <v>114.4</v>
      </c>
      <c r="GT16" s="35">
        <v>107</v>
      </c>
      <c r="GU16" s="35">
        <v>107.2</v>
      </c>
      <c r="GV16" s="35">
        <v>108.7</v>
      </c>
      <c r="GW16" s="35">
        <v>111.6</v>
      </c>
      <c r="GX16" s="35">
        <v>115.6</v>
      </c>
      <c r="GY16" s="35">
        <v>119.1</v>
      </c>
      <c r="GZ16" s="35">
        <v>121.9</v>
      </c>
      <c r="HA16" s="35">
        <v>124.2</v>
      </c>
      <c r="HB16" s="35">
        <v>125.9</v>
      </c>
      <c r="HC16">
        <v>127.3</v>
      </c>
      <c r="HD16">
        <v>128.4</v>
      </c>
      <c r="HE16">
        <v>129.19999999999999</v>
      </c>
      <c r="HF16">
        <v>129.69999999999999</v>
      </c>
      <c r="HG16">
        <v>130.4</v>
      </c>
      <c r="HH16">
        <v>131.19999999999999</v>
      </c>
      <c r="HI16">
        <v>132.1</v>
      </c>
      <c r="HJ16">
        <v>133.30000000000001</v>
      </c>
    </row>
    <row r="17" spans="1:218" x14ac:dyDescent="0.25">
      <c r="A17" s="35" t="s">
        <v>2180</v>
      </c>
      <c r="B17" s="35">
        <v>104.6</v>
      </c>
      <c r="C17" s="35">
        <v>105.5</v>
      </c>
      <c r="D17" s="35">
        <v>100.7</v>
      </c>
      <c r="E17" s="35">
        <v>101.5</v>
      </c>
      <c r="F17" s="35">
        <v>98.3</v>
      </c>
      <c r="G17" s="35">
        <v>100.7</v>
      </c>
      <c r="H17" s="35">
        <v>102.3</v>
      </c>
      <c r="I17" s="35">
        <v>105.5</v>
      </c>
      <c r="J17" s="35">
        <v>119.8</v>
      </c>
      <c r="K17" s="35">
        <v>123.4</v>
      </c>
      <c r="L17" s="35">
        <v>124.3</v>
      </c>
      <c r="M17" s="35">
        <v>127.1</v>
      </c>
      <c r="N17" s="35">
        <v>126.4</v>
      </c>
      <c r="O17" s="35">
        <v>129.19999999999999</v>
      </c>
      <c r="P17" s="35">
        <v>134.1</v>
      </c>
      <c r="Q17" s="35">
        <v>140</v>
      </c>
      <c r="R17" s="35">
        <v>142.80000000000001</v>
      </c>
      <c r="S17" s="35">
        <v>148.9</v>
      </c>
      <c r="T17" s="35">
        <v>154.9</v>
      </c>
      <c r="U17" s="35">
        <v>157.6</v>
      </c>
      <c r="V17" s="35">
        <v>158</v>
      </c>
      <c r="W17" s="35">
        <v>121.1</v>
      </c>
      <c r="X17" s="35">
        <v>152.80000000000001</v>
      </c>
      <c r="Y17" s="35">
        <v>158.5</v>
      </c>
      <c r="Z17" s="35">
        <v>162.5</v>
      </c>
      <c r="AA17" s="35">
        <v>169.3</v>
      </c>
      <c r="AB17" s="35">
        <v>176.1</v>
      </c>
      <c r="AC17" s="35">
        <v>182.7</v>
      </c>
      <c r="AD17" s="35">
        <v>188.8</v>
      </c>
      <c r="AE17" s="35">
        <v>195.7</v>
      </c>
      <c r="AF17" s="35">
        <v>198.6</v>
      </c>
      <c r="AG17" s="35">
        <v>208.5</v>
      </c>
      <c r="AH17" s="35">
        <v>212</v>
      </c>
      <c r="AI17" s="35">
        <v>223.1</v>
      </c>
      <c r="AJ17" s="35">
        <v>236.3</v>
      </c>
      <c r="AK17" s="35">
        <v>247.2</v>
      </c>
      <c r="AL17" s="35">
        <v>253.6</v>
      </c>
      <c r="AM17" s="35">
        <v>262</v>
      </c>
      <c r="AN17" s="35">
        <v>274.8</v>
      </c>
      <c r="AO17" s="35">
        <v>285.2</v>
      </c>
      <c r="AP17" s="35">
        <v>284.8</v>
      </c>
      <c r="AQ17" s="35">
        <v>292.2</v>
      </c>
      <c r="AR17" s="35">
        <v>302.2</v>
      </c>
      <c r="AS17" s="35">
        <v>318.89999999999998</v>
      </c>
      <c r="AT17" s="35">
        <v>330.9</v>
      </c>
      <c r="AU17" s="35">
        <v>342.7</v>
      </c>
      <c r="AV17" s="35">
        <v>356.9</v>
      </c>
      <c r="AW17" s="35">
        <v>352.7</v>
      </c>
      <c r="AX17" s="35">
        <v>352.5</v>
      </c>
      <c r="AY17" s="35">
        <v>359.7</v>
      </c>
      <c r="AZ17" s="35">
        <v>350.1</v>
      </c>
      <c r="BA17" s="35">
        <v>356.6</v>
      </c>
      <c r="BB17" s="35">
        <v>350.9</v>
      </c>
      <c r="BC17" s="35">
        <v>359.6</v>
      </c>
      <c r="BD17" s="35">
        <v>345.4</v>
      </c>
      <c r="BE17" s="35">
        <v>355.7</v>
      </c>
      <c r="BF17" s="35">
        <v>361.2</v>
      </c>
      <c r="BG17" s="35">
        <v>370.4</v>
      </c>
      <c r="BH17" s="35">
        <v>384.1</v>
      </c>
      <c r="BI17" s="35">
        <v>395.9</v>
      </c>
      <c r="BJ17" s="35">
        <v>432.3</v>
      </c>
      <c r="BK17" s="35">
        <v>388.5</v>
      </c>
      <c r="BL17" s="35">
        <v>421.5</v>
      </c>
      <c r="BM17" s="35">
        <v>428.9</v>
      </c>
      <c r="BN17" s="35">
        <v>426.3</v>
      </c>
      <c r="BO17" s="35">
        <v>429.4</v>
      </c>
      <c r="BP17" s="35">
        <v>439.5</v>
      </c>
      <c r="BQ17" s="35">
        <v>456</v>
      </c>
      <c r="BR17" s="35">
        <v>450.7</v>
      </c>
      <c r="BS17" s="35">
        <v>511.7</v>
      </c>
      <c r="BT17" s="35">
        <v>489</v>
      </c>
      <c r="BU17" s="35">
        <v>507</v>
      </c>
      <c r="BV17" s="35">
        <v>502.1</v>
      </c>
      <c r="BW17" s="35">
        <v>497.8</v>
      </c>
      <c r="BX17" s="35">
        <v>506.7</v>
      </c>
      <c r="BY17" s="35">
        <v>517.20000000000005</v>
      </c>
      <c r="BZ17" s="35">
        <v>552.9</v>
      </c>
      <c r="CA17" s="35">
        <v>566.70000000000005</v>
      </c>
      <c r="CB17" s="35">
        <v>571.6</v>
      </c>
      <c r="CC17" s="35">
        <v>579.79999999999995</v>
      </c>
      <c r="CD17" s="35">
        <v>582.5</v>
      </c>
      <c r="CE17" s="35">
        <v>594.6</v>
      </c>
      <c r="CF17" s="35">
        <v>600.70000000000005</v>
      </c>
      <c r="CG17" s="35">
        <v>600.79999999999995</v>
      </c>
      <c r="CH17" s="35">
        <v>580.79999999999995</v>
      </c>
      <c r="CI17" s="35">
        <v>585.9</v>
      </c>
      <c r="CJ17" s="35">
        <v>590.20000000000005</v>
      </c>
      <c r="CK17" s="35">
        <v>598.70000000000005</v>
      </c>
      <c r="CL17" s="35">
        <v>588.9</v>
      </c>
      <c r="CM17" s="35">
        <v>607.20000000000005</v>
      </c>
      <c r="CN17" s="35">
        <v>616.20000000000005</v>
      </c>
      <c r="CO17" s="35">
        <v>638.9</v>
      </c>
      <c r="CP17" s="35">
        <v>617</v>
      </c>
      <c r="CQ17" s="35">
        <v>643.5</v>
      </c>
      <c r="CR17" s="35">
        <v>659.2</v>
      </c>
      <c r="CS17" s="35">
        <v>675.3</v>
      </c>
      <c r="CT17" s="35">
        <v>673.7</v>
      </c>
      <c r="CU17" s="35">
        <v>697.8</v>
      </c>
      <c r="CV17" s="35">
        <v>695.4</v>
      </c>
      <c r="CW17" s="35">
        <v>705.4</v>
      </c>
      <c r="CX17" s="35">
        <v>724.6</v>
      </c>
      <c r="CY17" s="35">
        <v>746.8</v>
      </c>
      <c r="CZ17" s="35">
        <v>752.2</v>
      </c>
      <c r="DA17" s="35">
        <v>770</v>
      </c>
      <c r="DB17" s="35">
        <v>801.7</v>
      </c>
      <c r="DC17" s="35">
        <v>839.6</v>
      </c>
      <c r="DD17" s="35">
        <v>843.5</v>
      </c>
      <c r="DE17" s="35">
        <v>863.5</v>
      </c>
      <c r="DF17" s="35">
        <v>902.1</v>
      </c>
      <c r="DG17" s="35">
        <v>916.2</v>
      </c>
      <c r="DH17" s="35">
        <v>941.1</v>
      </c>
      <c r="DI17" s="35">
        <v>967.8</v>
      </c>
      <c r="DJ17" s="35">
        <v>996.1</v>
      </c>
      <c r="DK17" s="35">
        <v>1022.4</v>
      </c>
      <c r="DL17" s="35">
        <v>1043.2</v>
      </c>
      <c r="DM17" s="35">
        <v>1068</v>
      </c>
      <c r="DN17" s="35">
        <v>1077.9000000000001</v>
      </c>
      <c r="DO17" s="35">
        <v>1095.2</v>
      </c>
      <c r="DP17" s="35">
        <v>1120.5999999999999</v>
      </c>
      <c r="DQ17" s="35">
        <v>1154</v>
      </c>
      <c r="DR17" s="35">
        <v>1208.8</v>
      </c>
      <c r="DS17" s="35">
        <v>1230.2</v>
      </c>
      <c r="DT17" s="35">
        <v>1247.7</v>
      </c>
      <c r="DU17" s="35">
        <v>1258.7</v>
      </c>
      <c r="DV17" s="35">
        <v>1301.9000000000001</v>
      </c>
      <c r="DW17" s="35">
        <v>1308.9000000000001</v>
      </c>
      <c r="DX17" s="35">
        <v>1113.5999999999999</v>
      </c>
      <c r="DY17" s="35">
        <v>1231.8</v>
      </c>
      <c r="DZ17" s="35">
        <v>1075.2</v>
      </c>
      <c r="EA17" s="35">
        <v>1051</v>
      </c>
      <c r="EB17" s="35">
        <v>1044.0999999999999</v>
      </c>
      <c r="EC17" s="35">
        <v>1038.4000000000001</v>
      </c>
      <c r="ED17" s="35">
        <v>1021.3</v>
      </c>
      <c r="EE17" s="35">
        <v>1020.8</v>
      </c>
      <c r="EF17" s="35">
        <v>950.7</v>
      </c>
      <c r="EG17" s="35">
        <v>1021.3</v>
      </c>
      <c r="EH17" s="35">
        <v>1012.3</v>
      </c>
      <c r="EI17" s="35">
        <v>1026.8</v>
      </c>
      <c r="EJ17" s="35">
        <v>1064.4000000000001</v>
      </c>
      <c r="EK17" s="35">
        <v>1091.5999999999999</v>
      </c>
      <c r="EL17" s="35">
        <v>1172.3</v>
      </c>
      <c r="EM17" s="35">
        <v>1196.3</v>
      </c>
      <c r="EN17" s="35">
        <v>1225.5</v>
      </c>
      <c r="EO17" s="35">
        <v>1255.8</v>
      </c>
      <c r="EP17" s="35">
        <v>1320.5</v>
      </c>
      <c r="EQ17" s="35">
        <v>1351.3</v>
      </c>
      <c r="ER17" s="35">
        <v>1358.6</v>
      </c>
      <c r="ES17" s="35">
        <v>1397.5</v>
      </c>
      <c r="ET17" s="35">
        <v>1466.5</v>
      </c>
      <c r="EU17" s="35">
        <v>1495.9</v>
      </c>
      <c r="EV17" s="35">
        <v>1498.9</v>
      </c>
      <c r="EW17" s="35">
        <v>1508.6</v>
      </c>
      <c r="EX17" s="35">
        <v>1535.1</v>
      </c>
      <c r="EY17" s="35">
        <v>1552.5</v>
      </c>
      <c r="EZ17" s="35">
        <v>1497.5</v>
      </c>
      <c r="FA17" s="35">
        <v>1444.9</v>
      </c>
      <c r="FB17" s="35">
        <v>1202.4000000000001</v>
      </c>
      <c r="FC17" s="35">
        <v>1131.0999999999999</v>
      </c>
      <c r="FD17" s="35">
        <v>1135.3</v>
      </c>
      <c r="FE17" s="35">
        <v>1140.7</v>
      </c>
      <c r="FF17" s="35">
        <v>1191.8</v>
      </c>
      <c r="FG17" s="35">
        <v>1213.2</v>
      </c>
      <c r="FH17" s="35">
        <v>1256.3</v>
      </c>
      <c r="FI17" s="35">
        <v>1289.0999999999999</v>
      </c>
      <c r="FJ17" s="35">
        <v>1426.6</v>
      </c>
      <c r="FK17" s="35">
        <v>1445.9</v>
      </c>
      <c r="FL17" s="35">
        <v>1471.4</v>
      </c>
      <c r="FM17" s="35">
        <v>1470.9</v>
      </c>
      <c r="FN17" s="35">
        <v>1468.3</v>
      </c>
      <c r="FO17" s="35">
        <v>1487.7</v>
      </c>
      <c r="FP17" s="35">
        <v>1510</v>
      </c>
      <c r="FQ17" s="35">
        <v>1572</v>
      </c>
      <c r="FR17" s="35">
        <v>1650.8</v>
      </c>
      <c r="FS17" s="35">
        <v>1683.9</v>
      </c>
      <c r="FT17" s="35">
        <v>1676.3</v>
      </c>
      <c r="FU17" s="35">
        <v>1699.1</v>
      </c>
      <c r="FV17" s="35">
        <v>1745.8</v>
      </c>
      <c r="FW17" s="35">
        <v>1759.5</v>
      </c>
      <c r="FX17" s="35">
        <v>1799.8</v>
      </c>
      <c r="FY17" s="35">
        <v>1837.7</v>
      </c>
      <c r="FZ17" s="35">
        <v>1905.6</v>
      </c>
      <c r="GA17" s="35">
        <v>1943.9</v>
      </c>
      <c r="GB17" s="35">
        <v>1948.3</v>
      </c>
      <c r="GC17" s="35">
        <v>1965.8</v>
      </c>
      <c r="GD17" s="35">
        <v>1925.3</v>
      </c>
      <c r="GE17" s="35">
        <v>1944</v>
      </c>
      <c r="GF17" s="35">
        <v>1972.5</v>
      </c>
      <c r="GG17" s="35">
        <v>1993.2</v>
      </c>
      <c r="GH17" s="35">
        <v>2004.2</v>
      </c>
      <c r="GI17" s="35">
        <v>2012.3</v>
      </c>
      <c r="GJ17" s="35">
        <v>2055.1</v>
      </c>
      <c r="GK17" s="35">
        <v>2123.6999999999998</v>
      </c>
      <c r="GL17" s="35">
        <v>2071.6</v>
      </c>
      <c r="GM17" s="35">
        <v>2058.1</v>
      </c>
      <c r="GN17" s="35">
        <v>2085.3000000000002</v>
      </c>
      <c r="GO17" s="35">
        <v>2081.6</v>
      </c>
      <c r="GP17" s="35">
        <v>2156.6999999999998</v>
      </c>
      <c r="GQ17" s="35">
        <v>2222.1999999999998</v>
      </c>
      <c r="GR17" s="35">
        <v>2197.9</v>
      </c>
      <c r="GS17" s="35">
        <v>2220.4</v>
      </c>
      <c r="GT17" s="35">
        <v>2255.9</v>
      </c>
      <c r="GU17" s="35">
        <v>2111.9</v>
      </c>
      <c r="GV17" s="35">
        <v>2263.3000000000002</v>
      </c>
      <c r="GW17" s="35">
        <v>2394.6999999999998</v>
      </c>
      <c r="GX17" s="35">
        <v>2577.6</v>
      </c>
      <c r="GY17" s="35">
        <v>2703.9</v>
      </c>
      <c r="GZ17" s="35">
        <v>2789.9</v>
      </c>
      <c r="HA17" s="35">
        <v>2901.6</v>
      </c>
      <c r="HB17" s="35">
        <v>3162.8</v>
      </c>
      <c r="HC17">
        <v>3157.8</v>
      </c>
      <c r="HD17">
        <v>3137</v>
      </c>
      <c r="HE17">
        <v>3095.7</v>
      </c>
      <c r="HF17">
        <v>2763.7</v>
      </c>
      <c r="HG17">
        <v>2703.8</v>
      </c>
      <c r="HH17">
        <v>2765.3</v>
      </c>
      <c r="HI17">
        <v>2792.5</v>
      </c>
      <c r="HJ17">
        <v>2930.2</v>
      </c>
    </row>
    <row r="18" spans="1:218" x14ac:dyDescent="0.25">
      <c r="A18" s="35" t="s">
        <v>2181</v>
      </c>
      <c r="B18" s="35">
        <v>88.5</v>
      </c>
      <c r="C18" s="35">
        <v>90.5</v>
      </c>
      <c r="D18" s="35">
        <v>92.5</v>
      </c>
      <c r="E18" s="35">
        <v>94.1</v>
      </c>
      <c r="F18" s="35">
        <v>97.7</v>
      </c>
      <c r="G18" s="35">
        <v>98.9</v>
      </c>
      <c r="H18" s="35">
        <v>101.7</v>
      </c>
      <c r="I18" s="35">
        <v>103.7</v>
      </c>
      <c r="J18" s="35">
        <v>104.6</v>
      </c>
      <c r="K18" s="35">
        <v>106.8</v>
      </c>
      <c r="L18" s="35">
        <v>108.9</v>
      </c>
      <c r="M18" s="35">
        <v>111.5</v>
      </c>
      <c r="N18" s="35">
        <v>114.6</v>
      </c>
      <c r="O18" s="35">
        <v>116.2</v>
      </c>
      <c r="P18" s="35">
        <v>118.4</v>
      </c>
      <c r="Q18" s="35">
        <v>119.7</v>
      </c>
      <c r="R18" s="35">
        <v>120.8</v>
      </c>
      <c r="S18" s="35">
        <v>124.1</v>
      </c>
      <c r="T18" s="35">
        <v>127.1</v>
      </c>
      <c r="U18" s="35">
        <v>127.7</v>
      </c>
      <c r="V18" s="35">
        <v>128.80000000000001</v>
      </c>
      <c r="W18" s="35">
        <v>133</v>
      </c>
      <c r="X18" s="35">
        <v>138.19999999999999</v>
      </c>
      <c r="Y18" s="35">
        <v>141.1</v>
      </c>
      <c r="Z18" s="35">
        <v>141.69999999999999</v>
      </c>
      <c r="AA18" s="35">
        <v>144.9</v>
      </c>
      <c r="AB18" s="35">
        <v>147.69999999999999</v>
      </c>
      <c r="AC18" s="35">
        <v>151.30000000000001</v>
      </c>
      <c r="AD18" s="35">
        <v>154.80000000000001</v>
      </c>
      <c r="AE18" s="35">
        <v>158</v>
      </c>
      <c r="AF18" s="35">
        <v>161.5</v>
      </c>
      <c r="AG18" s="35">
        <v>164.3</v>
      </c>
      <c r="AH18" s="35">
        <v>166.9</v>
      </c>
      <c r="AI18" s="35">
        <v>173.1</v>
      </c>
      <c r="AJ18" s="35">
        <v>169.7</v>
      </c>
      <c r="AK18" s="35">
        <v>173.9</v>
      </c>
      <c r="AL18" s="35">
        <v>176.4</v>
      </c>
      <c r="AM18" s="35">
        <v>178.5</v>
      </c>
      <c r="AN18" s="35">
        <v>180.9</v>
      </c>
      <c r="AO18" s="35">
        <v>184.6</v>
      </c>
      <c r="AP18" s="35">
        <v>189.5</v>
      </c>
      <c r="AQ18" s="35">
        <v>196.9</v>
      </c>
      <c r="AR18" s="35">
        <v>204.3</v>
      </c>
      <c r="AS18" s="35">
        <v>210.6</v>
      </c>
      <c r="AT18" s="35">
        <v>230.8</v>
      </c>
      <c r="AU18" s="35">
        <v>235.5</v>
      </c>
      <c r="AV18" s="35">
        <v>237.5</v>
      </c>
      <c r="AW18" s="35">
        <v>238.8</v>
      </c>
      <c r="AX18" s="35">
        <v>237.4</v>
      </c>
      <c r="AY18" s="35">
        <v>238.3</v>
      </c>
      <c r="AZ18" s="35">
        <v>241.8</v>
      </c>
      <c r="BA18" s="35">
        <v>246.3</v>
      </c>
      <c r="BB18" s="35">
        <v>250.7</v>
      </c>
      <c r="BC18" s="35">
        <v>261.2</v>
      </c>
      <c r="BD18" s="35">
        <v>267.5</v>
      </c>
      <c r="BE18" s="35">
        <v>273.7</v>
      </c>
      <c r="BF18" s="35">
        <v>281.60000000000002</v>
      </c>
      <c r="BG18" s="35">
        <v>287.7</v>
      </c>
      <c r="BH18" s="35">
        <v>292.2</v>
      </c>
      <c r="BI18" s="35">
        <v>297.5</v>
      </c>
      <c r="BJ18" s="35">
        <v>301</v>
      </c>
      <c r="BK18" s="35">
        <v>305.7</v>
      </c>
      <c r="BL18" s="35">
        <v>311.89999999999998</v>
      </c>
      <c r="BM18" s="35">
        <v>313.89999999999998</v>
      </c>
      <c r="BN18" s="35">
        <v>317.5</v>
      </c>
      <c r="BO18" s="35">
        <v>319.5</v>
      </c>
      <c r="BP18" s="35">
        <v>326.2</v>
      </c>
      <c r="BQ18" s="35">
        <v>330.4</v>
      </c>
      <c r="BR18" s="35">
        <v>336</v>
      </c>
      <c r="BS18" s="35">
        <v>344.4</v>
      </c>
      <c r="BT18" s="35">
        <v>352.4</v>
      </c>
      <c r="BU18" s="35">
        <v>357.4</v>
      </c>
      <c r="BV18" s="35">
        <v>365.2</v>
      </c>
      <c r="BW18" s="35">
        <v>372.5</v>
      </c>
      <c r="BX18" s="35">
        <v>377.5</v>
      </c>
      <c r="BY18" s="35">
        <v>382.6</v>
      </c>
      <c r="BZ18" s="35">
        <v>391</v>
      </c>
      <c r="CA18" s="35">
        <v>397.5</v>
      </c>
      <c r="CB18" s="35">
        <v>403.9</v>
      </c>
      <c r="CC18" s="35">
        <v>403</v>
      </c>
      <c r="CD18" s="35">
        <v>419.5</v>
      </c>
      <c r="CE18" s="35">
        <v>419.5</v>
      </c>
      <c r="CF18" s="35">
        <v>426.8</v>
      </c>
      <c r="CG18" s="35">
        <v>434.2</v>
      </c>
      <c r="CH18" s="35">
        <v>444</v>
      </c>
      <c r="CI18" s="35">
        <v>451.6</v>
      </c>
      <c r="CJ18" s="35">
        <v>461.3</v>
      </c>
      <c r="CK18" s="35">
        <v>471.5</v>
      </c>
      <c r="CL18" s="35">
        <v>476.4</v>
      </c>
      <c r="CM18" s="35">
        <v>481.2</v>
      </c>
      <c r="CN18" s="35">
        <v>486</v>
      </c>
      <c r="CO18" s="35">
        <v>489.9</v>
      </c>
      <c r="CP18" s="35">
        <v>489.7</v>
      </c>
      <c r="CQ18" s="35">
        <v>497.6</v>
      </c>
      <c r="CR18" s="35">
        <v>504.9</v>
      </c>
      <c r="CS18" s="35">
        <v>520.29999999999995</v>
      </c>
      <c r="CT18" s="35">
        <v>531.5</v>
      </c>
      <c r="CU18" s="35">
        <v>544.4</v>
      </c>
      <c r="CV18" s="35">
        <v>550.5</v>
      </c>
      <c r="CW18" s="35">
        <v>554.6</v>
      </c>
      <c r="CX18" s="35">
        <v>555.29999999999995</v>
      </c>
      <c r="CY18" s="35">
        <v>553.6</v>
      </c>
      <c r="CZ18" s="35">
        <v>558.9</v>
      </c>
      <c r="DA18" s="35">
        <v>563.79999999999995</v>
      </c>
      <c r="DB18" s="35">
        <v>570.4</v>
      </c>
      <c r="DC18" s="35">
        <v>577.70000000000005</v>
      </c>
      <c r="DD18" s="35">
        <v>581.79999999999995</v>
      </c>
      <c r="DE18" s="35">
        <v>593.20000000000005</v>
      </c>
      <c r="DF18" s="35">
        <v>595.70000000000005</v>
      </c>
      <c r="DG18" s="35">
        <v>610.4</v>
      </c>
      <c r="DH18" s="35">
        <v>616.6</v>
      </c>
      <c r="DI18" s="35">
        <v>623.79999999999995</v>
      </c>
      <c r="DJ18" s="35">
        <v>629.1</v>
      </c>
      <c r="DK18" s="35">
        <v>635.5</v>
      </c>
      <c r="DL18" s="35">
        <v>643</v>
      </c>
      <c r="DM18" s="35">
        <v>650.29999999999995</v>
      </c>
      <c r="DN18" s="35">
        <v>657.5</v>
      </c>
      <c r="DO18" s="35">
        <v>667.1</v>
      </c>
      <c r="DP18" s="35">
        <v>679</v>
      </c>
      <c r="DQ18" s="35">
        <v>690.7</v>
      </c>
      <c r="DR18" s="35">
        <v>698.6</v>
      </c>
      <c r="DS18" s="35">
        <v>707.3</v>
      </c>
      <c r="DT18" s="35">
        <v>711.3</v>
      </c>
      <c r="DU18" s="35">
        <v>717.1</v>
      </c>
      <c r="DV18" s="35">
        <v>724.2</v>
      </c>
      <c r="DW18" s="35">
        <v>724.1</v>
      </c>
      <c r="DX18" s="35">
        <v>725.3</v>
      </c>
      <c r="DY18" s="35">
        <v>737.1</v>
      </c>
      <c r="DZ18" s="35">
        <v>744</v>
      </c>
      <c r="EA18" s="35">
        <v>751.3</v>
      </c>
      <c r="EB18" s="35">
        <v>768.5</v>
      </c>
      <c r="EC18" s="35">
        <v>776.3</v>
      </c>
      <c r="ED18" s="35">
        <v>788.6</v>
      </c>
      <c r="EE18" s="35">
        <v>800</v>
      </c>
      <c r="EF18" s="35">
        <v>813</v>
      </c>
      <c r="EG18" s="35">
        <v>820.9</v>
      </c>
      <c r="EH18" s="35">
        <v>847.3</v>
      </c>
      <c r="EI18" s="35">
        <v>859.9</v>
      </c>
      <c r="EJ18" s="35">
        <v>871.3</v>
      </c>
      <c r="EK18" s="35">
        <v>893.8</v>
      </c>
      <c r="EL18" s="35">
        <v>915.1</v>
      </c>
      <c r="EM18" s="35">
        <v>937.3</v>
      </c>
      <c r="EN18" s="35">
        <v>952.1</v>
      </c>
      <c r="EO18" s="35">
        <v>965.3</v>
      </c>
      <c r="EP18" s="35">
        <v>981.8</v>
      </c>
      <c r="EQ18" s="35">
        <v>991.7</v>
      </c>
      <c r="ER18" s="35">
        <v>1004.1</v>
      </c>
      <c r="ES18" s="35">
        <v>1010.5</v>
      </c>
      <c r="ET18" s="35">
        <v>1025.9000000000001</v>
      </c>
      <c r="EU18" s="35">
        <v>1033.0999999999999</v>
      </c>
      <c r="EV18" s="35">
        <v>1035.8</v>
      </c>
      <c r="EW18" s="35">
        <v>1052.5999999999999</v>
      </c>
      <c r="EX18" s="35">
        <v>1045.7</v>
      </c>
      <c r="EY18" s="35">
        <v>1054.7</v>
      </c>
      <c r="EZ18" s="35">
        <v>1058.5</v>
      </c>
      <c r="FA18" s="35">
        <v>1040</v>
      </c>
      <c r="FB18" s="35">
        <v>1015.9</v>
      </c>
      <c r="FC18" s="35">
        <v>1017.3</v>
      </c>
      <c r="FD18" s="35">
        <v>1028.8</v>
      </c>
      <c r="FE18" s="35">
        <v>1045.3</v>
      </c>
      <c r="FF18" s="35">
        <v>1044.5999999999999</v>
      </c>
      <c r="FG18" s="35">
        <v>1062.0999999999999</v>
      </c>
      <c r="FH18" s="35">
        <v>1069.0999999999999</v>
      </c>
      <c r="FI18" s="35">
        <v>1076.4000000000001</v>
      </c>
      <c r="FJ18" s="35">
        <v>1091.5</v>
      </c>
      <c r="FK18" s="35">
        <v>1105.5</v>
      </c>
      <c r="FL18" s="35">
        <v>1103.9000000000001</v>
      </c>
      <c r="FM18" s="35">
        <v>1114</v>
      </c>
      <c r="FN18" s="35">
        <v>1130.9000000000001</v>
      </c>
      <c r="FO18" s="35">
        <v>1133.9000000000001</v>
      </c>
      <c r="FP18" s="35">
        <v>1131.3</v>
      </c>
      <c r="FQ18" s="35">
        <v>1148.4000000000001</v>
      </c>
      <c r="FR18" s="35">
        <v>1175.4000000000001</v>
      </c>
      <c r="FS18" s="35">
        <v>1179.4000000000001</v>
      </c>
      <c r="FT18" s="35">
        <v>1190.2</v>
      </c>
      <c r="FU18" s="35">
        <v>1198.3</v>
      </c>
      <c r="FV18" s="35">
        <v>1215.9000000000001</v>
      </c>
      <c r="FW18" s="35">
        <v>1234.8</v>
      </c>
      <c r="FX18" s="35">
        <v>1245.5999999999999</v>
      </c>
      <c r="FY18" s="35">
        <v>1254.4000000000001</v>
      </c>
      <c r="FZ18" s="35">
        <v>1259.0999999999999</v>
      </c>
      <c r="GA18" s="35">
        <v>1270.9000000000001</v>
      </c>
      <c r="GB18" s="35">
        <v>1275.8</v>
      </c>
      <c r="GC18" s="35">
        <v>1288</v>
      </c>
      <c r="GD18" s="35">
        <v>1292.5</v>
      </c>
      <c r="GE18" s="35">
        <v>1297.5</v>
      </c>
      <c r="GF18" s="35">
        <v>1320.1</v>
      </c>
      <c r="GG18" s="35">
        <v>1326.4</v>
      </c>
      <c r="GH18" s="35">
        <v>1336.9</v>
      </c>
      <c r="GI18" s="35">
        <v>1353.5</v>
      </c>
      <c r="GJ18" s="35">
        <v>1372</v>
      </c>
      <c r="GK18" s="35">
        <v>1393.5</v>
      </c>
      <c r="GL18" s="35">
        <v>1423.3</v>
      </c>
      <c r="GM18" s="35">
        <v>1440.9</v>
      </c>
      <c r="GN18" s="35">
        <v>1463.6</v>
      </c>
      <c r="GO18" s="35">
        <v>1500.6</v>
      </c>
      <c r="GP18" s="35">
        <v>1507.5</v>
      </c>
      <c r="GQ18" s="35">
        <v>1519.2</v>
      </c>
      <c r="GR18" s="35">
        <v>1552</v>
      </c>
      <c r="GS18" s="35">
        <v>1553.8</v>
      </c>
      <c r="GT18" s="35">
        <v>1562.6</v>
      </c>
      <c r="GU18" s="35">
        <v>1420.9</v>
      </c>
      <c r="GV18" s="35">
        <v>1535.8</v>
      </c>
      <c r="GW18" s="35">
        <v>1562.7</v>
      </c>
      <c r="GX18" s="35">
        <v>1581.7</v>
      </c>
      <c r="GY18" s="35">
        <v>1675.1</v>
      </c>
      <c r="GZ18" s="35">
        <v>1685.4</v>
      </c>
      <c r="HA18" s="35">
        <v>1745.5</v>
      </c>
      <c r="HB18" s="35">
        <v>1784</v>
      </c>
      <c r="HC18">
        <v>1812.3</v>
      </c>
      <c r="HD18">
        <v>1824</v>
      </c>
      <c r="HE18">
        <v>1820.6</v>
      </c>
      <c r="HF18">
        <v>1831.1</v>
      </c>
      <c r="HG18">
        <v>1821.6</v>
      </c>
      <c r="HH18">
        <v>1830.7</v>
      </c>
      <c r="HI18">
        <v>1847.2</v>
      </c>
      <c r="HJ18">
        <v>1855.2</v>
      </c>
    </row>
    <row r="19" spans="1:218" x14ac:dyDescent="0.25">
      <c r="A19" s="35" t="s">
        <v>2182</v>
      </c>
      <c r="B19" s="35">
        <v>30.7</v>
      </c>
      <c r="C19" s="35">
        <v>30.8</v>
      </c>
      <c r="D19" s="35">
        <v>31.7</v>
      </c>
      <c r="E19" s="35">
        <v>30.2</v>
      </c>
      <c r="F19" s="35">
        <v>34</v>
      </c>
      <c r="G19" s="35">
        <v>34.9</v>
      </c>
      <c r="H19" s="35">
        <v>34.1</v>
      </c>
      <c r="I19" s="35">
        <v>34.6</v>
      </c>
      <c r="J19" s="35">
        <v>36.799999999999997</v>
      </c>
      <c r="K19" s="35">
        <v>37.1</v>
      </c>
      <c r="L19" s="35">
        <v>38.299999999999997</v>
      </c>
      <c r="M19" s="35">
        <v>42.4</v>
      </c>
      <c r="N19" s="35">
        <v>45.3</v>
      </c>
      <c r="O19" s="35">
        <v>45.4</v>
      </c>
      <c r="P19" s="35">
        <v>43.4</v>
      </c>
      <c r="Q19" s="35">
        <v>45.6</v>
      </c>
      <c r="R19" s="35">
        <v>43.7</v>
      </c>
      <c r="S19" s="35">
        <v>45.9</v>
      </c>
      <c r="T19" s="35">
        <v>50.8</v>
      </c>
      <c r="U19" s="35">
        <v>44.6</v>
      </c>
      <c r="V19" s="35">
        <v>37.6</v>
      </c>
      <c r="W19" s="35">
        <v>40.799999999999997</v>
      </c>
      <c r="X19" s="35">
        <v>51.4</v>
      </c>
      <c r="Y19" s="35">
        <v>52.3</v>
      </c>
      <c r="Z19" s="35">
        <v>59.6</v>
      </c>
      <c r="AA19" s="35">
        <v>58.6</v>
      </c>
      <c r="AB19" s="35">
        <v>58.1</v>
      </c>
      <c r="AC19" s="35">
        <v>57.1</v>
      </c>
      <c r="AD19" s="35">
        <v>61.5</v>
      </c>
      <c r="AE19" s="35">
        <v>67.099999999999994</v>
      </c>
      <c r="AF19" s="35">
        <v>69.7</v>
      </c>
      <c r="AG19" s="35">
        <v>70.099999999999994</v>
      </c>
      <c r="AH19" s="35">
        <v>65</v>
      </c>
      <c r="AI19" s="35">
        <v>78.599999999999994</v>
      </c>
      <c r="AJ19" s="35">
        <v>79.099999999999994</v>
      </c>
      <c r="AK19" s="35">
        <v>83.3</v>
      </c>
      <c r="AL19" s="35">
        <v>80.3</v>
      </c>
      <c r="AM19" s="35">
        <v>80.3</v>
      </c>
      <c r="AN19" s="35">
        <v>78.900000000000006</v>
      </c>
      <c r="AO19" s="35">
        <v>75.3</v>
      </c>
      <c r="AP19" s="35">
        <v>83.1</v>
      </c>
      <c r="AQ19" s="35">
        <v>62.6</v>
      </c>
      <c r="AR19" s="35">
        <v>69.900000000000006</v>
      </c>
      <c r="AS19" s="35">
        <v>76.8</v>
      </c>
      <c r="AT19" s="35">
        <v>75.400000000000006</v>
      </c>
      <c r="AU19" s="35">
        <v>65.900000000000006</v>
      </c>
      <c r="AV19" s="35">
        <v>68.400000000000006</v>
      </c>
      <c r="AW19" s="35">
        <v>58.9</v>
      </c>
      <c r="AX19" s="35">
        <v>47.6</v>
      </c>
      <c r="AY19" s="35">
        <v>49</v>
      </c>
      <c r="AZ19" s="35">
        <v>49.8</v>
      </c>
      <c r="BA19" s="35">
        <v>45.1</v>
      </c>
      <c r="BB19" s="35">
        <v>47.1</v>
      </c>
      <c r="BC19" s="35">
        <v>61.9</v>
      </c>
      <c r="BD19" s="35">
        <v>70.7</v>
      </c>
      <c r="BE19" s="35">
        <v>72.400000000000006</v>
      </c>
      <c r="BF19" s="35">
        <v>84.9</v>
      </c>
      <c r="BG19" s="35">
        <v>83.7</v>
      </c>
      <c r="BH19" s="35">
        <v>71.3</v>
      </c>
      <c r="BI19" s="35">
        <v>72.099999999999994</v>
      </c>
      <c r="BJ19" s="35">
        <v>77.7</v>
      </c>
      <c r="BK19" s="35">
        <v>76</v>
      </c>
      <c r="BL19" s="35">
        <v>81.7</v>
      </c>
      <c r="BM19" s="35">
        <v>79.5</v>
      </c>
      <c r="BN19" s="35">
        <v>84.4</v>
      </c>
      <c r="BO19" s="35">
        <v>85.5</v>
      </c>
      <c r="BP19" s="35">
        <v>86.9</v>
      </c>
      <c r="BQ19" s="35">
        <v>97.9</v>
      </c>
      <c r="BR19" s="35">
        <v>98.7</v>
      </c>
      <c r="BS19" s="35">
        <v>111.8</v>
      </c>
      <c r="BT19" s="35">
        <v>116.2</v>
      </c>
      <c r="BU19" s="35">
        <v>110.7</v>
      </c>
      <c r="BV19" s="35">
        <v>108</v>
      </c>
      <c r="BW19" s="35">
        <v>115.3</v>
      </c>
      <c r="BX19" s="35">
        <v>125.1</v>
      </c>
      <c r="BY19" s="35">
        <v>130.9</v>
      </c>
      <c r="BZ19" s="35">
        <v>132.69999999999999</v>
      </c>
      <c r="CA19" s="35">
        <v>118.7</v>
      </c>
      <c r="CB19" s="35">
        <v>114.4</v>
      </c>
      <c r="CC19" s="35">
        <v>113.5</v>
      </c>
      <c r="CD19" s="35">
        <v>112.5</v>
      </c>
      <c r="CE19" s="35">
        <v>116.8</v>
      </c>
      <c r="CF19" s="35">
        <v>119.9</v>
      </c>
      <c r="CG19" s="35">
        <v>118.8</v>
      </c>
      <c r="CH19" s="35">
        <v>115.3</v>
      </c>
      <c r="CI19" s="35">
        <v>110.9</v>
      </c>
      <c r="CJ19" s="35">
        <v>111.9</v>
      </c>
      <c r="CK19" s="35">
        <v>113.1</v>
      </c>
      <c r="CL19" s="35">
        <v>125</v>
      </c>
      <c r="CM19" s="35">
        <v>126.8</v>
      </c>
      <c r="CN19" s="35">
        <v>122.1</v>
      </c>
      <c r="CO19" s="35">
        <v>131.6</v>
      </c>
      <c r="CP19" s="35">
        <v>136.4</v>
      </c>
      <c r="CQ19" s="35">
        <v>148.69999999999999</v>
      </c>
      <c r="CR19" s="35">
        <v>140.69999999999999</v>
      </c>
      <c r="CS19" s="35">
        <v>171.9</v>
      </c>
      <c r="CT19" s="35">
        <v>149.5</v>
      </c>
      <c r="CU19" s="35">
        <v>158</v>
      </c>
      <c r="CV19" s="35">
        <v>173.8</v>
      </c>
      <c r="CW19" s="35">
        <v>183.6</v>
      </c>
      <c r="CX19" s="35">
        <v>187.8</v>
      </c>
      <c r="CY19" s="35">
        <v>184.4</v>
      </c>
      <c r="CZ19" s="35">
        <v>191</v>
      </c>
      <c r="DA19" s="35">
        <v>187.1</v>
      </c>
      <c r="DB19" s="35">
        <v>194.3</v>
      </c>
      <c r="DC19" s="35">
        <v>205.5</v>
      </c>
      <c r="DD19" s="35">
        <v>205.9</v>
      </c>
      <c r="DE19" s="35">
        <v>208.6</v>
      </c>
      <c r="DF19" s="35">
        <v>210</v>
      </c>
      <c r="DG19" s="35">
        <v>214</v>
      </c>
      <c r="DH19" s="35">
        <v>226</v>
      </c>
      <c r="DI19" s="35">
        <v>215.9</v>
      </c>
      <c r="DJ19" s="35">
        <v>213.5</v>
      </c>
      <c r="DK19" s="35">
        <v>209.9</v>
      </c>
      <c r="DL19" s="35">
        <v>215.8</v>
      </c>
      <c r="DM19" s="35">
        <v>211.3</v>
      </c>
      <c r="DN19" s="35">
        <v>222.3</v>
      </c>
      <c r="DO19" s="35">
        <v>219.9</v>
      </c>
      <c r="DP19" s="35">
        <v>223.3</v>
      </c>
      <c r="DQ19" s="35">
        <v>228</v>
      </c>
      <c r="DR19" s="35">
        <v>239.4</v>
      </c>
      <c r="DS19" s="35">
        <v>237.6</v>
      </c>
      <c r="DT19" s="35">
        <v>219</v>
      </c>
      <c r="DU19" s="35">
        <v>221.3</v>
      </c>
      <c r="DV19" s="35">
        <v>185.1</v>
      </c>
      <c r="DW19" s="35">
        <v>179</v>
      </c>
      <c r="DX19" s="35">
        <v>159.30000000000001</v>
      </c>
      <c r="DY19" s="35">
        <v>142.4</v>
      </c>
      <c r="DZ19" s="35">
        <v>143.80000000000001</v>
      </c>
      <c r="EA19" s="35">
        <v>150</v>
      </c>
      <c r="EB19" s="35">
        <v>158</v>
      </c>
      <c r="EC19" s="35">
        <v>175.5</v>
      </c>
      <c r="ED19" s="35">
        <v>196.1</v>
      </c>
      <c r="EE19" s="35">
        <v>192.6</v>
      </c>
      <c r="EF19" s="35">
        <v>213.9</v>
      </c>
      <c r="EG19" s="35">
        <v>236.6</v>
      </c>
      <c r="EH19" s="35">
        <v>247</v>
      </c>
      <c r="EI19" s="35">
        <v>266.8</v>
      </c>
      <c r="EJ19" s="35">
        <v>288.3</v>
      </c>
      <c r="EK19" s="35">
        <v>293.60000000000002</v>
      </c>
      <c r="EL19" s="35">
        <v>370.6</v>
      </c>
      <c r="EM19" s="35">
        <v>359</v>
      </c>
      <c r="EN19" s="35">
        <v>365.2</v>
      </c>
      <c r="EO19" s="35">
        <v>402.9</v>
      </c>
      <c r="EP19" s="35">
        <v>416.9</v>
      </c>
      <c r="EQ19" s="35">
        <v>427.6</v>
      </c>
      <c r="ER19" s="35">
        <v>446.6</v>
      </c>
      <c r="ES19" s="35">
        <v>409.8</v>
      </c>
      <c r="ET19" s="35">
        <v>413.6</v>
      </c>
      <c r="EU19" s="35">
        <v>407.2</v>
      </c>
      <c r="EV19" s="35">
        <v>370.9</v>
      </c>
      <c r="EW19" s="35">
        <v>352.7</v>
      </c>
      <c r="EX19" s="35">
        <v>291.89999999999998</v>
      </c>
      <c r="EY19" s="35">
        <v>278.7</v>
      </c>
      <c r="EZ19" s="35">
        <v>264.39999999999998</v>
      </c>
      <c r="FA19" s="35">
        <v>162.6</v>
      </c>
      <c r="FB19" s="35">
        <v>166.5</v>
      </c>
      <c r="FC19" s="35">
        <v>188.6</v>
      </c>
      <c r="FD19" s="35">
        <v>200.7</v>
      </c>
      <c r="FE19" s="35">
        <v>234.2</v>
      </c>
      <c r="FF19" s="35">
        <v>249.8</v>
      </c>
      <c r="FG19" s="35">
        <v>255.6</v>
      </c>
      <c r="FH19" s="35">
        <v>272.60000000000002</v>
      </c>
      <c r="FI19" s="35">
        <v>284</v>
      </c>
      <c r="FJ19" s="35">
        <v>277.3</v>
      </c>
      <c r="FK19" s="35">
        <v>276.89999999999998</v>
      </c>
      <c r="FL19" s="35">
        <v>248.2</v>
      </c>
      <c r="FM19" s="35">
        <v>287</v>
      </c>
      <c r="FN19" s="35">
        <v>310.7</v>
      </c>
      <c r="FO19" s="35">
        <v>325</v>
      </c>
      <c r="FP19" s="35">
        <v>332.9</v>
      </c>
      <c r="FQ19" s="35">
        <v>332.8</v>
      </c>
      <c r="FR19" s="35">
        <v>350.6</v>
      </c>
      <c r="FS19" s="35">
        <v>347.2</v>
      </c>
      <c r="FT19" s="35">
        <v>353.9</v>
      </c>
      <c r="FU19" s="35">
        <v>356.6</v>
      </c>
      <c r="FV19" s="35">
        <v>392.6</v>
      </c>
      <c r="FW19" s="35">
        <v>414.3</v>
      </c>
      <c r="FX19" s="35">
        <v>386.7</v>
      </c>
      <c r="FY19" s="35">
        <v>390.4</v>
      </c>
      <c r="FZ19" s="35">
        <v>402.7</v>
      </c>
      <c r="GA19" s="35">
        <v>408.3</v>
      </c>
      <c r="GB19" s="35">
        <v>380.2</v>
      </c>
      <c r="GC19" s="35">
        <v>349.3</v>
      </c>
      <c r="GD19" s="35">
        <v>364.1</v>
      </c>
      <c r="GE19" s="35">
        <v>367.1</v>
      </c>
      <c r="GF19" s="35">
        <v>375.5</v>
      </c>
      <c r="GG19" s="35">
        <v>353.4</v>
      </c>
      <c r="GH19" s="35">
        <v>266.89999999999998</v>
      </c>
      <c r="GI19" s="35">
        <v>279.60000000000002</v>
      </c>
      <c r="GJ19" s="35">
        <v>295.7</v>
      </c>
      <c r="GK19" s="35">
        <v>296.89999999999998</v>
      </c>
      <c r="GL19" s="35">
        <v>270.39999999999998</v>
      </c>
      <c r="GM19" s="35">
        <v>289.5</v>
      </c>
      <c r="GN19" s="35">
        <v>287.10000000000002</v>
      </c>
      <c r="GO19" s="35">
        <v>293.3</v>
      </c>
      <c r="GP19" s="35">
        <v>273.3</v>
      </c>
      <c r="GQ19" s="35">
        <v>285.10000000000002</v>
      </c>
      <c r="GR19" s="35">
        <v>272.5</v>
      </c>
      <c r="GS19" s="35">
        <v>304.8</v>
      </c>
      <c r="GT19" s="35">
        <v>255.4</v>
      </c>
      <c r="GU19" s="35">
        <v>263.5</v>
      </c>
      <c r="GV19" s="35">
        <v>326.39999999999998</v>
      </c>
      <c r="GW19" s="35">
        <v>333.2</v>
      </c>
      <c r="GX19" s="35">
        <v>338.9</v>
      </c>
      <c r="GY19" s="35">
        <v>378.9</v>
      </c>
      <c r="GZ19" s="35">
        <v>391.5</v>
      </c>
      <c r="HA19" s="35">
        <v>454</v>
      </c>
      <c r="HB19">
        <v>513.9</v>
      </c>
      <c r="HC19">
        <v>532.29999999999995</v>
      </c>
      <c r="HD19">
        <v>529.79999999999995</v>
      </c>
      <c r="HE19">
        <v>534.1</v>
      </c>
      <c r="HF19">
        <v>561.1</v>
      </c>
      <c r="HG19">
        <v>554.1</v>
      </c>
      <c r="HH19">
        <v>566.70000000000005</v>
      </c>
      <c r="HI19">
        <v>595.1</v>
      </c>
      <c r="HJ19">
        <v>621.9</v>
      </c>
    </row>
    <row r="20" spans="1:218" x14ac:dyDescent="0.25">
      <c r="A20" s="35" t="s">
        <v>2183</v>
      </c>
      <c r="B20" s="35">
        <v>247.9</v>
      </c>
      <c r="C20" s="35">
        <v>249.1</v>
      </c>
      <c r="D20" s="35">
        <v>254.6</v>
      </c>
      <c r="E20" s="35">
        <v>258.7</v>
      </c>
      <c r="F20" s="35">
        <v>261.89999999999998</v>
      </c>
      <c r="G20" s="35">
        <v>266.10000000000002</v>
      </c>
      <c r="H20" s="35">
        <v>269.8</v>
      </c>
      <c r="I20" s="35">
        <v>272.10000000000002</v>
      </c>
      <c r="J20" s="35">
        <v>282.2</v>
      </c>
      <c r="K20" s="35">
        <v>286.5</v>
      </c>
      <c r="L20" s="35">
        <v>284.3</v>
      </c>
      <c r="M20" s="35">
        <v>291.7</v>
      </c>
      <c r="N20" s="35">
        <v>299.60000000000002</v>
      </c>
      <c r="O20" s="35">
        <v>302.7</v>
      </c>
      <c r="P20" s="35">
        <v>304.2</v>
      </c>
      <c r="Q20" s="35">
        <v>312.60000000000002</v>
      </c>
      <c r="R20" s="35">
        <v>324.60000000000002</v>
      </c>
      <c r="S20" s="35">
        <v>335</v>
      </c>
      <c r="T20" s="35">
        <v>346.7</v>
      </c>
      <c r="U20" s="35">
        <v>359.2</v>
      </c>
      <c r="V20" s="35">
        <v>370.1</v>
      </c>
      <c r="W20" s="35">
        <v>373.4</v>
      </c>
      <c r="X20" s="35">
        <v>385.4</v>
      </c>
      <c r="Y20" s="35">
        <v>395.6</v>
      </c>
      <c r="Z20" s="35">
        <v>401.3</v>
      </c>
      <c r="AA20" s="35">
        <v>401</v>
      </c>
      <c r="AB20" s="35">
        <v>403.5</v>
      </c>
      <c r="AC20" s="35">
        <v>410.8</v>
      </c>
      <c r="AD20" s="35">
        <v>421.2</v>
      </c>
      <c r="AE20" s="35">
        <v>431.4</v>
      </c>
      <c r="AF20" s="35">
        <v>438</v>
      </c>
      <c r="AG20" s="35">
        <v>446.7</v>
      </c>
      <c r="AH20" s="35">
        <v>452.6</v>
      </c>
      <c r="AI20" s="35">
        <v>472.3</v>
      </c>
      <c r="AJ20" s="35">
        <v>484.2</v>
      </c>
      <c r="AK20" s="35">
        <v>496.2</v>
      </c>
      <c r="AL20" s="35">
        <v>501.8</v>
      </c>
      <c r="AM20" s="35">
        <v>516.5</v>
      </c>
      <c r="AN20" s="35">
        <v>533.1</v>
      </c>
      <c r="AO20" s="35">
        <v>547.79999999999995</v>
      </c>
      <c r="AP20" s="35">
        <v>568.79999999999995</v>
      </c>
      <c r="AQ20" s="35">
        <v>588.5</v>
      </c>
      <c r="AR20" s="35">
        <v>592.20000000000005</v>
      </c>
      <c r="AS20" s="35">
        <v>608.9</v>
      </c>
      <c r="AT20" s="35">
        <v>633.4</v>
      </c>
      <c r="AU20" s="35">
        <v>648.70000000000005</v>
      </c>
      <c r="AV20" s="35">
        <v>657.8</v>
      </c>
      <c r="AW20" s="35">
        <v>677.7</v>
      </c>
      <c r="AX20" s="35">
        <v>688.1</v>
      </c>
      <c r="AY20" s="35">
        <v>703.1</v>
      </c>
      <c r="AZ20" s="35">
        <v>717.3</v>
      </c>
      <c r="BA20" s="35">
        <v>737.4</v>
      </c>
      <c r="BB20" s="35">
        <v>747.9</v>
      </c>
      <c r="BC20" s="35">
        <v>761.1</v>
      </c>
      <c r="BD20" s="35">
        <v>782.2</v>
      </c>
      <c r="BE20" s="35">
        <v>775.1</v>
      </c>
      <c r="BF20" s="35">
        <v>794</v>
      </c>
      <c r="BG20" s="35">
        <v>819.1</v>
      </c>
      <c r="BH20" s="35">
        <v>835.7</v>
      </c>
      <c r="BI20" s="35">
        <v>862.8</v>
      </c>
      <c r="BJ20" s="35">
        <v>875.6</v>
      </c>
      <c r="BK20" s="35">
        <v>900.5</v>
      </c>
      <c r="BL20" s="35">
        <v>927.4</v>
      </c>
      <c r="BM20" s="35">
        <v>938.6</v>
      </c>
      <c r="BN20" s="35">
        <v>946.8</v>
      </c>
      <c r="BO20" s="35">
        <v>967.5</v>
      </c>
      <c r="BP20" s="35">
        <v>993.6</v>
      </c>
      <c r="BQ20" s="35">
        <v>996.4</v>
      </c>
      <c r="BR20" s="35">
        <v>1008.7</v>
      </c>
      <c r="BS20" s="35">
        <v>1025.2</v>
      </c>
      <c r="BT20" s="35">
        <v>1036.2</v>
      </c>
      <c r="BU20" s="35">
        <v>1056</v>
      </c>
      <c r="BV20" s="35">
        <v>1056.9000000000001</v>
      </c>
      <c r="BW20" s="35">
        <v>1070.4000000000001</v>
      </c>
      <c r="BX20" s="35">
        <v>1078.2</v>
      </c>
      <c r="BY20" s="35">
        <v>1109.9000000000001</v>
      </c>
      <c r="BZ20" s="35">
        <v>1116.5999999999999</v>
      </c>
      <c r="CA20" s="35">
        <v>1145.8</v>
      </c>
      <c r="CB20" s="35">
        <v>1164.5999999999999</v>
      </c>
      <c r="CC20" s="35">
        <v>1180.5</v>
      </c>
      <c r="CD20" s="35">
        <v>1212.5</v>
      </c>
      <c r="CE20" s="35">
        <v>1230.7</v>
      </c>
      <c r="CF20" s="35">
        <v>1242.5999999999999</v>
      </c>
      <c r="CG20" s="35">
        <v>1268.5</v>
      </c>
      <c r="CH20" s="35">
        <v>1284.2</v>
      </c>
      <c r="CI20" s="35">
        <v>1296.5999999999999</v>
      </c>
      <c r="CJ20" s="35">
        <v>1306.3</v>
      </c>
      <c r="CK20" s="35">
        <v>1308.8</v>
      </c>
      <c r="CL20" s="35">
        <v>1326.4</v>
      </c>
      <c r="CM20" s="35">
        <v>1334.8</v>
      </c>
      <c r="CN20" s="35">
        <v>1354</v>
      </c>
      <c r="CO20" s="35">
        <v>1362.8</v>
      </c>
      <c r="CP20" s="35">
        <v>1351.8</v>
      </c>
      <c r="CQ20" s="35">
        <v>1359.1</v>
      </c>
      <c r="CR20" s="35">
        <v>1367.4</v>
      </c>
      <c r="CS20" s="35">
        <v>1381.4</v>
      </c>
      <c r="CT20" s="35">
        <v>1373.4</v>
      </c>
      <c r="CU20" s="35">
        <v>1389.4</v>
      </c>
      <c r="CV20" s="35">
        <v>1423.4</v>
      </c>
      <c r="CW20" s="35">
        <v>1422.9</v>
      </c>
      <c r="CX20" s="35">
        <v>1437.6</v>
      </c>
      <c r="CY20" s="35">
        <v>1452.9</v>
      </c>
      <c r="CZ20" s="35">
        <v>1455.7</v>
      </c>
      <c r="DA20" s="35">
        <v>1451.6</v>
      </c>
      <c r="DB20" s="35">
        <v>1471.3</v>
      </c>
      <c r="DC20" s="35">
        <v>1487.7</v>
      </c>
      <c r="DD20" s="35">
        <v>1496.7</v>
      </c>
      <c r="DE20" s="35">
        <v>1515.7</v>
      </c>
      <c r="DF20" s="35">
        <v>1516</v>
      </c>
      <c r="DG20" s="35">
        <v>1542.5</v>
      </c>
      <c r="DH20" s="35">
        <v>1555.2</v>
      </c>
      <c r="DI20" s="35">
        <v>1574.8</v>
      </c>
      <c r="DJ20" s="35">
        <v>1568</v>
      </c>
      <c r="DK20" s="35">
        <v>1603.7</v>
      </c>
      <c r="DL20" s="35">
        <v>1627.3</v>
      </c>
      <c r="DM20" s="35">
        <v>1647.5</v>
      </c>
      <c r="DN20" s="35">
        <v>1669.1</v>
      </c>
      <c r="DO20" s="35">
        <v>1694.8</v>
      </c>
      <c r="DP20" s="35">
        <v>1734</v>
      </c>
      <c r="DQ20" s="35">
        <v>1781.7</v>
      </c>
      <c r="DR20" s="35">
        <v>1789.9</v>
      </c>
      <c r="DS20" s="35">
        <v>1822.5</v>
      </c>
      <c r="DT20" s="35">
        <v>1832.1</v>
      </c>
      <c r="DU20" s="35">
        <v>1861.3</v>
      </c>
      <c r="DV20" s="35">
        <v>1906.3</v>
      </c>
      <c r="DW20" s="35">
        <v>1947.7</v>
      </c>
      <c r="DX20" s="35">
        <v>1953.4</v>
      </c>
      <c r="DY20" s="35">
        <v>1992.7</v>
      </c>
      <c r="DZ20" s="35">
        <v>2040</v>
      </c>
      <c r="EA20" s="35">
        <v>2074.5</v>
      </c>
      <c r="EB20" s="35">
        <v>2101.3000000000002</v>
      </c>
      <c r="EC20" s="35">
        <v>2142.1999999999998</v>
      </c>
      <c r="ED20" s="35">
        <v>2172</v>
      </c>
      <c r="EE20" s="35">
        <v>2198.8000000000002</v>
      </c>
      <c r="EF20" s="35">
        <v>2220.4</v>
      </c>
      <c r="EG20" s="35">
        <v>2251.1999999999998</v>
      </c>
      <c r="EH20" s="35">
        <v>2286.6</v>
      </c>
      <c r="EI20" s="35">
        <v>2320.6999999999998</v>
      </c>
      <c r="EJ20" s="35">
        <v>2356.4</v>
      </c>
      <c r="EK20" s="35">
        <v>2388.8000000000002</v>
      </c>
      <c r="EL20" s="35">
        <v>2426.1</v>
      </c>
      <c r="EM20" s="35">
        <v>2452.1999999999998</v>
      </c>
      <c r="EN20" s="35">
        <v>2494.4</v>
      </c>
      <c r="EO20" s="35">
        <v>2528.4</v>
      </c>
      <c r="EP20" s="35">
        <v>2580.1</v>
      </c>
      <c r="EQ20" s="35">
        <v>2610.6</v>
      </c>
      <c r="ER20" s="35">
        <v>2630.3</v>
      </c>
      <c r="ES20" s="35">
        <v>2674.5</v>
      </c>
      <c r="ET20" s="35">
        <v>2718.5</v>
      </c>
      <c r="EU20" s="35">
        <v>2770</v>
      </c>
      <c r="EV20" s="35">
        <v>2808.7</v>
      </c>
      <c r="EW20" s="35">
        <v>2865.1</v>
      </c>
      <c r="EX20" s="35">
        <v>2909.6</v>
      </c>
      <c r="EY20" s="35">
        <v>2971.6</v>
      </c>
      <c r="EZ20" s="35">
        <v>3029</v>
      </c>
      <c r="FA20" s="35">
        <v>3021.8</v>
      </c>
      <c r="FB20" s="35">
        <v>3022</v>
      </c>
      <c r="FC20" s="35">
        <v>3070.5</v>
      </c>
      <c r="FD20" s="35">
        <v>3092.1</v>
      </c>
      <c r="FE20" s="35">
        <v>3120.8</v>
      </c>
      <c r="FF20" s="35">
        <v>3133.8</v>
      </c>
      <c r="FG20" s="35">
        <v>3165.8</v>
      </c>
      <c r="FH20" s="35">
        <v>3158.3</v>
      </c>
      <c r="FI20" s="35">
        <v>3164.3</v>
      </c>
      <c r="FJ20" s="35">
        <v>3155.8</v>
      </c>
      <c r="FK20" s="35">
        <v>3168.3</v>
      </c>
      <c r="FL20" s="35">
        <v>3136.9</v>
      </c>
      <c r="FM20" s="35">
        <v>3130.8</v>
      </c>
      <c r="FN20" s="35">
        <v>3144</v>
      </c>
      <c r="FO20" s="35">
        <v>3130.4</v>
      </c>
      <c r="FP20" s="35">
        <v>3139.1</v>
      </c>
      <c r="FQ20" s="35">
        <v>3132.3</v>
      </c>
      <c r="FR20" s="35">
        <v>3123.5</v>
      </c>
      <c r="FS20" s="35">
        <v>3131.1</v>
      </c>
      <c r="FT20" s="35">
        <v>3135.2</v>
      </c>
      <c r="FU20" s="35">
        <v>3140.5</v>
      </c>
      <c r="FV20" s="35">
        <v>3139.1</v>
      </c>
      <c r="FW20" s="35">
        <v>3154.4</v>
      </c>
      <c r="FX20" s="35">
        <v>3191.7</v>
      </c>
      <c r="FY20" s="35">
        <v>3189.3</v>
      </c>
      <c r="FZ20" s="35">
        <v>3187.9</v>
      </c>
      <c r="GA20" s="35">
        <v>3234.1</v>
      </c>
      <c r="GB20" s="35">
        <v>3253.6</v>
      </c>
      <c r="GC20" s="35">
        <v>3258.1</v>
      </c>
      <c r="GD20" s="35">
        <v>3270.1</v>
      </c>
      <c r="GE20" s="35">
        <v>3289.6</v>
      </c>
      <c r="GF20" s="35">
        <v>3315.2</v>
      </c>
      <c r="GG20" s="35">
        <v>3337.2</v>
      </c>
      <c r="GH20" s="35">
        <v>3353.1</v>
      </c>
      <c r="GI20" s="35">
        <v>3370.4</v>
      </c>
      <c r="GJ20" s="35">
        <v>3398.9</v>
      </c>
      <c r="GK20" s="35">
        <v>3466.1</v>
      </c>
      <c r="GL20" s="35">
        <v>3513.9</v>
      </c>
      <c r="GM20" s="35">
        <v>3570.7</v>
      </c>
      <c r="GN20" s="35">
        <v>3626.1</v>
      </c>
      <c r="GO20" s="35">
        <v>3650.8</v>
      </c>
      <c r="GP20" s="35">
        <v>3704.5</v>
      </c>
      <c r="GQ20" s="35">
        <v>3768.2</v>
      </c>
      <c r="GR20" s="35">
        <v>3821.5</v>
      </c>
      <c r="GS20" s="35">
        <v>3865.3</v>
      </c>
      <c r="GT20" s="35">
        <v>3943.7</v>
      </c>
      <c r="GU20" s="35">
        <v>4021.1</v>
      </c>
      <c r="GV20" s="35">
        <v>3996</v>
      </c>
      <c r="GW20" s="35">
        <v>4018.3</v>
      </c>
      <c r="GX20" s="35">
        <v>4143.8999999999996</v>
      </c>
      <c r="GY20" s="35">
        <v>4160.2</v>
      </c>
      <c r="GZ20" s="35">
        <v>4201.5</v>
      </c>
      <c r="HA20" s="35">
        <v>4266.6000000000004</v>
      </c>
      <c r="HB20" s="35">
        <v>4321.3999999999996</v>
      </c>
      <c r="HC20">
        <v>4415.7</v>
      </c>
      <c r="HD20">
        <v>4477.8999999999996</v>
      </c>
      <c r="HE20">
        <v>4572.3999999999996</v>
      </c>
      <c r="HF20">
        <v>4643.8999999999996</v>
      </c>
      <c r="HG20">
        <v>4669.8</v>
      </c>
      <c r="HH20">
        <v>4794.8</v>
      </c>
      <c r="HI20">
        <v>4871.8</v>
      </c>
      <c r="HJ20">
        <v>4937.3999999999996</v>
      </c>
    </row>
    <row r="21" spans="1:218" x14ac:dyDescent="0.25">
      <c r="A21" s="35" t="s">
        <v>2184</v>
      </c>
      <c r="B21" s="35">
        <v>46.2</v>
      </c>
      <c r="C21" s="35">
        <v>46.5</v>
      </c>
      <c r="D21" s="35">
        <v>46.9</v>
      </c>
      <c r="E21" s="35">
        <v>46.7</v>
      </c>
      <c r="F21" s="35">
        <v>50.8</v>
      </c>
      <c r="G21" s="35">
        <v>51.4</v>
      </c>
      <c r="H21" s="35">
        <v>51.6</v>
      </c>
      <c r="I21" s="35">
        <v>52.2</v>
      </c>
      <c r="J21" s="35">
        <v>58.5</v>
      </c>
      <c r="K21" s="35">
        <v>59.2</v>
      </c>
      <c r="L21" s="35">
        <v>59.9</v>
      </c>
      <c r="M21" s="35">
        <v>60.8</v>
      </c>
      <c r="N21" s="35">
        <v>74.099999999999994</v>
      </c>
      <c r="O21" s="35">
        <v>75.3</v>
      </c>
      <c r="P21" s="35">
        <v>76.599999999999994</v>
      </c>
      <c r="Q21" s="35">
        <v>78.099999999999994</v>
      </c>
      <c r="R21" s="35">
        <v>83.7</v>
      </c>
      <c r="S21" s="35">
        <v>85.3</v>
      </c>
      <c r="T21" s="35">
        <v>86.9</v>
      </c>
      <c r="U21" s="35">
        <v>87.1</v>
      </c>
      <c r="V21" s="35">
        <v>88.2</v>
      </c>
      <c r="W21" s="35">
        <v>88.6</v>
      </c>
      <c r="X21" s="35">
        <v>90.3</v>
      </c>
      <c r="Y21" s="35">
        <v>92.4</v>
      </c>
      <c r="Z21" s="35">
        <v>99.6</v>
      </c>
      <c r="AA21" s="35">
        <v>101.1</v>
      </c>
      <c r="AB21" s="35">
        <v>102.8</v>
      </c>
      <c r="AC21" s="35">
        <v>104.4</v>
      </c>
      <c r="AD21" s="35">
        <v>110</v>
      </c>
      <c r="AE21" s="35">
        <v>112.8</v>
      </c>
      <c r="AF21" s="35">
        <v>115.1</v>
      </c>
      <c r="AG21" s="35">
        <v>117.5</v>
      </c>
      <c r="AH21" s="35">
        <v>124.7</v>
      </c>
      <c r="AI21" s="35">
        <v>129.9</v>
      </c>
      <c r="AJ21" s="35">
        <v>134.19999999999999</v>
      </c>
      <c r="AK21" s="35">
        <v>139.6</v>
      </c>
      <c r="AL21" s="35">
        <v>146.9</v>
      </c>
      <c r="AM21" s="35">
        <v>151.19999999999999</v>
      </c>
      <c r="AN21" s="35">
        <v>156.30000000000001</v>
      </c>
      <c r="AO21" s="35">
        <v>160.30000000000001</v>
      </c>
      <c r="AP21" s="35">
        <v>162.9</v>
      </c>
      <c r="AQ21" s="35">
        <v>163.9</v>
      </c>
      <c r="AR21" s="35">
        <v>168</v>
      </c>
      <c r="AS21" s="35">
        <v>174</v>
      </c>
      <c r="AT21" s="35">
        <v>191</v>
      </c>
      <c r="AU21" s="35">
        <v>194.8</v>
      </c>
      <c r="AV21" s="35">
        <v>199.5</v>
      </c>
      <c r="AW21" s="35">
        <v>202.2</v>
      </c>
      <c r="AX21" s="35">
        <v>207.2</v>
      </c>
      <c r="AY21" s="35">
        <v>209.2</v>
      </c>
      <c r="AZ21" s="35">
        <v>211.5</v>
      </c>
      <c r="BA21" s="35">
        <v>212.4</v>
      </c>
      <c r="BB21" s="35">
        <v>220.2</v>
      </c>
      <c r="BC21" s="35">
        <v>224.2</v>
      </c>
      <c r="BD21" s="35">
        <v>228.9</v>
      </c>
      <c r="BE21" s="35">
        <v>235.5</v>
      </c>
      <c r="BF21" s="35">
        <v>250.8</v>
      </c>
      <c r="BG21" s="35">
        <v>256.8</v>
      </c>
      <c r="BH21" s="35">
        <v>261.8</v>
      </c>
      <c r="BI21" s="35">
        <v>265.8</v>
      </c>
      <c r="BJ21" s="35">
        <v>275.7</v>
      </c>
      <c r="BK21" s="35">
        <v>279.8</v>
      </c>
      <c r="BL21" s="35">
        <v>284.60000000000002</v>
      </c>
      <c r="BM21" s="35">
        <v>291.10000000000002</v>
      </c>
      <c r="BN21" s="35">
        <v>298.2</v>
      </c>
      <c r="BO21" s="35">
        <v>301.89999999999998</v>
      </c>
      <c r="BP21" s="35">
        <v>306.89999999999998</v>
      </c>
      <c r="BQ21" s="35">
        <v>312.60000000000002</v>
      </c>
      <c r="BR21" s="35">
        <v>317.39999999999998</v>
      </c>
      <c r="BS21" s="35">
        <v>321.5</v>
      </c>
      <c r="BT21" s="35">
        <v>326.3</v>
      </c>
      <c r="BU21" s="35">
        <v>333.3</v>
      </c>
      <c r="BV21" s="35">
        <v>352.7</v>
      </c>
      <c r="BW21" s="35">
        <v>360</v>
      </c>
      <c r="BX21" s="35">
        <v>366.2</v>
      </c>
      <c r="BY21" s="35">
        <v>373.7</v>
      </c>
      <c r="BZ21" s="35">
        <v>379.7</v>
      </c>
      <c r="CA21" s="35">
        <v>384.3</v>
      </c>
      <c r="CB21" s="35">
        <v>388.9</v>
      </c>
      <c r="CC21" s="35">
        <v>394.9</v>
      </c>
      <c r="CD21" s="35">
        <v>403.5</v>
      </c>
      <c r="CE21" s="35">
        <v>408.8</v>
      </c>
      <c r="CF21" s="35">
        <v>416.6</v>
      </c>
      <c r="CG21" s="35">
        <v>419.4</v>
      </c>
      <c r="CH21" s="35">
        <v>423</v>
      </c>
      <c r="CI21" s="35">
        <v>429.7</v>
      </c>
      <c r="CJ21" s="35">
        <v>435.6</v>
      </c>
      <c r="CK21" s="35">
        <v>440.6</v>
      </c>
      <c r="CL21" s="35">
        <v>452.5</v>
      </c>
      <c r="CM21" s="35">
        <v>458.1</v>
      </c>
      <c r="CN21" s="35">
        <v>461.2</v>
      </c>
      <c r="CO21" s="35">
        <v>456.5</v>
      </c>
      <c r="CP21" s="35">
        <v>475.9</v>
      </c>
      <c r="CQ21" s="35">
        <v>476.4</v>
      </c>
      <c r="CR21" s="35">
        <v>481</v>
      </c>
      <c r="CS21" s="35">
        <v>485.2</v>
      </c>
      <c r="CT21" s="35">
        <v>500.4</v>
      </c>
      <c r="CU21" s="35">
        <v>507.6</v>
      </c>
      <c r="CV21" s="35">
        <v>513.6</v>
      </c>
      <c r="CW21" s="35">
        <v>521.1</v>
      </c>
      <c r="CX21" s="35">
        <v>528.20000000000005</v>
      </c>
      <c r="CY21" s="35">
        <v>532.70000000000005</v>
      </c>
      <c r="CZ21" s="35">
        <v>538.1</v>
      </c>
      <c r="DA21" s="35">
        <v>543.1</v>
      </c>
      <c r="DB21" s="35">
        <v>545.9</v>
      </c>
      <c r="DC21" s="35">
        <v>554.4</v>
      </c>
      <c r="DD21" s="35">
        <v>561.79999999999995</v>
      </c>
      <c r="DE21" s="35">
        <v>569.4</v>
      </c>
      <c r="DF21" s="35">
        <v>577.29999999999995</v>
      </c>
      <c r="DG21" s="35">
        <v>584.9</v>
      </c>
      <c r="DH21" s="35">
        <v>593.6</v>
      </c>
      <c r="DI21" s="35">
        <v>605.29999999999995</v>
      </c>
      <c r="DJ21" s="35">
        <v>613.29999999999995</v>
      </c>
      <c r="DK21" s="35">
        <v>622.79999999999995</v>
      </c>
      <c r="DL21" s="35">
        <v>632.6</v>
      </c>
      <c r="DM21" s="35">
        <v>642.4</v>
      </c>
      <c r="DN21" s="35">
        <v>653.29999999999995</v>
      </c>
      <c r="DO21" s="35">
        <v>659</v>
      </c>
      <c r="DP21" s="35">
        <v>666.4</v>
      </c>
      <c r="DQ21" s="35">
        <v>679.6</v>
      </c>
      <c r="DR21" s="35">
        <v>699.5</v>
      </c>
      <c r="DS21" s="35">
        <v>701.9</v>
      </c>
      <c r="DT21" s="35">
        <v>715.2</v>
      </c>
      <c r="DU21" s="35">
        <v>721</v>
      </c>
      <c r="DV21" s="35">
        <v>736.1</v>
      </c>
      <c r="DW21" s="35">
        <v>736.9</v>
      </c>
      <c r="DX21" s="35">
        <v>736.1</v>
      </c>
      <c r="DY21" s="35">
        <v>738.7</v>
      </c>
      <c r="DZ21" s="35">
        <v>746.9</v>
      </c>
      <c r="EA21" s="35">
        <v>755.3</v>
      </c>
      <c r="EB21" s="35">
        <v>758.1</v>
      </c>
      <c r="EC21" s="35">
        <v>760.8</v>
      </c>
      <c r="ED21" s="35">
        <v>767.1</v>
      </c>
      <c r="EE21" s="35">
        <v>777.8</v>
      </c>
      <c r="EF21" s="35">
        <v>787.7</v>
      </c>
      <c r="EG21" s="35">
        <v>800.1</v>
      </c>
      <c r="EH21" s="35">
        <v>813.4</v>
      </c>
      <c r="EI21" s="35">
        <v>828</v>
      </c>
      <c r="EJ21" s="35">
        <v>843.7</v>
      </c>
      <c r="EK21" s="35">
        <v>849.5</v>
      </c>
      <c r="EL21" s="35">
        <v>862.7</v>
      </c>
      <c r="EM21" s="35">
        <v>871</v>
      </c>
      <c r="EN21" s="35">
        <v>884.2</v>
      </c>
      <c r="EO21" s="35">
        <v>894.1</v>
      </c>
      <c r="EP21" s="35">
        <v>917.9</v>
      </c>
      <c r="EQ21" s="35">
        <v>922.7</v>
      </c>
      <c r="ER21" s="35">
        <v>927.2</v>
      </c>
      <c r="ES21" s="35">
        <v>940.8</v>
      </c>
      <c r="ET21" s="35">
        <v>960.4</v>
      </c>
      <c r="EU21" s="35">
        <v>962</v>
      </c>
      <c r="EV21" s="35">
        <v>965.3</v>
      </c>
      <c r="EW21" s="35">
        <v>976.9</v>
      </c>
      <c r="EX21" s="35">
        <v>988.8</v>
      </c>
      <c r="EY21" s="35">
        <v>991</v>
      </c>
      <c r="EZ21" s="35">
        <v>996.4</v>
      </c>
      <c r="FA21" s="35">
        <v>996.6</v>
      </c>
      <c r="FB21" s="35">
        <v>964.7</v>
      </c>
      <c r="FC21" s="35">
        <v>971.2</v>
      </c>
      <c r="FD21" s="35">
        <v>968.8</v>
      </c>
      <c r="FE21" s="35">
        <v>972.2</v>
      </c>
      <c r="FF21" s="35">
        <v>978.6</v>
      </c>
      <c r="FG21" s="35">
        <v>989.5</v>
      </c>
      <c r="FH21" s="35">
        <v>992.3</v>
      </c>
      <c r="FI21" s="35">
        <v>994.3</v>
      </c>
      <c r="FJ21" s="35">
        <v>916.2</v>
      </c>
      <c r="FK21" s="35">
        <v>918.9</v>
      </c>
      <c r="FL21" s="35">
        <v>927.3</v>
      </c>
      <c r="FM21" s="35">
        <v>921.9</v>
      </c>
      <c r="FN21" s="35">
        <v>944.9</v>
      </c>
      <c r="FO21" s="35">
        <v>949.4</v>
      </c>
      <c r="FP21" s="35">
        <v>952.3</v>
      </c>
      <c r="FQ21" s="35">
        <v>974.1</v>
      </c>
      <c r="FR21" s="35">
        <v>1095.9000000000001</v>
      </c>
      <c r="FS21" s="35">
        <v>1108.2</v>
      </c>
      <c r="FT21" s="35">
        <v>1111.4000000000001</v>
      </c>
      <c r="FU21" s="35">
        <v>1122.3</v>
      </c>
      <c r="FV21" s="35">
        <v>1145</v>
      </c>
      <c r="FW21" s="35">
        <v>1149.7</v>
      </c>
      <c r="FX21" s="35">
        <v>1161.4000000000001</v>
      </c>
      <c r="FY21" s="35">
        <v>1179.0999999999999</v>
      </c>
      <c r="FZ21" s="35">
        <v>1194.2</v>
      </c>
      <c r="GA21" s="35">
        <v>1206.0999999999999</v>
      </c>
      <c r="GB21" s="35">
        <v>1216.0999999999999</v>
      </c>
      <c r="GC21" s="35">
        <v>1223.5999999999999</v>
      </c>
      <c r="GD21" s="35">
        <v>1230.8</v>
      </c>
      <c r="GE21" s="35">
        <v>1237</v>
      </c>
      <c r="GF21" s="35">
        <v>1248.0999999999999</v>
      </c>
      <c r="GG21" s="35">
        <v>1261.5</v>
      </c>
      <c r="GH21" s="35">
        <v>1282.5999999999999</v>
      </c>
      <c r="GI21" s="35">
        <v>1294.9000000000001</v>
      </c>
      <c r="GJ21" s="35">
        <v>1310.0999999999999</v>
      </c>
      <c r="GK21" s="35">
        <v>1329.1</v>
      </c>
      <c r="GL21" s="35">
        <v>1349.1</v>
      </c>
      <c r="GM21" s="35">
        <v>1359</v>
      </c>
      <c r="GN21" s="35">
        <v>1375.7</v>
      </c>
      <c r="GO21" s="35">
        <v>1384.3</v>
      </c>
      <c r="GP21" s="35">
        <v>1416.8</v>
      </c>
      <c r="GQ21" s="35">
        <v>1424.1</v>
      </c>
      <c r="GR21" s="35">
        <v>1430.6</v>
      </c>
      <c r="GS21" s="35">
        <v>1448.4</v>
      </c>
      <c r="GT21" s="35">
        <v>1473.5</v>
      </c>
      <c r="GU21" s="35">
        <v>1402.7</v>
      </c>
      <c r="GV21" s="35">
        <v>1452.4</v>
      </c>
      <c r="GW21" s="35">
        <v>1489.7</v>
      </c>
      <c r="GX21" s="35">
        <v>1505.9</v>
      </c>
      <c r="GY21" s="35">
        <v>1541.8</v>
      </c>
      <c r="GZ21" s="35">
        <v>1579.4</v>
      </c>
      <c r="HA21" s="35">
        <v>1626.3</v>
      </c>
      <c r="HB21" s="35">
        <v>1668.8</v>
      </c>
      <c r="HC21">
        <v>1690.4</v>
      </c>
      <c r="HD21">
        <v>1731.9</v>
      </c>
      <c r="HE21">
        <v>1738.6</v>
      </c>
      <c r="HF21">
        <v>1779.9</v>
      </c>
      <c r="HG21">
        <v>1800.1</v>
      </c>
      <c r="HH21">
        <v>1823.3</v>
      </c>
      <c r="HI21">
        <v>1831.7</v>
      </c>
      <c r="HJ21">
        <v>1870</v>
      </c>
    </row>
    <row r="22" spans="1:218" x14ac:dyDescent="0.25">
      <c r="A22" s="35" t="s">
        <v>2185</v>
      </c>
      <c r="B22" s="35">
        <v>19.443000000000001</v>
      </c>
      <c r="C22" s="35">
        <v>19.658999999999999</v>
      </c>
      <c r="D22" s="35">
        <v>19.850000000000001</v>
      </c>
      <c r="E22" s="35">
        <v>20.106999999999999</v>
      </c>
      <c r="F22" s="35">
        <v>20.297000000000001</v>
      </c>
      <c r="G22" s="35">
        <v>20.527999999999999</v>
      </c>
      <c r="H22" s="35">
        <v>20.728999999999999</v>
      </c>
      <c r="I22" s="35">
        <v>20.856999999999999</v>
      </c>
      <c r="J22" s="35">
        <v>21.076000000000001</v>
      </c>
      <c r="K22" s="35">
        <v>21.198</v>
      </c>
      <c r="L22" s="35">
        <v>21.384</v>
      </c>
      <c r="M22" s="35">
        <v>21.559000000000001</v>
      </c>
      <c r="N22" s="35">
        <v>21.821000000000002</v>
      </c>
      <c r="O22" s="35">
        <v>22.241</v>
      </c>
      <c r="P22" s="35">
        <v>22.646999999999998</v>
      </c>
      <c r="Q22" s="35">
        <v>23.111999999999998</v>
      </c>
      <c r="R22" s="35">
        <v>23.8</v>
      </c>
      <c r="S22" s="35">
        <v>24.474</v>
      </c>
      <c r="T22" s="35">
        <v>25.134</v>
      </c>
      <c r="U22" s="35">
        <v>25.77</v>
      </c>
      <c r="V22" s="35">
        <v>26.251000000000001</v>
      </c>
      <c r="W22" s="35">
        <v>26.571000000000002</v>
      </c>
      <c r="X22" s="35">
        <v>27.067</v>
      </c>
      <c r="Y22" s="35">
        <v>27.521000000000001</v>
      </c>
      <c r="Z22" s="35">
        <v>27.826000000000001</v>
      </c>
      <c r="AA22" s="35">
        <v>28.06</v>
      </c>
      <c r="AB22" s="35">
        <v>28.488</v>
      </c>
      <c r="AC22" s="35">
        <v>28.937999999999999</v>
      </c>
      <c r="AD22" s="35">
        <v>29.46</v>
      </c>
      <c r="AE22" s="35">
        <v>29.963000000000001</v>
      </c>
      <c r="AF22" s="35">
        <v>30.414000000000001</v>
      </c>
      <c r="AG22" s="35">
        <v>30.846</v>
      </c>
      <c r="AH22" s="35">
        <v>31.35</v>
      </c>
      <c r="AI22" s="35">
        <v>31.994</v>
      </c>
      <c r="AJ22" s="35">
        <v>32.555999999999997</v>
      </c>
      <c r="AK22" s="35">
        <v>33.171999999999997</v>
      </c>
      <c r="AL22" s="35">
        <v>33.798000000000002</v>
      </c>
      <c r="AM22" s="35">
        <v>34.722999999999999</v>
      </c>
      <c r="AN22" s="35">
        <v>35.585000000000001</v>
      </c>
      <c r="AO22" s="35">
        <v>36.448</v>
      </c>
      <c r="AP22" s="35">
        <v>37.542000000000002</v>
      </c>
      <c r="AQ22" s="35">
        <v>38.462000000000003</v>
      </c>
      <c r="AR22" s="35">
        <v>39.362000000000002</v>
      </c>
      <c r="AS22" s="35">
        <v>40.337000000000003</v>
      </c>
      <c r="AT22" s="35">
        <v>41.384999999999998</v>
      </c>
      <c r="AU22" s="35">
        <v>42.079000000000001</v>
      </c>
      <c r="AV22" s="35">
        <v>42.771999999999998</v>
      </c>
      <c r="AW22" s="35">
        <v>43.426000000000002</v>
      </c>
      <c r="AX22" s="35">
        <v>43.975000000000001</v>
      </c>
      <c r="AY22" s="35">
        <v>44.396999999999998</v>
      </c>
      <c r="AZ22" s="35">
        <v>45.095999999999997</v>
      </c>
      <c r="BA22" s="35">
        <v>45.591999999999999</v>
      </c>
      <c r="BB22" s="35">
        <v>45.966999999999999</v>
      </c>
      <c r="BC22" s="35">
        <v>46.387</v>
      </c>
      <c r="BD22" s="35">
        <v>46.997</v>
      </c>
      <c r="BE22" s="35">
        <v>47.308999999999997</v>
      </c>
      <c r="BF22" s="35">
        <v>47.823</v>
      </c>
      <c r="BG22" s="35">
        <v>48.287999999999997</v>
      </c>
      <c r="BH22" s="35">
        <v>48.661000000000001</v>
      </c>
      <c r="BI22" s="35">
        <v>48.962000000000003</v>
      </c>
      <c r="BJ22" s="35">
        <v>49.537999999999997</v>
      </c>
      <c r="BK22" s="35">
        <v>49.94</v>
      </c>
      <c r="BL22" s="35">
        <v>50.332000000000001</v>
      </c>
      <c r="BM22" s="35">
        <v>50.683</v>
      </c>
      <c r="BN22" s="35">
        <v>51.043999999999997</v>
      </c>
      <c r="BO22" s="35">
        <v>50.991</v>
      </c>
      <c r="BP22" s="35">
        <v>51.26</v>
      </c>
      <c r="BQ22" s="35">
        <v>51.57</v>
      </c>
      <c r="BR22" s="35">
        <v>52.057000000000002</v>
      </c>
      <c r="BS22" s="35">
        <v>52.558999999999997</v>
      </c>
      <c r="BT22" s="35">
        <v>53.055999999999997</v>
      </c>
      <c r="BU22" s="35">
        <v>53.514000000000003</v>
      </c>
      <c r="BV22" s="35">
        <v>53.936</v>
      </c>
      <c r="BW22" s="35">
        <v>54.531999999999996</v>
      </c>
      <c r="BX22" s="35">
        <v>55.204000000000001</v>
      </c>
      <c r="BY22" s="35">
        <v>55.762</v>
      </c>
      <c r="BZ22" s="35">
        <v>56.404000000000003</v>
      </c>
      <c r="CA22" s="35">
        <v>57.164999999999999</v>
      </c>
      <c r="CB22" s="35">
        <v>57.503</v>
      </c>
      <c r="CC22" s="35">
        <v>57.957000000000001</v>
      </c>
      <c r="CD22" s="35">
        <v>58.798999999999999</v>
      </c>
      <c r="CE22" s="35">
        <v>59.332999999999998</v>
      </c>
      <c r="CF22" s="35">
        <v>60.087000000000003</v>
      </c>
      <c r="CG22" s="35">
        <v>60.881999999999998</v>
      </c>
      <c r="CH22" s="35">
        <v>61.201000000000001</v>
      </c>
      <c r="CI22" s="35">
        <v>61.533999999999999</v>
      </c>
      <c r="CJ22" s="35">
        <v>61.951000000000001</v>
      </c>
      <c r="CK22" s="35">
        <v>62.4</v>
      </c>
      <c r="CL22" s="35">
        <v>62.79</v>
      </c>
      <c r="CM22" s="35">
        <v>63.207000000000001</v>
      </c>
      <c r="CN22" s="35">
        <v>63.61</v>
      </c>
      <c r="CO22" s="35">
        <v>64.054000000000002</v>
      </c>
      <c r="CP22" s="35">
        <v>64.436000000000007</v>
      </c>
      <c r="CQ22" s="35">
        <v>64.869</v>
      </c>
      <c r="CR22" s="35">
        <v>65.150999999999996</v>
      </c>
      <c r="CS22" s="35">
        <v>65.527000000000001</v>
      </c>
      <c r="CT22" s="35">
        <v>65.760999999999996</v>
      </c>
      <c r="CU22" s="35">
        <v>66.128</v>
      </c>
      <c r="CV22" s="35">
        <v>66.602999999999994</v>
      </c>
      <c r="CW22" s="35">
        <v>66.915999999999997</v>
      </c>
      <c r="CX22" s="35">
        <v>67.244</v>
      </c>
      <c r="CY22" s="35">
        <v>67.635000000000005</v>
      </c>
      <c r="CZ22" s="35">
        <v>67.912000000000006</v>
      </c>
      <c r="DA22" s="35">
        <v>68.209999999999994</v>
      </c>
      <c r="DB22" s="35">
        <v>68.588999999999999</v>
      </c>
      <c r="DC22" s="35">
        <v>69.048000000000002</v>
      </c>
      <c r="DD22" s="35">
        <v>69.341999999999999</v>
      </c>
      <c r="DE22" s="35">
        <v>69.814999999999998</v>
      </c>
      <c r="DF22" s="35">
        <v>70.123999999999995</v>
      </c>
      <c r="DG22" s="35">
        <v>70.3</v>
      </c>
      <c r="DH22" s="35">
        <v>70.484999999999999</v>
      </c>
      <c r="DI22" s="35">
        <v>70.706999999999994</v>
      </c>
      <c r="DJ22" s="35">
        <v>70.712999999999994</v>
      </c>
      <c r="DK22" s="35">
        <v>70.84</v>
      </c>
      <c r="DL22" s="35">
        <v>71.058000000000007</v>
      </c>
      <c r="DM22" s="35">
        <v>71.245000000000005</v>
      </c>
      <c r="DN22" s="35">
        <v>71.384</v>
      </c>
      <c r="DO22" s="35">
        <v>71.789000000000001</v>
      </c>
      <c r="DP22" s="35">
        <v>72.183000000000007</v>
      </c>
      <c r="DQ22" s="35">
        <v>72.622</v>
      </c>
      <c r="DR22" s="35">
        <v>73.212000000000003</v>
      </c>
      <c r="DS22" s="35">
        <v>73.561999999999998</v>
      </c>
      <c r="DT22" s="35">
        <v>74.037000000000006</v>
      </c>
      <c r="DU22" s="35">
        <v>74.456999999999994</v>
      </c>
      <c r="DV22" s="35">
        <v>75.010999999999996</v>
      </c>
      <c r="DW22" s="35">
        <v>75.363</v>
      </c>
      <c r="DX22" s="35">
        <v>75.400999999999996</v>
      </c>
      <c r="DY22" s="35">
        <v>75.430999999999997</v>
      </c>
      <c r="DZ22" s="35">
        <v>75.581999999999994</v>
      </c>
      <c r="EA22" s="35">
        <v>76.141999999999996</v>
      </c>
      <c r="EB22" s="35">
        <v>76.534999999999997</v>
      </c>
      <c r="EC22" s="35">
        <v>76.891999999999996</v>
      </c>
      <c r="ED22" s="35">
        <v>77.48</v>
      </c>
      <c r="EE22" s="35">
        <v>77.557000000000002</v>
      </c>
      <c r="EF22" s="35">
        <v>78.067999999999998</v>
      </c>
      <c r="EG22" s="35">
        <v>78.450999999999993</v>
      </c>
      <c r="EH22" s="35">
        <v>79.055999999999997</v>
      </c>
      <c r="EI22" s="35">
        <v>79.587000000000003</v>
      </c>
      <c r="EJ22" s="35">
        <v>79.978999999999999</v>
      </c>
      <c r="EK22" s="35">
        <v>80.662000000000006</v>
      </c>
      <c r="EL22" s="35">
        <v>81.131</v>
      </c>
      <c r="EM22" s="35">
        <v>81.644000000000005</v>
      </c>
      <c r="EN22" s="35">
        <v>82.525999999999996</v>
      </c>
      <c r="EO22" s="35">
        <v>83.183999999999997</v>
      </c>
      <c r="EP22" s="35">
        <v>83.617000000000004</v>
      </c>
      <c r="EQ22" s="35">
        <v>84.352000000000004</v>
      </c>
      <c r="ER22" s="35">
        <v>84.959000000000003</v>
      </c>
      <c r="ES22" s="35">
        <v>84.817999999999998</v>
      </c>
      <c r="ET22" s="35">
        <v>85.593000000000004</v>
      </c>
      <c r="EU22" s="35">
        <v>86.319000000000003</v>
      </c>
      <c r="EV22" s="35">
        <v>86.808000000000007</v>
      </c>
      <c r="EW22" s="35">
        <v>87.691000000000003</v>
      </c>
      <c r="EX22" s="35">
        <v>88.406999999999996</v>
      </c>
      <c r="EY22" s="35">
        <v>89.269000000000005</v>
      </c>
      <c r="EZ22" s="35">
        <v>90.221999999999994</v>
      </c>
      <c r="FA22" s="35">
        <v>88.781000000000006</v>
      </c>
      <c r="FB22" s="35">
        <v>88.180999999999997</v>
      </c>
      <c r="FC22" s="35">
        <v>88.531000000000006</v>
      </c>
      <c r="FD22" s="35">
        <v>89.141000000000005</v>
      </c>
      <c r="FE22" s="35">
        <v>89.828000000000003</v>
      </c>
      <c r="FF22" s="35">
        <v>90.174999999999997</v>
      </c>
      <c r="FG22" s="35">
        <v>90.313999999999993</v>
      </c>
      <c r="FH22" s="35">
        <v>90.488</v>
      </c>
      <c r="FI22" s="35">
        <v>91.067999999999998</v>
      </c>
      <c r="FJ22" s="35">
        <v>91.832999999999998</v>
      </c>
      <c r="FK22" s="35">
        <v>92.736999999999995</v>
      </c>
      <c r="FL22" s="35">
        <v>93.165999999999997</v>
      </c>
      <c r="FM22" s="35">
        <v>93.474000000000004</v>
      </c>
      <c r="FN22" s="35">
        <v>94.093000000000004</v>
      </c>
      <c r="FO22" s="35">
        <v>94.32</v>
      </c>
      <c r="FP22" s="35">
        <v>94.593999999999994</v>
      </c>
      <c r="FQ22" s="35">
        <v>95.123999999999995</v>
      </c>
      <c r="FR22" s="35">
        <v>95.457999999999998</v>
      </c>
      <c r="FS22" s="35">
        <v>95.506</v>
      </c>
      <c r="FT22" s="35">
        <v>95.899000000000001</v>
      </c>
      <c r="FU22" s="35">
        <v>96.251999999999995</v>
      </c>
      <c r="FV22" s="35">
        <v>96.694000000000003</v>
      </c>
      <c r="FW22" s="35">
        <v>97.126000000000005</v>
      </c>
      <c r="FX22" s="35">
        <v>97.391999999999996</v>
      </c>
      <c r="FY22" s="35">
        <v>97.263000000000005</v>
      </c>
      <c r="FZ22" s="35">
        <v>96.826999999999998</v>
      </c>
      <c r="GA22" s="35">
        <v>97.311000000000007</v>
      </c>
      <c r="GB22" s="35">
        <v>97.563000000000002</v>
      </c>
      <c r="GC22" s="35">
        <v>97.488</v>
      </c>
      <c r="GD22" s="35">
        <v>97.534999999999997</v>
      </c>
      <c r="GE22" s="35">
        <v>98.153999999999996</v>
      </c>
      <c r="GF22" s="35">
        <v>98.492000000000004</v>
      </c>
      <c r="GG22" s="35">
        <v>98.942999999999998</v>
      </c>
      <c r="GH22" s="35">
        <v>99.52</v>
      </c>
      <c r="GI22" s="35">
        <v>99.72</v>
      </c>
      <c r="GJ22" s="35">
        <v>100.07299999999999</v>
      </c>
      <c r="GK22" s="35">
        <v>100.672</v>
      </c>
      <c r="GL22" s="35">
        <v>101.377</v>
      </c>
      <c r="GM22" s="35">
        <v>101.91</v>
      </c>
      <c r="GN22" s="35">
        <v>102.252</v>
      </c>
      <c r="GO22" s="35">
        <v>102.64</v>
      </c>
      <c r="GP22" s="35">
        <v>102.875</v>
      </c>
      <c r="GQ22" s="35">
        <v>103.419</v>
      </c>
      <c r="GR22" s="35">
        <v>103.67</v>
      </c>
      <c r="GS22" s="35">
        <v>104.07299999999999</v>
      </c>
      <c r="GT22" s="35">
        <v>104.40600000000001</v>
      </c>
      <c r="GU22" s="35">
        <v>103.949</v>
      </c>
      <c r="GV22" s="35">
        <v>104.801</v>
      </c>
      <c r="GW22" s="35">
        <v>105.319</v>
      </c>
      <c r="GX22" s="35">
        <v>106.547</v>
      </c>
      <c r="GY22" s="35">
        <v>108.17400000000001</v>
      </c>
      <c r="GZ22" s="35">
        <v>109.673</v>
      </c>
      <c r="HA22" s="35">
        <v>111.48699999999999</v>
      </c>
      <c r="HB22" s="35">
        <v>113.574</v>
      </c>
      <c r="HC22">
        <v>115.568</v>
      </c>
      <c r="HD22">
        <v>116.902</v>
      </c>
      <c r="HE22">
        <v>118.098</v>
      </c>
      <c r="HF22">
        <v>119.309</v>
      </c>
      <c r="HG22">
        <v>120.044</v>
      </c>
      <c r="HH22">
        <v>120.81399999999999</v>
      </c>
      <c r="HI22">
        <v>121.35</v>
      </c>
      <c r="HJ22">
        <v>122.34699999999999</v>
      </c>
    </row>
    <row r="23" spans="1:218" x14ac:dyDescent="0.25">
      <c r="A23" s="35" t="s">
        <v>2186</v>
      </c>
      <c r="B23" s="35">
        <v>133.6</v>
      </c>
      <c r="C23" s="35">
        <v>131.80000000000001</v>
      </c>
      <c r="D23" s="35">
        <v>132.4</v>
      </c>
      <c r="E23" s="35">
        <v>133.5</v>
      </c>
      <c r="F23" s="35">
        <v>133.30000000000001</v>
      </c>
      <c r="G23" s="35">
        <v>134.30000000000001</v>
      </c>
      <c r="H23" s="35">
        <v>135.6</v>
      </c>
      <c r="I23" s="35">
        <v>134.69999999999999</v>
      </c>
      <c r="J23" s="35">
        <v>141.4</v>
      </c>
      <c r="K23" s="35">
        <v>144.19999999999999</v>
      </c>
      <c r="L23" s="35">
        <v>138.80000000000001</v>
      </c>
      <c r="M23" s="35">
        <v>142.19999999999999</v>
      </c>
      <c r="N23" s="35">
        <v>146.4</v>
      </c>
      <c r="O23" s="35">
        <v>146.5</v>
      </c>
      <c r="P23" s="35">
        <v>144.19999999999999</v>
      </c>
      <c r="Q23" s="35">
        <v>147.6</v>
      </c>
      <c r="R23" s="35">
        <v>152.69999999999999</v>
      </c>
      <c r="S23" s="35">
        <v>154.9</v>
      </c>
      <c r="T23" s="35">
        <v>160.4</v>
      </c>
      <c r="U23" s="35">
        <v>167.4</v>
      </c>
      <c r="V23" s="35">
        <v>168.6</v>
      </c>
      <c r="W23" s="35">
        <v>169.4</v>
      </c>
      <c r="X23" s="35">
        <v>176.1</v>
      </c>
      <c r="Y23" s="35">
        <v>180.8</v>
      </c>
      <c r="Z23" s="35">
        <v>181.6</v>
      </c>
      <c r="AA23" s="35">
        <v>182.5</v>
      </c>
      <c r="AB23" s="35">
        <v>184.9</v>
      </c>
      <c r="AC23" s="35">
        <v>190.2</v>
      </c>
      <c r="AD23" s="35">
        <v>194.2</v>
      </c>
      <c r="AE23" s="35">
        <v>198.9</v>
      </c>
      <c r="AF23" s="35">
        <v>201.9</v>
      </c>
      <c r="AG23" s="35">
        <v>206.3</v>
      </c>
      <c r="AH23" s="35">
        <v>208.8</v>
      </c>
      <c r="AI23" s="35">
        <v>217</v>
      </c>
      <c r="AJ23" s="35">
        <v>222.1</v>
      </c>
      <c r="AK23" s="35">
        <v>227.8</v>
      </c>
      <c r="AL23" s="35">
        <v>231.7</v>
      </c>
      <c r="AM23" s="35">
        <v>237.6</v>
      </c>
      <c r="AN23" s="35">
        <v>243.7</v>
      </c>
      <c r="AO23" s="35">
        <v>249.3</v>
      </c>
      <c r="AP23" s="35">
        <v>261.10000000000002</v>
      </c>
      <c r="AQ23" s="35">
        <v>276.5</v>
      </c>
      <c r="AR23" s="35">
        <v>276.10000000000002</v>
      </c>
      <c r="AS23" s="35">
        <v>285.8</v>
      </c>
      <c r="AT23" s="35">
        <v>297.2</v>
      </c>
      <c r="AU23" s="35">
        <v>311.89999999999998</v>
      </c>
      <c r="AV23" s="35">
        <v>317.39999999999998</v>
      </c>
      <c r="AW23" s="35">
        <v>329.3</v>
      </c>
      <c r="AX23" s="35">
        <v>334.9</v>
      </c>
      <c r="AY23" s="35">
        <v>342.9</v>
      </c>
      <c r="AZ23" s="35">
        <v>351.5</v>
      </c>
      <c r="BA23" s="35">
        <v>364.1</v>
      </c>
      <c r="BB23" s="35">
        <v>370.5</v>
      </c>
      <c r="BC23" s="35">
        <v>380.3</v>
      </c>
      <c r="BD23" s="35">
        <v>394.4</v>
      </c>
      <c r="BE23" s="35">
        <v>384.2</v>
      </c>
      <c r="BF23" s="35">
        <v>392.4</v>
      </c>
      <c r="BG23" s="35">
        <v>408.3</v>
      </c>
      <c r="BH23" s="35">
        <v>414</v>
      </c>
      <c r="BI23" s="35">
        <v>432.5</v>
      </c>
      <c r="BJ23" s="35">
        <v>434.8</v>
      </c>
      <c r="BK23" s="35">
        <v>447.3</v>
      </c>
      <c r="BL23" s="35">
        <v>463.1</v>
      </c>
      <c r="BM23" s="35">
        <v>466.4</v>
      </c>
      <c r="BN23" s="35">
        <v>464</v>
      </c>
      <c r="BO23" s="35">
        <v>477.8</v>
      </c>
      <c r="BP23" s="35">
        <v>495.1</v>
      </c>
      <c r="BQ23" s="35">
        <v>489.8</v>
      </c>
      <c r="BR23" s="35">
        <v>492.1</v>
      </c>
      <c r="BS23" s="35">
        <v>501.2</v>
      </c>
      <c r="BT23" s="35">
        <v>504.1</v>
      </c>
      <c r="BU23" s="35">
        <v>513.70000000000005</v>
      </c>
      <c r="BV23" s="35">
        <v>505.8</v>
      </c>
      <c r="BW23" s="35">
        <v>506.9</v>
      </c>
      <c r="BX23" s="35">
        <v>507.4</v>
      </c>
      <c r="BY23" s="35">
        <v>525.6</v>
      </c>
      <c r="BZ23" s="35">
        <v>519.9</v>
      </c>
      <c r="CA23" s="35">
        <v>534.29999999999995</v>
      </c>
      <c r="CB23" s="35">
        <v>541.4</v>
      </c>
      <c r="CC23" s="35">
        <v>540.79999999999995</v>
      </c>
      <c r="CD23" s="35">
        <v>553.70000000000005</v>
      </c>
      <c r="CE23" s="35">
        <v>563.9</v>
      </c>
      <c r="CF23" s="35">
        <v>562.20000000000005</v>
      </c>
      <c r="CG23" s="35">
        <v>569.70000000000005</v>
      </c>
      <c r="CH23" s="35">
        <v>581.4</v>
      </c>
      <c r="CI23" s="35">
        <v>586.6</v>
      </c>
      <c r="CJ23" s="35">
        <v>586.29999999999995</v>
      </c>
      <c r="CK23" s="35">
        <v>577.4</v>
      </c>
      <c r="CL23" s="35">
        <v>580.29999999999995</v>
      </c>
      <c r="CM23" s="35">
        <v>580.9</v>
      </c>
      <c r="CN23" s="35">
        <v>594.20000000000005</v>
      </c>
      <c r="CO23" s="35">
        <v>598.4</v>
      </c>
      <c r="CP23" s="35">
        <v>580.29999999999995</v>
      </c>
      <c r="CQ23" s="35">
        <v>576.70000000000005</v>
      </c>
      <c r="CR23" s="35">
        <v>578.70000000000005</v>
      </c>
      <c r="CS23" s="35">
        <v>584.9</v>
      </c>
      <c r="CT23" s="35">
        <v>567</v>
      </c>
      <c r="CU23" s="35">
        <v>569.4</v>
      </c>
      <c r="CV23" s="35">
        <v>586.5</v>
      </c>
      <c r="CW23" s="35">
        <v>575.79999999999995</v>
      </c>
      <c r="CX23" s="35">
        <v>579.1</v>
      </c>
      <c r="CY23" s="35">
        <v>581</v>
      </c>
      <c r="CZ23" s="35">
        <v>579.29999999999995</v>
      </c>
      <c r="DA23" s="35">
        <v>567.29999999999995</v>
      </c>
      <c r="DB23" s="35">
        <v>579.79999999999995</v>
      </c>
      <c r="DC23" s="35">
        <v>582.1</v>
      </c>
      <c r="DD23" s="35">
        <v>577.79999999999995</v>
      </c>
      <c r="DE23" s="35">
        <v>576.9</v>
      </c>
      <c r="DF23" s="35">
        <v>570.70000000000005</v>
      </c>
      <c r="DG23" s="35">
        <v>587.20000000000005</v>
      </c>
      <c r="DH23" s="35">
        <v>586</v>
      </c>
      <c r="DI23" s="35">
        <v>589.20000000000005</v>
      </c>
      <c r="DJ23" s="35">
        <v>572.20000000000005</v>
      </c>
      <c r="DK23" s="35">
        <v>587.1</v>
      </c>
      <c r="DL23" s="35">
        <v>588.6</v>
      </c>
      <c r="DM23" s="35">
        <v>594.20000000000005</v>
      </c>
      <c r="DN23" s="35">
        <v>595.1</v>
      </c>
      <c r="DO23" s="35">
        <v>599.20000000000005</v>
      </c>
      <c r="DP23" s="35">
        <v>614.20000000000005</v>
      </c>
      <c r="DQ23" s="35">
        <v>634.29999999999995</v>
      </c>
      <c r="DR23" s="35">
        <v>619.4</v>
      </c>
      <c r="DS23" s="35">
        <v>641.20000000000005</v>
      </c>
      <c r="DT23" s="35">
        <v>633.6</v>
      </c>
      <c r="DU23" s="35">
        <v>638.20000000000005</v>
      </c>
      <c r="DV23" s="35">
        <v>653.29999999999995</v>
      </c>
      <c r="DW23" s="35">
        <v>666.2</v>
      </c>
      <c r="DX23" s="35">
        <v>674.4</v>
      </c>
      <c r="DY23" s="35">
        <v>686.9</v>
      </c>
      <c r="DZ23" s="35">
        <v>714</v>
      </c>
      <c r="EA23" s="35">
        <v>734.8</v>
      </c>
      <c r="EB23" s="35">
        <v>748.4</v>
      </c>
      <c r="EC23" s="35">
        <v>775.2</v>
      </c>
      <c r="ED23" s="35">
        <v>792.7</v>
      </c>
      <c r="EE23" s="35">
        <v>826</v>
      </c>
      <c r="EF23" s="35">
        <v>833.3</v>
      </c>
      <c r="EG23" s="35">
        <v>855.1</v>
      </c>
      <c r="EH23" s="35">
        <v>871.8</v>
      </c>
      <c r="EI23" s="35">
        <v>884.6</v>
      </c>
      <c r="EJ23" s="35">
        <v>902.5</v>
      </c>
      <c r="EK23" s="35">
        <v>909.6</v>
      </c>
      <c r="EL23" s="35">
        <v>931.8</v>
      </c>
      <c r="EM23" s="35">
        <v>939.3</v>
      </c>
      <c r="EN23" s="35">
        <v>956.4</v>
      </c>
      <c r="EO23" s="35">
        <v>963.7</v>
      </c>
      <c r="EP23" s="35">
        <v>997.1</v>
      </c>
      <c r="EQ23" s="35">
        <v>997.2</v>
      </c>
      <c r="ER23" s="35">
        <v>995.4</v>
      </c>
      <c r="ES23" s="35">
        <v>1015.1</v>
      </c>
      <c r="ET23" s="35">
        <v>1017.5</v>
      </c>
      <c r="EU23" s="35">
        <v>1042.5</v>
      </c>
      <c r="EV23" s="35">
        <v>1058.8</v>
      </c>
      <c r="EW23" s="35">
        <v>1085.3</v>
      </c>
      <c r="EX23" s="35">
        <v>1111.2</v>
      </c>
      <c r="EY23" s="35">
        <v>1146.5999999999999</v>
      </c>
      <c r="EZ23" s="35">
        <v>1170.2</v>
      </c>
      <c r="FA23" s="35">
        <v>1179.8</v>
      </c>
      <c r="FB23" s="35">
        <v>1185.2</v>
      </c>
      <c r="FC23" s="35">
        <v>1213.5</v>
      </c>
      <c r="FD23" s="35">
        <v>1228.3</v>
      </c>
      <c r="FE23" s="35">
        <v>1256.2</v>
      </c>
      <c r="FF23" s="35">
        <v>1278.4000000000001</v>
      </c>
      <c r="FG23" s="35">
        <v>1305</v>
      </c>
      <c r="FH23" s="35">
        <v>1304.3</v>
      </c>
      <c r="FI23" s="35">
        <v>1312.9</v>
      </c>
      <c r="FJ23" s="35">
        <v>1306</v>
      </c>
      <c r="FK23" s="35">
        <v>1312.7</v>
      </c>
      <c r="FL23" s="35">
        <v>1288.7</v>
      </c>
      <c r="FM23" s="35">
        <v>1291.7</v>
      </c>
      <c r="FN23" s="35">
        <v>1296.0999999999999</v>
      </c>
      <c r="FO23" s="35">
        <v>1288.5999999999999</v>
      </c>
      <c r="FP23" s="35">
        <v>1293.8</v>
      </c>
      <c r="FQ23" s="35">
        <v>1269.5999999999999</v>
      </c>
      <c r="FR23" s="35">
        <v>1240.0999999999999</v>
      </c>
      <c r="FS23" s="35">
        <v>1232.5999999999999</v>
      </c>
      <c r="FT23" s="35">
        <v>1219.5999999999999</v>
      </c>
      <c r="FU23" s="35">
        <v>1217.3</v>
      </c>
      <c r="FV23" s="35">
        <v>1212.9000000000001</v>
      </c>
      <c r="FW23" s="35">
        <v>1211</v>
      </c>
      <c r="FX23" s="35">
        <v>1230.5999999999999</v>
      </c>
      <c r="FY23" s="35">
        <v>1213.7</v>
      </c>
      <c r="FZ23" s="35">
        <v>1216.2</v>
      </c>
      <c r="GA23" s="35">
        <v>1222.4000000000001</v>
      </c>
      <c r="GB23" s="35">
        <v>1222.4000000000001</v>
      </c>
      <c r="GC23" s="35">
        <v>1230.0999999999999</v>
      </c>
      <c r="GD23" s="35">
        <v>1229.5999999999999</v>
      </c>
      <c r="GE23" s="35">
        <v>1230</v>
      </c>
      <c r="GF23" s="35">
        <v>1241.3</v>
      </c>
      <c r="GG23" s="35">
        <v>1248.5</v>
      </c>
      <c r="GH23" s="35">
        <v>1249.0999999999999</v>
      </c>
      <c r="GI23" s="35">
        <v>1259.9000000000001</v>
      </c>
      <c r="GJ23" s="35">
        <v>1264.5999999999999</v>
      </c>
      <c r="GK23" s="35">
        <v>1290.7</v>
      </c>
      <c r="GL23" s="35">
        <v>1316.2</v>
      </c>
      <c r="GM23" s="35">
        <v>1334.7</v>
      </c>
      <c r="GN23" s="35">
        <v>1358.9</v>
      </c>
      <c r="GO23" s="35">
        <v>1375.4</v>
      </c>
      <c r="GP23" s="35">
        <v>1401.1</v>
      </c>
      <c r="GQ23" s="35">
        <v>1412.1</v>
      </c>
      <c r="GR23" s="35">
        <v>1433.6</v>
      </c>
      <c r="GS23" s="35">
        <v>1442</v>
      </c>
      <c r="GT23" s="35">
        <v>1464.7</v>
      </c>
      <c r="GU23" s="35">
        <v>1569.8</v>
      </c>
      <c r="GV23" s="35">
        <v>1527.7</v>
      </c>
      <c r="GW23" s="35">
        <v>1531.4</v>
      </c>
      <c r="GX23" s="35">
        <v>1609.9</v>
      </c>
      <c r="GY23" s="35">
        <v>1588.5</v>
      </c>
      <c r="GZ23" s="35">
        <v>1576.4</v>
      </c>
      <c r="HA23" s="35">
        <v>1602.5</v>
      </c>
      <c r="HB23" s="35">
        <v>1601.7</v>
      </c>
      <c r="HC23">
        <v>1612.3</v>
      </c>
      <c r="HD23">
        <v>1636.3</v>
      </c>
      <c r="HE23">
        <v>1691.8</v>
      </c>
      <c r="HF23">
        <v>1730.6</v>
      </c>
      <c r="HG23">
        <v>1744.3</v>
      </c>
      <c r="HH23">
        <v>1791.9</v>
      </c>
      <c r="HI23">
        <v>1820</v>
      </c>
      <c r="HJ23">
        <v>1837.2</v>
      </c>
    </row>
    <row r="24" spans="1:218" x14ac:dyDescent="0.25">
      <c r="A24" s="35" t="s">
        <v>2187</v>
      </c>
      <c r="B24" s="35">
        <v>114.3</v>
      </c>
      <c r="C24" s="35">
        <v>117.4</v>
      </c>
      <c r="D24" s="35">
        <v>122.2</v>
      </c>
      <c r="E24" s="35">
        <v>125.2</v>
      </c>
      <c r="F24" s="35">
        <v>128.6</v>
      </c>
      <c r="G24" s="35">
        <v>131.9</v>
      </c>
      <c r="H24" s="35">
        <v>134.19999999999999</v>
      </c>
      <c r="I24" s="35">
        <v>137.4</v>
      </c>
      <c r="J24" s="35">
        <v>140.80000000000001</v>
      </c>
      <c r="K24" s="35">
        <v>142.19999999999999</v>
      </c>
      <c r="L24" s="35">
        <v>145.6</v>
      </c>
      <c r="M24" s="35">
        <v>149.6</v>
      </c>
      <c r="N24" s="35">
        <v>153.19999999999999</v>
      </c>
      <c r="O24" s="35">
        <v>156.19999999999999</v>
      </c>
      <c r="P24" s="35">
        <v>159.9</v>
      </c>
      <c r="Q24" s="35">
        <v>165</v>
      </c>
      <c r="R24" s="35">
        <v>171.9</v>
      </c>
      <c r="S24" s="35">
        <v>180.1</v>
      </c>
      <c r="T24" s="35">
        <v>186.3</v>
      </c>
      <c r="U24" s="35">
        <v>191.9</v>
      </c>
      <c r="V24" s="35">
        <v>201.5</v>
      </c>
      <c r="W24" s="35">
        <v>204</v>
      </c>
      <c r="X24" s="35">
        <v>209.3</v>
      </c>
      <c r="Y24" s="35">
        <v>214.8</v>
      </c>
      <c r="Z24" s="35">
        <v>219.7</v>
      </c>
      <c r="AA24" s="35">
        <v>218.5</v>
      </c>
      <c r="AB24" s="35">
        <v>218.6</v>
      </c>
      <c r="AC24" s="35">
        <v>220.6</v>
      </c>
      <c r="AD24" s="35">
        <v>227</v>
      </c>
      <c r="AE24" s="35">
        <v>232.4</v>
      </c>
      <c r="AF24" s="35">
        <v>236.1</v>
      </c>
      <c r="AG24" s="35">
        <v>240.5</v>
      </c>
      <c r="AH24" s="35">
        <v>243.8</v>
      </c>
      <c r="AI24" s="35">
        <v>255.3</v>
      </c>
      <c r="AJ24" s="35">
        <v>262.2</v>
      </c>
      <c r="AK24" s="35">
        <v>268.39999999999998</v>
      </c>
      <c r="AL24" s="35">
        <v>270.10000000000002</v>
      </c>
      <c r="AM24" s="35">
        <v>278.89999999999998</v>
      </c>
      <c r="AN24" s="35">
        <v>289.39999999999998</v>
      </c>
      <c r="AO24" s="35">
        <v>298.39999999999998</v>
      </c>
      <c r="AP24" s="35">
        <v>307.7</v>
      </c>
      <c r="AQ24" s="35">
        <v>312</v>
      </c>
      <c r="AR24" s="35">
        <v>316.10000000000002</v>
      </c>
      <c r="AS24" s="35">
        <v>323.10000000000002</v>
      </c>
      <c r="AT24" s="35">
        <v>336.1</v>
      </c>
      <c r="AU24" s="35">
        <v>336.8</v>
      </c>
      <c r="AV24" s="35">
        <v>340.3</v>
      </c>
      <c r="AW24" s="35">
        <v>348.4</v>
      </c>
      <c r="AX24" s="35">
        <v>353.2</v>
      </c>
      <c r="AY24" s="35">
        <v>360.2</v>
      </c>
      <c r="AZ24" s="35">
        <v>365.8</v>
      </c>
      <c r="BA24" s="35">
        <v>373.3</v>
      </c>
      <c r="BB24" s="35">
        <v>377.4</v>
      </c>
      <c r="BC24" s="35">
        <v>380.7</v>
      </c>
      <c r="BD24" s="35">
        <v>387.8</v>
      </c>
      <c r="BE24" s="35">
        <v>390.9</v>
      </c>
      <c r="BF24" s="35">
        <v>401.6</v>
      </c>
      <c r="BG24" s="35">
        <v>410.8</v>
      </c>
      <c r="BH24" s="35">
        <v>421.7</v>
      </c>
      <c r="BI24" s="35">
        <v>430.2</v>
      </c>
      <c r="BJ24" s="35">
        <v>440.8</v>
      </c>
      <c r="BK24" s="35">
        <v>453.2</v>
      </c>
      <c r="BL24" s="35">
        <v>464.3</v>
      </c>
      <c r="BM24" s="35">
        <v>472.1</v>
      </c>
      <c r="BN24" s="35">
        <v>482.8</v>
      </c>
      <c r="BO24" s="35">
        <v>489.7</v>
      </c>
      <c r="BP24" s="35">
        <v>498.5</v>
      </c>
      <c r="BQ24" s="35">
        <v>506.6</v>
      </c>
      <c r="BR24" s="35">
        <v>516.5</v>
      </c>
      <c r="BS24" s="35">
        <v>524</v>
      </c>
      <c r="BT24" s="35">
        <v>532.1</v>
      </c>
      <c r="BU24" s="35">
        <v>542.29999999999995</v>
      </c>
      <c r="BV24" s="35">
        <v>551.1</v>
      </c>
      <c r="BW24" s="35">
        <v>563.5</v>
      </c>
      <c r="BX24" s="35">
        <v>570.79999999999995</v>
      </c>
      <c r="BY24" s="35">
        <v>584.29999999999995</v>
      </c>
      <c r="BZ24" s="35">
        <v>596.70000000000005</v>
      </c>
      <c r="CA24" s="35">
        <v>611.5</v>
      </c>
      <c r="CB24" s="35">
        <v>623.20000000000005</v>
      </c>
      <c r="CC24" s="35">
        <v>639.70000000000005</v>
      </c>
      <c r="CD24" s="35">
        <v>658.8</v>
      </c>
      <c r="CE24" s="35">
        <v>666.8</v>
      </c>
      <c r="CF24" s="35">
        <v>680.3</v>
      </c>
      <c r="CG24" s="35">
        <v>698.8</v>
      </c>
      <c r="CH24" s="35">
        <v>702.8</v>
      </c>
      <c r="CI24" s="35">
        <v>709.9</v>
      </c>
      <c r="CJ24" s="35">
        <v>719.9</v>
      </c>
      <c r="CK24" s="35">
        <v>731.4</v>
      </c>
      <c r="CL24" s="35">
        <v>746.1</v>
      </c>
      <c r="CM24" s="35">
        <v>753.9</v>
      </c>
      <c r="CN24" s="35">
        <v>759.8</v>
      </c>
      <c r="CO24" s="35">
        <v>764.4</v>
      </c>
      <c r="CP24" s="35">
        <v>771.5</v>
      </c>
      <c r="CQ24" s="35">
        <v>782.3</v>
      </c>
      <c r="CR24" s="35">
        <v>788.7</v>
      </c>
      <c r="CS24" s="35">
        <v>796.5</v>
      </c>
      <c r="CT24" s="35">
        <v>806.3</v>
      </c>
      <c r="CU24" s="35">
        <v>820</v>
      </c>
      <c r="CV24" s="35">
        <v>836.9</v>
      </c>
      <c r="CW24" s="35">
        <v>847.1</v>
      </c>
      <c r="CX24" s="35">
        <v>858.5</v>
      </c>
      <c r="CY24" s="35">
        <v>871.9</v>
      </c>
      <c r="CZ24" s="35">
        <v>876.3</v>
      </c>
      <c r="DA24" s="35">
        <v>884.3</v>
      </c>
      <c r="DB24" s="35">
        <v>891.5</v>
      </c>
      <c r="DC24" s="35">
        <v>905.5</v>
      </c>
      <c r="DD24" s="35">
        <v>919</v>
      </c>
      <c r="DE24" s="35">
        <v>938.8</v>
      </c>
      <c r="DF24" s="35">
        <v>945.3</v>
      </c>
      <c r="DG24" s="35">
        <v>955.4</v>
      </c>
      <c r="DH24" s="35">
        <v>969.2</v>
      </c>
      <c r="DI24" s="35">
        <v>985.6</v>
      </c>
      <c r="DJ24" s="35">
        <v>995.9</v>
      </c>
      <c r="DK24" s="35">
        <v>1016.6</v>
      </c>
      <c r="DL24" s="35">
        <v>1038.5999999999999</v>
      </c>
      <c r="DM24" s="35">
        <v>1053.2</v>
      </c>
      <c r="DN24" s="35">
        <v>1074</v>
      </c>
      <c r="DO24" s="35">
        <v>1095.5</v>
      </c>
      <c r="DP24" s="35">
        <v>1119.8</v>
      </c>
      <c r="DQ24" s="35">
        <v>1147.4000000000001</v>
      </c>
      <c r="DR24" s="35">
        <v>1170.5</v>
      </c>
      <c r="DS24" s="35">
        <v>1181.3</v>
      </c>
      <c r="DT24" s="35">
        <v>1198.5</v>
      </c>
      <c r="DU24" s="35">
        <v>1223.0999999999999</v>
      </c>
      <c r="DV24" s="35">
        <v>1253</v>
      </c>
      <c r="DW24" s="35">
        <v>1281.5</v>
      </c>
      <c r="DX24" s="35">
        <v>1279</v>
      </c>
      <c r="DY24" s="35">
        <v>1305.9000000000001</v>
      </c>
      <c r="DZ24" s="35">
        <v>1326</v>
      </c>
      <c r="EA24" s="35">
        <v>1339.7</v>
      </c>
      <c r="EB24" s="35">
        <v>1352.9</v>
      </c>
      <c r="EC24" s="35">
        <v>1367</v>
      </c>
      <c r="ED24" s="35">
        <v>1379.3</v>
      </c>
      <c r="EE24" s="35">
        <v>1372.8</v>
      </c>
      <c r="EF24" s="35">
        <v>1387.2</v>
      </c>
      <c r="EG24" s="35">
        <v>1396</v>
      </c>
      <c r="EH24" s="35">
        <v>1414.8</v>
      </c>
      <c r="EI24" s="35">
        <v>1436.1</v>
      </c>
      <c r="EJ24" s="35">
        <v>1453.9</v>
      </c>
      <c r="EK24" s="35">
        <v>1479.2</v>
      </c>
      <c r="EL24" s="35">
        <v>1494.3</v>
      </c>
      <c r="EM24" s="35">
        <v>1513</v>
      </c>
      <c r="EN24" s="35">
        <v>1538</v>
      </c>
      <c r="EO24" s="35">
        <v>1564.8</v>
      </c>
      <c r="EP24" s="35">
        <v>1583</v>
      </c>
      <c r="EQ24" s="35">
        <v>1613.4</v>
      </c>
      <c r="ER24" s="35">
        <v>1634.8</v>
      </c>
      <c r="ES24" s="35">
        <v>1659.4</v>
      </c>
      <c r="ET24" s="35">
        <v>1700.9</v>
      </c>
      <c r="EU24" s="35">
        <v>1727.5</v>
      </c>
      <c r="EV24" s="35">
        <v>1749.9</v>
      </c>
      <c r="EW24" s="35">
        <v>1779.8</v>
      </c>
      <c r="EX24" s="35">
        <v>1798.5</v>
      </c>
      <c r="EY24" s="35">
        <v>1825</v>
      </c>
      <c r="EZ24" s="35">
        <v>1858.8</v>
      </c>
      <c r="FA24" s="35">
        <v>1842</v>
      </c>
      <c r="FB24" s="35">
        <v>1836.8</v>
      </c>
      <c r="FC24" s="35">
        <v>1857</v>
      </c>
      <c r="FD24" s="35">
        <v>1863.8</v>
      </c>
      <c r="FE24" s="35">
        <v>1864.6</v>
      </c>
      <c r="FF24" s="35">
        <v>1855.5</v>
      </c>
      <c r="FG24" s="35">
        <v>1860.7</v>
      </c>
      <c r="FH24" s="35">
        <v>1854</v>
      </c>
      <c r="FI24" s="35">
        <v>1851.4</v>
      </c>
      <c r="FJ24" s="35">
        <v>1849.8</v>
      </c>
      <c r="FK24" s="35">
        <v>1855.5</v>
      </c>
      <c r="FL24" s="35">
        <v>1848.3</v>
      </c>
      <c r="FM24" s="35">
        <v>1839.1</v>
      </c>
      <c r="FN24" s="35">
        <v>1847.9</v>
      </c>
      <c r="FO24" s="35">
        <v>1841.8</v>
      </c>
      <c r="FP24" s="35">
        <v>1845.3</v>
      </c>
      <c r="FQ24" s="35">
        <v>1862.7</v>
      </c>
      <c r="FR24" s="35">
        <v>1883.4</v>
      </c>
      <c r="FS24" s="35">
        <v>1898.6</v>
      </c>
      <c r="FT24" s="35">
        <v>1915.6</v>
      </c>
      <c r="FU24" s="35">
        <v>1923.3</v>
      </c>
      <c r="FV24" s="35">
        <v>1926.1</v>
      </c>
      <c r="FW24" s="35">
        <v>1943.4</v>
      </c>
      <c r="FX24" s="35">
        <v>1961.1</v>
      </c>
      <c r="FY24" s="35">
        <v>1975.5</v>
      </c>
      <c r="FZ24" s="35">
        <v>1971.7</v>
      </c>
      <c r="GA24" s="35">
        <v>2011.7</v>
      </c>
      <c r="GB24" s="35">
        <v>2031.2</v>
      </c>
      <c r="GC24" s="35">
        <v>2028.1</v>
      </c>
      <c r="GD24" s="35">
        <v>2040.5</v>
      </c>
      <c r="GE24" s="35">
        <v>2059.6</v>
      </c>
      <c r="GF24" s="35">
        <v>2073.9</v>
      </c>
      <c r="GG24" s="35">
        <v>2088.8000000000002</v>
      </c>
      <c r="GH24" s="35">
        <v>2104</v>
      </c>
      <c r="GI24" s="35">
        <v>2110.6</v>
      </c>
      <c r="GJ24" s="35">
        <v>2134.3000000000002</v>
      </c>
      <c r="GK24" s="35">
        <v>2175.4</v>
      </c>
      <c r="GL24" s="35">
        <v>2197.6999999999998</v>
      </c>
      <c r="GM24" s="35">
        <v>2236</v>
      </c>
      <c r="GN24" s="35">
        <v>2267.1999999999998</v>
      </c>
      <c r="GO24" s="35">
        <v>2275.5</v>
      </c>
      <c r="GP24" s="35">
        <v>2303.5</v>
      </c>
      <c r="GQ24" s="35">
        <v>2356.1</v>
      </c>
      <c r="GR24" s="35">
        <v>2387.9</v>
      </c>
      <c r="GS24" s="35">
        <v>2423.4</v>
      </c>
      <c r="GT24" s="35">
        <v>2478.9</v>
      </c>
      <c r="GU24" s="35">
        <v>2451.3000000000002</v>
      </c>
      <c r="GV24" s="35">
        <v>2468.3000000000002</v>
      </c>
      <c r="GW24" s="35">
        <v>2486.9</v>
      </c>
      <c r="GX24" s="35">
        <v>2533.9</v>
      </c>
      <c r="GY24" s="35">
        <v>2571.6999999999998</v>
      </c>
      <c r="GZ24" s="35">
        <v>2625.1</v>
      </c>
      <c r="HA24" s="35">
        <v>2664.2</v>
      </c>
      <c r="HB24" s="35">
        <v>2719.7</v>
      </c>
      <c r="HC24">
        <v>2803.4</v>
      </c>
      <c r="HD24">
        <v>2841.5</v>
      </c>
      <c r="HE24">
        <v>2880.6</v>
      </c>
      <c r="HF24">
        <v>2913.2</v>
      </c>
      <c r="HG24">
        <v>2925.5</v>
      </c>
      <c r="HH24">
        <v>3002.9</v>
      </c>
      <c r="HI24">
        <v>3051.8</v>
      </c>
      <c r="HJ24">
        <v>3100.2</v>
      </c>
    </row>
    <row r="25" spans="1:218" x14ac:dyDescent="0.25">
      <c r="A25" s="35" t="s">
        <v>2188</v>
      </c>
      <c r="B25" s="35">
        <v>753.5</v>
      </c>
      <c r="C25" s="35">
        <v>733.7</v>
      </c>
      <c r="D25" s="35">
        <v>724.6</v>
      </c>
      <c r="E25" s="35">
        <v>721.9</v>
      </c>
      <c r="F25" s="35">
        <v>698.7</v>
      </c>
      <c r="G25" s="35">
        <v>690.5</v>
      </c>
      <c r="H25" s="35">
        <v>687.5</v>
      </c>
      <c r="I25" s="35">
        <v>669.4</v>
      </c>
      <c r="J25" s="35">
        <v>674.9</v>
      </c>
      <c r="K25" s="35">
        <v>681.4</v>
      </c>
      <c r="L25" s="35">
        <v>650.20000000000005</v>
      </c>
      <c r="M25" s="35">
        <v>651.9</v>
      </c>
      <c r="N25" s="35">
        <v>660.3</v>
      </c>
      <c r="O25" s="35">
        <v>649.70000000000005</v>
      </c>
      <c r="P25" s="35">
        <v>626.70000000000005</v>
      </c>
      <c r="Q25" s="35">
        <v>628.1</v>
      </c>
      <c r="R25" s="35">
        <v>643.20000000000005</v>
      </c>
      <c r="S25" s="35">
        <v>641</v>
      </c>
      <c r="T25" s="35">
        <v>645.1</v>
      </c>
      <c r="U25" s="35">
        <v>651.5</v>
      </c>
      <c r="V25" s="35">
        <v>644.70000000000005</v>
      </c>
      <c r="W25" s="35">
        <v>638.29999999999995</v>
      </c>
      <c r="X25" s="35">
        <v>654.70000000000005</v>
      </c>
      <c r="Y25" s="35">
        <v>656.9</v>
      </c>
      <c r="Z25" s="35">
        <v>650.4</v>
      </c>
      <c r="AA25" s="35">
        <v>648.20000000000005</v>
      </c>
      <c r="AB25" s="35">
        <v>649.1</v>
      </c>
      <c r="AC25" s="35">
        <v>650.5</v>
      </c>
      <c r="AD25" s="35">
        <v>655</v>
      </c>
      <c r="AE25" s="35">
        <v>663.3</v>
      </c>
      <c r="AF25" s="35">
        <v>669.9</v>
      </c>
      <c r="AG25" s="35">
        <v>665.3</v>
      </c>
      <c r="AH25" s="35">
        <v>665.8</v>
      </c>
      <c r="AI25" s="35">
        <v>678.7</v>
      </c>
      <c r="AJ25" s="35">
        <v>683.1</v>
      </c>
      <c r="AK25" s="35">
        <v>688.9</v>
      </c>
      <c r="AL25" s="35">
        <v>687.8</v>
      </c>
      <c r="AM25" s="35">
        <v>694.8</v>
      </c>
      <c r="AN25" s="35">
        <v>696.4</v>
      </c>
      <c r="AO25" s="35">
        <v>697.2</v>
      </c>
      <c r="AP25" s="35">
        <v>715.8</v>
      </c>
      <c r="AQ25" s="35">
        <v>729.9</v>
      </c>
      <c r="AR25" s="35">
        <v>721.5</v>
      </c>
      <c r="AS25" s="35">
        <v>725.2</v>
      </c>
      <c r="AT25" s="35">
        <v>739.4</v>
      </c>
      <c r="AU25" s="35">
        <v>758.4</v>
      </c>
      <c r="AV25" s="35">
        <v>755.3</v>
      </c>
      <c r="AW25" s="35">
        <v>768.8</v>
      </c>
      <c r="AX25" s="35">
        <v>769.3</v>
      </c>
      <c r="AY25" s="35">
        <v>772.5</v>
      </c>
      <c r="AZ25" s="35">
        <v>785.2</v>
      </c>
      <c r="BA25" s="35">
        <v>803.7</v>
      </c>
      <c r="BB25" s="35">
        <v>816.4</v>
      </c>
      <c r="BC25" s="35">
        <v>831.6</v>
      </c>
      <c r="BD25" s="35">
        <v>853.1</v>
      </c>
      <c r="BE25" s="35">
        <v>825.5</v>
      </c>
      <c r="BF25" s="35">
        <v>832.5</v>
      </c>
      <c r="BG25" s="35">
        <v>857.7</v>
      </c>
      <c r="BH25" s="35">
        <v>857</v>
      </c>
      <c r="BI25" s="35">
        <v>884.4</v>
      </c>
      <c r="BJ25" s="35">
        <v>892.5</v>
      </c>
      <c r="BK25" s="35">
        <v>916</v>
      </c>
      <c r="BL25" s="35">
        <v>943.3</v>
      </c>
      <c r="BM25" s="35">
        <v>943.8</v>
      </c>
      <c r="BN25" s="35">
        <v>941.2</v>
      </c>
      <c r="BO25" s="35">
        <v>971.7</v>
      </c>
      <c r="BP25" s="35">
        <v>1005.3</v>
      </c>
      <c r="BQ25" s="35">
        <v>993.6</v>
      </c>
      <c r="BR25" s="35">
        <v>1000</v>
      </c>
      <c r="BS25" s="35">
        <v>1013.6</v>
      </c>
      <c r="BT25" s="35">
        <v>1012.2</v>
      </c>
      <c r="BU25" s="35">
        <v>1029.3</v>
      </c>
      <c r="BV25" s="35">
        <v>999.8</v>
      </c>
      <c r="BW25" s="35">
        <v>992.3</v>
      </c>
      <c r="BX25" s="35">
        <v>987.6</v>
      </c>
      <c r="BY25" s="35">
        <v>1014.9</v>
      </c>
      <c r="BZ25" s="35">
        <v>996.4</v>
      </c>
      <c r="CA25" s="35">
        <v>1016.6</v>
      </c>
      <c r="CB25" s="35">
        <v>1025</v>
      </c>
      <c r="CC25" s="35">
        <v>1020.2</v>
      </c>
      <c r="CD25" s="35">
        <v>1037.2</v>
      </c>
      <c r="CE25" s="35">
        <v>1038.5999999999999</v>
      </c>
      <c r="CF25" s="35">
        <v>1034</v>
      </c>
      <c r="CG25" s="35">
        <v>1035.3</v>
      </c>
      <c r="CH25" s="35">
        <v>1047.0999999999999</v>
      </c>
      <c r="CI25" s="35">
        <v>1051.4000000000001</v>
      </c>
      <c r="CJ25" s="35">
        <v>1037.5</v>
      </c>
      <c r="CK25" s="35">
        <v>1011.5</v>
      </c>
      <c r="CL25" s="35">
        <v>1015.3</v>
      </c>
      <c r="CM25" s="35">
        <v>1012.6</v>
      </c>
      <c r="CN25" s="35">
        <v>1026.9000000000001</v>
      </c>
      <c r="CO25" s="35">
        <v>1027.5999999999999</v>
      </c>
      <c r="CP25" s="35">
        <v>994</v>
      </c>
      <c r="CQ25" s="35">
        <v>983.6</v>
      </c>
      <c r="CR25" s="35">
        <v>979.9</v>
      </c>
      <c r="CS25" s="35">
        <v>981.5</v>
      </c>
      <c r="CT25" s="35">
        <v>947.3</v>
      </c>
      <c r="CU25" s="35">
        <v>943.2</v>
      </c>
      <c r="CV25" s="35">
        <v>966.1</v>
      </c>
      <c r="CW25" s="35">
        <v>940.6</v>
      </c>
      <c r="CX25" s="35">
        <v>938</v>
      </c>
      <c r="CY25" s="35">
        <v>934.9</v>
      </c>
      <c r="CZ25" s="35">
        <v>927.4</v>
      </c>
      <c r="DA25" s="35">
        <v>895.8</v>
      </c>
      <c r="DB25" s="35">
        <v>913.5</v>
      </c>
      <c r="DC25" s="35">
        <v>922.1</v>
      </c>
      <c r="DD25" s="35">
        <v>909.9</v>
      </c>
      <c r="DE25" s="35">
        <v>905.5</v>
      </c>
      <c r="DF25" s="35">
        <v>892.7</v>
      </c>
      <c r="DG25" s="35">
        <v>912.5</v>
      </c>
      <c r="DH25" s="35">
        <v>908.6</v>
      </c>
      <c r="DI25" s="35">
        <v>907.2</v>
      </c>
      <c r="DJ25" s="35">
        <v>884.6</v>
      </c>
      <c r="DK25" s="35">
        <v>901.9</v>
      </c>
      <c r="DL25" s="35">
        <v>898.4</v>
      </c>
      <c r="DM25" s="35">
        <v>904</v>
      </c>
      <c r="DN25" s="35">
        <v>902.6</v>
      </c>
      <c r="DO25" s="35">
        <v>901.3</v>
      </c>
      <c r="DP25" s="35">
        <v>915.4</v>
      </c>
      <c r="DQ25" s="35">
        <v>934</v>
      </c>
      <c r="DR25" s="35">
        <v>903</v>
      </c>
      <c r="DS25" s="35">
        <v>931.2</v>
      </c>
      <c r="DT25" s="35">
        <v>913.6</v>
      </c>
      <c r="DU25" s="35">
        <v>916.1</v>
      </c>
      <c r="DV25" s="35">
        <v>936.2</v>
      </c>
      <c r="DW25" s="35">
        <v>949.8</v>
      </c>
      <c r="DX25" s="35">
        <v>955.5</v>
      </c>
      <c r="DY25" s="35">
        <v>966.9</v>
      </c>
      <c r="DZ25" s="35">
        <v>998.7</v>
      </c>
      <c r="EA25" s="35">
        <v>1018.1</v>
      </c>
      <c r="EB25" s="35">
        <v>1028.0999999999999</v>
      </c>
      <c r="EC25" s="35">
        <v>1045.5999999999999</v>
      </c>
      <c r="ED25" s="35">
        <v>1057.7</v>
      </c>
      <c r="EE25" s="35">
        <v>1094.2</v>
      </c>
      <c r="EF25" s="35">
        <v>1094</v>
      </c>
      <c r="EG25" s="35">
        <v>1114.3</v>
      </c>
      <c r="EH25" s="35">
        <v>1126.4000000000001</v>
      </c>
      <c r="EI25" s="35">
        <v>1133</v>
      </c>
      <c r="EJ25" s="35">
        <v>1145.5</v>
      </c>
      <c r="EK25" s="35">
        <v>1143.4000000000001</v>
      </c>
      <c r="EL25" s="35">
        <v>1156.0999999999999</v>
      </c>
      <c r="EM25" s="35">
        <v>1154.9000000000001</v>
      </c>
      <c r="EN25" s="35">
        <v>1163.8</v>
      </c>
      <c r="EO25" s="35">
        <v>1164.3</v>
      </c>
      <c r="EP25" s="35">
        <v>1194.5</v>
      </c>
      <c r="EQ25" s="35">
        <v>1186.4000000000001</v>
      </c>
      <c r="ER25" s="35">
        <v>1175.5999999999999</v>
      </c>
      <c r="ES25" s="35">
        <v>1192.7</v>
      </c>
      <c r="ET25" s="35">
        <v>1185.5</v>
      </c>
      <c r="EU25" s="35">
        <v>1205</v>
      </c>
      <c r="EV25" s="35">
        <v>1215.5</v>
      </c>
      <c r="EW25" s="35">
        <v>1235.8</v>
      </c>
      <c r="EX25" s="35">
        <v>1254.5999999999999</v>
      </c>
      <c r="EY25" s="35">
        <v>1281.4000000000001</v>
      </c>
      <c r="EZ25" s="35">
        <v>1298</v>
      </c>
      <c r="FA25" s="35">
        <v>1314.9</v>
      </c>
      <c r="FB25" s="35">
        <v>1332.3</v>
      </c>
      <c r="FC25" s="35">
        <v>1363.9</v>
      </c>
      <c r="FD25" s="35">
        <v>1376.4</v>
      </c>
      <c r="FE25" s="35">
        <v>1396.9</v>
      </c>
      <c r="FF25" s="35">
        <v>1412.5</v>
      </c>
      <c r="FG25" s="35">
        <v>1431</v>
      </c>
      <c r="FH25" s="35">
        <v>1424.5</v>
      </c>
      <c r="FI25" s="35">
        <v>1422.3</v>
      </c>
      <c r="FJ25" s="35">
        <v>1402.2</v>
      </c>
      <c r="FK25" s="35">
        <v>1396.8</v>
      </c>
      <c r="FL25" s="35">
        <v>1366.4</v>
      </c>
      <c r="FM25" s="35">
        <v>1371.5</v>
      </c>
      <c r="FN25" s="35">
        <v>1371.4</v>
      </c>
      <c r="FO25" s="35">
        <v>1360.5</v>
      </c>
      <c r="FP25" s="35">
        <v>1363.3</v>
      </c>
      <c r="FQ25" s="35">
        <v>1336.2</v>
      </c>
      <c r="FR25" s="35">
        <v>1306</v>
      </c>
      <c r="FS25" s="35">
        <v>1295.9000000000001</v>
      </c>
      <c r="FT25" s="35">
        <v>1277.8</v>
      </c>
      <c r="FU25" s="35">
        <v>1256</v>
      </c>
      <c r="FV25" s="35">
        <v>1254.9000000000001</v>
      </c>
      <c r="FW25" s="35">
        <v>1247.7</v>
      </c>
      <c r="FX25" s="35">
        <v>1262.0999999999999</v>
      </c>
      <c r="FY25" s="35">
        <v>1243.0999999999999</v>
      </c>
      <c r="FZ25" s="35">
        <v>1248</v>
      </c>
      <c r="GA25" s="35">
        <v>1251.9000000000001</v>
      </c>
      <c r="GB25" s="35">
        <v>1250.8</v>
      </c>
      <c r="GC25" s="35">
        <v>1260.2</v>
      </c>
      <c r="GD25" s="35">
        <v>1261.0999999999999</v>
      </c>
      <c r="GE25" s="35">
        <v>1254.8</v>
      </c>
      <c r="GF25" s="35">
        <v>1261.4000000000001</v>
      </c>
      <c r="GG25" s="35">
        <v>1262.5</v>
      </c>
      <c r="GH25" s="35">
        <v>1257.2</v>
      </c>
      <c r="GI25" s="35">
        <v>1263.9000000000001</v>
      </c>
      <c r="GJ25" s="35">
        <v>1263.0999999999999</v>
      </c>
      <c r="GK25" s="35">
        <v>1280</v>
      </c>
      <c r="GL25" s="35">
        <v>1293</v>
      </c>
      <c r="GM25" s="35">
        <v>1302.3</v>
      </c>
      <c r="GN25" s="35">
        <v>1319.1</v>
      </c>
      <c r="GO25" s="35">
        <v>1325.3</v>
      </c>
      <c r="GP25" s="35">
        <v>1336.2</v>
      </c>
      <c r="GQ25" s="35">
        <v>1354.7</v>
      </c>
      <c r="GR25" s="35">
        <v>1373.2</v>
      </c>
      <c r="GS25" s="35">
        <v>1376.4</v>
      </c>
      <c r="GT25" s="35">
        <v>1393.8</v>
      </c>
      <c r="GU25" s="35">
        <v>1493.5</v>
      </c>
      <c r="GV25" s="35">
        <v>1445.2</v>
      </c>
      <c r="GW25" s="35">
        <v>1438.1</v>
      </c>
      <c r="GX25" s="35">
        <v>1499.1</v>
      </c>
      <c r="GY25" s="35">
        <v>1464.8</v>
      </c>
      <c r="GZ25" s="35">
        <v>1439.1</v>
      </c>
      <c r="HA25" s="35">
        <v>1446.5</v>
      </c>
      <c r="HB25" s="35">
        <v>1420.9</v>
      </c>
      <c r="HC25">
        <v>1406.9</v>
      </c>
      <c r="HD25">
        <v>1411.2</v>
      </c>
      <c r="HE25">
        <v>1444.5</v>
      </c>
      <c r="HF25">
        <v>1462.8</v>
      </c>
      <c r="HG25">
        <v>1466.9</v>
      </c>
      <c r="HH25">
        <v>1492.3</v>
      </c>
      <c r="HI25">
        <v>1501</v>
      </c>
      <c r="HJ25">
        <v>1498.4</v>
      </c>
    </row>
    <row r="26" spans="1:218" x14ac:dyDescent="0.25">
      <c r="A26" s="35" t="s">
        <v>2189</v>
      </c>
      <c r="B26" s="35">
        <v>902.2</v>
      </c>
      <c r="C26" s="35">
        <v>907.1</v>
      </c>
      <c r="D26" s="35">
        <v>927.8</v>
      </c>
      <c r="E26" s="35">
        <v>932.5</v>
      </c>
      <c r="F26" s="35">
        <v>936.4</v>
      </c>
      <c r="G26" s="35">
        <v>943.3</v>
      </c>
      <c r="H26" s="35">
        <v>946.5</v>
      </c>
      <c r="I26" s="35">
        <v>958.4</v>
      </c>
      <c r="J26" s="35">
        <v>961</v>
      </c>
      <c r="K26" s="35">
        <v>959.4</v>
      </c>
      <c r="L26" s="35">
        <v>967.1</v>
      </c>
      <c r="M26" s="35">
        <v>980.4</v>
      </c>
      <c r="N26" s="35">
        <v>984.9</v>
      </c>
      <c r="O26" s="35">
        <v>986.5</v>
      </c>
      <c r="P26" s="35">
        <v>996.8</v>
      </c>
      <c r="Q26" s="35">
        <v>1008.9</v>
      </c>
      <c r="R26" s="35">
        <v>1021.7</v>
      </c>
      <c r="S26" s="35">
        <v>1034.3</v>
      </c>
      <c r="T26" s="35">
        <v>1032.4000000000001</v>
      </c>
      <c r="U26" s="35">
        <v>1032.8</v>
      </c>
      <c r="V26" s="35">
        <v>1063.3</v>
      </c>
      <c r="W26" s="35">
        <v>1055.7</v>
      </c>
      <c r="X26" s="35">
        <v>1069.2</v>
      </c>
      <c r="Y26" s="35">
        <v>1083.5</v>
      </c>
      <c r="Z26" s="35">
        <v>1095.7</v>
      </c>
      <c r="AA26" s="35">
        <v>1076.5</v>
      </c>
      <c r="AB26" s="35">
        <v>1069.3</v>
      </c>
      <c r="AC26" s="35">
        <v>1066.0999999999999</v>
      </c>
      <c r="AD26" s="35">
        <v>1076.7</v>
      </c>
      <c r="AE26" s="35">
        <v>1083.3</v>
      </c>
      <c r="AF26" s="35">
        <v>1082.2</v>
      </c>
      <c r="AG26" s="35">
        <v>1083.8</v>
      </c>
      <c r="AH26" s="35">
        <v>1083.5999999999999</v>
      </c>
      <c r="AI26" s="35">
        <v>1116.2</v>
      </c>
      <c r="AJ26" s="35">
        <v>1129</v>
      </c>
      <c r="AK26" s="35">
        <v>1139.7</v>
      </c>
      <c r="AL26" s="35">
        <v>1120.4000000000001</v>
      </c>
      <c r="AM26" s="35">
        <v>1130.9000000000001</v>
      </c>
      <c r="AN26" s="35">
        <v>1134.8</v>
      </c>
      <c r="AO26" s="35">
        <v>1147.5</v>
      </c>
      <c r="AP26" s="35">
        <v>1152.9000000000001</v>
      </c>
      <c r="AQ26" s="35">
        <v>1137.5999999999999</v>
      </c>
      <c r="AR26" s="35">
        <v>1120</v>
      </c>
      <c r="AS26" s="35">
        <v>1114.5</v>
      </c>
      <c r="AT26" s="35">
        <v>1123.2</v>
      </c>
      <c r="AU26" s="35">
        <v>1101.8</v>
      </c>
      <c r="AV26" s="35">
        <v>1098.5999999999999</v>
      </c>
      <c r="AW26" s="35">
        <v>1107.2</v>
      </c>
      <c r="AX26" s="35">
        <v>1104.0999999999999</v>
      </c>
      <c r="AY26" s="35">
        <v>1107.9000000000001</v>
      </c>
      <c r="AZ26" s="35">
        <v>1108</v>
      </c>
      <c r="BA26" s="35">
        <v>1116.4000000000001</v>
      </c>
      <c r="BB26" s="35">
        <v>1120.4000000000001</v>
      </c>
      <c r="BC26" s="35">
        <v>1118.2</v>
      </c>
      <c r="BD26" s="35">
        <v>1127.9000000000001</v>
      </c>
      <c r="BE26" s="35">
        <v>1128.5999999999999</v>
      </c>
      <c r="BF26" s="35">
        <v>1142.9000000000001</v>
      </c>
      <c r="BG26" s="35">
        <v>1158.0999999999999</v>
      </c>
      <c r="BH26" s="35">
        <v>1177.9000000000001</v>
      </c>
      <c r="BI26" s="35">
        <v>1189.9000000000001</v>
      </c>
      <c r="BJ26" s="35">
        <v>1204.9000000000001</v>
      </c>
      <c r="BK26" s="35">
        <v>1226.7</v>
      </c>
      <c r="BL26" s="35">
        <v>1246.2</v>
      </c>
      <c r="BM26" s="35">
        <v>1255.7</v>
      </c>
      <c r="BN26" s="35">
        <v>1278.8</v>
      </c>
      <c r="BO26" s="35">
        <v>1291.3</v>
      </c>
      <c r="BP26" s="35">
        <v>1303.3</v>
      </c>
      <c r="BQ26" s="35">
        <v>1307.7</v>
      </c>
      <c r="BR26" s="35">
        <v>1314.6</v>
      </c>
      <c r="BS26" s="35">
        <v>1317.5</v>
      </c>
      <c r="BT26" s="35">
        <v>1322</v>
      </c>
      <c r="BU26" s="35">
        <v>1339.5</v>
      </c>
      <c r="BV26" s="35">
        <v>1354.2</v>
      </c>
      <c r="BW26" s="35">
        <v>1371.3</v>
      </c>
      <c r="BX26" s="35">
        <v>1377.5</v>
      </c>
      <c r="BY26" s="35">
        <v>1394.1</v>
      </c>
      <c r="BZ26" s="35">
        <v>1405.3</v>
      </c>
      <c r="CA26" s="35">
        <v>1420.8</v>
      </c>
      <c r="CB26" s="35">
        <v>1434.5</v>
      </c>
      <c r="CC26" s="35">
        <v>1453.7</v>
      </c>
      <c r="CD26" s="35">
        <v>1476.1</v>
      </c>
      <c r="CE26" s="35">
        <v>1478.9</v>
      </c>
      <c r="CF26" s="35">
        <v>1488.7</v>
      </c>
      <c r="CG26" s="35">
        <v>1505.3</v>
      </c>
      <c r="CH26" s="35">
        <v>1507.6</v>
      </c>
      <c r="CI26" s="35">
        <v>1513.7</v>
      </c>
      <c r="CJ26" s="35">
        <v>1522.5</v>
      </c>
      <c r="CK26" s="35">
        <v>1533.2</v>
      </c>
      <c r="CL26" s="35">
        <v>1553</v>
      </c>
      <c r="CM26" s="35">
        <v>1550.7</v>
      </c>
      <c r="CN26" s="35">
        <v>1551.4</v>
      </c>
      <c r="CO26" s="35">
        <v>1550.2</v>
      </c>
      <c r="CP26" s="35">
        <v>1555.6</v>
      </c>
      <c r="CQ26" s="35">
        <v>1568.2</v>
      </c>
      <c r="CR26" s="35">
        <v>1576.4</v>
      </c>
      <c r="CS26" s="35">
        <v>1584.1</v>
      </c>
      <c r="CT26" s="35">
        <v>1590.7</v>
      </c>
      <c r="CU26" s="35">
        <v>1608.8</v>
      </c>
      <c r="CV26" s="35">
        <v>1627.8</v>
      </c>
      <c r="CW26" s="35">
        <v>1633.7</v>
      </c>
      <c r="CX26" s="35">
        <v>1646.5</v>
      </c>
      <c r="CY26" s="35">
        <v>1659.4</v>
      </c>
      <c r="CZ26" s="35">
        <v>1661.1</v>
      </c>
      <c r="DA26" s="35">
        <v>1669.7</v>
      </c>
      <c r="DB26" s="35">
        <v>1666.8</v>
      </c>
      <c r="DC26" s="35">
        <v>1690.8</v>
      </c>
      <c r="DD26" s="35">
        <v>1705.1</v>
      </c>
      <c r="DE26" s="35">
        <v>1729.5</v>
      </c>
      <c r="DF26" s="35">
        <v>1729.9</v>
      </c>
      <c r="DG26" s="35">
        <v>1742.7</v>
      </c>
      <c r="DH26" s="35">
        <v>1760.3</v>
      </c>
      <c r="DI26" s="35">
        <v>1776.1</v>
      </c>
      <c r="DJ26" s="35">
        <v>1792.3</v>
      </c>
      <c r="DK26" s="35">
        <v>1821.7</v>
      </c>
      <c r="DL26" s="35">
        <v>1847.3</v>
      </c>
      <c r="DM26" s="35">
        <v>1857.8</v>
      </c>
      <c r="DN26" s="35">
        <v>1880</v>
      </c>
      <c r="DO26" s="35">
        <v>1892.1</v>
      </c>
      <c r="DP26" s="35">
        <v>1911.1</v>
      </c>
      <c r="DQ26" s="35">
        <v>1935.9</v>
      </c>
      <c r="DR26" s="35">
        <v>1949.9</v>
      </c>
      <c r="DS26" s="35">
        <v>1947.2</v>
      </c>
      <c r="DT26" s="35">
        <v>1954.5</v>
      </c>
      <c r="DU26" s="35">
        <v>1969.9</v>
      </c>
      <c r="DV26" s="35">
        <v>1994.2</v>
      </c>
      <c r="DW26" s="35">
        <v>2031.7</v>
      </c>
      <c r="DX26" s="35">
        <v>2022.5</v>
      </c>
      <c r="DY26" s="35">
        <v>2061</v>
      </c>
      <c r="DZ26" s="35">
        <v>2080.5</v>
      </c>
      <c r="EA26" s="35">
        <v>2083.1999999999998</v>
      </c>
      <c r="EB26" s="35">
        <v>2088.6</v>
      </c>
      <c r="EC26" s="35">
        <v>2092.6999999999998</v>
      </c>
      <c r="ED26" s="35">
        <v>2081.8000000000002</v>
      </c>
      <c r="EE26" s="35">
        <v>2070.4</v>
      </c>
      <c r="EF26" s="35">
        <v>2078.3000000000002</v>
      </c>
      <c r="EG26" s="35">
        <v>2075.1999999999998</v>
      </c>
      <c r="EH26" s="35">
        <v>2076.5</v>
      </c>
      <c r="EI26" s="35">
        <v>2078</v>
      </c>
      <c r="EJ26" s="35">
        <v>2070.3000000000002</v>
      </c>
      <c r="EK26" s="35">
        <v>2070.6</v>
      </c>
      <c r="EL26" s="35">
        <v>2072.9</v>
      </c>
      <c r="EM26" s="35">
        <v>2072.3000000000002</v>
      </c>
      <c r="EN26" s="35">
        <v>2073.5</v>
      </c>
      <c r="EO26" s="35">
        <v>2075.6</v>
      </c>
      <c r="EP26" s="35">
        <v>2084.9</v>
      </c>
      <c r="EQ26" s="35">
        <v>2092.6999999999998</v>
      </c>
      <c r="ER26" s="35">
        <v>2099.1999999999998</v>
      </c>
      <c r="ES26" s="35">
        <v>2108.4</v>
      </c>
      <c r="ET26" s="35">
        <v>2120.6</v>
      </c>
      <c r="EU26" s="35">
        <v>2130.6</v>
      </c>
      <c r="EV26" s="35">
        <v>2134.9</v>
      </c>
      <c r="EW26" s="35">
        <v>2140.6</v>
      </c>
      <c r="EX26" s="35">
        <v>2128.8000000000002</v>
      </c>
      <c r="EY26" s="35">
        <v>2130.3000000000002</v>
      </c>
      <c r="EZ26" s="35">
        <v>2140.8000000000002</v>
      </c>
      <c r="FA26" s="35">
        <v>2147.4</v>
      </c>
      <c r="FB26" s="35">
        <v>2169.1</v>
      </c>
      <c r="FC26" s="35">
        <v>2187.9</v>
      </c>
      <c r="FD26" s="35">
        <v>2184.6</v>
      </c>
      <c r="FE26" s="35">
        <v>2169.8000000000002</v>
      </c>
      <c r="FF26" s="35">
        <v>2137.8000000000002</v>
      </c>
      <c r="FG26" s="35">
        <v>2129.5</v>
      </c>
      <c r="FH26" s="35">
        <v>2110.6</v>
      </c>
      <c r="FI26" s="35">
        <v>2090.1999999999998</v>
      </c>
      <c r="FJ26" s="35">
        <v>2067.3000000000002</v>
      </c>
      <c r="FK26" s="35">
        <v>2048.8000000000002</v>
      </c>
      <c r="FL26" s="35">
        <v>2030.4</v>
      </c>
      <c r="FM26" s="35">
        <v>2022.8</v>
      </c>
      <c r="FN26" s="35">
        <v>2008.2</v>
      </c>
      <c r="FO26" s="35">
        <v>2001.4</v>
      </c>
      <c r="FP26" s="35">
        <v>1993.4</v>
      </c>
      <c r="FQ26" s="35">
        <v>1987.8</v>
      </c>
      <c r="FR26" s="35">
        <v>1987.2</v>
      </c>
      <c r="FS26" s="35">
        <v>1993.1</v>
      </c>
      <c r="FT26" s="35">
        <v>1995.1</v>
      </c>
      <c r="FU26" s="35">
        <v>1991.6</v>
      </c>
      <c r="FV26" s="35">
        <v>1978.8</v>
      </c>
      <c r="FW26" s="35">
        <v>1990.3</v>
      </c>
      <c r="FX26" s="35">
        <v>1997.9</v>
      </c>
      <c r="FY26" s="35">
        <v>2014.4</v>
      </c>
      <c r="FZ26" s="35">
        <v>2029.1</v>
      </c>
      <c r="GA26" s="35">
        <v>2057.3000000000002</v>
      </c>
      <c r="GB26" s="35">
        <v>2075.9</v>
      </c>
      <c r="GC26" s="35">
        <v>2080.8000000000002</v>
      </c>
      <c r="GD26" s="35">
        <v>2110.5</v>
      </c>
      <c r="GE26" s="35">
        <v>2114.1999999999998</v>
      </c>
      <c r="GF26" s="35">
        <v>2122.3000000000002</v>
      </c>
      <c r="GG26" s="35">
        <v>2127.1999999999998</v>
      </c>
      <c r="GH26" s="35">
        <v>2123.1</v>
      </c>
      <c r="GI26" s="35">
        <v>2125.9</v>
      </c>
      <c r="GJ26" s="35">
        <v>2130.9</v>
      </c>
      <c r="GK26" s="35">
        <v>2144.5</v>
      </c>
      <c r="GL26" s="35">
        <v>2138.6999999999998</v>
      </c>
      <c r="GM26" s="35">
        <v>2154</v>
      </c>
      <c r="GN26" s="35">
        <v>2164.6999999999998</v>
      </c>
      <c r="GO26" s="35">
        <v>2163.1999999999998</v>
      </c>
      <c r="GP26" s="35">
        <v>2199.3000000000002</v>
      </c>
      <c r="GQ26" s="35">
        <v>2234.3000000000002</v>
      </c>
      <c r="GR26" s="35">
        <v>2256</v>
      </c>
      <c r="GS26" s="35">
        <v>2275.6</v>
      </c>
      <c r="GT26" s="35">
        <v>2298</v>
      </c>
      <c r="GU26" s="35">
        <v>2277.1</v>
      </c>
      <c r="GV26" s="35">
        <v>2265.5</v>
      </c>
      <c r="GW26" s="35">
        <v>2254.5</v>
      </c>
      <c r="GX26" s="35">
        <v>2247</v>
      </c>
      <c r="GY26" s="35">
        <v>2239.1999999999998</v>
      </c>
      <c r="GZ26" s="35">
        <v>2250.1</v>
      </c>
      <c r="HA26" s="35">
        <v>2240.9</v>
      </c>
      <c r="HB26" s="35">
        <v>2238.4</v>
      </c>
      <c r="HC26">
        <v>2234.1</v>
      </c>
      <c r="HD26">
        <v>2255.1</v>
      </c>
      <c r="HE26">
        <v>2270.8000000000002</v>
      </c>
      <c r="HF26">
        <v>2296.5</v>
      </c>
      <c r="HG26">
        <v>2323</v>
      </c>
      <c r="HH26">
        <v>2351.4</v>
      </c>
      <c r="HI26">
        <v>2385.9</v>
      </c>
      <c r="HJ26">
        <v>2401</v>
      </c>
    </row>
    <row r="27" spans="1:218" x14ac:dyDescent="0.25">
      <c r="A27" s="35" t="s">
        <v>2190</v>
      </c>
      <c r="B27" s="35">
        <v>90.6</v>
      </c>
      <c r="C27" s="35">
        <v>91.4</v>
      </c>
      <c r="D27" s="35">
        <v>86.3</v>
      </c>
      <c r="E27" s="35">
        <v>87.2</v>
      </c>
      <c r="F27" s="35">
        <v>83.6</v>
      </c>
      <c r="G27" s="35">
        <v>85.1</v>
      </c>
      <c r="H27" s="35">
        <v>86.3</v>
      </c>
      <c r="I27" s="35">
        <v>88.2</v>
      </c>
      <c r="J27" s="35">
        <v>100.3</v>
      </c>
      <c r="K27" s="35">
        <v>102.4</v>
      </c>
      <c r="L27" s="35">
        <v>103.1</v>
      </c>
      <c r="M27" s="35">
        <v>105.3</v>
      </c>
      <c r="N27" s="35">
        <v>104.5</v>
      </c>
      <c r="O27" s="35">
        <v>106.9</v>
      </c>
      <c r="P27" s="35">
        <v>111</v>
      </c>
      <c r="Q27" s="35">
        <v>116</v>
      </c>
      <c r="R27" s="35">
        <v>119.5</v>
      </c>
      <c r="S27" s="35">
        <v>124.8</v>
      </c>
      <c r="T27" s="35">
        <v>129.69999999999999</v>
      </c>
      <c r="U27" s="35">
        <v>132</v>
      </c>
      <c r="V27" s="35">
        <v>132.30000000000001</v>
      </c>
      <c r="W27" s="35">
        <v>94.6</v>
      </c>
      <c r="X27" s="35">
        <v>125.7</v>
      </c>
      <c r="Y27" s="35">
        <v>130.4</v>
      </c>
      <c r="Z27" s="35">
        <v>133</v>
      </c>
      <c r="AA27" s="35">
        <v>138.69999999999999</v>
      </c>
      <c r="AB27" s="35">
        <v>144.5</v>
      </c>
      <c r="AC27" s="35">
        <v>150.1</v>
      </c>
      <c r="AD27" s="35">
        <v>155.30000000000001</v>
      </c>
      <c r="AE27" s="35">
        <v>161</v>
      </c>
      <c r="AF27" s="35">
        <v>162.6</v>
      </c>
      <c r="AG27" s="35">
        <v>171.2</v>
      </c>
      <c r="AH27" s="35">
        <v>173.4</v>
      </c>
      <c r="AI27" s="35">
        <v>182.9</v>
      </c>
      <c r="AJ27" s="35">
        <v>195.4</v>
      </c>
      <c r="AK27" s="35">
        <v>205.1</v>
      </c>
      <c r="AL27" s="35">
        <v>211.6</v>
      </c>
      <c r="AM27" s="35">
        <v>219.9</v>
      </c>
      <c r="AN27" s="35">
        <v>229.4</v>
      </c>
      <c r="AO27" s="35">
        <v>238.6</v>
      </c>
      <c r="AP27" s="35">
        <v>238.3</v>
      </c>
      <c r="AQ27" s="35">
        <v>244.2</v>
      </c>
      <c r="AR27" s="35">
        <v>252.8</v>
      </c>
      <c r="AS27" s="35">
        <v>267.2</v>
      </c>
      <c r="AT27" s="35">
        <v>278.39999999999998</v>
      </c>
      <c r="AU27" s="35">
        <v>289</v>
      </c>
      <c r="AV27" s="35">
        <v>301.39999999999998</v>
      </c>
      <c r="AW27" s="35">
        <v>295.89999999999998</v>
      </c>
      <c r="AX27" s="35">
        <v>295.2</v>
      </c>
      <c r="AY27" s="35">
        <v>301.7</v>
      </c>
      <c r="AZ27" s="35">
        <v>289.7</v>
      </c>
      <c r="BA27" s="35">
        <v>295.8</v>
      </c>
      <c r="BB27" s="35">
        <v>289.5</v>
      </c>
      <c r="BC27" s="35">
        <v>295.3</v>
      </c>
      <c r="BD27" s="35">
        <v>277.3</v>
      </c>
      <c r="BE27" s="35">
        <v>284.89999999999998</v>
      </c>
      <c r="BF27" s="35">
        <v>287.89999999999998</v>
      </c>
      <c r="BG27" s="35">
        <v>294.60000000000002</v>
      </c>
      <c r="BH27" s="35">
        <v>307.3</v>
      </c>
      <c r="BI27" s="35">
        <v>317.7</v>
      </c>
      <c r="BJ27" s="35">
        <v>353</v>
      </c>
      <c r="BK27" s="35">
        <v>307.60000000000002</v>
      </c>
      <c r="BL27" s="35">
        <v>340</v>
      </c>
      <c r="BM27" s="35">
        <v>345.2</v>
      </c>
      <c r="BN27" s="35">
        <v>341.8</v>
      </c>
      <c r="BO27" s="35">
        <v>344.4</v>
      </c>
      <c r="BP27" s="35">
        <v>352</v>
      </c>
      <c r="BQ27" s="35">
        <v>364.2</v>
      </c>
      <c r="BR27" s="35">
        <v>358.3</v>
      </c>
      <c r="BS27" s="35">
        <v>410.2</v>
      </c>
      <c r="BT27" s="35">
        <v>394.9</v>
      </c>
      <c r="BU27" s="35">
        <v>408.5</v>
      </c>
      <c r="BV27" s="35">
        <v>402.6</v>
      </c>
      <c r="BW27" s="35">
        <v>400.6</v>
      </c>
      <c r="BX27" s="35">
        <v>402.5</v>
      </c>
      <c r="BY27" s="35">
        <v>409.6</v>
      </c>
      <c r="BZ27" s="35">
        <v>439.5</v>
      </c>
      <c r="CA27" s="35">
        <v>448.4</v>
      </c>
      <c r="CB27" s="35">
        <v>457.1</v>
      </c>
      <c r="CC27" s="35">
        <v>467.4</v>
      </c>
      <c r="CD27" s="35">
        <v>463.2</v>
      </c>
      <c r="CE27" s="35">
        <v>472</v>
      </c>
      <c r="CF27" s="35">
        <v>477</v>
      </c>
      <c r="CG27" s="35">
        <v>476.2</v>
      </c>
      <c r="CH27" s="35">
        <v>459.6</v>
      </c>
      <c r="CI27" s="35">
        <v>461.4</v>
      </c>
      <c r="CJ27" s="35">
        <v>464.1</v>
      </c>
      <c r="CK27" s="35">
        <v>469.2</v>
      </c>
      <c r="CL27" s="35">
        <v>461.3</v>
      </c>
      <c r="CM27" s="35">
        <v>470.2</v>
      </c>
      <c r="CN27" s="35">
        <v>479.4</v>
      </c>
      <c r="CO27" s="35">
        <v>499</v>
      </c>
      <c r="CP27" s="35">
        <v>480.3</v>
      </c>
      <c r="CQ27" s="35">
        <v>505.3</v>
      </c>
      <c r="CR27" s="35">
        <v>515.6</v>
      </c>
      <c r="CS27" s="35">
        <v>529.5</v>
      </c>
      <c r="CT27" s="35">
        <v>526.70000000000005</v>
      </c>
      <c r="CU27" s="35">
        <v>555.9</v>
      </c>
      <c r="CV27" s="35">
        <v>544.20000000000005</v>
      </c>
      <c r="CW27" s="35">
        <v>553.4</v>
      </c>
      <c r="CX27" s="35">
        <v>567.70000000000005</v>
      </c>
      <c r="CY27" s="35">
        <v>594.4</v>
      </c>
      <c r="CZ27" s="35">
        <v>591.5</v>
      </c>
      <c r="DA27" s="35">
        <v>607.6</v>
      </c>
      <c r="DB27" s="35">
        <v>636.4</v>
      </c>
      <c r="DC27" s="35">
        <v>673.6</v>
      </c>
      <c r="DD27" s="35">
        <v>674.2</v>
      </c>
      <c r="DE27" s="35">
        <v>689.4</v>
      </c>
      <c r="DF27" s="35">
        <v>724.3</v>
      </c>
      <c r="DG27" s="35">
        <v>739.3</v>
      </c>
      <c r="DH27" s="35">
        <v>757</v>
      </c>
      <c r="DI27" s="35">
        <v>778.6</v>
      </c>
      <c r="DJ27" s="35">
        <v>800.6</v>
      </c>
      <c r="DK27" s="35">
        <v>820.9</v>
      </c>
      <c r="DL27" s="35">
        <v>841.6</v>
      </c>
      <c r="DM27" s="35">
        <v>861.7</v>
      </c>
      <c r="DN27" s="35">
        <v>869.8</v>
      </c>
      <c r="DO27" s="35">
        <v>885.8</v>
      </c>
      <c r="DP27" s="35">
        <v>904.2</v>
      </c>
      <c r="DQ27" s="35">
        <v>930</v>
      </c>
      <c r="DR27" s="35">
        <v>976.6</v>
      </c>
      <c r="DS27" s="35">
        <v>986.9</v>
      </c>
      <c r="DT27" s="35">
        <v>1011.1</v>
      </c>
      <c r="DU27" s="35">
        <v>1023.9</v>
      </c>
      <c r="DV27" s="35">
        <v>1051</v>
      </c>
      <c r="DW27" s="35">
        <v>1049</v>
      </c>
      <c r="DX27" s="35">
        <v>881.7</v>
      </c>
      <c r="DY27" s="35">
        <v>1002.4</v>
      </c>
      <c r="DZ27" s="35">
        <v>847.8</v>
      </c>
      <c r="EA27" s="35">
        <v>836.7</v>
      </c>
      <c r="EB27" s="35">
        <v>825.3</v>
      </c>
      <c r="EC27" s="35">
        <v>819.6</v>
      </c>
      <c r="ED27" s="35">
        <v>803.5</v>
      </c>
      <c r="EE27" s="35">
        <v>812.9</v>
      </c>
      <c r="EF27" s="35">
        <v>716.5</v>
      </c>
      <c r="EG27" s="35">
        <v>781.6</v>
      </c>
      <c r="EH27" s="35">
        <v>773.2</v>
      </c>
      <c r="EI27" s="35">
        <v>792.4</v>
      </c>
      <c r="EJ27" s="35">
        <v>816.7</v>
      </c>
      <c r="EK27" s="35">
        <v>829.8</v>
      </c>
      <c r="EL27" s="35">
        <v>902.9</v>
      </c>
      <c r="EM27" s="35">
        <v>925.8</v>
      </c>
      <c r="EN27" s="35">
        <v>949.5</v>
      </c>
      <c r="EO27" s="35">
        <v>970.6</v>
      </c>
      <c r="EP27" s="35">
        <v>1025.5</v>
      </c>
      <c r="EQ27" s="35">
        <v>1041.2</v>
      </c>
      <c r="ER27" s="35">
        <v>1060.9000000000001</v>
      </c>
      <c r="ES27" s="35">
        <v>1095.8</v>
      </c>
      <c r="ET27" s="35">
        <v>1146</v>
      </c>
      <c r="EU27" s="35">
        <v>1163.9000000000001</v>
      </c>
      <c r="EV27" s="35">
        <v>1179.3</v>
      </c>
      <c r="EW27" s="35">
        <v>1194.4000000000001</v>
      </c>
      <c r="EX27" s="35">
        <v>1201.7</v>
      </c>
      <c r="EY27" s="35">
        <v>1191.3</v>
      </c>
      <c r="EZ27" s="35">
        <v>1173.7</v>
      </c>
      <c r="FA27" s="35">
        <v>1139.8</v>
      </c>
      <c r="FB27" s="35">
        <v>921.2</v>
      </c>
      <c r="FC27" s="35">
        <v>855.5</v>
      </c>
      <c r="FD27" s="35">
        <v>842</v>
      </c>
      <c r="FE27" s="35">
        <v>847.5</v>
      </c>
      <c r="FF27" s="35">
        <v>903.4</v>
      </c>
      <c r="FG27" s="35">
        <v>935.2</v>
      </c>
      <c r="FH27" s="35">
        <v>958.5</v>
      </c>
      <c r="FI27" s="35">
        <v>977.2</v>
      </c>
      <c r="FJ27" s="35">
        <v>1111.4000000000001</v>
      </c>
      <c r="FK27" s="35">
        <v>1126.5</v>
      </c>
      <c r="FL27" s="35">
        <v>1144.2</v>
      </c>
      <c r="FM27" s="35">
        <v>1141</v>
      </c>
      <c r="FN27" s="35">
        <v>1138.3</v>
      </c>
      <c r="FO27" s="35">
        <v>1150.5999999999999</v>
      </c>
      <c r="FP27" s="35">
        <v>1163.8</v>
      </c>
      <c r="FQ27" s="35">
        <v>1212.9000000000001</v>
      </c>
      <c r="FR27" s="35">
        <v>1273.5</v>
      </c>
      <c r="FS27" s="35">
        <v>1296.4000000000001</v>
      </c>
      <c r="FT27" s="35">
        <v>1308.3</v>
      </c>
      <c r="FU27" s="35">
        <v>1333.2</v>
      </c>
      <c r="FV27" s="35">
        <v>1369.1</v>
      </c>
      <c r="FW27" s="35">
        <v>1389</v>
      </c>
      <c r="FX27" s="35">
        <v>1413.3</v>
      </c>
      <c r="FY27" s="35">
        <v>1443.5</v>
      </c>
      <c r="FZ27" s="35">
        <v>1509.1</v>
      </c>
      <c r="GA27" s="35">
        <v>1527.7</v>
      </c>
      <c r="GB27" s="35">
        <v>1540.9</v>
      </c>
      <c r="GC27" s="35">
        <v>1552.6</v>
      </c>
      <c r="GD27" s="35">
        <v>1526.8</v>
      </c>
      <c r="GE27" s="35">
        <v>1536.7</v>
      </c>
      <c r="GF27" s="35">
        <v>1553.8</v>
      </c>
      <c r="GG27" s="35">
        <v>1574.5</v>
      </c>
      <c r="GH27" s="35">
        <v>1580</v>
      </c>
      <c r="GI27" s="35">
        <v>1600.1</v>
      </c>
      <c r="GJ27" s="35">
        <v>1623.2</v>
      </c>
      <c r="GK27" s="35">
        <v>1649.1</v>
      </c>
      <c r="GL27" s="35">
        <v>1597.3</v>
      </c>
      <c r="GM27" s="35">
        <v>1607.2</v>
      </c>
      <c r="GN27" s="35">
        <v>1624.8</v>
      </c>
      <c r="GO27" s="35">
        <v>1627.8</v>
      </c>
      <c r="GP27" s="35">
        <v>1683.6</v>
      </c>
      <c r="GQ27" s="35">
        <v>1689.1</v>
      </c>
      <c r="GR27" s="35">
        <v>1700.3</v>
      </c>
      <c r="GS27" s="35">
        <v>1732.4</v>
      </c>
      <c r="GT27" s="35">
        <v>1767.8</v>
      </c>
      <c r="GU27" s="35">
        <v>1631.4</v>
      </c>
      <c r="GV27" s="35">
        <v>1747.9</v>
      </c>
      <c r="GW27" s="35">
        <v>1866.9</v>
      </c>
      <c r="GX27" s="35">
        <v>2013.4</v>
      </c>
      <c r="GY27" s="35">
        <v>2118.4</v>
      </c>
      <c r="GZ27" s="35">
        <v>2200</v>
      </c>
      <c r="HA27" s="35">
        <v>2265.3000000000002</v>
      </c>
      <c r="HB27" s="35">
        <v>2506.9</v>
      </c>
      <c r="HC27">
        <v>2502.6</v>
      </c>
      <c r="HD27">
        <v>2521.9</v>
      </c>
      <c r="HE27">
        <v>2490.1</v>
      </c>
      <c r="HF27">
        <v>2181</v>
      </c>
      <c r="HG27">
        <v>2175.1</v>
      </c>
      <c r="HH27">
        <v>2188.6999999999998</v>
      </c>
      <c r="HI27">
        <v>2199.8000000000002</v>
      </c>
      <c r="HJ27">
        <v>2365.3000000000002</v>
      </c>
    </row>
    <row r="28" spans="1:218" x14ac:dyDescent="0.25">
      <c r="A28" s="35" t="s">
        <v>2191</v>
      </c>
      <c r="B28" s="35">
        <v>17.899999999999999</v>
      </c>
      <c r="C28" s="35">
        <v>18.100000000000001</v>
      </c>
      <c r="D28" s="35">
        <v>18.2</v>
      </c>
      <c r="E28" s="35">
        <v>18.2</v>
      </c>
      <c r="F28" s="35">
        <v>19.399999999999999</v>
      </c>
      <c r="G28" s="35">
        <v>18.7</v>
      </c>
      <c r="H28" s="35">
        <v>18.899999999999999</v>
      </c>
      <c r="I28" s="35">
        <v>19</v>
      </c>
      <c r="J28" s="35">
        <v>18.2</v>
      </c>
      <c r="K28" s="35">
        <v>18.3</v>
      </c>
      <c r="L28" s="35">
        <v>18.5</v>
      </c>
      <c r="M28" s="35">
        <v>19</v>
      </c>
      <c r="N28" s="35">
        <v>19.5</v>
      </c>
      <c r="O28" s="35">
        <v>19.899999999999999</v>
      </c>
      <c r="P28" s="35">
        <v>19.7</v>
      </c>
      <c r="Q28" s="35">
        <v>20.100000000000001</v>
      </c>
      <c r="R28" s="35">
        <v>19.8</v>
      </c>
      <c r="S28" s="35">
        <v>20.100000000000001</v>
      </c>
      <c r="T28" s="35">
        <v>20.2</v>
      </c>
      <c r="U28" s="35">
        <v>20.2</v>
      </c>
      <c r="V28" s="35">
        <v>19.8</v>
      </c>
      <c r="W28" s="35">
        <v>21.3</v>
      </c>
      <c r="X28" s="35">
        <v>23.3</v>
      </c>
      <c r="Y28" s="35">
        <v>23.9</v>
      </c>
      <c r="Z28" s="35">
        <v>20.8</v>
      </c>
      <c r="AA28" s="35">
        <v>21.3</v>
      </c>
      <c r="AB28" s="35">
        <v>21.7</v>
      </c>
      <c r="AC28" s="35">
        <v>21.7</v>
      </c>
      <c r="AD28" s="35">
        <v>22</v>
      </c>
      <c r="AE28" s="35">
        <v>22.5</v>
      </c>
      <c r="AF28" s="35">
        <v>23.2</v>
      </c>
      <c r="AG28" s="35">
        <v>23.2</v>
      </c>
      <c r="AH28" s="35">
        <v>24</v>
      </c>
      <c r="AI28" s="35">
        <v>25.4</v>
      </c>
      <c r="AJ28" s="35">
        <v>25.5</v>
      </c>
      <c r="AK28" s="35">
        <v>26.3</v>
      </c>
      <c r="AL28" s="35">
        <v>25.9</v>
      </c>
      <c r="AM28" s="35">
        <v>25.9</v>
      </c>
      <c r="AN28" s="35">
        <v>25.3</v>
      </c>
      <c r="AO28" s="35">
        <v>25.6</v>
      </c>
      <c r="AP28" s="35">
        <v>27.6</v>
      </c>
      <c r="AQ28" s="35">
        <v>33.6</v>
      </c>
      <c r="AR28" s="35">
        <v>36.1</v>
      </c>
      <c r="AS28" s="35">
        <v>37.299999999999997</v>
      </c>
      <c r="AT28" s="35">
        <v>50.7</v>
      </c>
      <c r="AU28" s="35">
        <v>51.8</v>
      </c>
      <c r="AV28" s="35">
        <v>49.1</v>
      </c>
      <c r="AW28" s="35">
        <v>48.1</v>
      </c>
      <c r="AX28" s="35">
        <v>43.5</v>
      </c>
      <c r="AY28" s="35">
        <v>40</v>
      </c>
      <c r="AZ28" s="35">
        <v>40.1</v>
      </c>
      <c r="BA28" s="35">
        <v>40.299999999999997</v>
      </c>
      <c r="BB28" s="35">
        <v>41.1</v>
      </c>
      <c r="BC28" s="35">
        <v>45.3</v>
      </c>
      <c r="BD28" s="35">
        <v>45.5</v>
      </c>
      <c r="BE28" s="35">
        <v>45.8</v>
      </c>
      <c r="BF28" s="35">
        <v>47</v>
      </c>
      <c r="BG28" s="35">
        <v>47.5</v>
      </c>
      <c r="BH28" s="35">
        <v>47.4</v>
      </c>
      <c r="BI28" s="35">
        <v>47.3</v>
      </c>
      <c r="BJ28" s="35">
        <v>46.4</v>
      </c>
      <c r="BK28" s="35">
        <v>45.7</v>
      </c>
      <c r="BL28" s="35">
        <v>46.8</v>
      </c>
      <c r="BM28" s="35">
        <v>45.4</v>
      </c>
      <c r="BN28" s="35">
        <v>44.5</v>
      </c>
      <c r="BO28" s="35">
        <v>42.9</v>
      </c>
      <c r="BP28" s="35">
        <v>43.8</v>
      </c>
      <c r="BQ28" s="35">
        <v>43.6</v>
      </c>
      <c r="BR28" s="35">
        <v>44.1</v>
      </c>
      <c r="BS28" s="35">
        <v>45.8</v>
      </c>
      <c r="BT28" s="35">
        <v>46.4</v>
      </c>
      <c r="BU28" s="35">
        <v>47.4</v>
      </c>
      <c r="BV28" s="35">
        <v>49.6</v>
      </c>
      <c r="BW28" s="35">
        <v>49.3</v>
      </c>
      <c r="BX28" s="35">
        <v>50.2</v>
      </c>
      <c r="BY28" s="35">
        <v>50.2</v>
      </c>
      <c r="BZ28" s="35">
        <v>50.8</v>
      </c>
      <c r="CA28" s="35">
        <v>49.2</v>
      </c>
      <c r="CB28" s="35">
        <v>50</v>
      </c>
      <c r="CC28" s="35">
        <v>48.9</v>
      </c>
      <c r="CD28" s="35">
        <v>50.3</v>
      </c>
      <c r="CE28" s="35">
        <v>50.8</v>
      </c>
      <c r="CF28" s="35">
        <v>51.1</v>
      </c>
      <c r="CG28" s="35">
        <v>51.5</v>
      </c>
      <c r="CH28" s="35">
        <v>59.7</v>
      </c>
      <c r="CI28" s="35">
        <v>61.3</v>
      </c>
      <c r="CJ28" s="35">
        <v>61.8</v>
      </c>
      <c r="CK28" s="35">
        <v>64.2</v>
      </c>
      <c r="CL28" s="35">
        <v>63.6</v>
      </c>
      <c r="CM28" s="35">
        <v>63.1</v>
      </c>
      <c r="CN28" s="35">
        <v>61.9</v>
      </c>
      <c r="CO28" s="35">
        <v>64.599999999999994</v>
      </c>
      <c r="CP28" s="35">
        <v>62.2</v>
      </c>
      <c r="CQ28" s="35">
        <v>64.8</v>
      </c>
      <c r="CR28" s="35">
        <v>65.400000000000006</v>
      </c>
      <c r="CS28" s="35">
        <v>73.099999999999994</v>
      </c>
      <c r="CT28" s="35">
        <v>75.5</v>
      </c>
      <c r="CU28" s="35">
        <v>78.599999999999994</v>
      </c>
      <c r="CV28" s="35">
        <v>80.5</v>
      </c>
      <c r="CW28" s="35">
        <v>81.400000000000006</v>
      </c>
      <c r="CX28" s="35">
        <v>76.599999999999994</v>
      </c>
      <c r="CY28" s="35">
        <v>75.7</v>
      </c>
      <c r="CZ28" s="35">
        <v>75.400000000000006</v>
      </c>
      <c r="DA28" s="35">
        <v>74.5</v>
      </c>
      <c r="DB28" s="35">
        <v>72.599999999999994</v>
      </c>
      <c r="DC28" s="35">
        <v>71.2</v>
      </c>
      <c r="DD28" s="35">
        <v>71.7</v>
      </c>
      <c r="DE28" s="35">
        <v>75.900000000000006</v>
      </c>
      <c r="DF28" s="35">
        <v>72</v>
      </c>
      <c r="DG28" s="35">
        <v>79.7</v>
      </c>
      <c r="DH28" s="35">
        <v>79.900000000000006</v>
      </c>
      <c r="DI28" s="35">
        <v>79.7</v>
      </c>
      <c r="DJ28" s="35">
        <v>79.5</v>
      </c>
      <c r="DK28" s="35">
        <v>80.099999999999994</v>
      </c>
      <c r="DL28" s="35">
        <v>81.5</v>
      </c>
      <c r="DM28" s="35">
        <v>81.7</v>
      </c>
      <c r="DN28" s="35">
        <v>81.3</v>
      </c>
      <c r="DO28" s="35">
        <v>81.599999999999994</v>
      </c>
      <c r="DP28" s="35">
        <v>83.8</v>
      </c>
      <c r="DQ28" s="35">
        <v>87</v>
      </c>
      <c r="DR28" s="35">
        <v>86.1</v>
      </c>
      <c r="DS28" s="35">
        <v>88.4</v>
      </c>
      <c r="DT28" s="35">
        <v>87.5</v>
      </c>
      <c r="DU28" s="35">
        <v>87</v>
      </c>
      <c r="DV28" s="35">
        <v>87.1</v>
      </c>
      <c r="DW28" s="35">
        <v>86.3</v>
      </c>
      <c r="DX28" s="35">
        <v>83.6</v>
      </c>
      <c r="DY28" s="35">
        <v>84.1</v>
      </c>
      <c r="DZ28" s="35">
        <v>84.7</v>
      </c>
      <c r="EA28" s="35">
        <v>87.3</v>
      </c>
      <c r="EB28" s="35">
        <v>88</v>
      </c>
      <c r="EC28" s="35">
        <v>87.3</v>
      </c>
      <c r="ED28" s="35">
        <v>90.1</v>
      </c>
      <c r="EE28" s="35">
        <v>90</v>
      </c>
      <c r="EF28" s="35">
        <v>89.6</v>
      </c>
      <c r="EG28" s="35">
        <v>91.1</v>
      </c>
      <c r="EH28" s="35">
        <v>94.1</v>
      </c>
      <c r="EI28" s="35">
        <v>94.8</v>
      </c>
      <c r="EJ28" s="35">
        <v>95.9</v>
      </c>
      <c r="EK28" s="35">
        <v>96.2</v>
      </c>
      <c r="EL28" s="35">
        <v>97.2</v>
      </c>
      <c r="EM28" s="35">
        <v>101.4</v>
      </c>
      <c r="EN28" s="35">
        <v>100.3</v>
      </c>
      <c r="EO28" s="35">
        <v>98.7</v>
      </c>
      <c r="EP28" s="35">
        <v>99.1</v>
      </c>
      <c r="EQ28" s="35">
        <v>99.5</v>
      </c>
      <c r="ER28" s="35">
        <v>100.2</v>
      </c>
      <c r="ES28" s="35">
        <v>98.1</v>
      </c>
      <c r="ET28" s="35">
        <v>93.9</v>
      </c>
      <c r="EU28" s="35">
        <v>93.7</v>
      </c>
      <c r="EV28" s="35">
        <v>95.4</v>
      </c>
      <c r="EW28" s="35">
        <v>95.5</v>
      </c>
      <c r="EX28" s="35">
        <v>93.2</v>
      </c>
      <c r="EY28" s="35">
        <v>95.3</v>
      </c>
      <c r="EZ28" s="35">
        <v>93.7</v>
      </c>
      <c r="FA28" s="35">
        <v>93.7</v>
      </c>
      <c r="FB28" s="35">
        <v>86.7</v>
      </c>
      <c r="FC28" s="35">
        <v>94.3</v>
      </c>
      <c r="FD28" s="35">
        <v>91.4</v>
      </c>
      <c r="FE28" s="35">
        <v>93.2</v>
      </c>
      <c r="FF28" s="35">
        <v>93.1</v>
      </c>
      <c r="FG28" s="35">
        <v>96.4</v>
      </c>
      <c r="FH28" s="35">
        <v>98.9</v>
      </c>
      <c r="FI28" s="35">
        <v>98.7</v>
      </c>
      <c r="FJ28" s="35">
        <v>104.7</v>
      </c>
      <c r="FK28" s="35">
        <v>109.1</v>
      </c>
      <c r="FL28" s="35">
        <v>109.4</v>
      </c>
      <c r="FM28" s="35">
        <v>111.4</v>
      </c>
      <c r="FN28" s="35">
        <v>113.9</v>
      </c>
      <c r="FO28" s="35">
        <v>114.4</v>
      </c>
      <c r="FP28" s="35">
        <v>114.7</v>
      </c>
      <c r="FQ28" s="35">
        <v>117.6</v>
      </c>
      <c r="FR28" s="35">
        <v>122.3</v>
      </c>
      <c r="FS28" s="35">
        <v>124.4</v>
      </c>
      <c r="FT28" s="35">
        <v>126.4</v>
      </c>
      <c r="FU28" s="35">
        <v>128.80000000000001</v>
      </c>
      <c r="FV28" s="35">
        <v>136.69999999999999</v>
      </c>
      <c r="FW28" s="35">
        <v>135.5</v>
      </c>
      <c r="FX28" s="35">
        <v>137.4</v>
      </c>
      <c r="FY28" s="35">
        <v>137.19999999999999</v>
      </c>
      <c r="FZ28" s="35">
        <v>141.19999999999999</v>
      </c>
      <c r="GA28" s="35">
        <v>145.1</v>
      </c>
      <c r="GB28" s="35">
        <v>137.80000000000001</v>
      </c>
      <c r="GC28" s="35">
        <v>143.30000000000001</v>
      </c>
      <c r="GD28" s="35">
        <v>139.5</v>
      </c>
      <c r="GE28" s="35">
        <v>136.6</v>
      </c>
      <c r="GF28" s="35">
        <v>136.6</v>
      </c>
      <c r="GG28" s="35">
        <v>136.4</v>
      </c>
      <c r="GH28" s="35">
        <v>127.6</v>
      </c>
      <c r="GI28" s="35">
        <v>131.69999999999999</v>
      </c>
      <c r="GJ28" s="35">
        <v>131.80000000000001</v>
      </c>
      <c r="GK28" s="35">
        <v>134.69999999999999</v>
      </c>
      <c r="GL28" s="35">
        <v>150.1</v>
      </c>
      <c r="GM28" s="35">
        <v>155.69999999999999</v>
      </c>
      <c r="GN28" s="35">
        <v>163.4</v>
      </c>
      <c r="GO28" s="35">
        <v>184.6</v>
      </c>
      <c r="GP28" s="35">
        <v>173.8</v>
      </c>
      <c r="GQ28" s="35">
        <v>170.4</v>
      </c>
      <c r="GR28" s="35">
        <v>177.8</v>
      </c>
      <c r="GS28" s="35">
        <v>177.7</v>
      </c>
      <c r="GT28" s="35">
        <v>183.2</v>
      </c>
      <c r="GU28" s="35">
        <v>130.4</v>
      </c>
      <c r="GV28" s="35">
        <v>150.1</v>
      </c>
      <c r="GW28" s="35">
        <v>157.80000000000001</v>
      </c>
      <c r="GX28" s="35">
        <v>160.9</v>
      </c>
      <c r="GY28" s="35">
        <v>180.5</v>
      </c>
      <c r="GZ28" s="35">
        <v>182.1</v>
      </c>
      <c r="HA28" s="35">
        <v>191</v>
      </c>
      <c r="HB28" s="35">
        <v>200.9</v>
      </c>
      <c r="HC28">
        <v>202.8</v>
      </c>
      <c r="HD28">
        <v>192.2</v>
      </c>
      <c r="HE28">
        <v>180.9</v>
      </c>
      <c r="HF28">
        <v>177</v>
      </c>
      <c r="HG28">
        <v>175.4</v>
      </c>
      <c r="HH28">
        <v>171.6</v>
      </c>
      <c r="HI28">
        <v>169.6</v>
      </c>
      <c r="HJ28">
        <v>171.4</v>
      </c>
    </row>
    <row r="29" spans="1:218" x14ac:dyDescent="0.25">
      <c r="A29" s="35" t="s">
        <v>2192</v>
      </c>
      <c r="B29" s="35">
        <v>27</v>
      </c>
      <c r="C29" s="35">
        <v>27</v>
      </c>
      <c r="D29" s="35">
        <v>27.9</v>
      </c>
      <c r="E29" s="35">
        <v>26.6</v>
      </c>
      <c r="F29" s="35">
        <v>29.9</v>
      </c>
      <c r="G29" s="35">
        <v>30.7</v>
      </c>
      <c r="H29" s="35">
        <v>29.8</v>
      </c>
      <c r="I29" s="35">
        <v>30.1</v>
      </c>
      <c r="J29" s="35">
        <v>31.8</v>
      </c>
      <c r="K29" s="35">
        <v>32</v>
      </c>
      <c r="L29" s="35">
        <v>33.1</v>
      </c>
      <c r="M29" s="35">
        <v>36.6</v>
      </c>
      <c r="N29" s="35">
        <v>39.299999999999997</v>
      </c>
      <c r="O29" s="35">
        <v>39.4</v>
      </c>
      <c r="P29" s="35">
        <v>37.6</v>
      </c>
      <c r="Q29" s="35">
        <v>39.4</v>
      </c>
      <c r="R29" s="35">
        <v>37.4</v>
      </c>
      <c r="S29" s="35">
        <v>39.299999999999997</v>
      </c>
      <c r="T29" s="35">
        <v>43.5</v>
      </c>
      <c r="U29" s="35">
        <v>38.1</v>
      </c>
      <c r="V29" s="35">
        <v>31.5</v>
      </c>
      <c r="W29" s="35">
        <v>34.200000000000003</v>
      </c>
      <c r="X29" s="35">
        <v>43.2</v>
      </c>
      <c r="Y29" s="35">
        <v>43.9</v>
      </c>
      <c r="Z29" s="35">
        <v>49.9</v>
      </c>
      <c r="AA29" s="35">
        <v>49</v>
      </c>
      <c r="AB29" s="35">
        <v>48.5</v>
      </c>
      <c r="AC29" s="35">
        <v>47.5</v>
      </c>
      <c r="AD29" s="35">
        <v>51</v>
      </c>
      <c r="AE29" s="35">
        <v>55.7</v>
      </c>
      <c r="AF29" s="35">
        <v>57.9</v>
      </c>
      <c r="AG29" s="35">
        <v>58.1</v>
      </c>
      <c r="AH29" s="35">
        <v>54.4</v>
      </c>
      <c r="AI29" s="35">
        <v>66.2</v>
      </c>
      <c r="AJ29" s="35">
        <v>66.7</v>
      </c>
      <c r="AK29" s="35">
        <v>70.3</v>
      </c>
      <c r="AL29" s="35">
        <v>66.599999999999994</v>
      </c>
      <c r="AM29" s="35">
        <v>66.5</v>
      </c>
      <c r="AN29" s="35">
        <v>65.3</v>
      </c>
      <c r="AO29" s="35">
        <v>62.1</v>
      </c>
      <c r="AP29" s="35">
        <v>67</v>
      </c>
      <c r="AQ29" s="35">
        <v>49.8</v>
      </c>
      <c r="AR29" s="35">
        <v>56</v>
      </c>
      <c r="AS29" s="35">
        <v>61.7</v>
      </c>
      <c r="AT29" s="35">
        <v>58.5</v>
      </c>
      <c r="AU29" s="35">
        <v>50.7</v>
      </c>
      <c r="AV29" s="35">
        <v>52.7</v>
      </c>
      <c r="AW29" s="35">
        <v>44.8</v>
      </c>
      <c r="AX29" s="35">
        <v>33.5</v>
      </c>
      <c r="AY29" s="35">
        <v>34.700000000000003</v>
      </c>
      <c r="AZ29" s="35">
        <v>35.4</v>
      </c>
      <c r="BA29" s="35">
        <v>31.7</v>
      </c>
      <c r="BB29" s="35">
        <v>34.299999999999997</v>
      </c>
      <c r="BC29" s="35">
        <v>46.3</v>
      </c>
      <c r="BD29" s="35">
        <v>53.3</v>
      </c>
      <c r="BE29" s="35">
        <v>54.6</v>
      </c>
      <c r="BF29" s="35">
        <v>64.8</v>
      </c>
      <c r="BG29" s="35">
        <v>63.8</v>
      </c>
      <c r="BH29" s="35">
        <v>53.8</v>
      </c>
      <c r="BI29" s="35">
        <v>54.3</v>
      </c>
      <c r="BJ29" s="35">
        <v>57.7</v>
      </c>
      <c r="BK29" s="35">
        <v>56.3</v>
      </c>
      <c r="BL29" s="35">
        <v>60.8</v>
      </c>
      <c r="BM29" s="35">
        <v>59</v>
      </c>
      <c r="BN29" s="35">
        <v>63</v>
      </c>
      <c r="BO29" s="35">
        <v>63.4</v>
      </c>
      <c r="BP29" s="35">
        <v>64.599999999999994</v>
      </c>
      <c r="BQ29" s="35">
        <v>73.099999999999994</v>
      </c>
      <c r="BR29" s="35">
        <v>76</v>
      </c>
      <c r="BS29" s="35">
        <v>87.3</v>
      </c>
      <c r="BT29" s="35">
        <v>91.3</v>
      </c>
      <c r="BU29" s="35">
        <v>87.1</v>
      </c>
      <c r="BV29" s="35">
        <v>84.5</v>
      </c>
      <c r="BW29" s="35">
        <v>90</v>
      </c>
      <c r="BX29" s="35">
        <v>97.8</v>
      </c>
      <c r="BY29" s="35">
        <v>102.7</v>
      </c>
      <c r="BZ29" s="35">
        <v>104.9</v>
      </c>
      <c r="CA29" s="35">
        <v>94.4</v>
      </c>
      <c r="CB29" s="35">
        <v>91.6</v>
      </c>
      <c r="CC29" s="35">
        <v>91.4</v>
      </c>
      <c r="CD29" s="35">
        <v>91.1</v>
      </c>
      <c r="CE29" s="35">
        <v>94.7</v>
      </c>
      <c r="CF29" s="35">
        <v>97</v>
      </c>
      <c r="CG29" s="35">
        <v>95.4</v>
      </c>
      <c r="CH29" s="35">
        <v>91.5</v>
      </c>
      <c r="CI29" s="35">
        <v>87.5</v>
      </c>
      <c r="CJ29" s="35">
        <v>88.2</v>
      </c>
      <c r="CK29" s="35">
        <v>89.5</v>
      </c>
      <c r="CL29" s="35">
        <v>99.8</v>
      </c>
      <c r="CM29" s="35">
        <v>102</v>
      </c>
      <c r="CN29" s="35">
        <v>98.9</v>
      </c>
      <c r="CO29" s="35">
        <v>107.2</v>
      </c>
      <c r="CP29" s="35">
        <v>111.5</v>
      </c>
      <c r="CQ29" s="35">
        <v>121.9</v>
      </c>
      <c r="CR29" s="35">
        <v>115.5</v>
      </c>
      <c r="CS29" s="35">
        <v>141</v>
      </c>
      <c r="CT29" s="35">
        <v>122.4</v>
      </c>
      <c r="CU29" s="35">
        <v>129.30000000000001</v>
      </c>
      <c r="CV29" s="35">
        <v>142.4</v>
      </c>
      <c r="CW29" s="35">
        <v>150.9</v>
      </c>
      <c r="CX29" s="35">
        <v>155.30000000000001</v>
      </c>
      <c r="CY29" s="35">
        <v>153.1</v>
      </c>
      <c r="CZ29" s="35">
        <v>159.1</v>
      </c>
      <c r="DA29" s="35">
        <v>156.19999999999999</v>
      </c>
      <c r="DB29" s="35">
        <v>162.4</v>
      </c>
      <c r="DC29" s="35">
        <v>171.9</v>
      </c>
      <c r="DD29" s="35">
        <v>172.6</v>
      </c>
      <c r="DE29" s="35">
        <v>175.3</v>
      </c>
      <c r="DF29" s="35">
        <v>176.9</v>
      </c>
      <c r="DG29" s="35">
        <v>180.5</v>
      </c>
      <c r="DH29" s="35">
        <v>190.5</v>
      </c>
      <c r="DI29" s="35">
        <v>181.5</v>
      </c>
      <c r="DJ29" s="35">
        <v>178.8</v>
      </c>
      <c r="DK29" s="35">
        <v>175.4</v>
      </c>
      <c r="DL29" s="35">
        <v>180.1</v>
      </c>
      <c r="DM29" s="35">
        <v>176.4</v>
      </c>
      <c r="DN29" s="35">
        <v>186</v>
      </c>
      <c r="DO29" s="35">
        <v>184.4</v>
      </c>
      <c r="DP29" s="35">
        <v>187.7</v>
      </c>
      <c r="DQ29" s="35">
        <v>192.1</v>
      </c>
      <c r="DR29" s="35">
        <v>202.2</v>
      </c>
      <c r="DS29" s="35">
        <v>201.1</v>
      </c>
      <c r="DT29" s="35">
        <v>185.6</v>
      </c>
      <c r="DU29" s="35">
        <v>187.6</v>
      </c>
      <c r="DV29" s="35">
        <v>154.9</v>
      </c>
      <c r="DW29" s="35">
        <v>148.69999999999999</v>
      </c>
      <c r="DX29" s="35">
        <v>130.9</v>
      </c>
      <c r="DY29" s="35">
        <v>115.8</v>
      </c>
      <c r="DZ29" s="35">
        <v>115.5</v>
      </c>
      <c r="EA29" s="35">
        <v>119.9</v>
      </c>
      <c r="EB29" s="35">
        <v>126.5</v>
      </c>
      <c r="EC29" s="35">
        <v>142</v>
      </c>
      <c r="ED29" s="35">
        <v>161.5</v>
      </c>
      <c r="EE29" s="35">
        <v>160.9</v>
      </c>
      <c r="EF29" s="35">
        <v>180.3</v>
      </c>
      <c r="EG29" s="35">
        <v>200.4</v>
      </c>
      <c r="EH29" s="35">
        <v>209.2</v>
      </c>
      <c r="EI29" s="35">
        <v>226</v>
      </c>
      <c r="EJ29" s="35">
        <v>244.5</v>
      </c>
      <c r="EK29" s="35">
        <v>249.2</v>
      </c>
      <c r="EL29" s="35">
        <v>315.3</v>
      </c>
      <c r="EM29" s="35">
        <v>306.10000000000002</v>
      </c>
      <c r="EN29" s="35">
        <v>311.89999999999998</v>
      </c>
      <c r="EO29" s="35">
        <v>344.7</v>
      </c>
      <c r="EP29" s="35">
        <v>357.2</v>
      </c>
      <c r="EQ29" s="35">
        <v>367.3</v>
      </c>
      <c r="ER29" s="35">
        <v>384.8</v>
      </c>
      <c r="ES29" s="35">
        <v>354.6</v>
      </c>
      <c r="ET29" s="35">
        <v>354.5</v>
      </c>
      <c r="EU29" s="35">
        <v>347.7</v>
      </c>
      <c r="EV29" s="35">
        <v>314.60000000000002</v>
      </c>
      <c r="EW29" s="35">
        <v>296.2</v>
      </c>
      <c r="EX29" s="35">
        <v>241.7</v>
      </c>
      <c r="EY29" s="35">
        <v>227.1</v>
      </c>
      <c r="EZ29" s="35">
        <v>211.5</v>
      </c>
      <c r="FA29" s="35">
        <v>127.5</v>
      </c>
      <c r="FB29" s="35">
        <v>122.7</v>
      </c>
      <c r="FC29" s="35">
        <v>138.9</v>
      </c>
      <c r="FD29" s="35">
        <v>159.4</v>
      </c>
      <c r="FE29" s="35">
        <v>190.8</v>
      </c>
      <c r="FF29" s="35">
        <v>204.7</v>
      </c>
      <c r="FG29" s="35">
        <v>212.2</v>
      </c>
      <c r="FH29" s="35">
        <v>227.1</v>
      </c>
      <c r="FI29" s="35">
        <v>233.6</v>
      </c>
      <c r="FJ29" s="35">
        <v>228.9</v>
      </c>
      <c r="FK29" s="35">
        <v>227.2</v>
      </c>
      <c r="FL29" s="35">
        <v>201.7</v>
      </c>
      <c r="FM29" s="35">
        <v>238</v>
      </c>
      <c r="FN29" s="35">
        <v>261.5</v>
      </c>
      <c r="FO29" s="35">
        <v>275.5</v>
      </c>
      <c r="FP29" s="35">
        <v>280.8</v>
      </c>
      <c r="FQ29" s="35">
        <v>280.89999999999998</v>
      </c>
      <c r="FR29" s="35">
        <v>298</v>
      </c>
      <c r="FS29" s="35">
        <v>292.89999999999998</v>
      </c>
      <c r="FT29" s="35">
        <v>300.60000000000002</v>
      </c>
      <c r="FU29" s="35">
        <v>302.2</v>
      </c>
      <c r="FV29" s="35">
        <v>337.4</v>
      </c>
      <c r="FW29" s="35">
        <v>359</v>
      </c>
      <c r="FX29" s="35">
        <v>329.6</v>
      </c>
      <c r="FY29" s="35">
        <v>332.6</v>
      </c>
      <c r="FZ29" s="35">
        <v>345.4</v>
      </c>
      <c r="GA29" s="35">
        <v>350.7</v>
      </c>
      <c r="GB29" s="35">
        <v>324.7</v>
      </c>
      <c r="GC29" s="35">
        <v>295.60000000000002</v>
      </c>
      <c r="GD29" s="35">
        <v>310.8</v>
      </c>
      <c r="GE29" s="35">
        <v>314.7</v>
      </c>
      <c r="GF29" s="35">
        <v>322.60000000000002</v>
      </c>
      <c r="GG29" s="35">
        <v>299.2</v>
      </c>
      <c r="GH29" s="35">
        <v>211.8</v>
      </c>
      <c r="GI29" s="35">
        <v>225.7</v>
      </c>
      <c r="GJ29" s="35">
        <v>241.5</v>
      </c>
      <c r="GK29" s="35">
        <v>242.4</v>
      </c>
      <c r="GL29" s="35">
        <v>215.5</v>
      </c>
      <c r="GM29" s="35">
        <v>229.1</v>
      </c>
      <c r="GN29" s="35">
        <v>225.5</v>
      </c>
      <c r="GO29" s="35">
        <v>229.7</v>
      </c>
      <c r="GP29" s="35">
        <v>200.1</v>
      </c>
      <c r="GQ29" s="35">
        <v>210.4</v>
      </c>
      <c r="GR29" s="35">
        <v>198.2</v>
      </c>
      <c r="GS29" s="35">
        <v>233.1</v>
      </c>
      <c r="GT29" s="35">
        <v>189.6</v>
      </c>
      <c r="GU29" s="35">
        <v>199.8</v>
      </c>
      <c r="GV29" s="35">
        <v>246.8</v>
      </c>
      <c r="GW29" s="35">
        <v>250.9</v>
      </c>
      <c r="GX29" s="35">
        <v>252.3</v>
      </c>
      <c r="GY29" s="35">
        <v>283.60000000000002</v>
      </c>
      <c r="GZ29" s="35">
        <v>279.8</v>
      </c>
      <c r="HA29" s="35">
        <v>303.89999999999998</v>
      </c>
      <c r="HB29">
        <v>329.8</v>
      </c>
      <c r="HC29">
        <v>388.8</v>
      </c>
      <c r="HD29">
        <v>383.6</v>
      </c>
      <c r="HE29">
        <v>373.6</v>
      </c>
      <c r="HF29">
        <v>388.6</v>
      </c>
      <c r="HG29">
        <v>403.3</v>
      </c>
      <c r="HH29">
        <v>418</v>
      </c>
      <c r="HI29">
        <v>429.4</v>
      </c>
      <c r="HJ29">
        <v>457</v>
      </c>
    </row>
    <row r="30" spans="1:218" x14ac:dyDescent="0.25">
      <c r="A30" s="35" t="s">
        <v>2193</v>
      </c>
      <c r="B30" s="35">
        <v>45.1</v>
      </c>
      <c r="C30" s="35">
        <v>45.4</v>
      </c>
      <c r="D30" s="35">
        <v>45.9</v>
      </c>
      <c r="E30" s="35">
        <v>45.6</v>
      </c>
      <c r="F30" s="35">
        <v>49.6</v>
      </c>
      <c r="G30" s="35">
        <v>50.2</v>
      </c>
      <c r="H30" s="35">
        <v>50.5</v>
      </c>
      <c r="I30" s="35">
        <v>51</v>
      </c>
      <c r="J30" s="35">
        <v>57.3</v>
      </c>
      <c r="K30" s="35">
        <v>57.9</v>
      </c>
      <c r="L30" s="35">
        <v>58.5</v>
      </c>
      <c r="M30" s="35">
        <v>59.4</v>
      </c>
      <c r="N30" s="35">
        <v>72.7</v>
      </c>
      <c r="O30" s="35">
        <v>73.8</v>
      </c>
      <c r="P30" s="35">
        <v>75.099999999999994</v>
      </c>
      <c r="Q30" s="35">
        <v>76.599999999999994</v>
      </c>
      <c r="R30" s="35">
        <v>82.1</v>
      </c>
      <c r="S30" s="35">
        <v>83.6</v>
      </c>
      <c r="T30" s="35">
        <v>85.2</v>
      </c>
      <c r="U30" s="35">
        <v>85.4</v>
      </c>
      <c r="V30" s="35">
        <v>86.5</v>
      </c>
      <c r="W30" s="35">
        <v>86.8</v>
      </c>
      <c r="X30" s="35">
        <v>88.5</v>
      </c>
      <c r="Y30" s="35">
        <v>90.5</v>
      </c>
      <c r="Z30" s="35">
        <v>97.5</v>
      </c>
      <c r="AA30" s="35">
        <v>98.9</v>
      </c>
      <c r="AB30" s="35">
        <v>100.6</v>
      </c>
      <c r="AC30" s="35">
        <v>102.1</v>
      </c>
      <c r="AD30" s="35">
        <v>107.5</v>
      </c>
      <c r="AE30" s="35">
        <v>110.1</v>
      </c>
      <c r="AF30" s="35">
        <v>112.2</v>
      </c>
      <c r="AG30" s="35">
        <v>114.4</v>
      </c>
      <c r="AH30" s="35">
        <v>121.6</v>
      </c>
      <c r="AI30" s="35">
        <v>126.5</v>
      </c>
      <c r="AJ30" s="35">
        <v>130.80000000000001</v>
      </c>
      <c r="AK30" s="35">
        <v>136</v>
      </c>
      <c r="AL30" s="35">
        <v>143.1</v>
      </c>
      <c r="AM30" s="35">
        <v>147.4</v>
      </c>
      <c r="AN30" s="35">
        <v>152.4</v>
      </c>
      <c r="AO30" s="35">
        <v>156.30000000000001</v>
      </c>
      <c r="AP30" s="35">
        <v>159.30000000000001</v>
      </c>
      <c r="AQ30" s="35">
        <v>161</v>
      </c>
      <c r="AR30" s="35">
        <v>164.2</v>
      </c>
      <c r="AS30" s="35">
        <v>170.1</v>
      </c>
      <c r="AT30" s="35">
        <v>187.3</v>
      </c>
      <c r="AU30" s="35">
        <v>190.9</v>
      </c>
      <c r="AV30" s="35">
        <v>195.6</v>
      </c>
      <c r="AW30" s="35">
        <v>198.2</v>
      </c>
      <c r="AX30" s="35">
        <v>203.2</v>
      </c>
      <c r="AY30" s="35">
        <v>205.2</v>
      </c>
      <c r="AZ30" s="35">
        <v>207.5</v>
      </c>
      <c r="BA30" s="35">
        <v>208.3</v>
      </c>
      <c r="BB30" s="35">
        <v>216.1</v>
      </c>
      <c r="BC30" s="35">
        <v>220.2</v>
      </c>
      <c r="BD30" s="35">
        <v>224.8</v>
      </c>
      <c r="BE30" s="35">
        <v>231.2</v>
      </c>
      <c r="BF30" s="35">
        <v>246.3</v>
      </c>
      <c r="BG30" s="35">
        <v>252.1</v>
      </c>
      <c r="BH30" s="35">
        <v>257.10000000000002</v>
      </c>
      <c r="BI30" s="35">
        <v>261.10000000000002</v>
      </c>
      <c r="BJ30" s="35">
        <v>271</v>
      </c>
      <c r="BK30" s="35">
        <v>275</v>
      </c>
      <c r="BL30" s="35">
        <v>279.7</v>
      </c>
      <c r="BM30" s="35">
        <v>285.89999999999998</v>
      </c>
      <c r="BN30" s="35">
        <v>292.7</v>
      </c>
      <c r="BO30" s="35">
        <v>296.10000000000002</v>
      </c>
      <c r="BP30" s="35">
        <v>300.8</v>
      </c>
      <c r="BQ30" s="35">
        <v>306.2</v>
      </c>
      <c r="BR30" s="35">
        <v>310.7</v>
      </c>
      <c r="BS30" s="35">
        <v>314.5</v>
      </c>
      <c r="BT30" s="35">
        <v>319</v>
      </c>
      <c r="BU30" s="35">
        <v>325.60000000000002</v>
      </c>
      <c r="BV30" s="35">
        <v>344.7</v>
      </c>
      <c r="BW30" s="35">
        <v>351.7</v>
      </c>
      <c r="BX30" s="35">
        <v>357.7</v>
      </c>
      <c r="BY30" s="35">
        <v>365</v>
      </c>
      <c r="BZ30" s="35">
        <v>370.9</v>
      </c>
      <c r="CA30" s="35">
        <v>375.4</v>
      </c>
      <c r="CB30" s="35">
        <v>379.8</v>
      </c>
      <c r="CC30" s="35">
        <v>385.6</v>
      </c>
      <c r="CD30" s="35">
        <v>394</v>
      </c>
      <c r="CE30" s="35">
        <v>399</v>
      </c>
      <c r="CF30" s="35">
        <v>406.4</v>
      </c>
      <c r="CG30" s="35">
        <v>408.9</v>
      </c>
      <c r="CH30" s="35">
        <v>412</v>
      </c>
      <c r="CI30" s="35">
        <v>418.3</v>
      </c>
      <c r="CJ30" s="35">
        <v>423.7</v>
      </c>
      <c r="CK30" s="35">
        <v>428.4</v>
      </c>
      <c r="CL30" s="35">
        <v>439.9</v>
      </c>
      <c r="CM30" s="35">
        <v>445.1</v>
      </c>
      <c r="CN30" s="35">
        <v>447.9</v>
      </c>
      <c r="CO30" s="35">
        <v>442.9</v>
      </c>
      <c r="CP30" s="35">
        <v>462.1</v>
      </c>
      <c r="CQ30" s="35">
        <v>462.4</v>
      </c>
      <c r="CR30" s="35">
        <v>466.8</v>
      </c>
      <c r="CS30" s="35">
        <v>470.8</v>
      </c>
      <c r="CT30" s="35">
        <v>485.8</v>
      </c>
      <c r="CU30" s="35">
        <v>493</v>
      </c>
      <c r="CV30" s="35">
        <v>499</v>
      </c>
      <c r="CW30" s="35">
        <v>506.8</v>
      </c>
      <c r="CX30" s="35">
        <v>514.20000000000005</v>
      </c>
      <c r="CY30" s="35">
        <v>519</v>
      </c>
      <c r="CZ30" s="35">
        <v>524.6</v>
      </c>
      <c r="DA30" s="35">
        <v>529.9</v>
      </c>
      <c r="DB30" s="35">
        <v>532.9</v>
      </c>
      <c r="DC30" s="35">
        <v>541.70000000000005</v>
      </c>
      <c r="DD30" s="35">
        <v>549.5</v>
      </c>
      <c r="DE30" s="35">
        <v>557.5</v>
      </c>
      <c r="DF30" s="35">
        <v>566</v>
      </c>
      <c r="DG30" s="35">
        <v>574</v>
      </c>
      <c r="DH30" s="35">
        <v>582.9</v>
      </c>
      <c r="DI30" s="35">
        <v>594.79999999999995</v>
      </c>
      <c r="DJ30" s="35">
        <v>602.79999999999995</v>
      </c>
      <c r="DK30" s="35">
        <v>612.29999999999995</v>
      </c>
      <c r="DL30" s="35">
        <v>622.20000000000005</v>
      </c>
      <c r="DM30" s="35">
        <v>632.20000000000005</v>
      </c>
      <c r="DN30" s="35">
        <v>643.5</v>
      </c>
      <c r="DO30" s="35">
        <v>649.29999999999995</v>
      </c>
      <c r="DP30" s="35">
        <v>656.7</v>
      </c>
      <c r="DQ30" s="35">
        <v>669.8</v>
      </c>
      <c r="DR30" s="35">
        <v>689.4</v>
      </c>
      <c r="DS30" s="35">
        <v>691.5</v>
      </c>
      <c r="DT30" s="35">
        <v>704.2</v>
      </c>
      <c r="DU30" s="35">
        <v>709.2</v>
      </c>
      <c r="DV30" s="35">
        <v>723.4</v>
      </c>
      <c r="DW30" s="35">
        <v>723.4</v>
      </c>
      <c r="DX30" s="35">
        <v>722</v>
      </c>
      <c r="DY30" s="35">
        <v>724.2</v>
      </c>
      <c r="DZ30" s="35">
        <v>732</v>
      </c>
      <c r="EA30" s="35">
        <v>739.9</v>
      </c>
      <c r="EB30" s="35">
        <v>742</v>
      </c>
      <c r="EC30" s="35">
        <v>743.8</v>
      </c>
      <c r="ED30" s="35">
        <v>749.1</v>
      </c>
      <c r="EE30" s="35">
        <v>758.6</v>
      </c>
      <c r="EF30" s="35">
        <v>767.2</v>
      </c>
      <c r="EG30" s="35">
        <v>778.2</v>
      </c>
      <c r="EH30" s="35">
        <v>790</v>
      </c>
      <c r="EI30" s="35">
        <v>803.5</v>
      </c>
      <c r="EJ30" s="35">
        <v>818.4</v>
      </c>
      <c r="EK30" s="35">
        <v>824</v>
      </c>
      <c r="EL30" s="35">
        <v>837.4</v>
      </c>
      <c r="EM30" s="35">
        <v>846</v>
      </c>
      <c r="EN30" s="35">
        <v>859.8</v>
      </c>
      <c r="EO30" s="35">
        <v>870.4</v>
      </c>
      <c r="EP30" s="35">
        <v>895.1</v>
      </c>
      <c r="EQ30" s="35">
        <v>900.8</v>
      </c>
      <c r="ER30" s="35">
        <v>906.2</v>
      </c>
      <c r="ES30" s="35">
        <v>920.6</v>
      </c>
      <c r="ET30" s="35">
        <v>940.9</v>
      </c>
      <c r="EU30" s="35">
        <v>943.1</v>
      </c>
      <c r="EV30" s="35">
        <v>946.7</v>
      </c>
      <c r="EW30" s="35">
        <v>958.4</v>
      </c>
      <c r="EX30" s="35">
        <v>970.2</v>
      </c>
      <c r="EY30" s="35">
        <v>972.3</v>
      </c>
      <c r="EZ30" s="35">
        <v>977.6</v>
      </c>
      <c r="FA30" s="35">
        <v>977.8</v>
      </c>
      <c r="FB30" s="35">
        <v>946</v>
      </c>
      <c r="FC30" s="35">
        <v>952.6</v>
      </c>
      <c r="FD30" s="35">
        <v>950.3</v>
      </c>
      <c r="FE30" s="35">
        <v>953.9</v>
      </c>
      <c r="FF30" s="35">
        <v>960.6</v>
      </c>
      <c r="FG30" s="35">
        <v>971.7</v>
      </c>
      <c r="FH30" s="35">
        <v>974.6</v>
      </c>
      <c r="FI30" s="35">
        <v>976.6</v>
      </c>
      <c r="FJ30" s="35">
        <v>898.3</v>
      </c>
      <c r="FK30" s="35">
        <v>900.9</v>
      </c>
      <c r="FL30" s="35">
        <v>909.4</v>
      </c>
      <c r="FM30" s="35">
        <v>904.2</v>
      </c>
      <c r="FN30" s="35">
        <v>927.5</v>
      </c>
      <c r="FO30" s="35">
        <v>932.2</v>
      </c>
      <c r="FP30" s="35">
        <v>935.2</v>
      </c>
      <c r="FQ30" s="35">
        <v>957</v>
      </c>
      <c r="FR30" s="35">
        <v>1078.5999999999999</v>
      </c>
      <c r="FS30" s="35">
        <v>1090.7</v>
      </c>
      <c r="FT30" s="35">
        <v>1093.5999999999999</v>
      </c>
      <c r="FU30" s="35">
        <v>1104.2</v>
      </c>
      <c r="FV30" s="35">
        <v>1126.5999999999999</v>
      </c>
      <c r="FW30" s="35">
        <v>1131</v>
      </c>
      <c r="FX30" s="35">
        <v>1142.5</v>
      </c>
      <c r="FY30" s="35">
        <v>1160.0999999999999</v>
      </c>
      <c r="FZ30" s="35">
        <v>1175.2</v>
      </c>
      <c r="GA30" s="35">
        <v>1187</v>
      </c>
      <c r="GB30" s="35">
        <v>1196.8</v>
      </c>
      <c r="GC30" s="35">
        <v>1204.0999999999999</v>
      </c>
      <c r="GD30" s="35">
        <v>1211</v>
      </c>
      <c r="GE30" s="35">
        <v>1217</v>
      </c>
      <c r="GF30" s="35">
        <v>1228</v>
      </c>
      <c r="GG30" s="35">
        <v>1241.5</v>
      </c>
      <c r="GH30" s="35">
        <v>1262.7</v>
      </c>
      <c r="GI30" s="35">
        <v>1275.0999999999999</v>
      </c>
      <c r="GJ30" s="35">
        <v>1290.3</v>
      </c>
      <c r="GK30" s="35">
        <v>1309.0999999999999</v>
      </c>
      <c r="GL30" s="35">
        <v>1328.9</v>
      </c>
      <c r="GM30" s="35">
        <v>1338.7</v>
      </c>
      <c r="GN30" s="35">
        <v>1355.2</v>
      </c>
      <c r="GO30" s="35">
        <v>1363.7</v>
      </c>
      <c r="GP30" s="35">
        <v>1395.9</v>
      </c>
      <c r="GQ30" s="35">
        <v>1403.3</v>
      </c>
      <c r="GR30" s="35">
        <v>1410</v>
      </c>
      <c r="GS30" s="35">
        <v>1427.9</v>
      </c>
      <c r="GT30" s="35">
        <v>1453.3</v>
      </c>
      <c r="GU30" s="35">
        <v>1383.5</v>
      </c>
      <c r="GV30" s="35">
        <v>1432.5</v>
      </c>
      <c r="GW30" s="35">
        <v>1469</v>
      </c>
      <c r="GX30" s="35">
        <v>1484.6</v>
      </c>
      <c r="GY30" s="35">
        <v>1519.7</v>
      </c>
      <c r="GZ30" s="35">
        <v>1556.8</v>
      </c>
      <c r="HA30" s="35">
        <v>1603.4</v>
      </c>
      <c r="HB30" s="35">
        <v>1645.9</v>
      </c>
      <c r="HC30">
        <v>1667.8</v>
      </c>
      <c r="HD30">
        <v>1709.6</v>
      </c>
      <c r="HE30">
        <v>1716.7</v>
      </c>
      <c r="HF30">
        <v>1758.5</v>
      </c>
      <c r="HG30">
        <v>1778.7</v>
      </c>
      <c r="HH30">
        <v>1801.4</v>
      </c>
      <c r="HI30">
        <v>1808.9</v>
      </c>
      <c r="HJ30">
        <v>1845.7</v>
      </c>
    </row>
    <row r="31" spans="1:218" x14ac:dyDescent="0.25">
      <c r="A31" s="35" t="s">
        <v>2194</v>
      </c>
      <c r="B31" s="35">
        <v>48.3</v>
      </c>
      <c r="C31" s="35">
        <v>57.5</v>
      </c>
      <c r="D31" s="35">
        <v>56.9</v>
      </c>
      <c r="E31" s="35">
        <v>59.8</v>
      </c>
      <c r="F31" s="35">
        <v>61</v>
      </c>
      <c r="G31" s="35">
        <v>67.900000000000006</v>
      </c>
      <c r="H31" s="35">
        <v>67.2</v>
      </c>
      <c r="I31" s="35">
        <v>68.2</v>
      </c>
      <c r="J31" s="35">
        <v>70.2</v>
      </c>
      <c r="K31" s="35">
        <v>70.2</v>
      </c>
      <c r="L31" s="35">
        <v>70.3</v>
      </c>
      <c r="M31" s="35">
        <v>80.599999999999994</v>
      </c>
      <c r="N31" s="35">
        <v>82.2</v>
      </c>
      <c r="O31" s="35">
        <v>83.6</v>
      </c>
      <c r="P31" s="35">
        <v>85.1</v>
      </c>
      <c r="Q31" s="35">
        <v>87.3</v>
      </c>
      <c r="R31" s="35">
        <v>94.1</v>
      </c>
      <c r="S31" s="35">
        <v>100.7</v>
      </c>
      <c r="T31" s="35">
        <v>106.4</v>
      </c>
      <c r="U31" s="35">
        <v>112</v>
      </c>
      <c r="V31" s="35">
        <v>120.5</v>
      </c>
      <c r="W31" s="35">
        <v>134.19999999999999</v>
      </c>
      <c r="X31" s="35">
        <v>136.80000000000001</v>
      </c>
      <c r="Y31" s="35">
        <v>137.80000000000001</v>
      </c>
      <c r="Z31" s="35">
        <v>141.30000000000001</v>
      </c>
      <c r="AA31" s="35">
        <v>139.6</v>
      </c>
      <c r="AB31" s="35">
        <v>145.4</v>
      </c>
      <c r="AC31" s="35">
        <v>147.69999999999999</v>
      </c>
      <c r="AD31" s="35">
        <v>149.80000000000001</v>
      </c>
      <c r="AE31" s="35">
        <v>148.9</v>
      </c>
      <c r="AF31" s="35">
        <v>154.4</v>
      </c>
      <c r="AG31" s="35">
        <v>156.6</v>
      </c>
      <c r="AH31" s="35">
        <v>158.5</v>
      </c>
      <c r="AI31" s="35">
        <v>158</v>
      </c>
      <c r="AJ31" s="35">
        <v>165.9</v>
      </c>
      <c r="AK31" s="35">
        <v>168.3</v>
      </c>
      <c r="AL31" s="35">
        <v>172.5</v>
      </c>
      <c r="AM31" s="35">
        <v>175.7</v>
      </c>
      <c r="AN31" s="35">
        <v>190.1</v>
      </c>
      <c r="AO31" s="35">
        <v>193.8</v>
      </c>
      <c r="AP31" s="35">
        <v>202.1</v>
      </c>
      <c r="AQ31" s="35">
        <v>207.3</v>
      </c>
      <c r="AR31" s="35">
        <v>235.4</v>
      </c>
      <c r="AS31" s="35">
        <v>236.4</v>
      </c>
      <c r="AT31" s="35">
        <v>240.5</v>
      </c>
      <c r="AU31" s="35">
        <v>241.6</v>
      </c>
      <c r="AV31" s="35">
        <v>259.3</v>
      </c>
      <c r="AW31" s="35">
        <v>261.5</v>
      </c>
      <c r="AX31" s="35">
        <v>265.2</v>
      </c>
      <c r="AY31" s="35">
        <v>272.2</v>
      </c>
      <c r="AZ31" s="35">
        <v>287.5</v>
      </c>
      <c r="BA31" s="35">
        <v>302.60000000000002</v>
      </c>
      <c r="BB31" s="35">
        <v>302.2</v>
      </c>
      <c r="BC31" s="35">
        <v>307.39999999999998</v>
      </c>
      <c r="BD31" s="35">
        <v>301.3</v>
      </c>
      <c r="BE31" s="35">
        <v>303.5</v>
      </c>
      <c r="BF31" s="35">
        <v>306.39999999999998</v>
      </c>
      <c r="BG31" s="35">
        <v>308.39999999999998</v>
      </c>
      <c r="BH31" s="35">
        <v>309.10000000000002</v>
      </c>
      <c r="BI31" s="35">
        <v>315.10000000000002</v>
      </c>
      <c r="BJ31" s="35">
        <v>323.2</v>
      </c>
      <c r="BK31" s="35">
        <v>324.2</v>
      </c>
      <c r="BL31" s="35">
        <v>327.5</v>
      </c>
      <c r="BM31" s="35">
        <v>328.5</v>
      </c>
      <c r="BN31" s="35">
        <v>338.3</v>
      </c>
      <c r="BO31" s="35">
        <v>342</v>
      </c>
      <c r="BP31" s="35">
        <v>347.8</v>
      </c>
      <c r="BQ31" s="35">
        <v>348.9</v>
      </c>
      <c r="BR31" s="35">
        <v>353.6</v>
      </c>
      <c r="BS31" s="35">
        <v>357.6</v>
      </c>
      <c r="BT31" s="35">
        <v>357.9</v>
      </c>
      <c r="BU31" s="35">
        <v>359.7</v>
      </c>
      <c r="BV31" s="35">
        <v>375</v>
      </c>
      <c r="BW31" s="35">
        <v>376.1</v>
      </c>
      <c r="BX31" s="35">
        <v>379.3</v>
      </c>
      <c r="BY31" s="35">
        <v>383</v>
      </c>
      <c r="BZ31" s="35">
        <v>403.9</v>
      </c>
      <c r="CA31" s="35">
        <v>408.3</v>
      </c>
      <c r="CB31" s="35">
        <v>413.7</v>
      </c>
      <c r="CC31" s="35">
        <v>420.9</v>
      </c>
      <c r="CD31" s="35">
        <v>437.5</v>
      </c>
      <c r="CE31" s="35">
        <v>443.4</v>
      </c>
      <c r="CF31" s="35">
        <v>447.9</v>
      </c>
      <c r="CG31" s="35">
        <v>459.4</v>
      </c>
      <c r="CH31" s="35">
        <v>481</v>
      </c>
      <c r="CI31" s="35">
        <v>491.3</v>
      </c>
      <c r="CJ31" s="35">
        <v>495.1</v>
      </c>
      <c r="CK31" s="35">
        <v>508.5</v>
      </c>
      <c r="CL31" s="35">
        <v>540</v>
      </c>
      <c r="CM31" s="35">
        <v>550.5</v>
      </c>
      <c r="CN31" s="35">
        <v>555.5</v>
      </c>
      <c r="CO31" s="35">
        <v>561.1</v>
      </c>
      <c r="CP31" s="35">
        <v>577.6</v>
      </c>
      <c r="CQ31" s="35">
        <v>582</v>
      </c>
      <c r="CR31" s="35">
        <v>585.70000000000005</v>
      </c>
      <c r="CS31" s="35">
        <v>589.6</v>
      </c>
      <c r="CT31" s="35">
        <v>601.79999999999995</v>
      </c>
      <c r="CU31" s="35">
        <v>606.20000000000005</v>
      </c>
      <c r="CV31" s="35">
        <v>610</v>
      </c>
      <c r="CW31" s="35">
        <v>618.1</v>
      </c>
      <c r="CX31" s="35">
        <v>637.6</v>
      </c>
      <c r="CY31" s="35">
        <v>644.9</v>
      </c>
      <c r="CZ31" s="35">
        <v>650</v>
      </c>
      <c r="DA31" s="35">
        <v>655.8</v>
      </c>
      <c r="DB31" s="35">
        <v>675</v>
      </c>
      <c r="DC31" s="35">
        <v>680.7</v>
      </c>
      <c r="DD31" s="35">
        <v>683.7</v>
      </c>
      <c r="DE31" s="35">
        <v>688.9</v>
      </c>
      <c r="DF31" s="35">
        <v>704.5</v>
      </c>
      <c r="DG31" s="35">
        <v>707.5</v>
      </c>
      <c r="DH31" s="35">
        <v>709.2</v>
      </c>
      <c r="DI31" s="35">
        <v>710.2</v>
      </c>
      <c r="DJ31" s="35">
        <v>719.7</v>
      </c>
      <c r="DK31" s="35">
        <v>720.7</v>
      </c>
      <c r="DL31" s="35">
        <v>723.5</v>
      </c>
      <c r="DM31" s="35">
        <v>724.7</v>
      </c>
      <c r="DN31" s="35">
        <v>735.5</v>
      </c>
      <c r="DO31" s="35">
        <v>738.6</v>
      </c>
      <c r="DP31" s="35">
        <v>741.1</v>
      </c>
      <c r="DQ31" s="35">
        <v>744.2</v>
      </c>
      <c r="DR31" s="35">
        <v>756.8</v>
      </c>
      <c r="DS31" s="35">
        <v>772.9</v>
      </c>
      <c r="DT31" s="35">
        <v>777.5</v>
      </c>
      <c r="DU31" s="35">
        <v>786.5</v>
      </c>
      <c r="DV31" s="35">
        <v>817.3</v>
      </c>
      <c r="DW31" s="35">
        <v>831</v>
      </c>
      <c r="DX31" s="35">
        <v>849.4</v>
      </c>
      <c r="DY31" s="35">
        <v>865.2</v>
      </c>
      <c r="DZ31" s="35">
        <v>895</v>
      </c>
      <c r="EA31" s="35">
        <v>921</v>
      </c>
      <c r="EB31" s="35">
        <v>925.2</v>
      </c>
      <c r="EC31" s="35">
        <v>930.8</v>
      </c>
      <c r="ED31" s="35">
        <v>947.7</v>
      </c>
      <c r="EE31" s="35">
        <v>964.3</v>
      </c>
      <c r="EF31" s="35">
        <v>973.7</v>
      </c>
      <c r="EG31" s="35">
        <v>984.3</v>
      </c>
      <c r="EH31" s="35">
        <v>1003.6</v>
      </c>
      <c r="EI31" s="35">
        <v>1013.5</v>
      </c>
      <c r="EJ31" s="35">
        <v>1024.0999999999999</v>
      </c>
      <c r="EK31" s="35">
        <v>1036.9000000000001</v>
      </c>
      <c r="EL31" s="35">
        <v>1065.3</v>
      </c>
      <c r="EM31" s="35">
        <v>1076</v>
      </c>
      <c r="EN31" s="35">
        <v>1091.8</v>
      </c>
      <c r="EO31" s="35">
        <v>1104.4000000000001</v>
      </c>
      <c r="EP31" s="35">
        <v>1172.7</v>
      </c>
      <c r="EQ31" s="35">
        <v>1184</v>
      </c>
      <c r="ER31" s="35">
        <v>1194.0999999999999</v>
      </c>
      <c r="ES31" s="35">
        <v>1205.5999999999999</v>
      </c>
      <c r="ET31" s="35">
        <v>1240.0999999999999</v>
      </c>
      <c r="EU31" s="35">
        <v>1256.7</v>
      </c>
      <c r="EV31" s="35">
        <v>1270.2</v>
      </c>
      <c r="EW31" s="35">
        <v>1286.3</v>
      </c>
      <c r="EX31" s="35">
        <v>1321.9</v>
      </c>
      <c r="EY31" s="35">
        <v>1657</v>
      </c>
      <c r="EZ31" s="35">
        <v>1445.3</v>
      </c>
      <c r="FA31" s="35">
        <v>1428.7</v>
      </c>
      <c r="FB31" s="35">
        <v>1521.8</v>
      </c>
      <c r="FC31" s="35">
        <v>1648</v>
      </c>
      <c r="FD31" s="35">
        <v>1634.5</v>
      </c>
      <c r="FE31" s="35">
        <v>1653.9</v>
      </c>
      <c r="FF31" s="35">
        <v>1753.5</v>
      </c>
      <c r="FG31" s="35">
        <v>1755.7</v>
      </c>
      <c r="FH31" s="35">
        <v>1758.8</v>
      </c>
      <c r="FI31" s="35">
        <v>1761.9</v>
      </c>
      <c r="FJ31" s="35">
        <v>1768.6</v>
      </c>
      <c r="FK31" s="35">
        <v>1777.4</v>
      </c>
      <c r="FL31" s="35">
        <v>1782.4</v>
      </c>
      <c r="FM31" s="35">
        <v>1789.3</v>
      </c>
      <c r="FN31" s="35">
        <v>1772.9</v>
      </c>
      <c r="FO31" s="35">
        <v>1777.5</v>
      </c>
      <c r="FP31" s="35">
        <v>1783.6</v>
      </c>
      <c r="FQ31" s="35">
        <v>1793.4</v>
      </c>
      <c r="FR31" s="35">
        <v>1817.3</v>
      </c>
      <c r="FS31" s="35">
        <v>1815.5</v>
      </c>
      <c r="FT31" s="35">
        <v>1823.2</v>
      </c>
      <c r="FU31" s="35">
        <v>1830.1</v>
      </c>
      <c r="FV31" s="35">
        <v>1848.1</v>
      </c>
      <c r="FW31" s="35">
        <v>1876.8</v>
      </c>
      <c r="FX31" s="35">
        <v>1890.5</v>
      </c>
      <c r="FY31" s="35">
        <v>1909</v>
      </c>
      <c r="FZ31" s="35">
        <v>1945.5</v>
      </c>
      <c r="GA31" s="35">
        <v>1966.6</v>
      </c>
      <c r="GB31" s="35">
        <v>1977.6</v>
      </c>
      <c r="GC31" s="35">
        <v>1989.7</v>
      </c>
      <c r="GD31" s="35">
        <v>2006.2</v>
      </c>
      <c r="GE31" s="35">
        <v>2018</v>
      </c>
      <c r="GF31" s="35">
        <v>2029.1</v>
      </c>
      <c r="GG31" s="35">
        <v>2043.5</v>
      </c>
      <c r="GH31" s="35">
        <v>2074</v>
      </c>
      <c r="GI31" s="35">
        <v>2087.4</v>
      </c>
      <c r="GJ31" s="35">
        <v>2105.5</v>
      </c>
      <c r="GK31" s="35">
        <v>2124.1999999999998</v>
      </c>
      <c r="GL31" s="35">
        <v>2171.5</v>
      </c>
      <c r="GM31" s="35">
        <v>2184.4</v>
      </c>
      <c r="GN31" s="35">
        <v>2200.6</v>
      </c>
      <c r="GO31" s="35">
        <v>2223</v>
      </c>
      <c r="GP31" s="35">
        <v>2303.6</v>
      </c>
      <c r="GQ31" s="35">
        <v>2320.1</v>
      </c>
      <c r="GR31" s="35">
        <v>2332.9</v>
      </c>
      <c r="GS31" s="35">
        <v>2346.6</v>
      </c>
      <c r="GT31" s="35">
        <v>2412.6</v>
      </c>
      <c r="GU31" s="35">
        <v>4652.1000000000004</v>
      </c>
      <c r="GV31" s="35">
        <v>3508</v>
      </c>
      <c r="GW31" s="35">
        <v>2895.4</v>
      </c>
      <c r="GX31" s="35">
        <v>5127.3999999999996</v>
      </c>
      <c r="GY31" s="35">
        <v>3403.8</v>
      </c>
      <c r="GZ31" s="35">
        <v>3135</v>
      </c>
      <c r="HA31" s="35">
        <v>2947.7</v>
      </c>
      <c r="HB31" s="35">
        <v>2903.2</v>
      </c>
      <c r="HC31">
        <v>2895.2</v>
      </c>
      <c r="HD31">
        <v>2867.4</v>
      </c>
      <c r="HE31">
        <v>2896.7</v>
      </c>
      <c r="HF31">
        <v>2945.8</v>
      </c>
      <c r="HG31">
        <v>2929.7</v>
      </c>
      <c r="HH31">
        <v>2930.1</v>
      </c>
      <c r="HI31">
        <v>2934</v>
      </c>
      <c r="HJ31">
        <v>3041.2</v>
      </c>
    </row>
    <row r="32" spans="1:218" x14ac:dyDescent="0.25">
      <c r="A32" s="35" t="s">
        <v>2195</v>
      </c>
      <c r="B32" s="35">
        <v>16.600000000000001</v>
      </c>
      <c r="C32" s="35">
        <v>17.899999999999999</v>
      </c>
      <c r="D32" s="35">
        <v>19.2</v>
      </c>
      <c r="E32" s="35">
        <v>19.8</v>
      </c>
      <c r="F32" s="35">
        <v>20.5</v>
      </c>
      <c r="G32" s="35">
        <v>22.1</v>
      </c>
      <c r="H32" s="35">
        <v>22.4</v>
      </c>
      <c r="I32" s="35">
        <v>23.7</v>
      </c>
      <c r="J32" s="35">
        <v>24.4</v>
      </c>
      <c r="K32" s="35">
        <v>32.700000000000003</v>
      </c>
      <c r="L32" s="35">
        <v>25.6</v>
      </c>
      <c r="M32" s="35">
        <v>39.299999999999997</v>
      </c>
      <c r="N32" s="35">
        <v>34.299999999999997</v>
      </c>
      <c r="O32" s="35">
        <v>33.4</v>
      </c>
      <c r="P32" s="35">
        <v>32.6</v>
      </c>
      <c r="Q32" s="35">
        <v>33.6</v>
      </c>
      <c r="R32" s="35">
        <v>33.299999999999997</v>
      </c>
      <c r="S32" s="35">
        <v>34.1</v>
      </c>
      <c r="T32" s="35">
        <v>35.4</v>
      </c>
      <c r="U32" s="35">
        <v>36.799999999999997</v>
      </c>
      <c r="V32" s="35">
        <v>39.299999999999997</v>
      </c>
      <c r="W32" s="35">
        <v>44.3</v>
      </c>
      <c r="X32" s="35">
        <v>45</v>
      </c>
      <c r="Y32" s="35">
        <v>45.9</v>
      </c>
      <c r="Z32" s="35">
        <v>47</v>
      </c>
      <c r="AA32" s="35">
        <v>47.8</v>
      </c>
      <c r="AB32" s="35">
        <v>48.7</v>
      </c>
      <c r="AC32" s="35">
        <v>52.7</v>
      </c>
      <c r="AD32" s="35">
        <v>50.7</v>
      </c>
      <c r="AE32" s="35">
        <v>53.7</v>
      </c>
      <c r="AF32" s="35">
        <v>57.3</v>
      </c>
      <c r="AG32" s="35">
        <v>57.3</v>
      </c>
      <c r="AH32" s="35">
        <v>61.5</v>
      </c>
      <c r="AI32" s="35">
        <v>64.099999999999994</v>
      </c>
      <c r="AJ32" s="35">
        <v>63.4</v>
      </c>
      <c r="AK32" s="35">
        <v>64.900000000000006</v>
      </c>
      <c r="AL32" s="35">
        <v>62.1</v>
      </c>
      <c r="AM32" s="35">
        <v>62.6</v>
      </c>
      <c r="AN32" s="35">
        <v>65.2</v>
      </c>
      <c r="AO32" s="35">
        <v>65.900000000000006</v>
      </c>
      <c r="AP32" s="35">
        <v>66.7</v>
      </c>
      <c r="AQ32" s="35">
        <v>68.2</v>
      </c>
      <c r="AR32" s="35">
        <v>70.7</v>
      </c>
      <c r="AS32" s="35">
        <v>73.099999999999994</v>
      </c>
      <c r="AT32" s="35">
        <v>71.5</v>
      </c>
      <c r="AU32" s="35">
        <v>71.400000000000006</v>
      </c>
      <c r="AV32" s="35">
        <v>68.8</v>
      </c>
      <c r="AW32" s="35">
        <v>66</v>
      </c>
      <c r="AX32" s="35">
        <v>65.8</v>
      </c>
      <c r="AY32" s="35">
        <v>67.3</v>
      </c>
      <c r="AZ32" s="35">
        <v>65.599999999999994</v>
      </c>
      <c r="BA32" s="35">
        <v>66.3</v>
      </c>
      <c r="BB32" s="35">
        <v>67.2</v>
      </c>
      <c r="BC32" s="35">
        <v>69.2</v>
      </c>
      <c r="BD32" s="35">
        <v>68.400000000000006</v>
      </c>
      <c r="BE32" s="35">
        <v>67</v>
      </c>
      <c r="BF32" s="35">
        <v>71.3</v>
      </c>
      <c r="BG32" s="35">
        <v>73.099999999999994</v>
      </c>
      <c r="BH32" s="35">
        <v>70.7</v>
      </c>
      <c r="BI32" s="35">
        <v>74.3</v>
      </c>
      <c r="BJ32" s="35">
        <v>74.8</v>
      </c>
      <c r="BK32" s="35">
        <v>75.3</v>
      </c>
      <c r="BL32" s="35">
        <v>76.400000000000006</v>
      </c>
      <c r="BM32" s="35">
        <v>78.099999999999994</v>
      </c>
      <c r="BN32" s="35">
        <v>79.7</v>
      </c>
      <c r="BO32" s="35">
        <v>83.8</v>
      </c>
      <c r="BP32" s="35">
        <v>86.7</v>
      </c>
      <c r="BQ32" s="35">
        <v>79.5</v>
      </c>
      <c r="BR32" s="35">
        <v>76.900000000000006</v>
      </c>
      <c r="BS32" s="35">
        <v>80.2</v>
      </c>
      <c r="BT32" s="35">
        <v>78.2</v>
      </c>
      <c r="BU32" s="35">
        <v>78.2</v>
      </c>
      <c r="BV32" s="35">
        <v>84.1</v>
      </c>
      <c r="BW32" s="35">
        <v>84.1</v>
      </c>
      <c r="BX32" s="35">
        <v>87</v>
      </c>
      <c r="BY32" s="35">
        <v>87.7</v>
      </c>
      <c r="BZ32" s="35">
        <v>88.7</v>
      </c>
      <c r="CA32" s="35">
        <v>89.1</v>
      </c>
      <c r="CB32" s="35">
        <v>95</v>
      </c>
      <c r="CC32" s="35">
        <v>94.5</v>
      </c>
      <c r="CD32" s="35">
        <v>99.9</v>
      </c>
      <c r="CE32" s="35">
        <v>103.2</v>
      </c>
      <c r="CF32" s="35">
        <v>105.5</v>
      </c>
      <c r="CG32" s="35">
        <v>108.8</v>
      </c>
      <c r="CH32" s="35">
        <v>115.6</v>
      </c>
      <c r="CI32" s="35">
        <v>120.5</v>
      </c>
      <c r="CJ32" s="35">
        <v>127</v>
      </c>
      <c r="CK32" s="35">
        <v>132.9</v>
      </c>
      <c r="CL32" s="35">
        <v>136.19999999999999</v>
      </c>
      <c r="CM32" s="35">
        <v>139</v>
      </c>
      <c r="CN32" s="35">
        <v>145</v>
      </c>
      <c r="CO32" s="35">
        <v>146.5</v>
      </c>
      <c r="CP32" s="35">
        <v>148.80000000000001</v>
      </c>
      <c r="CQ32" s="35">
        <v>151.4</v>
      </c>
      <c r="CR32" s="35">
        <v>157.19999999999999</v>
      </c>
      <c r="CS32" s="35">
        <v>165.5</v>
      </c>
      <c r="CT32" s="35">
        <v>162.4</v>
      </c>
      <c r="CU32" s="35">
        <v>164.9</v>
      </c>
      <c r="CV32" s="35">
        <v>167.3</v>
      </c>
      <c r="CW32" s="35">
        <v>172.8</v>
      </c>
      <c r="CX32" s="35">
        <v>175.6</v>
      </c>
      <c r="CY32" s="35">
        <v>174.8</v>
      </c>
      <c r="CZ32" s="35">
        <v>175.8</v>
      </c>
      <c r="DA32" s="35">
        <v>171.7</v>
      </c>
      <c r="DB32" s="35">
        <v>177.1</v>
      </c>
      <c r="DC32" s="35">
        <v>185.5</v>
      </c>
      <c r="DD32" s="35">
        <v>182.9</v>
      </c>
      <c r="DE32" s="35">
        <v>180.3</v>
      </c>
      <c r="DF32" s="35">
        <v>184.6</v>
      </c>
      <c r="DG32" s="35">
        <v>184.2</v>
      </c>
      <c r="DH32" s="35">
        <v>187.5</v>
      </c>
      <c r="DI32" s="35">
        <v>196.3</v>
      </c>
      <c r="DJ32" s="35">
        <v>197.3</v>
      </c>
      <c r="DK32" s="35">
        <v>197</v>
      </c>
      <c r="DL32" s="35">
        <v>201.8</v>
      </c>
      <c r="DM32" s="35">
        <v>207</v>
      </c>
      <c r="DN32" s="35">
        <v>214.7</v>
      </c>
      <c r="DO32" s="35">
        <v>211.8</v>
      </c>
      <c r="DP32" s="35">
        <v>223.1</v>
      </c>
      <c r="DQ32" s="35">
        <v>227</v>
      </c>
      <c r="DR32" s="35">
        <v>224.5</v>
      </c>
      <c r="DS32" s="35">
        <v>227.4</v>
      </c>
      <c r="DT32" s="35">
        <v>239.5</v>
      </c>
      <c r="DU32" s="35">
        <v>241.1</v>
      </c>
      <c r="DV32" s="35">
        <v>254</v>
      </c>
      <c r="DW32" s="35">
        <v>262.2</v>
      </c>
      <c r="DX32" s="35">
        <v>258.5</v>
      </c>
      <c r="DY32" s="35">
        <v>270.39999999999998</v>
      </c>
      <c r="DZ32" s="35">
        <v>277.3</v>
      </c>
      <c r="EA32" s="35">
        <v>285.7</v>
      </c>
      <c r="EB32" s="35">
        <v>294.3</v>
      </c>
      <c r="EC32" s="35">
        <v>297.39999999999998</v>
      </c>
      <c r="ED32" s="35">
        <v>299.60000000000002</v>
      </c>
      <c r="EE32" s="35">
        <v>323.3</v>
      </c>
      <c r="EF32" s="35">
        <v>329.6</v>
      </c>
      <c r="EG32" s="35">
        <v>334.3</v>
      </c>
      <c r="EH32" s="35">
        <v>328</v>
      </c>
      <c r="EI32" s="35">
        <v>332.8</v>
      </c>
      <c r="EJ32" s="35">
        <v>328.4</v>
      </c>
      <c r="EK32" s="35">
        <v>340</v>
      </c>
      <c r="EL32" s="35">
        <v>341.6</v>
      </c>
      <c r="EM32" s="35">
        <v>344.8</v>
      </c>
      <c r="EN32" s="35">
        <v>342.5</v>
      </c>
      <c r="EO32" s="35">
        <v>345.1</v>
      </c>
      <c r="EP32" s="35">
        <v>340</v>
      </c>
      <c r="EQ32" s="35">
        <v>341.5</v>
      </c>
      <c r="ER32" s="35">
        <v>347.9</v>
      </c>
      <c r="ES32" s="35">
        <v>334.7</v>
      </c>
      <c r="ET32" s="35">
        <v>358.4</v>
      </c>
      <c r="EU32" s="35">
        <v>359.4</v>
      </c>
      <c r="EV32" s="35">
        <v>359.8</v>
      </c>
      <c r="EW32" s="35">
        <v>358.9</v>
      </c>
      <c r="EX32" s="35">
        <v>365.7</v>
      </c>
      <c r="EY32" s="35">
        <v>371.5</v>
      </c>
      <c r="EZ32" s="35">
        <v>368.8</v>
      </c>
      <c r="FA32" s="35">
        <v>378.6</v>
      </c>
      <c r="FB32" s="35">
        <v>421.1</v>
      </c>
      <c r="FC32" s="35">
        <v>473.9</v>
      </c>
      <c r="FD32" s="35">
        <v>465.4</v>
      </c>
      <c r="FE32" s="35">
        <v>472.1</v>
      </c>
      <c r="FF32" s="35">
        <v>496.2</v>
      </c>
      <c r="FG32" s="35">
        <v>492.6</v>
      </c>
      <c r="FH32" s="35">
        <v>517.79999999999995</v>
      </c>
      <c r="FI32" s="35">
        <v>514.4</v>
      </c>
      <c r="FJ32" s="35">
        <v>500.5</v>
      </c>
      <c r="FK32" s="35">
        <v>503.4</v>
      </c>
      <c r="FL32" s="35">
        <v>448.3</v>
      </c>
      <c r="FM32" s="35">
        <v>437.7</v>
      </c>
      <c r="FN32" s="35">
        <v>441.7</v>
      </c>
      <c r="FO32" s="35">
        <v>447.9</v>
      </c>
      <c r="FP32" s="35">
        <v>440</v>
      </c>
      <c r="FQ32" s="35">
        <v>448.2</v>
      </c>
      <c r="FR32" s="35">
        <v>440</v>
      </c>
      <c r="FS32" s="35">
        <v>459.2</v>
      </c>
      <c r="FT32" s="35">
        <v>454</v>
      </c>
      <c r="FU32" s="35">
        <v>447.3</v>
      </c>
      <c r="FV32" s="35">
        <v>467.8</v>
      </c>
      <c r="FW32" s="35">
        <v>492.5</v>
      </c>
      <c r="FX32" s="35">
        <v>511.1</v>
      </c>
      <c r="FY32" s="35">
        <v>508.8</v>
      </c>
      <c r="FZ32" s="35">
        <v>524.79999999999995</v>
      </c>
      <c r="GA32" s="35">
        <v>528.9</v>
      </c>
      <c r="GB32" s="35">
        <v>530.4</v>
      </c>
      <c r="GC32" s="35">
        <v>548.20000000000005</v>
      </c>
      <c r="GD32" s="35">
        <v>544.4</v>
      </c>
      <c r="GE32" s="35">
        <v>546.6</v>
      </c>
      <c r="GF32" s="35">
        <v>562.79999999999995</v>
      </c>
      <c r="GG32" s="35">
        <v>573.1</v>
      </c>
      <c r="GH32" s="35">
        <v>562.79999999999995</v>
      </c>
      <c r="GI32" s="35">
        <v>542.4</v>
      </c>
      <c r="GJ32" s="35">
        <v>562.9</v>
      </c>
      <c r="GK32" s="35">
        <v>573.6</v>
      </c>
      <c r="GL32" s="35">
        <v>582</v>
      </c>
      <c r="GM32" s="35">
        <v>576.70000000000005</v>
      </c>
      <c r="GN32" s="35">
        <v>581.4</v>
      </c>
      <c r="GO32" s="35">
        <v>590.1</v>
      </c>
      <c r="GP32" s="35">
        <v>593.1</v>
      </c>
      <c r="GQ32" s="35">
        <v>610.70000000000005</v>
      </c>
      <c r="GR32" s="35">
        <v>610.4</v>
      </c>
      <c r="GS32" s="35">
        <v>621.79999999999995</v>
      </c>
      <c r="GT32" s="35">
        <v>638.20000000000005</v>
      </c>
      <c r="GU32" s="35">
        <v>1388.6</v>
      </c>
      <c r="GV32" s="35">
        <v>737</v>
      </c>
      <c r="GW32" s="35">
        <v>751.3</v>
      </c>
      <c r="GX32" s="35">
        <v>781.8</v>
      </c>
      <c r="GY32" s="35">
        <v>1645.9</v>
      </c>
      <c r="GZ32" s="35">
        <v>1084.4000000000001</v>
      </c>
      <c r="HA32" s="35">
        <v>929</v>
      </c>
      <c r="HB32" s="35">
        <v>937.5</v>
      </c>
      <c r="HC32">
        <v>961.8</v>
      </c>
      <c r="HD32">
        <v>950.2</v>
      </c>
      <c r="HE32">
        <v>946.2</v>
      </c>
      <c r="HF32">
        <v>974.6</v>
      </c>
      <c r="HG32">
        <v>974.1</v>
      </c>
      <c r="HH32">
        <v>918.5</v>
      </c>
      <c r="HI32">
        <v>941.6</v>
      </c>
      <c r="HJ32">
        <v>928.4</v>
      </c>
    </row>
    <row r="33" spans="1:218" x14ac:dyDescent="0.25">
      <c r="A33" s="35" t="s">
        <v>2196</v>
      </c>
      <c r="B33" s="35">
        <v>14</v>
      </c>
      <c r="C33" s="35">
        <v>14.1</v>
      </c>
      <c r="D33" s="35">
        <v>14.3</v>
      </c>
      <c r="E33" s="35">
        <v>14.4</v>
      </c>
      <c r="F33" s="35">
        <v>14.7</v>
      </c>
      <c r="G33" s="35">
        <v>15.6</v>
      </c>
      <c r="H33" s="35">
        <v>16</v>
      </c>
      <c r="I33" s="35">
        <v>17.3</v>
      </c>
      <c r="J33" s="35">
        <v>19.5</v>
      </c>
      <c r="K33" s="35">
        <v>21</v>
      </c>
      <c r="L33" s="35">
        <v>21.2</v>
      </c>
      <c r="M33" s="35">
        <v>21.8</v>
      </c>
      <c r="N33" s="35">
        <v>21.9</v>
      </c>
      <c r="O33" s="35">
        <v>22.3</v>
      </c>
      <c r="P33" s="35">
        <v>23.1</v>
      </c>
      <c r="Q33" s="35">
        <v>24</v>
      </c>
      <c r="R33" s="35">
        <v>23.3</v>
      </c>
      <c r="S33" s="35">
        <v>24.1</v>
      </c>
      <c r="T33" s="35">
        <v>25.2</v>
      </c>
      <c r="U33" s="35">
        <v>25.6</v>
      </c>
      <c r="V33" s="35">
        <v>25.7</v>
      </c>
      <c r="W33" s="35">
        <v>26.5</v>
      </c>
      <c r="X33" s="35">
        <v>27.2</v>
      </c>
      <c r="Y33" s="35">
        <v>28.2</v>
      </c>
      <c r="Z33" s="35">
        <v>29.5</v>
      </c>
      <c r="AA33" s="35">
        <v>30.6</v>
      </c>
      <c r="AB33" s="35">
        <v>31.6</v>
      </c>
      <c r="AC33" s="35">
        <v>32.6</v>
      </c>
      <c r="AD33" s="35">
        <v>33.5</v>
      </c>
      <c r="AE33" s="35">
        <v>34.700000000000003</v>
      </c>
      <c r="AF33" s="35">
        <v>35.9</v>
      </c>
      <c r="AG33" s="35">
        <v>37.299999999999997</v>
      </c>
      <c r="AH33" s="35">
        <v>38.6</v>
      </c>
      <c r="AI33" s="35">
        <v>40.1</v>
      </c>
      <c r="AJ33" s="35">
        <v>40.9</v>
      </c>
      <c r="AK33" s="35">
        <v>42.1</v>
      </c>
      <c r="AL33" s="35">
        <v>42</v>
      </c>
      <c r="AM33" s="35">
        <v>42.1</v>
      </c>
      <c r="AN33" s="35">
        <v>45.4</v>
      </c>
      <c r="AO33" s="35">
        <v>46.6</v>
      </c>
      <c r="AP33" s="35">
        <v>46.6</v>
      </c>
      <c r="AQ33" s="35">
        <v>48</v>
      </c>
      <c r="AR33" s="35">
        <v>49.4</v>
      </c>
      <c r="AS33" s="35">
        <v>51.6</v>
      </c>
      <c r="AT33" s="35">
        <v>52.5</v>
      </c>
      <c r="AU33" s="35">
        <v>53.7</v>
      </c>
      <c r="AV33" s="35">
        <v>55.5</v>
      </c>
      <c r="AW33" s="35">
        <v>56.8</v>
      </c>
      <c r="AX33" s="35">
        <v>57.3</v>
      </c>
      <c r="AY33" s="35">
        <v>58.1</v>
      </c>
      <c r="AZ33" s="35">
        <v>60.4</v>
      </c>
      <c r="BA33" s="35">
        <v>60.8</v>
      </c>
      <c r="BB33" s="35">
        <v>61.3</v>
      </c>
      <c r="BC33" s="35">
        <v>64.3</v>
      </c>
      <c r="BD33" s="35">
        <v>68.099999999999994</v>
      </c>
      <c r="BE33" s="35">
        <v>70.7</v>
      </c>
      <c r="BF33" s="35">
        <v>73.3</v>
      </c>
      <c r="BG33" s="35">
        <v>75.8</v>
      </c>
      <c r="BH33" s="35">
        <v>76.8</v>
      </c>
      <c r="BI33" s="35">
        <v>78.2</v>
      </c>
      <c r="BJ33" s="35">
        <v>79.3</v>
      </c>
      <c r="BK33" s="35">
        <v>80.900000000000006</v>
      </c>
      <c r="BL33" s="35">
        <v>81.5</v>
      </c>
      <c r="BM33" s="35">
        <v>83.7</v>
      </c>
      <c r="BN33" s="35">
        <v>84.5</v>
      </c>
      <c r="BO33" s="35">
        <v>85</v>
      </c>
      <c r="BP33" s="35">
        <v>87.5</v>
      </c>
      <c r="BQ33" s="35">
        <v>91.8</v>
      </c>
      <c r="BR33" s="35">
        <v>92.4</v>
      </c>
      <c r="BS33" s="35">
        <v>101.5</v>
      </c>
      <c r="BT33" s="35">
        <v>94.1</v>
      </c>
      <c r="BU33" s="35">
        <v>98.4</v>
      </c>
      <c r="BV33" s="35">
        <v>99.4</v>
      </c>
      <c r="BW33" s="35">
        <v>97.2</v>
      </c>
      <c r="BX33" s="35">
        <v>104.1</v>
      </c>
      <c r="BY33" s="35">
        <v>107.6</v>
      </c>
      <c r="BZ33" s="35">
        <v>113.4</v>
      </c>
      <c r="CA33" s="35">
        <v>118.3</v>
      </c>
      <c r="CB33" s="35">
        <v>114.5</v>
      </c>
      <c r="CC33" s="35">
        <v>112.4</v>
      </c>
      <c r="CD33" s="35">
        <v>119.4</v>
      </c>
      <c r="CE33" s="35">
        <v>122.6</v>
      </c>
      <c r="CF33" s="35">
        <v>123.7</v>
      </c>
      <c r="CG33" s="35">
        <v>124.6</v>
      </c>
      <c r="CH33" s="35">
        <v>121.2</v>
      </c>
      <c r="CI33" s="35">
        <v>124.5</v>
      </c>
      <c r="CJ33" s="35">
        <v>126.1</v>
      </c>
      <c r="CK33" s="35">
        <v>129.5</v>
      </c>
      <c r="CL33" s="35">
        <v>127.6</v>
      </c>
      <c r="CM33" s="35">
        <v>136.9</v>
      </c>
      <c r="CN33" s="35">
        <v>136.80000000000001</v>
      </c>
      <c r="CO33" s="35">
        <v>140</v>
      </c>
      <c r="CP33" s="35">
        <v>136.69999999999999</v>
      </c>
      <c r="CQ33" s="35">
        <v>138.30000000000001</v>
      </c>
      <c r="CR33" s="35">
        <v>143.6</v>
      </c>
      <c r="CS33" s="35">
        <v>145.80000000000001</v>
      </c>
      <c r="CT33" s="35">
        <v>146.9</v>
      </c>
      <c r="CU33" s="35">
        <v>141.9</v>
      </c>
      <c r="CV33" s="35">
        <v>151.19999999999999</v>
      </c>
      <c r="CW33" s="35">
        <v>152</v>
      </c>
      <c r="CX33" s="35">
        <v>156.9</v>
      </c>
      <c r="CY33" s="35">
        <v>152.4</v>
      </c>
      <c r="CZ33" s="35">
        <v>160.69999999999999</v>
      </c>
      <c r="DA33" s="35">
        <v>162.4</v>
      </c>
      <c r="DB33" s="35">
        <v>165.3</v>
      </c>
      <c r="DC33" s="35">
        <v>165.9</v>
      </c>
      <c r="DD33" s="35">
        <v>169.3</v>
      </c>
      <c r="DE33" s="35">
        <v>174.1</v>
      </c>
      <c r="DF33" s="35">
        <v>177.8</v>
      </c>
      <c r="DG33" s="35">
        <v>176.9</v>
      </c>
      <c r="DH33" s="35">
        <v>184.1</v>
      </c>
      <c r="DI33" s="35">
        <v>189.2</v>
      </c>
      <c r="DJ33" s="35">
        <v>195.6</v>
      </c>
      <c r="DK33" s="35">
        <v>201.4</v>
      </c>
      <c r="DL33" s="35">
        <v>201.6</v>
      </c>
      <c r="DM33" s="35">
        <v>206.3</v>
      </c>
      <c r="DN33" s="35">
        <v>208.2</v>
      </c>
      <c r="DO33" s="35">
        <v>209.4</v>
      </c>
      <c r="DP33" s="35">
        <v>216.4</v>
      </c>
      <c r="DQ33" s="35">
        <v>224</v>
      </c>
      <c r="DR33" s="35">
        <v>232.2</v>
      </c>
      <c r="DS33" s="35">
        <v>243.3</v>
      </c>
      <c r="DT33" s="35">
        <v>236.6</v>
      </c>
      <c r="DU33" s="35">
        <v>234.8</v>
      </c>
      <c r="DV33" s="35">
        <v>250.9</v>
      </c>
      <c r="DW33" s="35">
        <v>259.89999999999998</v>
      </c>
      <c r="DX33" s="35">
        <v>231.9</v>
      </c>
      <c r="DY33" s="35">
        <v>229.3</v>
      </c>
      <c r="DZ33" s="35">
        <v>227.4</v>
      </c>
      <c r="EA33" s="35">
        <v>214.3</v>
      </c>
      <c r="EB33" s="35">
        <v>218.8</v>
      </c>
      <c r="EC33" s="35">
        <v>218.9</v>
      </c>
      <c r="ED33" s="35">
        <v>217.9</v>
      </c>
      <c r="EE33" s="35">
        <v>207.9</v>
      </c>
      <c r="EF33" s="35">
        <v>234.2</v>
      </c>
      <c r="EG33" s="35">
        <v>239.7</v>
      </c>
      <c r="EH33" s="35">
        <v>239</v>
      </c>
      <c r="EI33" s="35">
        <v>234.3</v>
      </c>
      <c r="EJ33" s="35">
        <v>247.7</v>
      </c>
      <c r="EK33" s="35">
        <v>261.8</v>
      </c>
      <c r="EL33" s="35">
        <v>269.39999999999998</v>
      </c>
      <c r="EM33" s="35">
        <v>270.39999999999998</v>
      </c>
      <c r="EN33" s="35">
        <v>276</v>
      </c>
      <c r="EO33" s="35">
        <v>285.2</v>
      </c>
      <c r="EP33" s="35">
        <v>294.89999999999998</v>
      </c>
      <c r="EQ33" s="35">
        <v>310.10000000000002</v>
      </c>
      <c r="ER33" s="35">
        <v>297.7</v>
      </c>
      <c r="ES33" s="35">
        <v>301.7</v>
      </c>
      <c r="ET33" s="35">
        <v>320.5</v>
      </c>
      <c r="EU33" s="35">
        <v>332</v>
      </c>
      <c r="EV33" s="35">
        <v>319.60000000000002</v>
      </c>
      <c r="EW33" s="35">
        <v>314.2</v>
      </c>
      <c r="EX33" s="35">
        <v>333.4</v>
      </c>
      <c r="EY33" s="35">
        <v>361.1</v>
      </c>
      <c r="EZ33" s="35">
        <v>323.8</v>
      </c>
      <c r="FA33" s="35">
        <v>305.10000000000002</v>
      </c>
      <c r="FB33" s="35">
        <v>281.10000000000002</v>
      </c>
      <c r="FC33" s="35">
        <v>275.60000000000002</v>
      </c>
      <c r="FD33" s="35">
        <v>293.3</v>
      </c>
      <c r="FE33" s="35">
        <v>293.3</v>
      </c>
      <c r="FF33" s="35">
        <v>288.39999999999998</v>
      </c>
      <c r="FG33" s="35">
        <v>278</v>
      </c>
      <c r="FH33" s="35">
        <v>297.8</v>
      </c>
      <c r="FI33" s="35">
        <v>311.89999999999998</v>
      </c>
      <c r="FJ33" s="35">
        <v>315.2</v>
      </c>
      <c r="FK33" s="35">
        <v>319.39999999999998</v>
      </c>
      <c r="FL33" s="35">
        <v>327.2</v>
      </c>
      <c r="FM33" s="35">
        <v>329.9</v>
      </c>
      <c r="FN33" s="35">
        <v>330.1</v>
      </c>
      <c r="FO33" s="35">
        <v>337</v>
      </c>
      <c r="FP33" s="35">
        <v>346.2</v>
      </c>
      <c r="FQ33" s="35">
        <v>359.2</v>
      </c>
      <c r="FR33" s="35">
        <v>377.3</v>
      </c>
      <c r="FS33" s="35">
        <v>387.5</v>
      </c>
      <c r="FT33" s="35">
        <v>368</v>
      </c>
      <c r="FU33" s="35">
        <v>365.9</v>
      </c>
      <c r="FV33" s="35">
        <v>376.7</v>
      </c>
      <c r="FW33" s="35">
        <v>370.5</v>
      </c>
      <c r="FX33" s="35">
        <v>386.5</v>
      </c>
      <c r="FY33" s="35">
        <v>394.1</v>
      </c>
      <c r="FZ33" s="35">
        <v>396.4</v>
      </c>
      <c r="GA33" s="35">
        <v>416.2</v>
      </c>
      <c r="GB33" s="35">
        <v>407.4</v>
      </c>
      <c r="GC33" s="35">
        <v>413.2</v>
      </c>
      <c r="GD33" s="35">
        <v>398.5</v>
      </c>
      <c r="GE33" s="35">
        <v>407.3</v>
      </c>
      <c r="GF33" s="35">
        <v>418.7</v>
      </c>
      <c r="GG33" s="35">
        <v>418.7</v>
      </c>
      <c r="GH33" s="35">
        <v>424.3</v>
      </c>
      <c r="GI33" s="35">
        <v>412.2</v>
      </c>
      <c r="GJ33" s="35">
        <v>431.9</v>
      </c>
      <c r="GK33" s="35">
        <v>474.6</v>
      </c>
      <c r="GL33" s="35">
        <v>474.3</v>
      </c>
      <c r="GM33" s="35">
        <v>450.9</v>
      </c>
      <c r="GN33" s="35">
        <v>460.4</v>
      </c>
      <c r="GO33" s="35">
        <v>453.8</v>
      </c>
      <c r="GP33" s="35">
        <v>473.1</v>
      </c>
      <c r="GQ33" s="35">
        <v>533.1</v>
      </c>
      <c r="GR33" s="35">
        <v>497.6</v>
      </c>
      <c r="GS33" s="35">
        <v>488</v>
      </c>
      <c r="GT33" s="35">
        <v>488.2</v>
      </c>
      <c r="GU33" s="35">
        <v>480.5</v>
      </c>
      <c r="GV33" s="35">
        <v>515.5</v>
      </c>
      <c r="GW33" s="35">
        <v>527.9</v>
      </c>
      <c r="GX33" s="35">
        <v>564.20000000000005</v>
      </c>
      <c r="GY33" s="35">
        <v>585.6</v>
      </c>
      <c r="GZ33" s="35">
        <v>589.79999999999995</v>
      </c>
      <c r="HA33" s="35">
        <v>636.29999999999995</v>
      </c>
      <c r="HB33" s="35">
        <v>655.9</v>
      </c>
      <c r="HC33">
        <v>655.1</v>
      </c>
      <c r="HD33">
        <v>615.20000000000005</v>
      </c>
      <c r="HE33">
        <v>605.6</v>
      </c>
      <c r="HF33">
        <v>582.70000000000005</v>
      </c>
      <c r="HG33">
        <v>528.79999999999995</v>
      </c>
      <c r="HH33">
        <v>576.6</v>
      </c>
      <c r="HI33">
        <v>592.6</v>
      </c>
      <c r="HJ33">
        <v>564.79999999999995</v>
      </c>
    </row>
    <row r="34" spans="1:218" x14ac:dyDescent="0.25">
      <c r="A34" s="35" t="s">
        <v>2197</v>
      </c>
      <c r="B34" s="35">
        <v>70.599999999999994</v>
      </c>
      <c r="C34" s="35">
        <v>72.400000000000006</v>
      </c>
      <c r="D34" s="35">
        <v>74.3</v>
      </c>
      <c r="E34" s="35">
        <v>76</v>
      </c>
      <c r="F34" s="35">
        <v>78.3</v>
      </c>
      <c r="G34" s="35">
        <v>80.2</v>
      </c>
      <c r="H34" s="35">
        <v>82.8</v>
      </c>
      <c r="I34" s="35">
        <v>84.7</v>
      </c>
      <c r="J34" s="35">
        <v>86.4</v>
      </c>
      <c r="K34" s="35">
        <v>88.5</v>
      </c>
      <c r="L34" s="35">
        <v>90.4</v>
      </c>
      <c r="M34" s="35">
        <v>92.5</v>
      </c>
      <c r="N34" s="35">
        <v>95.1</v>
      </c>
      <c r="O34" s="35">
        <v>96.3</v>
      </c>
      <c r="P34" s="35">
        <v>98.7</v>
      </c>
      <c r="Q34" s="35">
        <v>99.6</v>
      </c>
      <c r="R34" s="35">
        <v>101</v>
      </c>
      <c r="S34" s="35">
        <v>104</v>
      </c>
      <c r="T34" s="35">
        <v>106.8</v>
      </c>
      <c r="U34" s="35">
        <v>107.5</v>
      </c>
      <c r="V34" s="35">
        <v>109</v>
      </c>
      <c r="W34" s="35">
        <v>111.7</v>
      </c>
      <c r="X34" s="35">
        <v>114.9</v>
      </c>
      <c r="Y34" s="35">
        <v>117.3</v>
      </c>
      <c r="Z34" s="35">
        <v>120.9</v>
      </c>
      <c r="AA34" s="35">
        <v>123.5</v>
      </c>
      <c r="AB34" s="35">
        <v>126</v>
      </c>
      <c r="AC34" s="35">
        <v>129.6</v>
      </c>
      <c r="AD34" s="35">
        <v>132.9</v>
      </c>
      <c r="AE34" s="35">
        <v>135.5</v>
      </c>
      <c r="AF34" s="35">
        <v>138.30000000000001</v>
      </c>
      <c r="AG34" s="35">
        <v>141.1</v>
      </c>
      <c r="AH34" s="35">
        <v>143</v>
      </c>
      <c r="AI34" s="35">
        <v>147.69999999999999</v>
      </c>
      <c r="AJ34" s="35">
        <v>144.19999999999999</v>
      </c>
      <c r="AK34" s="35">
        <v>147.6</v>
      </c>
      <c r="AL34" s="35">
        <v>150.6</v>
      </c>
      <c r="AM34" s="35">
        <v>152.6</v>
      </c>
      <c r="AN34" s="35">
        <v>155.6</v>
      </c>
      <c r="AO34" s="35">
        <v>159</v>
      </c>
      <c r="AP34" s="35">
        <v>161.9</v>
      </c>
      <c r="AQ34" s="35">
        <v>163.30000000000001</v>
      </c>
      <c r="AR34" s="35">
        <v>168.2</v>
      </c>
      <c r="AS34" s="35">
        <v>173.3</v>
      </c>
      <c r="AT34" s="35">
        <v>180.2</v>
      </c>
      <c r="AU34" s="35">
        <v>183.7</v>
      </c>
      <c r="AV34" s="35">
        <v>188.3</v>
      </c>
      <c r="AW34" s="35">
        <v>190.7</v>
      </c>
      <c r="AX34" s="35">
        <v>193.9</v>
      </c>
      <c r="AY34" s="35">
        <v>198.3</v>
      </c>
      <c r="AZ34" s="35">
        <v>201.7</v>
      </c>
      <c r="BA34" s="35">
        <v>206</v>
      </c>
      <c r="BB34" s="35">
        <v>209.6</v>
      </c>
      <c r="BC34" s="35">
        <v>216</v>
      </c>
      <c r="BD34" s="35">
        <v>222</v>
      </c>
      <c r="BE34" s="35">
        <v>228</v>
      </c>
      <c r="BF34" s="35">
        <v>234.7</v>
      </c>
      <c r="BG34" s="35">
        <v>240.3</v>
      </c>
      <c r="BH34" s="35">
        <v>244.7</v>
      </c>
      <c r="BI34" s="35">
        <v>250.2</v>
      </c>
      <c r="BJ34" s="35">
        <v>254.7</v>
      </c>
      <c r="BK34" s="35">
        <v>260</v>
      </c>
      <c r="BL34" s="35">
        <v>265.10000000000002</v>
      </c>
      <c r="BM34" s="35">
        <v>268.5</v>
      </c>
      <c r="BN34" s="35">
        <v>273</v>
      </c>
      <c r="BO34" s="35">
        <v>276.60000000000002</v>
      </c>
      <c r="BP34" s="35">
        <v>282.3</v>
      </c>
      <c r="BQ34" s="35">
        <v>286.8</v>
      </c>
      <c r="BR34" s="35">
        <v>291.89999999999998</v>
      </c>
      <c r="BS34" s="35">
        <v>298.5</v>
      </c>
      <c r="BT34" s="35">
        <v>306</v>
      </c>
      <c r="BU34" s="35">
        <v>310</v>
      </c>
      <c r="BV34" s="35">
        <v>315.7</v>
      </c>
      <c r="BW34" s="35">
        <v>323.2</v>
      </c>
      <c r="BX34" s="35">
        <v>327.3</v>
      </c>
      <c r="BY34" s="35">
        <v>332.4</v>
      </c>
      <c r="BZ34" s="35">
        <v>340.2</v>
      </c>
      <c r="CA34" s="35">
        <v>348.2</v>
      </c>
      <c r="CB34" s="35">
        <v>353.9</v>
      </c>
      <c r="CC34" s="35">
        <v>354.2</v>
      </c>
      <c r="CD34" s="35">
        <v>369.3</v>
      </c>
      <c r="CE34" s="35">
        <v>368.7</v>
      </c>
      <c r="CF34" s="35">
        <v>375.6</v>
      </c>
      <c r="CG34" s="35">
        <v>382.7</v>
      </c>
      <c r="CH34" s="35">
        <v>384.3</v>
      </c>
      <c r="CI34" s="35">
        <v>390.2</v>
      </c>
      <c r="CJ34" s="35">
        <v>399.4</v>
      </c>
      <c r="CK34" s="35">
        <v>407.3</v>
      </c>
      <c r="CL34" s="35">
        <v>412.8</v>
      </c>
      <c r="CM34" s="35">
        <v>418.2</v>
      </c>
      <c r="CN34" s="35">
        <v>424.1</v>
      </c>
      <c r="CO34" s="35">
        <v>425.3</v>
      </c>
      <c r="CP34" s="35">
        <v>427.5</v>
      </c>
      <c r="CQ34" s="35">
        <v>432.8</v>
      </c>
      <c r="CR34" s="35">
        <v>439.5</v>
      </c>
      <c r="CS34" s="35">
        <v>447.2</v>
      </c>
      <c r="CT34" s="35">
        <v>456</v>
      </c>
      <c r="CU34" s="35">
        <v>465.8</v>
      </c>
      <c r="CV34" s="35">
        <v>470</v>
      </c>
      <c r="CW34" s="35">
        <v>473.3</v>
      </c>
      <c r="CX34" s="35">
        <v>478.8</v>
      </c>
      <c r="CY34" s="35">
        <v>477.9</v>
      </c>
      <c r="CZ34" s="35">
        <v>483.5</v>
      </c>
      <c r="DA34" s="35">
        <v>489.3</v>
      </c>
      <c r="DB34" s="35">
        <v>497.8</v>
      </c>
      <c r="DC34" s="35">
        <v>506.5</v>
      </c>
      <c r="DD34" s="35">
        <v>510.1</v>
      </c>
      <c r="DE34" s="35">
        <v>517.29999999999995</v>
      </c>
      <c r="DF34" s="35">
        <v>523.79999999999995</v>
      </c>
      <c r="DG34" s="35">
        <v>530.70000000000005</v>
      </c>
      <c r="DH34" s="35">
        <v>536.6</v>
      </c>
      <c r="DI34" s="35">
        <v>544</v>
      </c>
      <c r="DJ34" s="35">
        <v>549.6</v>
      </c>
      <c r="DK34" s="35">
        <v>555.4</v>
      </c>
      <c r="DL34" s="35">
        <v>561.6</v>
      </c>
      <c r="DM34" s="35">
        <v>568.6</v>
      </c>
      <c r="DN34" s="35">
        <v>576.20000000000005</v>
      </c>
      <c r="DO34" s="35">
        <v>585.4</v>
      </c>
      <c r="DP34" s="35">
        <v>595.20000000000005</v>
      </c>
      <c r="DQ34" s="35">
        <v>603.70000000000005</v>
      </c>
      <c r="DR34" s="35">
        <v>612.4</v>
      </c>
      <c r="DS34" s="35">
        <v>618.9</v>
      </c>
      <c r="DT34" s="35">
        <v>623.70000000000005</v>
      </c>
      <c r="DU34" s="35">
        <v>630.1</v>
      </c>
      <c r="DV34" s="35">
        <v>637.1</v>
      </c>
      <c r="DW34" s="35">
        <v>637.79999999999995</v>
      </c>
      <c r="DX34" s="35">
        <v>641.70000000000005</v>
      </c>
      <c r="DY34" s="35">
        <v>653</v>
      </c>
      <c r="DZ34" s="35">
        <v>659.3</v>
      </c>
      <c r="EA34" s="35">
        <v>664</v>
      </c>
      <c r="EB34" s="35">
        <v>680.5</v>
      </c>
      <c r="EC34" s="35">
        <v>689</v>
      </c>
      <c r="ED34" s="35">
        <v>698.5</v>
      </c>
      <c r="EE34" s="35">
        <v>709.9</v>
      </c>
      <c r="EF34" s="35">
        <v>723.4</v>
      </c>
      <c r="EG34" s="35">
        <v>729.8</v>
      </c>
      <c r="EH34" s="35">
        <v>753.2</v>
      </c>
      <c r="EI34" s="35">
        <v>765.1</v>
      </c>
      <c r="EJ34" s="35">
        <v>775.4</v>
      </c>
      <c r="EK34" s="35">
        <v>797.6</v>
      </c>
      <c r="EL34" s="35">
        <v>817.9</v>
      </c>
      <c r="EM34" s="35">
        <v>835.9</v>
      </c>
      <c r="EN34" s="35">
        <v>851.8</v>
      </c>
      <c r="EO34" s="35">
        <v>866.6</v>
      </c>
      <c r="EP34" s="35">
        <v>882.7</v>
      </c>
      <c r="EQ34" s="35">
        <v>892.2</v>
      </c>
      <c r="ER34" s="35">
        <v>903.9</v>
      </c>
      <c r="ES34" s="35">
        <v>912.4</v>
      </c>
      <c r="ET34" s="35">
        <v>931.9</v>
      </c>
      <c r="EU34" s="35">
        <v>939.4</v>
      </c>
      <c r="EV34" s="35">
        <v>940.4</v>
      </c>
      <c r="EW34" s="35">
        <v>957.1</v>
      </c>
      <c r="EX34" s="35">
        <v>952.5</v>
      </c>
      <c r="EY34" s="35">
        <v>959.4</v>
      </c>
      <c r="EZ34" s="35">
        <v>964.8</v>
      </c>
      <c r="FA34" s="35">
        <v>946.3</v>
      </c>
      <c r="FB34" s="35">
        <v>929.2</v>
      </c>
      <c r="FC34" s="35">
        <v>923</v>
      </c>
      <c r="FD34" s="35">
        <v>937.4</v>
      </c>
      <c r="FE34" s="35">
        <v>952.1</v>
      </c>
      <c r="FF34" s="35">
        <v>951.6</v>
      </c>
      <c r="FG34" s="35">
        <v>965.7</v>
      </c>
      <c r="FH34" s="35">
        <v>970.1</v>
      </c>
      <c r="FI34" s="35">
        <v>977.7</v>
      </c>
      <c r="FJ34" s="35">
        <v>986.8</v>
      </c>
      <c r="FK34" s="35">
        <v>996.4</v>
      </c>
      <c r="FL34" s="35">
        <v>994.5</v>
      </c>
      <c r="FM34" s="35">
        <v>1002.7</v>
      </c>
      <c r="FN34" s="35">
        <v>1016.9</v>
      </c>
      <c r="FO34" s="35">
        <v>1019.5</v>
      </c>
      <c r="FP34" s="35">
        <v>1016.6</v>
      </c>
      <c r="FQ34" s="35">
        <v>1030.8</v>
      </c>
      <c r="FR34" s="35">
        <v>1053.0999999999999</v>
      </c>
      <c r="FS34" s="35">
        <v>1054.9000000000001</v>
      </c>
      <c r="FT34" s="35">
        <v>1063.8</v>
      </c>
      <c r="FU34" s="35">
        <v>1069.5</v>
      </c>
      <c r="FV34" s="35">
        <v>1079.3</v>
      </c>
      <c r="FW34" s="35">
        <v>1099.4000000000001</v>
      </c>
      <c r="FX34" s="35">
        <v>1108.2</v>
      </c>
      <c r="FY34" s="35">
        <v>1117.2</v>
      </c>
      <c r="FZ34" s="35">
        <v>1117.9000000000001</v>
      </c>
      <c r="GA34" s="35">
        <v>1125.8</v>
      </c>
      <c r="GB34" s="35">
        <v>1138</v>
      </c>
      <c r="GC34" s="35">
        <v>1144.7</v>
      </c>
      <c r="GD34" s="35">
        <v>1153</v>
      </c>
      <c r="GE34" s="35">
        <v>1160.9000000000001</v>
      </c>
      <c r="GF34" s="35">
        <v>1183.5999999999999</v>
      </c>
      <c r="GG34" s="35">
        <v>1190</v>
      </c>
      <c r="GH34" s="35">
        <v>1209.4000000000001</v>
      </c>
      <c r="GI34" s="35">
        <v>1221.8</v>
      </c>
      <c r="GJ34" s="35">
        <v>1240.2</v>
      </c>
      <c r="GK34" s="35">
        <v>1258.8</v>
      </c>
      <c r="GL34" s="35">
        <v>1273.2</v>
      </c>
      <c r="GM34" s="35">
        <v>1285.3</v>
      </c>
      <c r="GN34" s="35">
        <v>1300.2</v>
      </c>
      <c r="GO34" s="35">
        <v>1315.9</v>
      </c>
      <c r="GP34" s="35">
        <v>1333.7</v>
      </c>
      <c r="GQ34" s="35">
        <v>1348.8</v>
      </c>
      <c r="GR34" s="35">
        <v>1374.2</v>
      </c>
      <c r="GS34" s="35">
        <v>1376.1</v>
      </c>
      <c r="GT34" s="35">
        <v>1379.4</v>
      </c>
      <c r="GU34" s="35">
        <v>1290.5</v>
      </c>
      <c r="GV34" s="35">
        <v>1385.7</v>
      </c>
      <c r="GW34" s="35">
        <v>1405</v>
      </c>
      <c r="GX34" s="35">
        <v>1420.8</v>
      </c>
      <c r="GY34" s="35">
        <v>1494.6</v>
      </c>
      <c r="GZ34" s="35">
        <v>1503.3</v>
      </c>
      <c r="HA34" s="35">
        <v>1554.5</v>
      </c>
      <c r="HB34" s="35">
        <v>1583.1</v>
      </c>
      <c r="HC34">
        <v>1609.6</v>
      </c>
      <c r="HD34">
        <v>1631.8</v>
      </c>
      <c r="HE34">
        <v>1639.6</v>
      </c>
      <c r="HF34">
        <v>1654.1</v>
      </c>
      <c r="HG34">
        <v>1646.2</v>
      </c>
      <c r="HH34">
        <v>1659.2</v>
      </c>
      <c r="HI34">
        <v>1677.6</v>
      </c>
      <c r="HJ34">
        <v>1683.8</v>
      </c>
    </row>
    <row r="35" spans="1:218" x14ac:dyDescent="0.25">
      <c r="A35" s="35" t="s">
        <v>2198</v>
      </c>
      <c r="B35" s="35">
        <v>3.8</v>
      </c>
      <c r="C35" s="35">
        <v>3.7</v>
      </c>
      <c r="D35" s="35">
        <v>3.8</v>
      </c>
      <c r="E35" s="35">
        <v>3.6</v>
      </c>
      <c r="F35" s="35">
        <v>4.0999999999999996</v>
      </c>
      <c r="G35" s="35">
        <v>4.2</v>
      </c>
      <c r="H35" s="35">
        <v>4.4000000000000004</v>
      </c>
      <c r="I35" s="35">
        <v>4.5</v>
      </c>
      <c r="J35" s="35">
        <v>5</v>
      </c>
      <c r="K35" s="35">
        <v>5</v>
      </c>
      <c r="L35" s="35">
        <v>5.2</v>
      </c>
      <c r="M35" s="35">
        <v>5.7</v>
      </c>
      <c r="N35" s="35">
        <v>6</v>
      </c>
      <c r="O35" s="35">
        <v>6.1</v>
      </c>
      <c r="P35" s="35">
        <v>5.9</v>
      </c>
      <c r="Q35" s="35">
        <v>6.1</v>
      </c>
      <c r="R35" s="35">
        <v>6.3</v>
      </c>
      <c r="S35" s="35">
        <v>6.6</v>
      </c>
      <c r="T35" s="35">
        <v>7.3</v>
      </c>
      <c r="U35" s="35">
        <v>6.5</v>
      </c>
      <c r="V35" s="35">
        <v>6.1</v>
      </c>
      <c r="W35" s="35">
        <v>6.6</v>
      </c>
      <c r="X35" s="35">
        <v>8.1999999999999993</v>
      </c>
      <c r="Y35" s="35">
        <v>8.4</v>
      </c>
      <c r="Z35" s="35">
        <v>9.6999999999999993</v>
      </c>
      <c r="AA35" s="35">
        <v>9.6</v>
      </c>
      <c r="AB35" s="35">
        <v>9.6999999999999993</v>
      </c>
      <c r="AC35" s="35">
        <v>9.6</v>
      </c>
      <c r="AD35" s="35">
        <v>10.5</v>
      </c>
      <c r="AE35" s="35">
        <v>11.4</v>
      </c>
      <c r="AF35" s="35">
        <v>11.8</v>
      </c>
      <c r="AG35" s="35">
        <v>12</v>
      </c>
      <c r="AH35" s="35">
        <v>10.5</v>
      </c>
      <c r="AI35" s="35">
        <v>12.4</v>
      </c>
      <c r="AJ35" s="35">
        <v>12.5</v>
      </c>
      <c r="AK35" s="35">
        <v>13.1</v>
      </c>
      <c r="AL35" s="35">
        <v>13.7</v>
      </c>
      <c r="AM35" s="35">
        <v>13.8</v>
      </c>
      <c r="AN35" s="35">
        <v>13.6</v>
      </c>
      <c r="AO35" s="35">
        <v>13.2</v>
      </c>
      <c r="AP35" s="35">
        <v>16.100000000000001</v>
      </c>
      <c r="AQ35" s="35">
        <v>12.8</v>
      </c>
      <c r="AR35" s="35">
        <v>14</v>
      </c>
      <c r="AS35" s="35">
        <v>15.1</v>
      </c>
      <c r="AT35" s="35">
        <v>16.8</v>
      </c>
      <c r="AU35" s="35">
        <v>15.2</v>
      </c>
      <c r="AV35" s="35">
        <v>15.7</v>
      </c>
      <c r="AW35" s="35">
        <v>14.1</v>
      </c>
      <c r="AX35" s="35">
        <v>14.1</v>
      </c>
      <c r="AY35" s="35">
        <v>14.3</v>
      </c>
      <c r="AZ35" s="35">
        <v>14.4</v>
      </c>
      <c r="BA35" s="35">
        <v>13.3</v>
      </c>
      <c r="BB35" s="35">
        <v>12.8</v>
      </c>
      <c r="BC35" s="35">
        <v>15.7</v>
      </c>
      <c r="BD35" s="35">
        <v>17.399999999999999</v>
      </c>
      <c r="BE35" s="35">
        <v>17.7</v>
      </c>
      <c r="BF35" s="35">
        <v>20.100000000000001</v>
      </c>
      <c r="BG35" s="35">
        <v>19.899999999999999</v>
      </c>
      <c r="BH35" s="35">
        <v>17.5</v>
      </c>
      <c r="BI35" s="35">
        <v>17.7</v>
      </c>
      <c r="BJ35" s="35">
        <v>20</v>
      </c>
      <c r="BK35" s="35">
        <v>19.600000000000001</v>
      </c>
      <c r="BL35" s="35">
        <v>20.9</v>
      </c>
      <c r="BM35" s="35">
        <v>20.5</v>
      </c>
      <c r="BN35" s="35">
        <v>21.4</v>
      </c>
      <c r="BO35" s="35">
        <v>22</v>
      </c>
      <c r="BP35" s="35">
        <v>22.4</v>
      </c>
      <c r="BQ35" s="35">
        <v>24.8</v>
      </c>
      <c r="BR35" s="35">
        <v>22.7</v>
      </c>
      <c r="BS35" s="35">
        <v>24.5</v>
      </c>
      <c r="BT35" s="35">
        <v>24.8</v>
      </c>
      <c r="BU35" s="35">
        <v>23.6</v>
      </c>
      <c r="BV35" s="35">
        <v>23.4</v>
      </c>
      <c r="BW35" s="35">
        <v>25.2</v>
      </c>
      <c r="BX35" s="35">
        <v>27.3</v>
      </c>
      <c r="BY35" s="35">
        <v>28.2</v>
      </c>
      <c r="BZ35" s="35">
        <v>27.8</v>
      </c>
      <c r="CA35" s="35">
        <v>24.2</v>
      </c>
      <c r="CB35" s="35">
        <v>22.8</v>
      </c>
      <c r="CC35" s="35">
        <v>22.1</v>
      </c>
      <c r="CD35" s="35">
        <v>21.4</v>
      </c>
      <c r="CE35" s="35">
        <v>22.1</v>
      </c>
      <c r="CF35" s="35">
        <v>23</v>
      </c>
      <c r="CG35" s="35">
        <v>23.4</v>
      </c>
      <c r="CH35" s="35">
        <v>23.8</v>
      </c>
      <c r="CI35" s="35">
        <v>23.4</v>
      </c>
      <c r="CJ35" s="35">
        <v>23.7</v>
      </c>
      <c r="CK35" s="35">
        <v>23.6</v>
      </c>
      <c r="CL35" s="35">
        <v>25.2</v>
      </c>
      <c r="CM35" s="35">
        <v>24.7</v>
      </c>
      <c r="CN35" s="35">
        <v>23.2</v>
      </c>
      <c r="CO35" s="35">
        <v>24.4</v>
      </c>
      <c r="CP35" s="35">
        <v>24.8</v>
      </c>
      <c r="CQ35" s="35">
        <v>26.8</v>
      </c>
      <c r="CR35" s="35">
        <v>25.2</v>
      </c>
      <c r="CS35" s="35">
        <v>30.8</v>
      </c>
      <c r="CT35" s="35">
        <v>27.1</v>
      </c>
      <c r="CU35" s="35">
        <v>28.7</v>
      </c>
      <c r="CV35" s="35">
        <v>31.4</v>
      </c>
      <c r="CW35" s="35">
        <v>32.700000000000003</v>
      </c>
      <c r="CX35" s="35">
        <v>32.5</v>
      </c>
      <c r="CY35" s="35">
        <v>31.3</v>
      </c>
      <c r="CZ35" s="35">
        <v>31.9</v>
      </c>
      <c r="DA35" s="35">
        <v>30.9</v>
      </c>
      <c r="DB35" s="35">
        <v>31.9</v>
      </c>
      <c r="DC35" s="35">
        <v>33.5</v>
      </c>
      <c r="DD35" s="35">
        <v>33.299999999999997</v>
      </c>
      <c r="DE35" s="35">
        <v>33.4</v>
      </c>
      <c r="DF35" s="35">
        <v>33.1</v>
      </c>
      <c r="DG35" s="35">
        <v>33.6</v>
      </c>
      <c r="DH35" s="35">
        <v>35.5</v>
      </c>
      <c r="DI35" s="35">
        <v>34.4</v>
      </c>
      <c r="DJ35" s="35">
        <v>34.700000000000003</v>
      </c>
      <c r="DK35" s="35">
        <v>34.5</v>
      </c>
      <c r="DL35" s="35">
        <v>35.700000000000003</v>
      </c>
      <c r="DM35" s="35">
        <v>34.799999999999997</v>
      </c>
      <c r="DN35" s="35">
        <v>36.299999999999997</v>
      </c>
      <c r="DO35" s="35">
        <v>35.5</v>
      </c>
      <c r="DP35" s="35">
        <v>35.6</v>
      </c>
      <c r="DQ35" s="35">
        <v>35.9</v>
      </c>
      <c r="DR35" s="35">
        <v>37.200000000000003</v>
      </c>
      <c r="DS35" s="35">
        <v>36.5</v>
      </c>
      <c r="DT35" s="35">
        <v>33.5</v>
      </c>
      <c r="DU35" s="35">
        <v>33.700000000000003</v>
      </c>
      <c r="DV35" s="35">
        <v>30.1</v>
      </c>
      <c r="DW35" s="35">
        <v>30.4</v>
      </c>
      <c r="DX35" s="35">
        <v>28.3</v>
      </c>
      <c r="DY35" s="35">
        <v>26.6</v>
      </c>
      <c r="DZ35" s="35">
        <v>28.3</v>
      </c>
      <c r="EA35" s="35">
        <v>30.2</v>
      </c>
      <c r="EB35" s="35">
        <v>31.5</v>
      </c>
      <c r="EC35" s="35">
        <v>33.5</v>
      </c>
      <c r="ED35" s="35">
        <v>34.5</v>
      </c>
      <c r="EE35" s="35">
        <v>31.7</v>
      </c>
      <c r="EF35" s="35">
        <v>33.6</v>
      </c>
      <c r="EG35" s="35">
        <v>36.200000000000003</v>
      </c>
      <c r="EH35" s="35">
        <v>37.799999999999997</v>
      </c>
      <c r="EI35" s="35">
        <v>40.799999999999997</v>
      </c>
      <c r="EJ35" s="35">
        <v>43.9</v>
      </c>
      <c r="EK35" s="35">
        <v>44.3</v>
      </c>
      <c r="EL35" s="35">
        <v>55.3</v>
      </c>
      <c r="EM35" s="35">
        <v>53</v>
      </c>
      <c r="EN35" s="35">
        <v>53.3</v>
      </c>
      <c r="EO35" s="35">
        <v>58.2</v>
      </c>
      <c r="EP35" s="35">
        <v>59.6</v>
      </c>
      <c r="EQ35" s="35">
        <v>60.3</v>
      </c>
      <c r="ER35" s="35">
        <v>61.8</v>
      </c>
      <c r="ES35" s="35">
        <v>55.2</v>
      </c>
      <c r="ET35" s="35">
        <v>59.2</v>
      </c>
      <c r="EU35" s="35">
        <v>59.4</v>
      </c>
      <c r="EV35" s="35">
        <v>56.3</v>
      </c>
      <c r="EW35" s="35">
        <v>56.6</v>
      </c>
      <c r="EX35" s="35">
        <v>50.2</v>
      </c>
      <c r="EY35" s="35">
        <v>51.6</v>
      </c>
      <c r="EZ35" s="35">
        <v>52.8</v>
      </c>
      <c r="FA35" s="35">
        <v>35.1</v>
      </c>
      <c r="FB35" s="35">
        <v>43.7</v>
      </c>
      <c r="FC35" s="35">
        <v>49.6</v>
      </c>
      <c r="FD35" s="35">
        <v>41.3</v>
      </c>
      <c r="FE35" s="35">
        <v>43.4</v>
      </c>
      <c r="FF35" s="35">
        <v>45.1</v>
      </c>
      <c r="FG35" s="35">
        <v>43.4</v>
      </c>
      <c r="FH35" s="35">
        <v>45.5</v>
      </c>
      <c r="FI35" s="35">
        <v>50.4</v>
      </c>
      <c r="FJ35" s="35">
        <v>48.4</v>
      </c>
      <c r="FK35" s="35">
        <v>49.8</v>
      </c>
      <c r="FL35" s="35">
        <v>46.4</v>
      </c>
      <c r="FM35" s="35">
        <v>49</v>
      </c>
      <c r="FN35" s="35">
        <v>49.2</v>
      </c>
      <c r="FO35" s="35">
        <v>49.5</v>
      </c>
      <c r="FP35" s="35">
        <v>52.1</v>
      </c>
      <c r="FQ35" s="35">
        <v>51.9</v>
      </c>
      <c r="FR35" s="35">
        <v>52.6</v>
      </c>
      <c r="FS35" s="35">
        <v>54.3</v>
      </c>
      <c r="FT35" s="35">
        <v>53.3</v>
      </c>
      <c r="FU35" s="35">
        <v>54.4</v>
      </c>
      <c r="FV35" s="35">
        <v>55.2</v>
      </c>
      <c r="FW35" s="35">
        <v>55.3</v>
      </c>
      <c r="FX35" s="35">
        <v>57.1</v>
      </c>
      <c r="FY35" s="35">
        <v>57.8</v>
      </c>
      <c r="FZ35" s="35">
        <v>57.3</v>
      </c>
      <c r="GA35" s="35">
        <v>57.6</v>
      </c>
      <c r="GB35" s="35">
        <v>55.6</v>
      </c>
      <c r="GC35" s="35">
        <v>53.7</v>
      </c>
      <c r="GD35" s="35">
        <v>53.3</v>
      </c>
      <c r="GE35" s="35">
        <v>52.4</v>
      </c>
      <c r="GF35" s="35">
        <v>52.9</v>
      </c>
      <c r="GG35" s="35">
        <v>54.2</v>
      </c>
      <c r="GH35" s="35">
        <v>55.1</v>
      </c>
      <c r="GI35" s="35">
        <v>53.8</v>
      </c>
      <c r="GJ35" s="35">
        <v>54.2</v>
      </c>
      <c r="GK35" s="35">
        <v>54.5</v>
      </c>
      <c r="GL35" s="35">
        <v>54.9</v>
      </c>
      <c r="GM35" s="35">
        <v>60.4</v>
      </c>
      <c r="GN35" s="35">
        <v>61.6</v>
      </c>
      <c r="GO35" s="35">
        <v>63.6</v>
      </c>
      <c r="GP35" s="35">
        <v>73.3</v>
      </c>
      <c r="GQ35" s="35">
        <v>74.7</v>
      </c>
      <c r="GR35" s="35">
        <v>74.2</v>
      </c>
      <c r="GS35" s="35">
        <v>71.7</v>
      </c>
      <c r="GT35" s="35">
        <v>65.8</v>
      </c>
      <c r="GU35" s="35">
        <v>63.7</v>
      </c>
      <c r="GV35" s="35">
        <v>79.599999999999994</v>
      </c>
      <c r="GW35" s="35">
        <v>82.3</v>
      </c>
      <c r="GX35" s="35">
        <v>86.5</v>
      </c>
      <c r="GY35" s="35">
        <v>95.3</v>
      </c>
      <c r="GZ35" s="35">
        <v>111.7</v>
      </c>
      <c r="HA35" s="35">
        <v>150.1</v>
      </c>
      <c r="HB35">
        <v>184.2</v>
      </c>
      <c r="HC35">
        <v>143.5</v>
      </c>
      <c r="HD35">
        <v>146.19999999999999</v>
      </c>
      <c r="HE35">
        <v>160.5</v>
      </c>
      <c r="HF35">
        <v>172.5</v>
      </c>
      <c r="HG35">
        <v>150.69999999999999</v>
      </c>
      <c r="HH35">
        <v>148.69999999999999</v>
      </c>
      <c r="HI35">
        <v>165.7</v>
      </c>
      <c r="HJ35">
        <v>164.9</v>
      </c>
    </row>
    <row r="36" spans="1:218" x14ac:dyDescent="0.25">
      <c r="A36" s="35" t="s">
        <v>2199</v>
      </c>
      <c r="B36" s="35">
        <v>1.1000000000000001</v>
      </c>
      <c r="C36" s="35">
        <v>1.1000000000000001</v>
      </c>
      <c r="D36" s="35">
        <v>1.1000000000000001</v>
      </c>
      <c r="E36" s="35">
        <v>1.1000000000000001</v>
      </c>
      <c r="F36" s="35">
        <v>1.1000000000000001</v>
      </c>
      <c r="G36" s="35">
        <v>1.2</v>
      </c>
      <c r="H36" s="35">
        <v>1.2</v>
      </c>
      <c r="I36" s="35">
        <v>1.2</v>
      </c>
      <c r="J36" s="35">
        <v>1.3</v>
      </c>
      <c r="K36" s="35">
        <v>1.3</v>
      </c>
      <c r="L36" s="35">
        <v>1.3</v>
      </c>
      <c r="M36" s="35">
        <v>1.4</v>
      </c>
      <c r="N36" s="35">
        <v>1.4</v>
      </c>
      <c r="O36" s="35">
        <v>1.5</v>
      </c>
      <c r="P36" s="35">
        <v>1.5</v>
      </c>
      <c r="Q36" s="35">
        <v>1.6</v>
      </c>
      <c r="R36" s="35">
        <v>1.6</v>
      </c>
      <c r="S36" s="35">
        <v>1.6</v>
      </c>
      <c r="T36" s="35">
        <v>1.7</v>
      </c>
      <c r="U36" s="35">
        <v>1.7</v>
      </c>
      <c r="V36" s="35">
        <v>1.8</v>
      </c>
      <c r="W36" s="35">
        <v>1.8</v>
      </c>
      <c r="X36" s="35">
        <v>1.9</v>
      </c>
      <c r="Y36" s="35">
        <v>2</v>
      </c>
      <c r="Z36" s="35">
        <v>2</v>
      </c>
      <c r="AA36" s="35">
        <v>2.1</v>
      </c>
      <c r="AB36" s="35">
        <v>2.2000000000000002</v>
      </c>
      <c r="AC36" s="35">
        <v>2.2999999999999998</v>
      </c>
      <c r="AD36" s="35">
        <v>2.5</v>
      </c>
      <c r="AE36" s="35">
        <v>2.7</v>
      </c>
      <c r="AF36" s="35">
        <v>2.9</v>
      </c>
      <c r="AG36" s="35">
        <v>3</v>
      </c>
      <c r="AH36" s="35">
        <v>3.2</v>
      </c>
      <c r="AI36" s="35">
        <v>3.3</v>
      </c>
      <c r="AJ36" s="35">
        <v>3.5</v>
      </c>
      <c r="AK36" s="35">
        <v>3.6</v>
      </c>
      <c r="AL36" s="35">
        <v>3.8</v>
      </c>
      <c r="AM36" s="35">
        <v>3.9</v>
      </c>
      <c r="AN36" s="35">
        <v>3.9</v>
      </c>
      <c r="AO36" s="35">
        <v>4</v>
      </c>
      <c r="AP36" s="35">
        <v>3.6</v>
      </c>
      <c r="AQ36" s="35">
        <v>2.9</v>
      </c>
      <c r="AR36" s="35">
        <v>3.8</v>
      </c>
      <c r="AS36" s="35">
        <v>4</v>
      </c>
      <c r="AT36" s="35">
        <v>3.7</v>
      </c>
      <c r="AU36" s="35">
        <v>3.8</v>
      </c>
      <c r="AV36" s="35">
        <v>3.9</v>
      </c>
      <c r="AW36" s="35">
        <v>4</v>
      </c>
      <c r="AX36" s="35">
        <v>4</v>
      </c>
      <c r="AY36" s="35">
        <v>4</v>
      </c>
      <c r="AZ36" s="35">
        <v>4.0999999999999996</v>
      </c>
      <c r="BA36" s="35">
        <v>4.0999999999999996</v>
      </c>
      <c r="BB36" s="35">
        <v>4</v>
      </c>
      <c r="BC36" s="35">
        <v>4.0999999999999996</v>
      </c>
      <c r="BD36" s="35">
        <v>4.0999999999999996</v>
      </c>
      <c r="BE36" s="35">
        <v>4.3</v>
      </c>
      <c r="BF36" s="35">
        <v>4.5</v>
      </c>
      <c r="BG36" s="35">
        <v>4.7</v>
      </c>
      <c r="BH36" s="35">
        <v>4.8</v>
      </c>
      <c r="BI36" s="35">
        <v>4.8</v>
      </c>
      <c r="BJ36" s="35">
        <v>4.7</v>
      </c>
      <c r="BK36" s="35">
        <v>4.8</v>
      </c>
      <c r="BL36" s="35">
        <v>4.9000000000000004</v>
      </c>
      <c r="BM36" s="35">
        <v>5.2</v>
      </c>
      <c r="BN36" s="35">
        <v>5.5</v>
      </c>
      <c r="BO36" s="35">
        <v>5.8</v>
      </c>
      <c r="BP36" s="35">
        <v>6.1</v>
      </c>
      <c r="BQ36" s="35">
        <v>6.4</v>
      </c>
      <c r="BR36" s="35">
        <v>6.7</v>
      </c>
      <c r="BS36" s="35">
        <v>7</v>
      </c>
      <c r="BT36" s="35">
        <v>7.3</v>
      </c>
      <c r="BU36" s="35">
        <v>7.7</v>
      </c>
      <c r="BV36" s="35">
        <v>8</v>
      </c>
      <c r="BW36" s="35">
        <v>8.3000000000000007</v>
      </c>
      <c r="BX36" s="35">
        <v>8.5</v>
      </c>
      <c r="BY36" s="35">
        <v>8.6999999999999993</v>
      </c>
      <c r="BZ36" s="35">
        <v>8.8000000000000007</v>
      </c>
      <c r="CA36" s="35">
        <v>8.9</v>
      </c>
      <c r="CB36" s="35">
        <v>9</v>
      </c>
      <c r="CC36" s="35">
        <v>9.3000000000000007</v>
      </c>
      <c r="CD36" s="35">
        <v>9.5</v>
      </c>
      <c r="CE36" s="35">
        <v>9.9</v>
      </c>
      <c r="CF36" s="35">
        <v>10.199999999999999</v>
      </c>
      <c r="CG36" s="35">
        <v>10.5</v>
      </c>
      <c r="CH36" s="35">
        <v>11</v>
      </c>
      <c r="CI36" s="35">
        <v>11.4</v>
      </c>
      <c r="CJ36" s="35">
        <v>11.8</v>
      </c>
      <c r="CK36" s="35">
        <v>12.2</v>
      </c>
      <c r="CL36" s="35">
        <v>12.6</v>
      </c>
      <c r="CM36" s="35">
        <v>13</v>
      </c>
      <c r="CN36" s="35">
        <v>13.3</v>
      </c>
      <c r="CO36" s="35">
        <v>13.6</v>
      </c>
      <c r="CP36" s="35">
        <v>13.8</v>
      </c>
      <c r="CQ36" s="35">
        <v>14.1</v>
      </c>
      <c r="CR36" s="35">
        <v>14.2</v>
      </c>
      <c r="CS36" s="35">
        <v>14.4</v>
      </c>
      <c r="CT36" s="35">
        <v>14.6</v>
      </c>
      <c r="CU36" s="35">
        <v>14.6</v>
      </c>
      <c r="CV36" s="35">
        <v>14.5</v>
      </c>
      <c r="CW36" s="35">
        <v>14.4</v>
      </c>
      <c r="CX36" s="35">
        <v>14</v>
      </c>
      <c r="CY36" s="35">
        <v>13.7</v>
      </c>
      <c r="CZ36" s="35">
        <v>13.5</v>
      </c>
      <c r="DA36" s="35">
        <v>13.2</v>
      </c>
      <c r="DB36" s="35">
        <v>13</v>
      </c>
      <c r="DC36" s="35">
        <v>12.7</v>
      </c>
      <c r="DD36" s="35">
        <v>12.3</v>
      </c>
      <c r="DE36" s="35">
        <v>11.9</v>
      </c>
      <c r="DF36" s="35">
        <v>11.3</v>
      </c>
      <c r="DG36" s="35">
        <v>10.9</v>
      </c>
      <c r="DH36" s="35">
        <v>10.6</v>
      </c>
      <c r="DI36" s="35">
        <v>10.5</v>
      </c>
      <c r="DJ36" s="35">
        <v>10.5</v>
      </c>
      <c r="DK36" s="35">
        <v>10.5</v>
      </c>
      <c r="DL36" s="35">
        <v>10.3</v>
      </c>
      <c r="DM36" s="35">
        <v>10.1</v>
      </c>
      <c r="DN36" s="35">
        <v>9.9</v>
      </c>
      <c r="DO36" s="35">
        <v>9.6999999999999993</v>
      </c>
      <c r="DP36" s="35">
        <v>9.6999999999999993</v>
      </c>
      <c r="DQ36" s="35">
        <v>9.8000000000000007</v>
      </c>
      <c r="DR36" s="35">
        <v>10</v>
      </c>
      <c r="DS36" s="35">
        <v>10.4</v>
      </c>
      <c r="DT36" s="35">
        <v>11</v>
      </c>
      <c r="DU36" s="35">
        <v>11.8</v>
      </c>
      <c r="DV36" s="35">
        <v>12.7</v>
      </c>
      <c r="DW36" s="35">
        <v>13.5</v>
      </c>
      <c r="DX36" s="35">
        <v>14.1</v>
      </c>
      <c r="DY36" s="35">
        <v>14.5</v>
      </c>
      <c r="DZ36" s="35">
        <v>14.9</v>
      </c>
      <c r="EA36" s="35">
        <v>15.4</v>
      </c>
      <c r="EB36" s="35">
        <v>16.100000000000001</v>
      </c>
      <c r="EC36" s="35">
        <v>17</v>
      </c>
      <c r="ED36" s="35">
        <v>18</v>
      </c>
      <c r="EE36" s="35">
        <v>19.2</v>
      </c>
      <c r="EF36" s="35">
        <v>20.5</v>
      </c>
      <c r="EG36" s="35">
        <v>22</v>
      </c>
      <c r="EH36" s="35">
        <v>23.4</v>
      </c>
      <c r="EI36" s="35">
        <v>24.5</v>
      </c>
      <c r="EJ36" s="35">
        <v>25.2</v>
      </c>
      <c r="EK36" s="35">
        <v>25.5</v>
      </c>
      <c r="EL36" s="35">
        <v>25.3</v>
      </c>
      <c r="EM36" s="35">
        <v>25</v>
      </c>
      <c r="EN36" s="35">
        <v>24.4</v>
      </c>
      <c r="EO36" s="35">
        <v>23.7</v>
      </c>
      <c r="EP36" s="35">
        <v>22.8</v>
      </c>
      <c r="EQ36" s="35">
        <v>21.9</v>
      </c>
      <c r="ER36" s="35">
        <v>21</v>
      </c>
      <c r="ES36" s="35">
        <v>20.2</v>
      </c>
      <c r="ET36" s="35">
        <v>19.399999999999999</v>
      </c>
      <c r="EU36" s="35">
        <v>18.899999999999999</v>
      </c>
      <c r="EV36" s="35">
        <v>18.5</v>
      </c>
      <c r="EW36" s="35">
        <v>18.5</v>
      </c>
      <c r="EX36" s="35">
        <v>18.600000000000001</v>
      </c>
      <c r="EY36" s="35">
        <v>18.7</v>
      </c>
      <c r="EZ36" s="35">
        <v>18.7</v>
      </c>
      <c r="FA36" s="35">
        <v>18.8</v>
      </c>
      <c r="FB36" s="35">
        <v>18.8</v>
      </c>
      <c r="FC36" s="35">
        <v>18.7</v>
      </c>
      <c r="FD36" s="35">
        <v>18.5</v>
      </c>
      <c r="FE36" s="35">
        <v>18.3</v>
      </c>
      <c r="FF36" s="35">
        <v>18</v>
      </c>
      <c r="FG36" s="35">
        <v>17.7</v>
      </c>
      <c r="FH36" s="35">
        <v>17.7</v>
      </c>
      <c r="FI36" s="35">
        <v>17.7</v>
      </c>
      <c r="FJ36" s="35">
        <v>17.899999999999999</v>
      </c>
      <c r="FK36" s="35">
        <v>18</v>
      </c>
      <c r="FL36" s="35">
        <v>17.899999999999999</v>
      </c>
      <c r="FM36" s="35">
        <v>17.7</v>
      </c>
      <c r="FN36" s="35">
        <v>17.399999999999999</v>
      </c>
      <c r="FO36" s="35">
        <v>17.2</v>
      </c>
      <c r="FP36" s="35">
        <v>17.100000000000001</v>
      </c>
      <c r="FQ36" s="35">
        <v>17.100000000000001</v>
      </c>
      <c r="FR36" s="35">
        <v>17.3</v>
      </c>
      <c r="FS36" s="35">
        <v>17.5</v>
      </c>
      <c r="FT36" s="35">
        <v>17.8</v>
      </c>
      <c r="FU36" s="35">
        <v>18.100000000000001</v>
      </c>
      <c r="FV36" s="35">
        <v>18.399999999999999</v>
      </c>
      <c r="FW36" s="35">
        <v>18.7</v>
      </c>
      <c r="FX36" s="35">
        <v>18.899999999999999</v>
      </c>
      <c r="FY36" s="35">
        <v>19</v>
      </c>
      <c r="FZ36" s="35">
        <v>19</v>
      </c>
      <c r="GA36" s="35">
        <v>19.100000000000001</v>
      </c>
      <c r="GB36" s="35">
        <v>19.3</v>
      </c>
      <c r="GC36" s="35">
        <v>19.5</v>
      </c>
      <c r="GD36" s="35">
        <v>19.8</v>
      </c>
      <c r="GE36" s="35">
        <v>20</v>
      </c>
      <c r="GF36" s="35">
        <v>20</v>
      </c>
      <c r="GG36" s="35">
        <v>20</v>
      </c>
      <c r="GH36" s="35">
        <v>19.8</v>
      </c>
      <c r="GI36" s="35">
        <v>19.8</v>
      </c>
      <c r="GJ36" s="35">
        <v>19.8</v>
      </c>
      <c r="GK36" s="35">
        <v>20</v>
      </c>
      <c r="GL36" s="35">
        <v>20.2</v>
      </c>
      <c r="GM36" s="35">
        <v>20.399999999999999</v>
      </c>
      <c r="GN36" s="35">
        <v>20.6</v>
      </c>
      <c r="GO36" s="35">
        <v>20.6</v>
      </c>
      <c r="GP36" s="35">
        <v>20.8</v>
      </c>
      <c r="GQ36" s="35">
        <v>20.8</v>
      </c>
      <c r="GR36" s="35">
        <v>20.6</v>
      </c>
      <c r="GS36" s="35">
        <v>20.399999999999999</v>
      </c>
      <c r="GT36" s="35">
        <v>20.3</v>
      </c>
      <c r="GU36" s="35">
        <v>19.3</v>
      </c>
      <c r="GV36" s="35">
        <v>19.899999999999999</v>
      </c>
      <c r="GW36" s="35">
        <v>20.7</v>
      </c>
      <c r="GX36" s="35">
        <v>21.3</v>
      </c>
      <c r="GY36" s="35">
        <v>22</v>
      </c>
      <c r="GZ36" s="35">
        <v>22.6</v>
      </c>
      <c r="HA36" s="35">
        <v>22.9</v>
      </c>
      <c r="HB36" s="35">
        <v>22.9</v>
      </c>
      <c r="HC36">
        <v>22.6</v>
      </c>
      <c r="HD36">
        <v>22.4</v>
      </c>
      <c r="HE36">
        <v>22</v>
      </c>
      <c r="HF36">
        <v>21.5</v>
      </c>
      <c r="HG36">
        <v>21.4</v>
      </c>
      <c r="HH36">
        <v>21.9</v>
      </c>
      <c r="HI36">
        <v>22.8</v>
      </c>
      <c r="HJ36">
        <v>24.3</v>
      </c>
    </row>
    <row r="37" spans="1:218" x14ac:dyDescent="0.25">
      <c r="A37" s="35" t="s">
        <v>2200</v>
      </c>
      <c r="B37" s="35">
        <v>14.7</v>
      </c>
      <c r="C37" s="35">
        <v>15.6</v>
      </c>
      <c r="D37" s="35">
        <v>16.600000000000001</v>
      </c>
      <c r="E37" s="35">
        <v>17.5</v>
      </c>
      <c r="F37" s="35">
        <v>18.3</v>
      </c>
      <c r="G37" s="35">
        <v>19.100000000000001</v>
      </c>
      <c r="H37" s="35">
        <v>19.600000000000001</v>
      </c>
      <c r="I37" s="35">
        <v>20.3</v>
      </c>
      <c r="J37" s="35">
        <v>21.2</v>
      </c>
      <c r="K37" s="35">
        <v>21.6</v>
      </c>
      <c r="L37" s="35">
        <v>22.5</v>
      </c>
      <c r="M37" s="35">
        <v>22.5</v>
      </c>
      <c r="N37" s="35">
        <v>23.2</v>
      </c>
      <c r="O37" s="35">
        <v>24</v>
      </c>
      <c r="P37" s="35">
        <v>24.2</v>
      </c>
      <c r="Q37" s="35">
        <v>25</v>
      </c>
      <c r="R37" s="35">
        <v>23.4</v>
      </c>
      <c r="S37" s="35">
        <v>24.7</v>
      </c>
      <c r="T37" s="35">
        <v>25.9</v>
      </c>
      <c r="U37" s="35">
        <v>27.1</v>
      </c>
      <c r="V37" s="35">
        <v>29.2</v>
      </c>
      <c r="W37" s="35">
        <v>30.5</v>
      </c>
      <c r="X37" s="35">
        <v>31</v>
      </c>
      <c r="Y37" s="35">
        <v>32.6</v>
      </c>
      <c r="Z37" s="35">
        <v>33.4</v>
      </c>
      <c r="AA37" s="35">
        <v>33.4</v>
      </c>
      <c r="AB37" s="35">
        <v>34.700000000000003</v>
      </c>
      <c r="AC37" s="35">
        <v>35</v>
      </c>
      <c r="AD37" s="35">
        <v>35.700000000000003</v>
      </c>
      <c r="AE37" s="35">
        <v>37.5</v>
      </c>
      <c r="AF37" s="35">
        <v>37.299999999999997</v>
      </c>
      <c r="AG37" s="35">
        <v>37.700000000000003</v>
      </c>
      <c r="AH37" s="35">
        <v>39.200000000000003</v>
      </c>
      <c r="AI37" s="35">
        <v>41</v>
      </c>
      <c r="AJ37" s="35">
        <v>41.3</v>
      </c>
      <c r="AK37" s="35">
        <v>41.7</v>
      </c>
      <c r="AL37" s="35">
        <v>42.4</v>
      </c>
      <c r="AM37" s="35">
        <v>43.5</v>
      </c>
      <c r="AN37" s="35">
        <v>44.5</v>
      </c>
      <c r="AO37" s="35">
        <v>46.9</v>
      </c>
      <c r="AP37" s="35">
        <v>49.1</v>
      </c>
      <c r="AQ37" s="35">
        <v>49</v>
      </c>
      <c r="AR37" s="35">
        <v>52.4</v>
      </c>
      <c r="AS37" s="35">
        <v>54.3</v>
      </c>
      <c r="AT37" s="35">
        <v>55.6</v>
      </c>
      <c r="AU37" s="35">
        <v>57.4</v>
      </c>
      <c r="AV37" s="35">
        <v>57.7</v>
      </c>
      <c r="AW37" s="35">
        <v>57.7</v>
      </c>
      <c r="AX37" s="35">
        <v>59</v>
      </c>
      <c r="AY37" s="35">
        <v>61</v>
      </c>
      <c r="AZ37" s="35">
        <v>62.1</v>
      </c>
      <c r="BA37" s="35">
        <v>62.6</v>
      </c>
      <c r="BB37" s="35">
        <v>65.8</v>
      </c>
      <c r="BC37" s="35">
        <v>66.3</v>
      </c>
      <c r="BD37" s="35">
        <v>67.2</v>
      </c>
      <c r="BE37" s="35">
        <v>68.3</v>
      </c>
      <c r="BF37" s="35">
        <v>69.900000000000006</v>
      </c>
      <c r="BG37" s="35">
        <v>70.599999999999994</v>
      </c>
      <c r="BH37" s="35">
        <v>71.3</v>
      </c>
      <c r="BI37" s="35">
        <v>72.8</v>
      </c>
      <c r="BJ37" s="35">
        <v>74.900000000000006</v>
      </c>
      <c r="BK37" s="35">
        <v>76.3</v>
      </c>
      <c r="BL37" s="35">
        <v>78.099999999999994</v>
      </c>
      <c r="BM37" s="35">
        <v>79.8</v>
      </c>
      <c r="BN37" s="35">
        <v>81.599999999999994</v>
      </c>
      <c r="BO37" s="35">
        <v>83.6</v>
      </c>
      <c r="BP37" s="35">
        <v>85.3</v>
      </c>
      <c r="BQ37" s="35">
        <v>86.9</v>
      </c>
      <c r="BR37" s="35">
        <v>88.3</v>
      </c>
      <c r="BS37" s="35">
        <v>89.9</v>
      </c>
      <c r="BT37" s="35">
        <v>91.6</v>
      </c>
      <c r="BU37" s="35">
        <v>93.1</v>
      </c>
      <c r="BV37" s="35">
        <v>95.3</v>
      </c>
      <c r="BW37" s="35">
        <v>97.3</v>
      </c>
      <c r="BX37" s="35">
        <v>99.5</v>
      </c>
      <c r="BY37" s="35">
        <v>101.9</v>
      </c>
      <c r="BZ37" s="35">
        <v>104.2</v>
      </c>
      <c r="CA37" s="35">
        <v>107.3</v>
      </c>
      <c r="CB37" s="35">
        <v>111</v>
      </c>
      <c r="CC37" s="35">
        <v>114.8</v>
      </c>
      <c r="CD37" s="35">
        <v>118.8</v>
      </c>
      <c r="CE37" s="35">
        <v>124.2</v>
      </c>
      <c r="CF37" s="35">
        <v>130.30000000000001</v>
      </c>
      <c r="CG37" s="35">
        <v>137.4</v>
      </c>
      <c r="CH37" s="35">
        <v>141.5</v>
      </c>
      <c r="CI37" s="35">
        <v>152.19999999999999</v>
      </c>
      <c r="CJ37" s="35">
        <v>158.6</v>
      </c>
      <c r="CK37" s="35">
        <v>173.8</v>
      </c>
      <c r="CL37" s="35">
        <v>170.5</v>
      </c>
      <c r="CM37" s="35">
        <v>178.6</v>
      </c>
      <c r="CN37" s="35">
        <v>185.8</v>
      </c>
      <c r="CO37" s="35">
        <v>185</v>
      </c>
      <c r="CP37" s="35">
        <v>188.9</v>
      </c>
      <c r="CQ37" s="35">
        <v>189.7</v>
      </c>
      <c r="CR37" s="35">
        <v>200.6</v>
      </c>
      <c r="CS37" s="35">
        <v>201.7</v>
      </c>
      <c r="CT37" s="35">
        <v>203.6</v>
      </c>
      <c r="CU37" s="35">
        <v>203.9</v>
      </c>
      <c r="CV37" s="35">
        <v>203.7</v>
      </c>
      <c r="CW37" s="35">
        <v>215.7</v>
      </c>
      <c r="CX37" s="35">
        <v>220.4</v>
      </c>
      <c r="CY37" s="35">
        <v>220.7</v>
      </c>
      <c r="CZ37" s="35">
        <v>220.7</v>
      </c>
      <c r="DA37" s="35">
        <v>208.8</v>
      </c>
      <c r="DB37" s="35">
        <v>218.2</v>
      </c>
      <c r="DC37" s="35">
        <v>232.2</v>
      </c>
      <c r="DD37" s="35">
        <v>224.8</v>
      </c>
      <c r="DE37" s="35">
        <v>221.7</v>
      </c>
      <c r="DF37" s="35">
        <v>226</v>
      </c>
      <c r="DG37" s="35">
        <v>223.7</v>
      </c>
      <c r="DH37" s="35">
        <v>228</v>
      </c>
      <c r="DI37" s="35">
        <v>232.4</v>
      </c>
      <c r="DJ37" s="35">
        <v>232.1</v>
      </c>
      <c r="DK37" s="35">
        <v>235.3</v>
      </c>
      <c r="DL37" s="35">
        <v>233.9</v>
      </c>
      <c r="DM37" s="35">
        <v>241.7</v>
      </c>
      <c r="DN37" s="35">
        <v>247.8</v>
      </c>
      <c r="DO37" s="35">
        <v>246.4</v>
      </c>
      <c r="DP37" s="35">
        <v>255</v>
      </c>
      <c r="DQ37" s="35">
        <v>260.2</v>
      </c>
      <c r="DR37" s="35">
        <v>260.10000000000002</v>
      </c>
      <c r="DS37" s="35">
        <v>269.39999999999998</v>
      </c>
      <c r="DT37" s="35">
        <v>277.2</v>
      </c>
      <c r="DU37" s="35">
        <v>279.10000000000002</v>
      </c>
      <c r="DV37" s="35">
        <v>290.39999999999998</v>
      </c>
      <c r="DW37" s="35">
        <v>308</v>
      </c>
      <c r="DX37" s="35">
        <v>295.8</v>
      </c>
      <c r="DY37" s="35">
        <v>326</v>
      </c>
      <c r="DZ37" s="35">
        <v>326</v>
      </c>
      <c r="EA37" s="35">
        <v>326</v>
      </c>
      <c r="EB37" s="35">
        <v>334.7</v>
      </c>
      <c r="EC37" s="35">
        <v>345.4</v>
      </c>
      <c r="ED37" s="35">
        <v>347</v>
      </c>
      <c r="EE37" s="35">
        <v>348.3</v>
      </c>
      <c r="EF37" s="35">
        <v>361.8</v>
      </c>
      <c r="EG37" s="35">
        <v>357</v>
      </c>
      <c r="EH37" s="35">
        <v>376</v>
      </c>
      <c r="EI37" s="35">
        <v>387.1</v>
      </c>
      <c r="EJ37" s="35">
        <v>385.7</v>
      </c>
      <c r="EK37" s="35">
        <v>391</v>
      </c>
      <c r="EL37" s="35">
        <v>399.1</v>
      </c>
      <c r="EM37" s="35">
        <v>410</v>
      </c>
      <c r="EN37" s="35">
        <v>409.1</v>
      </c>
      <c r="EO37" s="35">
        <v>407.9</v>
      </c>
      <c r="EP37" s="35">
        <v>394</v>
      </c>
      <c r="EQ37" s="35">
        <v>399.2</v>
      </c>
      <c r="ER37" s="35">
        <v>414.4</v>
      </c>
      <c r="ES37" s="35">
        <v>408.1</v>
      </c>
      <c r="ET37" s="35">
        <v>440.1</v>
      </c>
      <c r="EU37" s="35">
        <v>423.7</v>
      </c>
      <c r="EV37" s="35">
        <v>429.9</v>
      </c>
      <c r="EW37" s="35">
        <v>442.3</v>
      </c>
      <c r="EX37" s="35">
        <v>446.3</v>
      </c>
      <c r="EY37" s="35">
        <v>456</v>
      </c>
      <c r="EZ37" s="35">
        <v>460</v>
      </c>
      <c r="FA37" s="35">
        <v>462.1</v>
      </c>
      <c r="FB37" s="35">
        <v>480.2</v>
      </c>
      <c r="FC37" s="35">
        <v>492</v>
      </c>
      <c r="FD37" s="35">
        <v>502.4</v>
      </c>
      <c r="FE37" s="35">
        <v>498.2</v>
      </c>
      <c r="FF37" s="35">
        <v>508.7</v>
      </c>
      <c r="FG37" s="35">
        <v>513</v>
      </c>
      <c r="FH37" s="35">
        <v>533.20000000000005</v>
      </c>
      <c r="FI37" s="35">
        <v>540.79999999999995</v>
      </c>
      <c r="FJ37" s="35">
        <v>544.4</v>
      </c>
      <c r="FK37" s="35">
        <v>534.70000000000005</v>
      </c>
      <c r="FL37" s="35">
        <v>520.70000000000005</v>
      </c>
      <c r="FM37" s="35">
        <v>522.9</v>
      </c>
      <c r="FN37" s="35">
        <v>523.9</v>
      </c>
      <c r="FO37" s="35">
        <v>544.4</v>
      </c>
      <c r="FP37" s="35">
        <v>542</v>
      </c>
      <c r="FQ37" s="35">
        <v>552.70000000000005</v>
      </c>
      <c r="FR37" s="35">
        <v>548.4</v>
      </c>
      <c r="FS37" s="35">
        <v>562.79999999999995</v>
      </c>
      <c r="FT37" s="35">
        <v>572.79999999999995</v>
      </c>
      <c r="FU37" s="35">
        <v>573.6</v>
      </c>
      <c r="FV37" s="35">
        <v>585.1</v>
      </c>
      <c r="FW37" s="35">
        <v>607.79999999999995</v>
      </c>
      <c r="FX37" s="35">
        <v>634.1</v>
      </c>
      <c r="FY37" s="35">
        <v>643.20000000000005</v>
      </c>
      <c r="FZ37" s="35">
        <v>652.20000000000005</v>
      </c>
      <c r="GA37" s="35">
        <v>667.3</v>
      </c>
      <c r="GB37" s="35">
        <v>670.2</v>
      </c>
      <c r="GC37" s="35">
        <v>671.5</v>
      </c>
      <c r="GD37" s="35">
        <v>679.9</v>
      </c>
      <c r="GE37" s="35">
        <v>688.5</v>
      </c>
      <c r="GF37" s="35">
        <v>697.2</v>
      </c>
      <c r="GG37" s="35">
        <v>706.6</v>
      </c>
      <c r="GH37" s="35">
        <v>705.1</v>
      </c>
      <c r="GI37" s="35">
        <v>702.3</v>
      </c>
      <c r="GJ37" s="35">
        <v>718</v>
      </c>
      <c r="GK37" s="35">
        <v>713.3</v>
      </c>
      <c r="GL37" s="35">
        <v>720.7</v>
      </c>
      <c r="GM37" s="35">
        <v>732.9</v>
      </c>
      <c r="GN37" s="35">
        <v>737.3</v>
      </c>
      <c r="GO37" s="35">
        <v>733.6</v>
      </c>
      <c r="GP37" s="35">
        <v>744.2</v>
      </c>
      <c r="GQ37" s="35">
        <v>762.1</v>
      </c>
      <c r="GR37" s="35">
        <v>772.2</v>
      </c>
      <c r="GS37" s="35">
        <v>772.4</v>
      </c>
      <c r="GT37" s="35">
        <v>761.7</v>
      </c>
      <c r="GU37" s="35">
        <v>812.1</v>
      </c>
      <c r="GV37" s="35">
        <v>850.2</v>
      </c>
      <c r="GW37" s="35">
        <v>838.8</v>
      </c>
      <c r="GX37" s="35">
        <v>866.1</v>
      </c>
      <c r="GY37" s="35">
        <v>908</v>
      </c>
      <c r="GZ37" s="35">
        <v>915.6</v>
      </c>
      <c r="HA37" s="35">
        <v>912.9</v>
      </c>
      <c r="HB37" s="35">
        <v>960.5</v>
      </c>
      <c r="HC37">
        <v>995.3</v>
      </c>
      <c r="HD37">
        <v>1015.5</v>
      </c>
      <c r="HE37">
        <v>1078.2</v>
      </c>
      <c r="HF37">
        <v>1055.7</v>
      </c>
      <c r="HG37">
        <v>1087.5</v>
      </c>
      <c r="HH37">
        <v>1057.5999999999999</v>
      </c>
      <c r="HI37">
        <v>1045.2</v>
      </c>
      <c r="HJ37">
        <v>1100.2</v>
      </c>
    </row>
    <row r="38" spans="1:218" x14ac:dyDescent="0.25">
      <c r="A38" s="35" t="s">
        <v>2201</v>
      </c>
      <c r="B38" s="35">
        <v>129.9</v>
      </c>
      <c r="C38" s="35">
        <v>134.1</v>
      </c>
      <c r="D38" s="35">
        <v>140.1</v>
      </c>
      <c r="E38" s="35">
        <v>144.30000000000001</v>
      </c>
      <c r="F38" s="35">
        <v>149.1</v>
      </c>
      <c r="G38" s="35">
        <v>153.6</v>
      </c>
      <c r="H38" s="35">
        <v>156.9</v>
      </c>
      <c r="I38" s="35">
        <v>161</v>
      </c>
      <c r="J38" s="35">
        <v>165.7</v>
      </c>
      <c r="K38" s="35">
        <v>167.9</v>
      </c>
      <c r="L38" s="35">
        <v>172.5</v>
      </c>
      <c r="M38" s="35">
        <v>176.8</v>
      </c>
      <c r="N38" s="35">
        <v>181.7</v>
      </c>
      <c r="O38" s="35">
        <v>185.7</v>
      </c>
      <c r="P38" s="35">
        <v>190</v>
      </c>
      <c r="Q38" s="35">
        <v>195.9</v>
      </c>
      <c r="R38" s="35">
        <v>201.1</v>
      </c>
      <c r="S38" s="35">
        <v>210.1</v>
      </c>
      <c r="T38" s="35">
        <v>217</v>
      </c>
      <c r="U38" s="35">
        <v>223.7</v>
      </c>
      <c r="V38" s="35">
        <v>235.9</v>
      </c>
      <c r="W38" s="35">
        <v>240.3</v>
      </c>
      <c r="X38" s="35">
        <v>246.6</v>
      </c>
      <c r="Y38" s="35">
        <v>254.2</v>
      </c>
      <c r="Z38" s="35">
        <v>260.3</v>
      </c>
      <c r="AA38" s="35">
        <v>259.39999999999998</v>
      </c>
      <c r="AB38" s="35">
        <v>261.3</v>
      </c>
      <c r="AC38" s="35">
        <v>263.89999999999998</v>
      </c>
      <c r="AD38" s="35">
        <v>271.10000000000002</v>
      </c>
      <c r="AE38" s="35">
        <v>278.60000000000002</v>
      </c>
      <c r="AF38" s="35">
        <v>282.3</v>
      </c>
      <c r="AG38" s="35">
        <v>287.5</v>
      </c>
      <c r="AH38" s="35">
        <v>292.5</v>
      </c>
      <c r="AI38" s="35">
        <v>306</v>
      </c>
      <c r="AJ38" s="35">
        <v>313.5</v>
      </c>
      <c r="AK38" s="35">
        <v>320.5</v>
      </c>
      <c r="AL38" s="35">
        <v>323.2</v>
      </c>
      <c r="AM38" s="35">
        <v>333.2</v>
      </c>
      <c r="AN38" s="35">
        <v>344.8</v>
      </c>
      <c r="AO38" s="35">
        <v>356.1</v>
      </c>
      <c r="AP38" s="35">
        <v>367.6</v>
      </c>
      <c r="AQ38" s="35">
        <v>371.7</v>
      </c>
      <c r="AR38" s="35">
        <v>379.1</v>
      </c>
      <c r="AS38" s="35">
        <v>388.1</v>
      </c>
      <c r="AT38" s="35">
        <v>402.6</v>
      </c>
      <c r="AU38" s="35">
        <v>405.3</v>
      </c>
      <c r="AV38" s="35">
        <v>409.8</v>
      </c>
      <c r="AW38" s="35">
        <v>418.5</v>
      </c>
      <c r="AX38" s="35">
        <v>425.5</v>
      </c>
      <c r="AY38" s="35">
        <v>435.4</v>
      </c>
      <c r="AZ38" s="35">
        <v>443.4</v>
      </c>
      <c r="BA38" s="35">
        <v>452.9</v>
      </c>
      <c r="BB38" s="35">
        <v>461.9</v>
      </c>
      <c r="BC38" s="35">
        <v>467.5</v>
      </c>
      <c r="BD38" s="35">
        <v>476.7</v>
      </c>
      <c r="BE38" s="35">
        <v>482.1</v>
      </c>
      <c r="BF38" s="35">
        <v>495.1</v>
      </c>
      <c r="BG38" s="35">
        <v>505.9</v>
      </c>
      <c r="BH38" s="35">
        <v>518.29999999999995</v>
      </c>
      <c r="BI38" s="35">
        <v>529.29999999999995</v>
      </c>
      <c r="BJ38" s="35">
        <v>542.70000000000005</v>
      </c>
      <c r="BK38" s="35">
        <v>557.70000000000005</v>
      </c>
      <c r="BL38" s="35">
        <v>571.6</v>
      </c>
      <c r="BM38" s="35">
        <v>582.20000000000005</v>
      </c>
      <c r="BN38" s="35">
        <v>595.9</v>
      </c>
      <c r="BO38" s="35">
        <v>605.5</v>
      </c>
      <c r="BP38" s="35">
        <v>616.5</v>
      </c>
      <c r="BQ38" s="35">
        <v>626.29999999999995</v>
      </c>
      <c r="BR38" s="35">
        <v>637.79999999999995</v>
      </c>
      <c r="BS38" s="35">
        <v>646.9</v>
      </c>
      <c r="BT38" s="35">
        <v>656.4</v>
      </c>
      <c r="BU38" s="35">
        <v>668.1</v>
      </c>
      <c r="BV38" s="35">
        <v>678.6</v>
      </c>
      <c r="BW38" s="35">
        <v>693.1</v>
      </c>
      <c r="BX38" s="35">
        <v>703.2</v>
      </c>
      <c r="BY38" s="35">
        <v>720.1</v>
      </c>
      <c r="BZ38" s="35">
        <v>736.6</v>
      </c>
      <c r="CA38" s="35">
        <v>755.1</v>
      </c>
      <c r="CB38" s="35">
        <v>770.4</v>
      </c>
      <c r="CC38" s="35">
        <v>790</v>
      </c>
      <c r="CD38" s="35">
        <v>811.4</v>
      </c>
      <c r="CE38" s="35">
        <v>824.1</v>
      </c>
      <c r="CF38" s="35">
        <v>843.9</v>
      </c>
      <c r="CG38" s="35">
        <v>871</v>
      </c>
      <c r="CH38" s="35">
        <v>881.6</v>
      </c>
      <c r="CI38" s="35">
        <v>901.3</v>
      </c>
      <c r="CJ38" s="35">
        <v>919.2</v>
      </c>
      <c r="CK38" s="35">
        <v>947</v>
      </c>
      <c r="CL38" s="35">
        <v>959.3</v>
      </c>
      <c r="CM38" s="35">
        <v>975.2</v>
      </c>
      <c r="CN38" s="35">
        <v>988.2</v>
      </c>
      <c r="CO38" s="35">
        <v>991.3</v>
      </c>
      <c r="CP38" s="35">
        <v>1001.1</v>
      </c>
      <c r="CQ38" s="35">
        <v>1011.6</v>
      </c>
      <c r="CR38" s="35">
        <v>1028.0999999999999</v>
      </c>
      <c r="CS38" s="35">
        <v>1036.0999999999999</v>
      </c>
      <c r="CT38" s="35">
        <v>1046.5999999999999</v>
      </c>
      <c r="CU38" s="35">
        <v>1060.5</v>
      </c>
      <c r="CV38" s="35">
        <v>1077.4000000000001</v>
      </c>
      <c r="CW38" s="35">
        <v>1100.7</v>
      </c>
      <c r="CX38" s="35">
        <v>1118.5</v>
      </c>
      <c r="CY38" s="35">
        <v>1132.8</v>
      </c>
      <c r="CZ38" s="35">
        <v>1136.8</v>
      </c>
      <c r="DA38" s="35">
        <v>1131.2</v>
      </c>
      <c r="DB38" s="35">
        <v>1145.0999999999999</v>
      </c>
      <c r="DC38" s="35">
        <v>1171.4000000000001</v>
      </c>
      <c r="DD38" s="35">
        <v>1176</v>
      </c>
      <c r="DE38" s="35">
        <v>1192</v>
      </c>
      <c r="DF38" s="35">
        <v>1202.5</v>
      </c>
      <c r="DG38" s="35">
        <v>1209</v>
      </c>
      <c r="DH38" s="35">
        <v>1225.5</v>
      </c>
      <c r="DI38" s="35">
        <v>1243.5</v>
      </c>
      <c r="DJ38" s="35">
        <v>1250.5</v>
      </c>
      <c r="DK38" s="35">
        <v>1272.2</v>
      </c>
      <c r="DL38" s="35">
        <v>1290.9000000000001</v>
      </c>
      <c r="DM38" s="35">
        <v>1312.2</v>
      </c>
      <c r="DN38" s="35">
        <v>1338.9</v>
      </c>
      <c r="DO38" s="35">
        <v>1357.5</v>
      </c>
      <c r="DP38" s="35">
        <v>1388.2</v>
      </c>
      <c r="DQ38" s="35">
        <v>1417.2</v>
      </c>
      <c r="DR38" s="35">
        <v>1435.6</v>
      </c>
      <c r="DS38" s="35">
        <v>1453</v>
      </c>
      <c r="DT38" s="35">
        <v>1478</v>
      </c>
      <c r="DU38" s="35">
        <v>1507</v>
      </c>
      <c r="DV38" s="35">
        <v>1560.6</v>
      </c>
      <c r="DW38" s="35">
        <v>1617.6</v>
      </c>
      <c r="DX38" s="35">
        <v>1597.3</v>
      </c>
      <c r="DY38" s="35">
        <v>1656.2</v>
      </c>
      <c r="DZ38" s="35">
        <v>1677.3</v>
      </c>
      <c r="EA38" s="35">
        <v>1694.5</v>
      </c>
      <c r="EB38" s="35">
        <v>1724.4</v>
      </c>
      <c r="EC38" s="35">
        <v>1756.3</v>
      </c>
      <c r="ED38" s="35">
        <v>1781.7</v>
      </c>
      <c r="EE38" s="35">
        <v>1783.4</v>
      </c>
      <c r="EF38" s="35">
        <v>1811.7</v>
      </c>
      <c r="EG38" s="35">
        <v>1814.6</v>
      </c>
      <c r="EH38" s="35">
        <v>1843.6</v>
      </c>
      <c r="EI38" s="35">
        <v>1868.2</v>
      </c>
      <c r="EJ38" s="35">
        <v>1895.3</v>
      </c>
      <c r="EK38" s="35">
        <v>1903</v>
      </c>
      <c r="EL38" s="35">
        <v>1925.1</v>
      </c>
      <c r="EM38" s="35">
        <v>1952.9</v>
      </c>
      <c r="EN38" s="35">
        <v>1978</v>
      </c>
      <c r="EO38" s="35">
        <v>2024.5</v>
      </c>
      <c r="EP38" s="35">
        <v>2008</v>
      </c>
      <c r="EQ38" s="35">
        <v>2042.4</v>
      </c>
      <c r="ER38" s="35">
        <v>2078.5</v>
      </c>
      <c r="ES38" s="35">
        <v>2094.1999999999998</v>
      </c>
      <c r="ET38" s="35">
        <v>2165.9</v>
      </c>
      <c r="EU38" s="35">
        <v>2182.4</v>
      </c>
      <c r="EV38" s="35">
        <v>2205.9</v>
      </c>
      <c r="EW38" s="35">
        <v>2242.1</v>
      </c>
      <c r="EX38" s="35">
        <v>2256.4</v>
      </c>
      <c r="EY38" s="35">
        <v>2293.3000000000002</v>
      </c>
      <c r="EZ38" s="35">
        <v>2337.8000000000002</v>
      </c>
      <c r="FA38" s="35">
        <v>2337.1999999999998</v>
      </c>
      <c r="FB38" s="35">
        <v>2371.5</v>
      </c>
      <c r="FC38" s="35">
        <v>2419.8000000000002</v>
      </c>
      <c r="FD38" s="35">
        <v>2446.9</v>
      </c>
      <c r="FE38" s="35">
        <v>2444.5</v>
      </c>
      <c r="FF38" s="35">
        <v>2439.1</v>
      </c>
      <c r="FG38" s="35">
        <v>2443.1</v>
      </c>
      <c r="FH38" s="35">
        <v>2451.4</v>
      </c>
      <c r="FI38" s="35">
        <v>2452.3000000000002</v>
      </c>
      <c r="FJ38" s="35">
        <v>2451.4</v>
      </c>
      <c r="FK38" s="35">
        <v>2445</v>
      </c>
      <c r="FL38" s="35">
        <v>2423.3000000000002</v>
      </c>
      <c r="FM38" s="35">
        <v>2417.9</v>
      </c>
      <c r="FN38" s="35">
        <v>2431.3000000000002</v>
      </c>
      <c r="FO38" s="35">
        <v>2447.1999999999998</v>
      </c>
      <c r="FP38" s="35">
        <v>2448.6</v>
      </c>
      <c r="FQ38" s="35">
        <v>2475.8000000000002</v>
      </c>
      <c r="FR38" s="35">
        <v>2483.9</v>
      </c>
      <c r="FS38" s="35">
        <v>2506.1999999999998</v>
      </c>
      <c r="FT38" s="35">
        <v>2526.9</v>
      </c>
      <c r="FU38" s="35">
        <v>2529.9</v>
      </c>
      <c r="FV38" s="35">
        <v>2540.3000000000002</v>
      </c>
      <c r="FW38" s="35">
        <v>2577.6</v>
      </c>
      <c r="FX38" s="35">
        <v>2619.9</v>
      </c>
      <c r="FY38" s="35">
        <v>2643.5</v>
      </c>
      <c r="FZ38" s="35">
        <v>2650.2</v>
      </c>
      <c r="GA38" s="35">
        <v>2706.1</v>
      </c>
      <c r="GB38" s="35">
        <v>2730.1</v>
      </c>
      <c r="GC38" s="35">
        <v>2731.2</v>
      </c>
      <c r="GD38" s="35">
        <v>2755.7</v>
      </c>
      <c r="GE38" s="35">
        <v>2784.2</v>
      </c>
      <c r="GF38" s="35">
        <v>2809.5</v>
      </c>
      <c r="GG38" s="35">
        <v>2835</v>
      </c>
      <c r="GH38" s="35">
        <v>2849.2</v>
      </c>
      <c r="GI38" s="35">
        <v>2851.8</v>
      </c>
      <c r="GJ38" s="35">
        <v>2892.4</v>
      </c>
      <c r="GK38" s="35">
        <v>2918.9</v>
      </c>
      <c r="GL38" s="35">
        <v>2940.4</v>
      </c>
      <c r="GM38" s="35">
        <v>2985</v>
      </c>
      <c r="GN38" s="35">
        <v>3020.2</v>
      </c>
      <c r="GO38" s="35">
        <v>3027</v>
      </c>
      <c r="GP38" s="35">
        <v>3072.9</v>
      </c>
      <c r="GQ38" s="35">
        <v>3145</v>
      </c>
      <c r="GR38" s="35">
        <v>3186</v>
      </c>
      <c r="GS38" s="35">
        <v>3217.4</v>
      </c>
      <c r="GT38" s="35">
        <v>3253.3</v>
      </c>
      <c r="GU38" s="35">
        <v>3270.2</v>
      </c>
      <c r="GV38" s="35">
        <v>3318.1</v>
      </c>
      <c r="GW38" s="35">
        <v>3320.8</v>
      </c>
      <c r="GX38" s="35">
        <v>3391.6</v>
      </c>
      <c r="GY38" s="35">
        <v>3465</v>
      </c>
      <c r="GZ38" s="35">
        <v>3501.8</v>
      </c>
      <c r="HA38" s="35">
        <v>3516.4</v>
      </c>
      <c r="HB38" s="35">
        <v>3592.5</v>
      </c>
      <c r="HC38">
        <v>3691.8</v>
      </c>
      <c r="HD38">
        <v>3753.6</v>
      </c>
      <c r="HE38">
        <v>3851.6</v>
      </c>
      <c r="HF38">
        <v>3877.6</v>
      </c>
      <c r="HG38">
        <v>3934.2</v>
      </c>
      <c r="HH38">
        <v>3985.3</v>
      </c>
      <c r="HI38">
        <v>4017.4</v>
      </c>
      <c r="HJ38">
        <v>4107.2</v>
      </c>
    </row>
    <row r="39" spans="1:218" x14ac:dyDescent="0.25">
      <c r="A39" s="35" t="s">
        <v>2202</v>
      </c>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5"/>
      <c r="BE39" s="35"/>
      <c r="BF39" s="35"/>
      <c r="BG39" s="35"/>
      <c r="BH39" s="35"/>
      <c r="BI39" s="35"/>
      <c r="BJ39" s="35"/>
      <c r="BK39" s="35"/>
      <c r="BL39" s="35"/>
      <c r="BM39" s="35"/>
      <c r="BN39" s="35"/>
      <c r="BO39" s="35"/>
      <c r="BP39" s="35"/>
      <c r="BQ39" s="35"/>
      <c r="BR39" s="35"/>
      <c r="BS39" s="35"/>
      <c r="BT39" s="35"/>
      <c r="BU39" s="35"/>
      <c r="BV39" s="35"/>
      <c r="BW39" s="35"/>
      <c r="BX39" s="35"/>
      <c r="BY39" s="35"/>
      <c r="BZ39" s="35"/>
      <c r="CA39" s="35"/>
      <c r="CB39" s="35"/>
      <c r="CC39" s="35"/>
      <c r="CD39" s="35"/>
      <c r="CE39" s="35"/>
      <c r="CF39" s="35"/>
      <c r="CG39" s="35"/>
      <c r="CH39" s="35"/>
      <c r="CI39" s="35"/>
      <c r="CJ39" s="35"/>
      <c r="CK39" s="35"/>
      <c r="CL39" s="35"/>
      <c r="CM39" s="35"/>
      <c r="CN39" s="35"/>
      <c r="CO39" s="35"/>
      <c r="CP39" s="35">
        <v>78.072000000000003</v>
      </c>
      <c r="CQ39" s="35">
        <v>80.831000000000003</v>
      </c>
      <c r="CR39" s="35">
        <v>85.251000000000005</v>
      </c>
      <c r="CS39" s="35">
        <v>88.177999999999997</v>
      </c>
      <c r="CT39" s="35">
        <v>84.001999999999995</v>
      </c>
      <c r="CU39" s="35">
        <v>86.254999999999995</v>
      </c>
      <c r="CV39" s="35">
        <v>87.977999999999994</v>
      </c>
      <c r="CW39" s="35">
        <v>89.828999999999994</v>
      </c>
      <c r="CX39" s="35">
        <v>95.218000000000004</v>
      </c>
      <c r="CY39" s="35">
        <v>94.483999999999995</v>
      </c>
      <c r="CZ39" s="35">
        <v>93.858000000000004</v>
      </c>
      <c r="DA39" s="35">
        <v>92.180999999999997</v>
      </c>
      <c r="DB39" s="35">
        <v>94.539000000000001</v>
      </c>
      <c r="DC39" s="35">
        <v>102.461</v>
      </c>
      <c r="DD39" s="35">
        <v>99.671999999999997</v>
      </c>
      <c r="DE39" s="35">
        <v>97.608999999999995</v>
      </c>
      <c r="DF39" s="35">
        <v>98.691000000000003</v>
      </c>
      <c r="DG39" s="35">
        <v>98.641999999999996</v>
      </c>
      <c r="DH39" s="35">
        <v>101.001</v>
      </c>
      <c r="DI39" s="35">
        <v>105.738</v>
      </c>
      <c r="DJ39" s="35">
        <v>103.992</v>
      </c>
      <c r="DK39" s="35">
        <v>106.28700000000001</v>
      </c>
      <c r="DL39" s="35">
        <v>106.646</v>
      </c>
      <c r="DM39" s="35">
        <v>110.762</v>
      </c>
      <c r="DN39" s="35">
        <v>114.027</v>
      </c>
      <c r="DO39" s="35">
        <v>113.559</v>
      </c>
      <c r="DP39" s="35">
        <v>120.524</v>
      </c>
      <c r="DQ39" s="35">
        <v>121.904</v>
      </c>
      <c r="DR39" s="35">
        <v>121.898</v>
      </c>
      <c r="DS39" s="35">
        <v>123.319</v>
      </c>
      <c r="DT39" s="35">
        <v>133.626</v>
      </c>
      <c r="DU39" s="35">
        <v>129.62200000000001</v>
      </c>
      <c r="DV39" s="35">
        <v>138.71600000000001</v>
      </c>
      <c r="DW39" s="35">
        <v>145.774</v>
      </c>
      <c r="DX39" s="35">
        <v>143.21899999999999</v>
      </c>
      <c r="DY39" s="35">
        <v>153.809</v>
      </c>
      <c r="DZ39" s="35">
        <v>156.084</v>
      </c>
      <c r="EA39" s="35">
        <v>157.45500000000001</v>
      </c>
      <c r="EB39" s="35">
        <v>164.01</v>
      </c>
      <c r="EC39" s="35">
        <v>166.934</v>
      </c>
      <c r="ED39" s="35">
        <v>165.90600000000001</v>
      </c>
      <c r="EE39" s="35">
        <v>171.10599999999999</v>
      </c>
      <c r="EF39" s="35">
        <v>186.792</v>
      </c>
      <c r="EG39" s="35">
        <v>182.54300000000001</v>
      </c>
      <c r="EH39" s="35">
        <v>190.07</v>
      </c>
      <c r="EI39" s="35">
        <v>194.96299999999999</v>
      </c>
      <c r="EJ39" s="35">
        <v>186.476</v>
      </c>
      <c r="EK39" s="35">
        <v>191.75200000000001</v>
      </c>
      <c r="EL39" s="35">
        <v>199.036</v>
      </c>
      <c r="EM39" s="35">
        <v>200.24600000000001</v>
      </c>
      <c r="EN39" s="35">
        <v>195.23099999999999</v>
      </c>
      <c r="EO39" s="35">
        <v>197.352</v>
      </c>
      <c r="EP39" s="35">
        <v>191.74700000000001</v>
      </c>
      <c r="EQ39" s="35">
        <v>189.018</v>
      </c>
      <c r="ER39" s="35">
        <v>197.488</v>
      </c>
      <c r="ES39" s="35">
        <v>189.083</v>
      </c>
      <c r="ET39" s="35">
        <v>209.34700000000001</v>
      </c>
      <c r="EU39" s="35">
        <v>201.38300000000001</v>
      </c>
      <c r="EV39" s="35">
        <v>204.31800000000001</v>
      </c>
      <c r="EW39" s="35">
        <v>206.11</v>
      </c>
      <c r="EX39" s="35">
        <v>209.60300000000001</v>
      </c>
      <c r="EY39" s="35">
        <v>216.57</v>
      </c>
      <c r="EZ39" s="35">
        <v>213.01599999999999</v>
      </c>
      <c r="FA39" s="35">
        <v>217.49100000000001</v>
      </c>
      <c r="FB39" s="35">
        <v>266.40699999999998</v>
      </c>
      <c r="FC39" s="35">
        <v>284.52600000000001</v>
      </c>
      <c r="FD39" s="35">
        <v>273.90300000000002</v>
      </c>
      <c r="FE39" s="35">
        <v>272.34500000000003</v>
      </c>
      <c r="FF39" s="35">
        <v>283.26799999999997</v>
      </c>
      <c r="FG39" s="35">
        <v>290.80799999999999</v>
      </c>
      <c r="FH39" s="35">
        <v>297.13</v>
      </c>
      <c r="FI39" s="35">
        <v>309.66800000000001</v>
      </c>
      <c r="FJ39" s="35">
        <v>293.83999999999997</v>
      </c>
      <c r="FK39" s="35">
        <v>288.89999999999998</v>
      </c>
      <c r="FL39" s="35">
        <v>248.81299999999999</v>
      </c>
      <c r="FM39" s="35">
        <v>249.625</v>
      </c>
      <c r="FN39" s="35">
        <v>258.161</v>
      </c>
      <c r="FO39" s="35">
        <v>273.39</v>
      </c>
      <c r="FP39" s="35">
        <v>263.07900000000001</v>
      </c>
      <c r="FQ39" s="35">
        <v>269.70999999999998</v>
      </c>
      <c r="FR39" s="35">
        <v>272.06299999999999</v>
      </c>
      <c r="FS39" s="35">
        <v>283.40800000000002</v>
      </c>
      <c r="FT39" s="35">
        <v>281.45499999999998</v>
      </c>
      <c r="FU39" s="35">
        <v>282.10700000000003</v>
      </c>
      <c r="FV39" s="35">
        <v>303.39</v>
      </c>
      <c r="FW39" s="35">
        <v>320.01499999999999</v>
      </c>
      <c r="FX39" s="35">
        <v>343.69200000000001</v>
      </c>
      <c r="FY39" s="35">
        <v>345.71199999999999</v>
      </c>
      <c r="FZ39" s="35">
        <v>362.79199999999997</v>
      </c>
      <c r="GA39" s="35">
        <v>363.41</v>
      </c>
      <c r="GB39" s="35">
        <v>365.38400000000001</v>
      </c>
      <c r="GC39" s="35">
        <v>384.03199999999998</v>
      </c>
      <c r="GD39" s="35">
        <v>378.24599999999998</v>
      </c>
      <c r="GE39" s="35">
        <v>382.36700000000002</v>
      </c>
      <c r="GF39" s="35">
        <v>396.21600000000001</v>
      </c>
      <c r="GG39" s="35">
        <v>408.32299999999998</v>
      </c>
      <c r="GH39" s="35">
        <v>396.16199999999998</v>
      </c>
      <c r="GI39" s="35">
        <v>373.916</v>
      </c>
      <c r="GJ39" s="35">
        <v>396.06599999999997</v>
      </c>
      <c r="GK39" s="35">
        <v>401.38499999999999</v>
      </c>
      <c r="GL39" s="35">
        <v>411.488</v>
      </c>
      <c r="GM39" s="35">
        <v>404.339</v>
      </c>
      <c r="GN39" s="35">
        <v>411.95499999999998</v>
      </c>
      <c r="GO39" s="35">
        <v>412.702</v>
      </c>
      <c r="GP39" s="35">
        <v>428.54199999999997</v>
      </c>
      <c r="GQ39" s="35">
        <v>435.80200000000002</v>
      </c>
      <c r="GR39" s="35">
        <v>438.41199999999998</v>
      </c>
      <c r="GS39" s="35">
        <v>438.09800000000001</v>
      </c>
      <c r="GT39" s="35">
        <v>448.28899999999999</v>
      </c>
      <c r="GU39" s="35">
        <v>580.39099999999996</v>
      </c>
      <c r="GV39" s="35">
        <v>533.846</v>
      </c>
      <c r="GW39" s="35">
        <v>544.28700000000003</v>
      </c>
      <c r="GX39" s="35">
        <v>541.42399999999998</v>
      </c>
      <c r="GY39" s="35">
        <v>556.03399999999999</v>
      </c>
      <c r="GZ39" s="35">
        <v>581.58000000000004</v>
      </c>
      <c r="HA39" s="35">
        <v>611.87599999999998</v>
      </c>
      <c r="HB39" s="35">
        <v>640.38</v>
      </c>
      <c r="HC39">
        <v>637.29200000000003</v>
      </c>
      <c r="HD39">
        <v>641.39700000000005</v>
      </c>
      <c r="HE39">
        <v>640.96799999999996</v>
      </c>
      <c r="HF39">
        <v>663.50199999999995</v>
      </c>
      <c r="HG39">
        <v>669.447</v>
      </c>
      <c r="HH39">
        <v>622.95699999999999</v>
      </c>
      <c r="HI39">
        <v>646.50400000000002</v>
      </c>
      <c r="HJ39">
        <v>643.06399999999996</v>
      </c>
    </row>
    <row r="40" spans="1:218" x14ac:dyDescent="0.25">
      <c r="A40" s="35" t="s">
        <v>2203</v>
      </c>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c r="AZ40" s="35"/>
      <c r="BA40" s="35"/>
      <c r="BB40" s="35"/>
      <c r="BC40" s="35"/>
      <c r="BD40" s="35"/>
      <c r="BE40" s="35"/>
      <c r="BF40" s="35"/>
      <c r="BG40" s="35"/>
      <c r="BH40" s="35"/>
      <c r="BI40" s="35"/>
      <c r="BJ40" s="35"/>
      <c r="BK40" s="35"/>
      <c r="BL40" s="35"/>
      <c r="BM40" s="35"/>
      <c r="BN40" s="35"/>
      <c r="BO40" s="35"/>
      <c r="BP40" s="35"/>
      <c r="BQ40" s="35"/>
      <c r="BR40" s="35"/>
      <c r="BS40" s="35"/>
      <c r="BT40" s="35"/>
      <c r="BU40" s="35"/>
      <c r="BV40" s="35"/>
      <c r="BW40" s="35"/>
      <c r="BX40" s="35"/>
      <c r="BY40" s="35"/>
      <c r="BZ40" s="35"/>
      <c r="CA40" s="35"/>
      <c r="CB40" s="35"/>
      <c r="CC40" s="35"/>
      <c r="CD40" s="35"/>
      <c r="CE40" s="35"/>
      <c r="CF40" s="35"/>
      <c r="CG40" s="35"/>
      <c r="CH40" s="35"/>
      <c r="CI40" s="35"/>
      <c r="CJ40" s="35"/>
      <c r="CK40" s="35"/>
      <c r="CL40" s="35"/>
      <c r="CM40" s="35"/>
      <c r="CN40" s="35"/>
      <c r="CO40" s="35"/>
      <c r="CP40" s="35">
        <v>73.888000000000005</v>
      </c>
      <c r="CQ40" s="35">
        <v>76.036000000000001</v>
      </c>
      <c r="CR40" s="35">
        <v>80.603999999999999</v>
      </c>
      <c r="CS40" s="35">
        <v>84.1</v>
      </c>
      <c r="CT40" s="35">
        <v>78.947999999999993</v>
      </c>
      <c r="CU40" s="35">
        <v>81.772000000000006</v>
      </c>
      <c r="CV40" s="35">
        <v>82.891999999999996</v>
      </c>
      <c r="CW40" s="35">
        <v>85.54</v>
      </c>
      <c r="CX40" s="35">
        <v>90.524000000000001</v>
      </c>
      <c r="CY40" s="35">
        <v>90.54</v>
      </c>
      <c r="CZ40" s="35">
        <v>89.28</v>
      </c>
      <c r="DA40" s="35">
        <v>87.567999999999998</v>
      </c>
      <c r="DB40" s="35">
        <v>88.772000000000006</v>
      </c>
      <c r="DC40" s="35">
        <v>96.376000000000005</v>
      </c>
      <c r="DD40" s="35">
        <v>94.872</v>
      </c>
      <c r="DE40" s="35">
        <v>93.891999999999996</v>
      </c>
      <c r="DF40" s="35">
        <v>95.98</v>
      </c>
      <c r="DG40" s="35">
        <v>94.924000000000007</v>
      </c>
      <c r="DH40" s="35">
        <v>97.108000000000004</v>
      </c>
      <c r="DI40" s="35">
        <v>101.384</v>
      </c>
      <c r="DJ40" s="35">
        <v>99.444000000000003</v>
      </c>
      <c r="DK40" s="35">
        <v>101.608</v>
      </c>
      <c r="DL40" s="35">
        <v>102.26</v>
      </c>
      <c r="DM40" s="35">
        <v>103.952</v>
      </c>
      <c r="DN40" s="35">
        <v>107.1</v>
      </c>
      <c r="DO40" s="35">
        <v>107.208</v>
      </c>
      <c r="DP40" s="35">
        <v>113.428</v>
      </c>
      <c r="DQ40" s="35">
        <v>114.62</v>
      </c>
      <c r="DR40" s="35">
        <v>114.852</v>
      </c>
      <c r="DS40" s="35">
        <v>116.16800000000001</v>
      </c>
      <c r="DT40" s="35">
        <v>125.392</v>
      </c>
      <c r="DU40" s="35">
        <v>121.748</v>
      </c>
      <c r="DV40" s="35">
        <v>129.38800000000001</v>
      </c>
      <c r="DW40" s="35">
        <v>132.12799999999999</v>
      </c>
      <c r="DX40" s="35">
        <v>133.364</v>
      </c>
      <c r="DY40" s="35">
        <v>143.65199999999999</v>
      </c>
      <c r="DZ40" s="35">
        <v>145.547</v>
      </c>
      <c r="EA40" s="35">
        <v>146.352</v>
      </c>
      <c r="EB40" s="35">
        <v>152.89599999999999</v>
      </c>
      <c r="EC40" s="35">
        <v>155.30699999999999</v>
      </c>
      <c r="ED40" s="35">
        <v>154.37799999999999</v>
      </c>
      <c r="EE40" s="35">
        <v>158.02000000000001</v>
      </c>
      <c r="EF40" s="35">
        <v>174.22900000000001</v>
      </c>
      <c r="EG40" s="35">
        <v>170.506</v>
      </c>
      <c r="EH40" s="35">
        <v>177.77199999999999</v>
      </c>
      <c r="EI40" s="35">
        <v>182.69200000000001</v>
      </c>
      <c r="EJ40" s="35">
        <v>173.33</v>
      </c>
      <c r="EK40" s="35">
        <v>177.28200000000001</v>
      </c>
      <c r="EL40" s="35">
        <v>183.90799999999999</v>
      </c>
      <c r="EM40" s="35">
        <v>185.81800000000001</v>
      </c>
      <c r="EN40" s="35">
        <v>179.68299999999999</v>
      </c>
      <c r="EO40" s="35">
        <v>182.94399999999999</v>
      </c>
      <c r="EP40" s="35">
        <v>175.95599999999999</v>
      </c>
      <c r="EQ40" s="35">
        <v>176.53</v>
      </c>
      <c r="ER40" s="35">
        <v>186.733</v>
      </c>
      <c r="ES40" s="35">
        <v>177.65899999999999</v>
      </c>
      <c r="ET40" s="35">
        <v>200.21799999999999</v>
      </c>
      <c r="EU40" s="35">
        <v>190.602</v>
      </c>
      <c r="EV40" s="35">
        <v>194.11099999999999</v>
      </c>
      <c r="EW40" s="35">
        <v>196.02799999999999</v>
      </c>
      <c r="EX40" s="35">
        <v>200.29400000000001</v>
      </c>
      <c r="EY40" s="35">
        <v>203.79400000000001</v>
      </c>
      <c r="EZ40" s="35">
        <v>205.059</v>
      </c>
      <c r="FA40" s="35">
        <v>208.505</v>
      </c>
      <c r="FB40" s="35">
        <v>256.94400000000002</v>
      </c>
      <c r="FC40" s="35">
        <v>274.66399999999999</v>
      </c>
      <c r="FD40" s="35">
        <v>263.92399999999998</v>
      </c>
      <c r="FE40" s="35">
        <v>261.94400000000002</v>
      </c>
      <c r="FF40" s="35">
        <v>271.84399999999999</v>
      </c>
      <c r="FG40" s="35">
        <v>272.45600000000002</v>
      </c>
      <c r="FH40" s="35">
        <v>283.69099999999997</v>
      </c>
      <c r="FI40" s="35">
        <v>297.60899999999998</v>
      </c>
      <c r="FJ40" s="35">
        <v>282.44499999999999</v>
      </c>
      <c r="FK40" s="35">
        <v>277.19600000000003</v>
      </c>
      <c r="FL40" s="35">
        <v>237.739</v>
      </c>
      <c r="FM40" s="35">
        <v>239.291</v>
      </c>
      <c r="FN40" s="35">
        <v>246.24799999999999</v>
      </c>
      <c r="FO40" s="35">
        <v>262.32400000000001</v>
      </c>
      <c r="FP40" s="35">
        <v>250.54</v>
      </c>
      <c r="FQ40" s="35">
        <v>259.56200000000001</v>
      </c>
      <c r="FR40" s="35">
        <v>258.45</v>
      </c>
      <c r="FS40" s="35">
        <v>270.887</v>
      </c>
      <c r="FT40" s="35">
        <v>269.279</v>
      </c>
      <c r="FU40" s="35">
        <v>269.98200000000003</v>
      </c>
      <c r="FV40" s="35">
        <v>291.58999999999997</v>
      </c>
      <c r="FW40" s="35">
        <v>307.77499999999998</v>
      </c>
      <c r="FX40" s="35">
        <v>332.4</v>
      </c>
      <c r="FY40" s="35">
        <v>335.61099999999999</v>
      </c>
      <c r="FZ40" s="35">
        <v>352.18799999999999</v>
      </c>
      <c r="GA40" s="35">
        <v>353.44200000000001</v>
      </c>
      <c r="GB40" s="35">
        <v>352.90899999999999</v>
      </c>
      <c r="GC40" s="35">
        <v>366.274</v>
      </c>
      <c r="GD40" s="35">
        <v>360.221</v>
      </c>
      <c r="GE40" s="35">
        <v>363.84399999999999</v>
      </c>
      <c r="GF40" s="35">
        <v>377.96699999999998</v>
      </c>
      <c r="GG40" s="35">
        <v>388.17599999999999</v>
      </c>
      <c r="GH40" s="35">
        <v>376.56400000000002</v>
      </c>
      <c r="GI40" s="35">
        <v>354.404</v>
      </c>
      <c r="GJ40" s="35">
        <v>375.43799999999999</v>
      </c>
      <c r="GK40" s="35">
        <v>382.68</v>
      </c>
      <c r="GL40" s="35">
        <v>389.90100000000001</v>
      </c>
      <c r="GM40" s="35">
        <v>385.517</v>
      </c>
      <c r="GN40" s="35">
        <v>390.85199999999998</v>
      </c>
      <c r="GO40" s="35">
        <v>391.92099999999999</v>
      </c>
      <c r="GP40" s="35">
        <v>406.23</v>
      </c>
      <c r="GQ40" s="35">
        <v>414.87200000000001</v>
      </c>
      <c r="GR40" s="35">
        <v>418.36200000000002</v>
      </c>
      <c r="GS40" s="35">
        <v>414.971</v>
      </c>
      <c r="GT40" s="35">
        <v>424.089</v>
      </c>
      <c r="GU40" s="35">
        <v>505.45</v>
      </c>
      <c r="GV40" s="35">
        <v>483.86599999999999</v>
      </c>
      <c r="GW40" s="35">
        <v>506.75599999999997</v>
      </c>
      <c r="GX40" s="35">
        <v>501.459</v>
      </c>
      <c r="GY40" s="35">
        <v>526.38599999999997</v>
      </c>
      <c r="GZ40" s="35">
        <v>541.66800000000001</v>
      </c>
      <c r="HA40" s="35">
        <v>563.64300000000003</v>
      </c>
      <c r="HB40" s="35">
        <v>594.56200000000001</v>
      </c>
      <c r="HC40">
        <v>595.59299999999996</v>
      </c>
      <c r="HD40">
        <v>607.94899999999996</v>
      </c>
      <c r="HE40">
        <v>607.13699999999994</v>
      </c>
      <c r="HF40">
        <v>630.96299999999997</v>
      </c>
      <c r="HG40">
        <v>639.71100000000001</v>
      </c>
      <c r="HH40">
        <v>590.947</v>
      </c>
      <c r="HI40">
        <v>616.99699999999996</v>
      </c>
      <c r="HJ40">
        <v>613.56899999999996</v>
      </c>
    </row>
    <row r="41" spans="1:218" x14ac:dyDescent="0.25">
      <c r="A41" s="35" t="s">
        <v>2204</v>
      </c>
      <c r="B41" s="35">
        <v>5.5759999999999996</v>
      </c>
      <c r="C41" s="35">
        <v>5.2279999999999998</v>
      </c>
      <c r="D41" s="35">
        <v>4.8159999999999998</v>
      </c>
      <c r="E41" s="35">
        <v>4.9000000000000004</v>
      </c>
      <c r="F41" s="35">
        <v>5.4640000000000004</v>
      </c>
      <c r="G41" s="35">
        <v>6.3120000000000003</v>
      </c>
      <c r="H41" s="35">
        <v>5.7560000000000002</v>
      </c>
      <c r="I41" s="35">
        <v>5.6440000000000001</v>
      </c>
      <c r="J41" s="35">
        <v>5.6680000000000001</v>
      </c>
      <c r="K41" s="35">
        <v>5.2160000000000002</v>
      </c>
      <c r="L41" s="35">
        <v>6.7240000000000002</v>
      </c>
      <c r="M41" s="35">
        <v>5.7</v>
      </c>
      <c r="N41" s="35">
        <v>5.74</v>
      </c>
      <c r="O41" s="35">
        <v>6.2080000000000002</v>
      </c>
      <c r="P41" s="35">
        <v>5.3440000000000003</v>
      </c>
      <c r="Q41" s="35">
        <v>5.92</v>
      </c>
      <c r="R41" s="35">
        <v>7.76</v>
      </c>
      <c r="S41" s="35">
        <v>8.5719999999999992</v>
      </c>
      <c r="T41" s="35">
        <v>6.4960000000000004</v>
      </c>
      <c r="U41" s="35">
        <v>7.84</v>
      </c>
      <c r="V41" s="35">
        <v>8.6519999999999992</v>
      </c>
      <c r="W41" s="35">
        <v>7.8040000000000003</v>
      </c>
      <c r="X41" s="35">
        <v>10.772</v>
      </c>
      <c r="Y41" s="35">
        <v>10.423999999999999</v>
      </c>
      <c r="Z41" s="35">
        <v>10.012</v>
      </c>
      <c r="AA41" s="35">
        <v>9.76</v>
      </c>
      <c r="AB41" s="35">
        <v>10.592000000000001</v>
      </c>
      <c r="AC41" s="35">
        <v>11.108000000000001</v>
      </c>
      <c r="AD41" s="35">
        <v>10.715999999999999</v>
      </c>
      <c r="AE41" s="35">
        <v>10.651999999999999</v>
      </c>
      <c r="AF41" s="35">
        <v>11.804</v>
      </c>
      <c r="AG41" s="35">
        <v>10.7</v>
      </c>
      <c r="AH41" s="35">
        <v>10.968</v>
      </c>
      <c r="AI41" s="35">
        <v>11.528</v>
      </c>
      <c r="AJ41" s="35">
        <v>11.907999999999999</v>
      </c>
      <c r="AK41" s="35">
        <v>12.528</v>
      </c>
      <c r="AL41" s="35">
        <v>13.592000000000001</v>
      </c>
      <c r="AM41" s="35">
        <v>13.048</v>
      </c>
      <c r="AN41" s="35">
        <v>14.292</v>
      </c>
      <c r="AO41" s="35">
        <v>15.752000000000001</v>
      </c>
      <c r="AP41" s="35">
        <v>16.260000000000002</v>
      </c>
      <c r="AQ41" s="35">
        <v>16.536000000000001</v>
      </c>
      <c r="AR41" s="35">
        <v>15.916</v>
      </c>
      <c r="AS41" s="35">
        <v>16.628</v>
      </c>
      <c r="AT41" s="35">
        <v>16.091999999999999</v>
      </c>
      <c r="AU41" s="35">
        <v>15.715999999999999</v>
      </c>
      <c r="AV41" s="35">
        <v>14.827999999999999</v>
      </c>
      <c r="AW41" s="35">
        <v>15.012</v>
      </c>
      <c r="AX41" s="35">
        <v>13.852</v>
      </c>
      <c r="AY41" s="35">
        <v>14.552</v>
      </c>
      <c r="AZ41" s="35">
        <v>14.544</v>
      </c>
      <c r="BA41" s="35">
        <v>14.484</v>
      </c>
      <c r="BB41" s="35">
        <v>15.9</v>
      </c>
      <c r="BC41" s="35">
        <v>14.2</v>
      </c>
      <c r="BD41" s="35">
        <v>15.904</v>
      </c>
      <c r="BE41" s="35">
        <v>15.768000000000001</v>
      </c>
      <c r="BF41" s="35">
        <v>16.556000000000001</v>
      </c>
      <c r="BG41" s="35">
        <v>17.236000000000001</v>
      </c>
      <c r="BH41" s="35">
        <v>18.091999999999999</v>
      </c>
      <c r="BI41" s="35">
        <v>18.824000000000002</v>
      </c>
      <c r="BJ41" s="35">
        <v>17.044</v>
      </c>
      <c r="BK41" s="35">
        <v>19.408000000000001</v>
      </c>
      <c r="BL41" s="35">
        <v>20.036000000000001</v>
      </c>
      <c r="BM41" s="35">
        <v>21.184000000000001</v>
      </c>
      <c r="BN41" s="35">
        <v>19.72</v>
      </c>
      <c r="BO41" s="35">
        <v>20.556000000000001</v>
      </c>
      <c r="BP41" s="35">
        <v>21.283999999999999</v>
      </c>
      <c r="BQ41" s="35">
        <v>18.32</v>
      </c>
      <c r="BR41" s="35">
        <v>18.760000000000002</v>
      </c>
      <c r="BS41" s="35">
        <v>19.559999999999999</v>
      </c>
      <c r="BT41" s="35">
        <v>18.827999999999999</v>
      </c>
      <c r="BU41" s="35">
        <v>18.696000000000002</v>
      </c>
      <c r="BV41" s="35">
        <v>18.972000000000001</v>
      </c>
      <c r="BW41" s="35">
        <v>19.835999999999999</v>
      </c>
      <c r="BX41" s="35">
        <v>20.388000000000002</v>
      </c>
      <c r="BY41" s="35">
        <v>19.283999999999999</v>
      </c>
      <c r="BZ41" s="35">
        <v>20.192</v>
      </c>
      <c r="CA41" s="35">
        <v>19.936</v>
      </c>
      <c r="CB41" s="35">
        <v>18.832000000000001</v>
      </c>
      <c r="CC41" s="35">
        <v>20.492000000000001</v>
      </c>
      <c r="CD41" s="35">
        <v>21.448</v>
      </c>
      <c r="CE41" s="35">
        <v>20.184000000000001</v>
      </c>
      <c r="CF41" s="35">
        <v>20.507999999999999</v>
      </c>
      <c r="CG41" s="35">
        <v>21.187999999999999</v>
      </c>
      <c r="CH41" s="35">
        <v>21.552</v>
      </c>
      <c r="CI41" s="35">
        <v>21.611999999999998</v>
      </c>
      <c r="CJ41" s="35">
        <v>21.056000000000001</v>
      </c>
      <c r="CK41" s="35">
        <v>20.611999999999998</v>
      </c>
      <c r="CL41" s="35">
        <v>21.388000000000002</v>
      </c>
      <c r="CM41" s="35">
        <v>22.8</v>
      </c>
      <c r="CN41" s="35">
        <v>22.288</v>
      </c>
      <c r="CO41" s="35">
        <v>23.064</v>
      </c>
      <c r="CP41" s="35">
        <v>21.783999999999999</v>
      </c>
      <c r="CQ41" s="35">
        <v>22.472000000000001</v>
      </c>
      <c r="CR41" s="35">
        <v>24.884</v>
      </c>
      <c r="CS41" s="35">
        <v>24.763999999999999</v>
      </c>
      <c r="CT41" s="35">
        <v>23.632000000000001</v>
      </c>
      <c r="CU41" s="35">
        <v>23.952000000000002</v>
      </c>
      <c r="CV41" s="35">
        <v>25.152000000000001</v>
      </c>
      <c r="CW41" s="35">
        <v>26.475999999999999</v>
      </c>
      <c r="CX41" s="35">
        <v>27.744</v>
      </c>
      <c r="CY41" s="35">
        <v>28.027999999999999</v>
      </c>
      <c r="CZ41" s="35">
        <v>26.448</v>
      </c>
      <c r="DA41" s="35">
        <v>26.815999999999999</v>
      </c>
      <c r="DB41" s="35">
        <v>29.135999999999999</v>
      </c>
      <c r="DC41" s="35">
        <v>27.904</v>
      </c>
      <c r="DD41" s="35">
        <v>27.116</v>
      </c>
      <c r="DE41" s="35">
        <v>28.72</v>
      </c>
      <c r="DF41" s="35">
        <v>28.4</v>
      </c>
      <c r="DG41" s="35">
        <v>29.015999999999998</v>
      </c>
      <c r="DH41" s="35">
        <v>29.084</v>
      </c>
      <c r="DI41" s="35">
        <v>28.744</v>
      </c>
      <c r="DJ41" s="35">
        <v>27.052</v>
      </c>
      <c r="DK41" s="35">
        <v>27.335999999999999</v>
      </c>
      <c r="DL41" s="35">
        <v>29.103999999999999</v>
      </c>
      <c r="DM41" s="35">
        <v>31.231999999999999</v>
      </c>
      <c r="DN41" s="35">
        <v>27.78</v>
      </c>
      <c r="DO41" s="35">
        <v>32.192</v>
      </c>
      <c r="DP41" s="35">
        <v>34.264000000000003</v>
      </c>
      <c r="DQ41" s="35">
        <v>34.124000000000002</v>
      </c>
      <c r="DR41" s="35">
        <v>35.572000000000003</v>
      </c>
      <c r="DS41" s="35">
        <v>36.04</v>
      </c>
      <c r="DT41" s="35">
        <v>35.728000000000002</v>
      </c>
      <c r="DU41" s="35">
        <v>39.26</v>
      </c>
      <c r="DV41" s="35">
        <v>40.316000000000003</v>
      </c>
      <c r="DW41" s="35">
        <v>43.008000000000003</v>
      </c>
      <c r="DX41" s="35">
        <v>42.667999999999999</v>
      </c>
      <c r="DY41" s="35">
        <v>43.008000000000003</v>
      </c>
      <c r="DZ41" s="35">
        <v>50.609000000000002</v>
      </c>
      <c r="EA41" s="35">
        <v>45.405000000000001</v>
      </c>
      <c r="EB41" s="35">
        <v>41.341999999999999</v>
      </c>
      <c r="EC41" s="35">
        <v>44.814</v>
      </c>
      <c r="ED41" s="35">
        <v>43.170999999999999</v>
      </c>
      <c r="EE41" s="35">
        <v>48.719000000000001</v>
      </c>
      <c r="EF41" s="35">
        <v>46.442999999999998</v>
      </c>
      <c r="EG41" s="35">
        <v>45.506999999999998</v>
      </c>
      <c r="EH41" s="35">
        <v>47.600999999999999</v>
      </c>
      <c r="EI41" s="35">
        <v>44.213000000000001</v>
      </c>
      <c r="EJ41" s="35">
        <v>50.412999999999997</v>
      </c>
      <c r="EK41" s="35">
        <v>44.947000000000003</v>
      </c>
      <c r="EL41" s="35">
        <v>49.942999999999998</v>
      </c>
      <c r="EM41" s="35">
        <v>51.171999999999997</v>
      </c>
      <c r="EN41" s="35">
        <v>47.383000000000003</v>
      </c>
      <c r="EO41" s="35">
        <v>49.225000000000001</v>
      </c>
      <c r="EP41" s="35">
        <v>53.557000000000002</v>
      </c>
      <c r="EQ41" s="35">
        <v>53.237000000000002</v>
      </c>
      <c r="ER41" s="35">
        <v>52.164999999999999</v>
      </c>
      <c r="ES41" s="35">
        <v>51.704000000000001</v>
      </c>
      <c r="ET41" s="35">
        <v>50.936999999999998</v>
      </c>
      <c r="EU41" s="35">
        <v>56.121000000000002</v>
      </c>
      <c r="EV41" s="35">
        <v>55.527999999999999</v>
      </c>
      <c r="EW41" s="35">
        <v>54.619</v>
      </c>
      <c r="EX41" s="35">
        <v>56.613</v>
      </c>
      <c r="EY41" s="35">
        <v>58.841999999999999</v>
      </c>
      <c r="EZ41" s="35">
        <v>56.868000000000002</v>
      </c>
      <c r="FA41" s="35">
        <v>58.177</v>
      </c>
      <c r="FB41" s="35">
        <v>58.334000000000003</v>
      </c>
      <c r="FC41" s="35">
        <v>59.643000000000001</v>
      </c>
      <c r="FD41" s="35">
        <v>67.126000000000005</v>
      </c>
      <c r="FE41" s="35">
        <v>68.543000000000006</v>
      </c>
      <c r="FF41" s="35">
        <v>64.721000000000004</v>
      </c>
      <c r="FG41" s="35">
        <v>73.736999999999995</v>
      </c>
      <c r="FH41" s="35">
        <v>74.820999999999998</v>
      </c>
      <c r="FI41" s="35">
        <v>75.022000000000006</v>
      </c>
      <c r="FJ41" s="35">
        <v>70.503</v>
      </c>
      <c r="FK41" s="35">
        <v>69.144999999999996</v>
      </c>
      <c r="FL41" s="35">
        <v>65.915999999999997</v>
      </c>
      <c r="FM41" s="35">
        <v>70.531000000000006</v>
      </c>
      <c r="FN41" s="35">
        <v>67.106999999999999</v>
      </c>
      <c r="FO41" s="35">
        <v>67.67</v>
      </c>
      <c r="FP41" s="35">
        <v>65.88</v>
      </c>
      <c r="FQ41" s="35">
        <v>65.507000000000005</v>
      </c>
      <c r="FR41" s="35">
        <v>67.563999999999993</v>
      </c>
      <c r="FS41" s="35">
        <v>63.978999999999999</v>
      </c>
      <c r="FT41" s="35">
        <v>68.013999999999996</v>
      </c>
      <c r="FU41" s="35">
        <v>65.742000000000004</v>
      </c>
      <c r="FV41" s="35">
        <v>65.275999999999996</v>
      </c>
      <c r="FW41" s="35">
        <v>67.164000000000001</v>
      </c>
      <c r="FX41" s="35">
        <v>68.84</v>
      </c>
      <c r="FY41" s="35">
        <v>61.402999999999999</v>
      </c>
      <c r="FZ41" s="35">
        <v>63.533999999999999</v>
      </c>
      <c r="GA41" s="35">
        <v>62.906999999999996</v>
      </c>
      <c r="GB41" s="35">
        <v>66.760000000000005</v>
      </c>
      <c r="GC41" s="35">
        <v>64.462000000000003</v>
      </c>
      <c r="GD41" s="35">
        <v>66.301000000000002</v>
      </c>
      <c r="GE41" s="35">
        <v>67.191000000000003</v>
      </c>
      <c r="GF41" s="35">
        <v>68.578000000000003</v>
      </c>
      <c r="GG41" s="35">
        <v>66.980999999999995</v>
      </c>
      <c r="GH41" s="35">
        <v>67.222999999999999</v>
      </c>
      <c r="GI41" s="35">
        <v>69.478999999999999</v>
      </c>
      <c r="GJ41" s="35">
        <v>64.623999999999995</v>
      </c>
      <c r="GK41" s="35">
        <v>65.736999999999995</v>
      </c>
      <c r="GL41" s="35">
        <v>65.069000000000003</v>
      </c>
      <c r="GM41" s="35">
        <v>65.826999999999998</v>
      </c>
      <c r="GN41" s="35">
        <v>70.346000000000004</v>
      </c>
      <c r="GO41" s="35">
        <v>66.262</v>
      </c>
      <c r="GP41" s="35">
        <v>67.274000000000001</v>
      </c>
      <c r="GQ41" s="35">
        <v>67.611000000000004</v>
      </c>
      <c r="GR41" s="35">
        <v>71.308000000000007</v>
      </c>
      <c r="GS41" s="35">
        <v>72.156000000000006</v>
      </c>
      <c r="GT41" s="35">
        <v>75.245999999999995</v>
      </c>
      <c r="GU41" s="35">
        <v>75.986000000000004</v>
      </c>
      <c r="GV41" s="35">
        <v>79.650999999999996</v>
      </c>
      <c r="GW41" s="35">
        <v>75.400999999999996</v>
      </c>
      <c r="GX41" s="35">
        <v>73.034999999999997</v>
      </c>
      <c r="GY41" s="35">
        <v>75.13</v>
      </c>
      <c r="GZ41" s="35">
        <v>70.191999999999993</v>
      </c>
      <c r="HA41" s="35">
        <v>72.266999999999996</v>
      </c>
      <c r="HB41" s="35">
        <v>74.974000000000004</v>
      </c>
      <c r="HC41">
        <v>428.19</v>
      </c>
      <c r="HD41">
        <v>145.27699999999999</v>
      </c>
      <c r="HE41">
        <v>81.352000000000004</v>
      </c>
      <c r="HF41">
        <v>80.510999999999996</v>
      </c>
      <c r="HG41">
        <v>86.768000000000001</v>
      </c>
      <c r="HH41">
        <v>90.495000000000005</v>
      </c>
      <c r="HI41">
        <v>88.635000000000005</v>
      </c>
      <c r="HJ41">
        <v>90.14</v>
      </c>
    </row>
    <row r="42" spans="1:218" x14ac:dyDescent="0.25">
      <c r="A42" s="35" t="s">
        <v>2205</v>
      </c>
      <c r="B42" s="35">
        <v>4.7</v>
      </c>
      <c r="C42" s="35">
        <v>4.8</v>
      </c>
      <c r="D42" s="35">
        <v>4.7</v>
      </c>
      <c r="E42" s="35">
        <v>4.8</v>
      </c>
      <c r="F42" s="35">
        <v>4.7</v>
      </c>
      <c r="G42" s="35">
        <v>4.8</v>
      </c>
      <c r="H42" s="35">
        <v>4.5</v>
      </c>
      <c r="I42" s="35">
        <v>4.5999999999999996</v>
      </c>
      <c r="J42" s="35">
        <v>6.1</v>
      </c>
      <c r="K42" s="35">
        <v>6.2</v>
      </c>
      <c r="L42" s="35">
        <v>7.1</v>
      </c>
      <c r="M42" s="35">
        <v>7</v>
      </c>
      <c r="N42" s="35">
        <v>5.9</v>
      </c>
      <c r="O42" s="35">
        <v>5.6</v>
      </c>
      <c r="P42" s="35">
        <v>4.5999999999999996</v>
      </c>
      <c r="Q42" s="35">
        <v>4.5</v>
      </c>
      <c r="R42" s="35">
        <v>3.5</v>
      </c>
      <c r="S42" s="35">
        <v>2.8</v>
      </c>
      <c r="T42" s="35">
        <v>3.1</v>
      </c>
      <c r="U42" s="35">
        <v>3.5</v>
      </c>
      <c r="V42" s="35">
        <v>4.0999999999999996</v>
      </c>
      <c r="W42" s="35">
        <v>4.0999999999999996</v>
      </c>
      <c r="X42" s="35">
        <v>4.4000000000000004</v>
      </c>
      <c r="Y42" s="35">
        <v>4.8</v>
      </c>
      <c r="Z42" s="35">
        <v>5</v>
      </c>
      <c r="AA42" s="35">
        <v>4.7</v>
      </c>
      <c r="AB42" s="35">
        <v>4.9000000000000004</v>
      </c>
      <c r="AC42" s="35">
        <v>5.3</v>
      </c>
      <c r="AD42" s="35">
        <v>5.6</v>
      </c>
      <c r="AE42" s="35">
        <v>5.7</v>
      </c>
      <c r="AF42" s="35">
        <v>6.2</v>
      </c>
      <c r="AG42" s="35">
        <v>10.1</v>
      </c>
      <c r="AH42" s="35">
        <v>8.5</v>
      </c>
      <c r="AI42" s="35">
        <v>8.1</v>
      </c>
      <c r="AJ42" s="35">
        <v>8</v>
      </c>
      <c r="AK42" s="35">
        <v>10.1</v>
      </c>
      <c r="AL42" s="35">
        <v>8.1</v>
      </c>
      <c r="AM42" s="35">
        <v>8.5</v>
      </c>
      <c r="AN42" s="35">
        <v>7.8</v>
      </c>
      <c r="AO42" s="35">
        <v>8.5</v>
      </c>
      <c r="AP42" s="35">
        <v>8.9</v>
      </c>
      <c r="AQ42" s="35">
        <v>9.3000000000000007</v>
      </c>
      <c r="AR42" s="35">
        <v>9.6999999999999993</v>
      </c>
      <c r="AS42" s="35">
        <v>9.9</v>
      </c>
      <c r="AT42" s="35">
        <v>10.199999999999999</v>
      </c>
      <c r="AU42" s="35">
        <v>10.3</v>
      </c>
      <c r="AV42" s="35">
        <v>10.7</v>
      </c>
      <c r="AW42" s="35">
        <v>13.1</v>
      </c>
      <c r="AX42" s="35">
        <v>13.6</v>
      </c>
      <c r="AY42" s="35">
        <v>13.2</v>
      </c>
      <c r="AZ42" s="35">
        <v>12.6</v>
      </c>
      <c r="BA42" s="35">
        <v>19</v>
      </c>
      <c r="BB42" s="35">
        <v>19.399999999999999</v>
      </c>
      <c r="BC42" s="35">
        <v>21.1</v>
      </c>
      <c r="BD42" s="35">
        <v>21.8</v>
      </c>
      <c r="BE42" s="35">
        <v>21.1</v>
      </c>
      <c r="BF42" s="35">
        <v>20.8</v>
      </c>
      <c r="BG42" s="35">
        <v>20.6</v>
      </c>
      <c r="BH42" s="35">
        <v>20.5</v>
      </c>
      <c r="BI42" s="35">
        <v>20.8</v>
      </c>
      <c r="BJ42" s="35">
        <v>20.8</v>
      </c>
      <c r="BK42" s="35">
        <v>20.7</v>
      </c>
      <c r="BL42" s="35">
        <v>21</v>
      </c>
      <c r="BM42" s="35">
        <v>21.7</v>
      </c>
      <c r="BN42" s="35">
        <v>22.8</v>
      </c>
      <c r="BO42" s="35">
        <v>23.9</v>
      </c>
      <c r="BP42" s="35">
        <v>25.1</v>
      </c>
      <c r="BQ42" s="35">
        <v>26.5</v>
      </c>
      <c r="BR42" s="35">
        <v>28</v>
      </c>
      <c r="BS42" s="35">
        <v>30.2</v>
      </c>
      <c r="BT42" s="35">
        <v>31</v>
      </c>
      <c r="BU42" s="35">
        <v>30.8</v>
      </c>
      <c r="BV42" s="35">
        <v>30</v>
      </c>
      <c r="BW42" s="35">
        <v>29.5</v>
      </c>
      <c r="BX42" s="35">
        <v>28.9</v>
      </c>
      <c r="BY42" s="35">
        <v>28.2</v>
      </c>
      <c r="BZ42" s="35">
        <v>27.6</v>
      </c>
      <c r="CA42" s="35">
        <v>27</v>
      </c>
      <c r="CB42" s="35">
        <v>26.7</v>
      </c>
      <c r="CC42" s="35">
        <v>26.9</v>
      </c>
      <c r="CD42" s="35">
        <v>26.8</v>
      </c>
      <c r="CE42" s="35">
        <v>26.6</v>
      </c>
      <c r="CF42" s="35">
        <v>26.6</v>
      </c>
      <c r="CG42" s="35">
        <v>26.6</v>
      </c>
      <c r="CH42" s="35">
        <v>26.7</v>
      </c>
      <c r="CI42" s="35">
        <v>26.8</v>
      </c>
      <c r="CJ42" s="35">
        <v>27.1</v>
      </c>
      <c r="CK42" s="35">
        <v>27.7</v>
      </c>
      <c r="CL42" s="35">
        <v>28.2</v>
      </c>
      <c r="CM42" s="35">
        <v>28.8</v>
      </c>
      <c r="CN42" s="35">
        <v>30</v>
      </c>
      <c r="CO42" s="35">
        <v>31.8</v>
      </c>
      <c r="CP42" s="35">
        <v>35.1</v>
      </c>
      <c r="CQ42" s="35">
        <v>37.200000000000003</v>
      </c>
      <c r="CR42" s="35">
        <v>37.299999999999997</v>
      </c>
      <c r="CS42" s="35">
        <v>35.700000000000003</v>
      </c>
      <c r="CT42" s="35">
        <v>33.200000000000003</v>
      </c>
      <c r="CU42" s="35">
        <v>32</v>
      </c>
      <c r="CV42" s="35">
        <v>31.6</v>
      </c>
      <c r="CW42" s="35">
        <v>31.9</v>
      </c>
      <c r="CX42" s="35">
        <v>33.6</v>
      </c>
      <c r="CY42" s="35">
        <v>34.299999999999997</v>
      </c>
      <c r="CZ42" s="35">
        <v>34.799999999999997</v>
      </c>
      <c r="DA42" s="35">
        <v>35.200000000000003</v>
      </c>
      <c r="DB42" s="35">
        <v>35.200000000000003</v>
      </c>
      <c r="DC42" s="35">
        <v>35.1</v>
      </c>
      <c r="DD42" s="35">
        <v>34.9</v>
      </c>
      <c r="DE42" s="35">
        <v>34.4</v>
      </c>
      <c r="DF42" s="35">
        <v>34</v>
      </c>
      <c r="DG42" s="35">
        <v>33.200000000000003</v>
      </c>
      <c r="DH42" s="35">
        <v>33</v>
      </c>
      <c r="DI42" s="35">
        <v>33.299999999999997</v>
      </c>
      <c r="DJ42" s="35">
        <v>33.4</v>
      </c>
      <c r="DK42" s="35">
        <v>34.6</v>
      </c>
      <c r="DL42" s="35">
        <v>36.299999999999997</v>
      </c>
      <c r="DM42" s="35">
        <v>39.4</v>
      </c>
      <c r="DN42" s="35">
        <v>42</v>
      </c>
      <c r="DO42" s="35">
        <v>44.6</v>
      </c>
      <c r="DP42" s="35">
        <v>46</v>
      </c>
      <c r="DQ42" s="35">
        <v>46.5</v>
      </c>
      <c r="DR42" s="35">
        <v>44.6</v>
      </c>
      <c r="DS42" s="35">
        <v>45</v>
      </c>
      <c r="DT42" s="35">
        <v>45.3</v>
      </c>
      <c r="DU42" s="35">
        <v>46.4</v>
      </c>
      <c r="DV42" s="35">
        <v>47.2</v>
      </c>
      <c r="DW42" s="35">
        <v>47.6</v>
      </c>
      <c r="DX42" s="35">
        <v>66.3</v>
      </c>
      <c r="DY42" s="35">
        <v>43.1</v>
      </c>
      <c r="DZ42" s="35">
        <v>40.700000000000003</v>
      </c>
      <c r="EA42" s="35">
        <v>39.200000000000003</v>
      </c>
      <c r="EB42" s="35">
        <v>39.700000000000003</v>
      </c>
      <c r="EC42" s="35">
        <v>42.3</v>
      </c>
      <c r="ED42" s="35">
        <v>47</v>
      </c>
      <c r="EE42" s="35">
        <v>56.8</v>
      </c>
      <c r="EF42" s="35">
        <v>46.9</v>
      </c>
      <c r="EG42" s="35">
        <v>45.1</v>
      </c>
      <c r="EH42" s="35">
        <v>43.9</v>
      </c>
      <c r="EI42" s="35">
        <v>43.3</v>
      </c>
      <c r="EJ42" s="35">
        <v>45</v>
      </c>
      <c r="EK42" s="35">
        <v>51.9</v>
      </c>
      <c r="EL42" s="35">
        <v>56.4</v>
      </c>
      <c r="EM42" s="35">
        <v>60.3</v>
      </c>
      <c r="EN42" s="35">
        <v>61.6</v>
      </c>
      <c r="EO42" s="35">
        <v>63.9</v>
      </c>
      <c r="EP42" s="35">
        <v>55.4</v>
      </c>
      <c r="EQ42" s="35">
        <v>51.2</v>
      </c>
      <c r="ER42" s="35">
        <v>49.5</v>
      </c>
      <c r="ES42" s="35">
        <v>48.3</v>
      </c>
      <c r="ET42" s="35">
        <v>47.6</v>
      </c>
      <c r="EU42" s="35">
        <v>47.5</v>
      </c>
      <c r="EV42" s="35">
        <v>47.2</v>
      </c>
      <c r="EW42" s="35">
        <v>47.5</v>
      </c>
      <c r="EX42" s="35">
        <v>48</v>
      </c>
      <c r="EY42" s="35">
        <v>48.7</v>
      </c>
      <c r="EZ42" s="35">
        <v>49.8</v>
      </c>
      <c r="FA42" s="35">
        <v>51.8</v>
      </c>
      <c r="FB42" s="35">
        <v>53.4</v>
      </c>
      <c r="FC42" s="35">
        <v>54.3</v>
      </c>
      <c r="FD42" s="35">
        <v>65.900000000000006</v>
      </c>
      <c r="FE42" s="35">
        <v>54.3</v>
      </c>
      <c r="FF42" s="35">
        <v>53.2</v>
      </c>
      <c r="FG42" s="35">
        <v>53.4</v>
      </c>
      <c r="FH42" s="35">
        <v>54.4</v>
      </c>
      <c r="FI42" s="35">
        <v>56</v>
      </c>
      <c r="FJ42" s="35">
        <v>58</v>
      </c>
      <c r="FK42" s="35">
        <v>59.5</v>
      </c>
      <c r="FL42" s="35">
        <v>59.7</v>
      </c>
      <c r="FM42" s="35">
        <v>60.6</v>
      </c>
      <c r="FN42" s="35">
        <v>57.9</v>
      </c>
      <c r="FO42" s="35">
        <v>57.6</v>
      </c>
      <c r="FP42" s="35">
        <v>55.8</v>
      </c>
      <c r="FQ42" s="35">
        <v>58.9</v>
      </c>
      <c r="FR42" s="35">
        <v>58.9</v>
      </c>
      <c r="FS42" s="35">
        <v>59.6</v>
      </c>
      <c r="FT42" s="35">
        <v>59.5</v>
      </c>
      <c r="FU42" s="35">
        <v>58.9</v>
      </c>
      <c r="FV42" s="35">
        <v>58.2</v>
      </c>
      <c r="FW42" s="35">
        <v>58</v>
      </c>
      <c r="FX42" s="35">
        <v>57.7</v>
      </c>
      <c r="FY42" s="35">
        <v>56.5</v>
      </c>
      <c r="FZ42" s="35">
        <v>55.5</v>
      </c>
      <c r="GA42" s="35">
        <v>55.9</v>
      </c>
      <c r="GB42" s="35">
        <v>57.2</v>
      </c>
      <c r="GC42" s="35">
        <v>58.1</v>
      </c>
      <c r="GD42" s="35">
        <v>60.2</v>
      </c>
      <c r="GE42" s="35">
        <v>61.8</v>
      </c>
      <c r="GF42" s="35">
        <v>62.5</v>
      </c>
      <c r="GG42" s="35">
        <v>60.4</v>
      </c>
      <c r="GH42" s="35">
        <v>58.8</v>
      </c>
      <c r="GI42" s="35">
        <v>57.5</v>
      </c>
      <c r="GJ42" s="35">
        <v>61.4</v>
      </c>
      <c r="GK42" s="35">
        <v>59.6</v>
      </c>
      <c r="GL42" s="35">
        <v>58.1</v>
      </c>
      <c r="GM42" s="35">
        <v>57.7</v>
      </c>
      <c r="GN42" s="35">
        <v>57.3</v>
      </c>
      <c r="GO42" s="35">
        <v>77.900000000000006</v>
      </c>
      <c r="GP42" s="35">
        <v>68.5</v>
      </c>
      <c r="GQ42" s="35">
        <v>58.3</v>
      </c>
      <c r="GR42" s="35">
        <v>80.599999999999994</v>
      </c>
      <c r="GS42" s="35">
        <v>82.1</v>
      </c>
      <c r="GT42" s="35">
        <v>80</v>
      </c>
      <c r="GU42" s="35">
        <v>975.8</v>
      </c>
      <c r="GV42" s="35">
        <v>1108.4000000000001</v>
      </c>
      <c r="GW42" s="35">
        <v>460.7</v>
      </c>
      <c r="GX42" s="35">
        <v>385.5</v>
      </c>
      <c r="GY42" s="35">
        <v>692.7</v>
      </c>
      <c r="GZ42" s="35">
        <v>547.1</v>
      </c>
      <c r="HA42" s="35">
        <v>293.2</v>
      </c>
      <c r="HB42" s="35">
        <v>151.4</v>
      </c>
      <c r="HC42">
        <v>129.5</v>
      </c>
      <c r="HD42">
        <v>117.7</v>
      </c>
      <c r="HE42">
        <v>108.6</v>
      </c>
      <c r="HF42">
        <v>100.7</v>
      </c>
      <c r="HG42">
        <v>99.2</v>
      </c>
      <c r="HH42">
        <v>102.4</v>
      </c>
      <c r="HI42">
        <v>99.3</v>
      </c>
      <c r="HJ42">
        <v>96.5</v>
      </c>
    </row>
    <row r="43" spans="1:218" x14ac:dyDescent="0.25">
      <c r="A43" s="35" t="s">
        <v>2206</v>
      </c>
      <c r="B43" s="35">
        <v>0</v>
      </c>
      <c r="C43" s="35">
        <v>0</v>
      </c>
      <c r="D43" s="35">
        <v>0</v>
      </c>
      <c r="E43" s="35">
        <v>0</v>
      </c>
      <c r="F43" s="35">
        <v>0</v>
      </c>
      <c r="G43" s="35">
        <v>0</v>
      </c>
      <c r="H43" s="35">
        <v>0</v>
      </c>
      <c r="I43" s="35">
        <v>0</v>
      </c>
      <c r="J43" s="35">
        <v>0</v>
      </c>
      <c r="K43" s="35">
        <v>0.1</v>
      </c>
      <c r="L43" s="35">
        <v>0.1</v>
      </c>
      <c r="M43" s="35">
        <v>0.1</v>
      </c>
      <c r="N43" s="35">
        <v>0.1</v>
      </c>
      <c r="O43" s="35">
        <v>0.1</v>
      </c>
      <c r="P43" s="35">
        <v>0.1</v>
      </c>
      <c r="Q43" s="35">
        <v>0.1</v>
      </c>
      <c r="R43" s="35">
        <v>0.1</v>
      </c>
      <c r="S43" s="35">
        <v>0.1</v>
      </c>
      <c r="T43" s="35">
        <v>0.1</v>
      </c>
      <c r="U43" s="35">
        <v>0.1</v>
      </c>
      <c r="V43" s="35">
        <v>0.1</v>
      </c>
      <c r="W43" s="35">
        <v>0.2</v>
      </c>
      <c r="X43" s="35">
        <v>0.2</v>
      </c>
      <c r="Y43" s="35">
        <v>0.2</v>
      </c>
      <c r="Z43" s="35">
        <v>0.2</v>
      </c>
      <c r="AA43" s="35">
        <v>0.2</v>
      </c>
      <c r="AB43" s="35">
        <v>0.2</v>
      </c>
      <c r="AC43" s="35">
        <v>0.2</v>
      </c>
      <c r="AD43" s="35">
        <v>0.2</v>
      </c>
      <c r="AE43" s="35">
        <v>0.2</v>
      </c>
      <c r="AF43" s="35">
        <v>0.2</v>
      </c>
      <c r="AG43" s="35">
        <v>0.2</v>
      </c>
      <c r="AH43" s="35">
        <v>0.2</v>
      </c>
      <c r="AI43" s="35">
        <v>0.2</v>
      </c>
      <c r="AJ43" s="35">
        <v>0.2</v>
      </c>
      <c r="AK43" s="35">
        <v>0.3</v>
      </c>
      <c r="AL43" s="35">
        <v>0.3</v>
      </c>
      <c r="AM43" s="35">
        <v>0.3</v>
      </c>
      <c r="AN43" s="35">
        <v>0.3</v>
      </c>
      <c r="AO43" s="35">
        <v>0.3</v>
      </c>
      <c r="AP43" s="35">
        <v>0.3</v>
      </c>
      <c r="AQ43" s="35">
        <v>0.3</v>
      </c>
      <c r="AR43" s="35">
        <v>0.4</v>
      </c>
      <c r="AS43" s="35">
        <v>0.4</v>
      </c>
      <c r="AT43" s="35">
        <v>0.4</v>
      </c>
      <c r="AU43" s="35">
        <v>0.4</v>
      </c>
      <c r="AV43" s="35">
        <v>0.4</v>
      </c>
      <c r="AW43" s="35">
        <v>0.4</v>
      </c>
      <c r="AX43" s="35">
        <v>0.4</v>
      </c>
      <c r="AY43" s="35">
        <v>0.5</v>
      </c>
      <c r="AZ43" s="35">
        <v>0.5</v>
      </c>
      <c r="BA43" s="35">
        <v>0.5</v>
      </c>
      <c r="BB43" s="35">
        <v>0.5</v>
      </c>
      <c r="BC43" s="35">
        <v>0.4</v>
      </c>
      <c r="BD43" s="35">
        <v>0.4</v>
      </c>
      <c r="BE43" s="35">
        <v>0.4</v>
      </c>
      <c r="BF43" s="35">
        <v>0.4</v>
      </c>
      <c r="BG43" s="35">
        <v>0.4</v>
      </c>
      <c r="BH43" s="35">
        <v>0.4</v>
      </c>
      <c r="BI43" s="35">
        <v>0.4</v>
      </c>
      <c r="BJ43" s="35">
        <v>0.3</v>
      </c>
      <c r="BK43" s="35">
        <v>0.3</v>
      </c>
      <c r="BL43" s="35">
        <v>0.3</v>
      </c>
      <c r="BM43" s="35">
        <v>0.3</v>
      </c>
      <c r="BN43" s="35">
        <v>0.3</v>
      </c>
      <c r="BO43" s="35">
        <v>0.3</v>
      </c>
      <c r="BP43" s="35">
        <v>0.3</v>
      </c>
      <c r="BQ43" s="35">
        <v>0.3</v>
      </c>
      <c r="BR43" s="35">
        <v>0.3</v>
      </c>
      <c r="BS43" s="35">
        <v>0.3</v>
      </c>
      <c r="BT43" s="35">
        <v>0.3</v>
      </c>
      <c r="BU43" s="35">
        <v>0.3</v>
      </c>
      <c r="BV43" s="35">
        <v>0.3</v>
      </c>
      <c r="BW43" s="35">
        <v>0.3</v>
      </c>
      <c r="BX43" s="35">
        <v>0.4</v>
      </c>
      <c r="BY43" s="35">
        <v>0.4</v>
      </c>
      <c r="BZ43" s="35">
        <v>0.4</v>
      </c>
      <c r="CA43" s="35">
        <v>0.4</v>
      </c>
      <c r="CB43" s="35">
        <v>0.4</v>
      </c>
      <c r="CC43" s="35">
        <v>0.4</v>
      </c>
      <c r="CD43" s="35">
        <v>0.4</v>
      </c>
      <c r="CE43" s="35">
        <v>0.4</v>
      </c>
      <c r="CF43" s="35">
        <v>0.4</v>
      </c>
      <c r="CG43" s="35">
        <v>0.4</v>
      </c>
      <c r="CH43" s="35">
        <v>0.4</v>
      </c>
      <c r="CI43" s="35">
        <v>0.4</v>
      </c>
      <c r="CJ43" s="35">
        <v>0.4</v>
      </c>
      <c r="CK43" s="35">
        <v>0.4</v>
      </c>
      <c r="CL43" s="35">
        <v>0.4</v>
      </c>
      <c r="CM43" s="35">
        <v>0.4</v>
      </c>
      <c r="CN43" s="35">
        <v>0.4</v>
      </c>
      <c r="CO43" s="35">
        <v>0.4</v>
      </c>
      <c r="CP43" s="35">
        <v>0.4</v>
      </c>
      <c r="CQ43" s="35">
        <v>0.4</v>
      </c>
      <c r="CR43" s="35">
        <v>0.4</v>
      </c>
      <c r="CS43" s="35">
        <v>0.4</v>
      </c>
      <c r="CT43" s="35">
        <v>0.4</v>
      </c>
      <c r="CU43" s="35">
        <v>0.3</v>
      </c>
      <c r="CV43" s="35">
        <v>0.3</v>
      </c>
      <c r="CW43" s="35">
        <v>0.3</v>
      </c>
      <c r="CX43" s="35">
        <v>0.3</v>
      </c>
      <c r="CY43" s="35">
        <v>0.3</v>
      </c>
      <c r="CZ43" s="35">
        <v>0.3</v>
      </c>
      <c r="DA43" s="35">
        <v>0.3</v>
      </c>
      <c r="DB43" s="35">
        <v>0.3</v>
      </c>
      <c r="DC43" s="35">
        <v>0.3</v>
      </c>
      <c r="DD43" s="35">
        <v>0.3</v>
      </c>
      <c r="DE43" s="35">
        <v>0.4</v>
      </c>
      <c r="DF43" s="35">
        <v>0.4</v>
      </c>
      <c r="DG43" s="35">
        <v>0.4</v>
      </c>
      <c r="DH43" s="35">
        <v>0.4</v>
      </c>
      <c r="DI43" s="35">
        <v>0.5</v>
      </c>
      <c r="DJ43" s="35">
        <v>0.5</v>
      </c>
      <c r="DK43" s="35">
        <v>0.5</v>
      </c>
      <c r="DL43" s="35">
        <v>0.4</v>
      </c>
      <c r="DM43" s="35">
        <v>0.4</v>
      </c>
      <c r="DN43" s="35">
        <v>0.4</v>
      </c>
      <c r="DO43" s="35">
        <v>0.4</v>
      </c>
      <c r="DP43" s="35">
        <v>0.4</v>
      </c>
      <c r="DQ43" s="35">
        <v>0.4</v>
      </c>
      <c r="DR43" s="35">
        <v>0.5</v>
      </c>
      <c r="DS43" s="35">
        <v>0.5</v>
      </c>
      <c r="DT43" s="35">
        <v>0.6</v>
      </c>
      <c r="DU43" s="35">
        <v>0.6</v>
      </c>
      <c r="DV43" s="35">
        <v>8</v>
      </c>
      <c r="DW43" s="35">
        <v>14.4</v>
      </c>
      <c r="DX43" s="35">
        <v>4.8</v>
      </c>
      <c r="DY43" s="35">
        <v>3.4</v>
      </c>
      <c r="DZ43" s="35">
        <v>1.8</v>
      </c>
      <c r="EA43" s="35">
        <v>0.6</v>
      </c>
      <c r="EB43" s="35">
        <v>1.7</v>
      </c>
      <c r="EC43" s="35">
        <v>-0.4</v>
      </c>
      <c r="ED43" s="35">
        <v>0.1</v>
      </c>
      <c r="EE43" s="35">
        <v>0.3</v>
      </c>
      <c r="EF43" s="35">
        <v>-1</v>
      </c>
      <c r="EG43" s="35">
        <v>0.9</v>
      </c>
      <c r="EH43" s="35">
        <v>0.4</v>
      </c>
      <c r="EI43" s="35">
        <v>0.4</v>
      </c>
      <c r="EJ43" s="35">
        <v>0.4</v>
      </c>
      <c r="EK43" s="35">
        <v>0.4</v>
      </c>
      <c r="EL43" s="35">
        <v>0.4</v>
      </c>
      <c r="EM43" s="35">
        <v>0.4</v>
      </c>
      <c r="EN43" s="35">
        <v>0.4</v>
      </c>
      <c r="EO43" s="35">
        <v>0.4</v>
      </c>
      <c r="EP43" s="35">
        <v>0.4</v>
      </c>
      <c r="EQ43" s="35">
        <v>0.4</v>
      </c>
      <c r="ER43" s="35">
        <v>0.4</v>
      </c>
      <c r="ES43" s="35">
        <v>0.4</v>
      </c>
      <c r="ET43" s="35">
        <v>1.9</v>
      </c>
      <c r="EU43" s="35">
        <v>10.7</v>
      </c>
      <c r="EV43" s="35">
        <v>8.8000000000000007</v>
      </c>
      <c r="EW43" s="35">
        <v>7.2</v>
      </c>
      <c r="EX43" s="35">
        <v>4</v>
      </c>
      <c r="EY43" s="35">
        <v>2.9</v>
      </c>
      <c r="EZ43" s="35">
        <v>2.2000000000000002</v>
      </c>
      <c r="FA43" s="35">
        <v>2.8</v>
      </c>
      <c r="FB43" s="35">
        <v>2</v>
      </c>
      <c r="FC43" s="35">
        <v>1.2</v>
      </c>
      <c r="FD43" s="35">
        <v>1.2</v>
      </c>
      <c r="FE43" s="35">
        <v>1.2</v>
      </c>
      <c r="FF43" s="35">
        <v>1.6</v>
      </c>
      <c r="FG43" s="35">
        <v>2.1</v>
      </c>
      <c r="FH43" s="35">
        <v>1.6</v>
      </c>
      <c r="FI43" s="35">
        <v>1</v>
      </c>
      <c r="FJ43" s="35">
        <v>0.9</v>
      </c>
      <c r="FK43" s="35">
        <v>0.4</v>
      </c>
      <c r="FL43" s="35">
        <v>0.4</v>
      </c>
      <c r="FM43" s="35">
        <v>0.4</v>
      </c>
      <c r="FN43" s="35">
        <v>0.5</v>
      </c>
      <c r="FO43" s="35">
        <v>0.5</v>
      </c>
      <c r="FP43" s="35">
        <v>0.5</v>
      </c>
      <c r="FQ43" s="35">
        <v>0.5</v>
      </c>
      <c r="FR43" s="35">
        <v>0.5</v>
      </c>
      <c r="FS43" s="35">
        <v>0.5</v>
      </c>
      <c r="FT43" s="35">
        <v>0.5</v>
      </c>
      <c r="FU43" s="35">
        <v>0.5</v>
      </c>
      <c r="FV43" s="35">
        <v>0.5</v>
      </c>
      <c r="FW43" s="35">
        <v>0.5</v>
      </c>
      <c r="FX43" s="35">
        <v>0.5</v>
      </c>
      <c r="FY43" s="35">
        <v>0.5</v>
      </c>
      <c r="FZ43" s="35">
        <v>0.5</v>
      </c>
      <c r="GA43" s="35">
        <v>0.5</v>
      </c>
      <c r="GB43" s="35">
        <v>0.5</v>
      </c>
      <c r="GC43" s="35">
        <v>0.5</v>
      </c>
      <c r="GD43" s="35">
        <v>0.5</v>
      </c>
      <c r="GE43" s="35">
        <v>0.5</v>
      </c>
      <c r="GF43" s="35">
        <v>0.5</v>
      </c>
      <c r="GG43" s="35">
        <v>0.5</v>
      </c>
      <c r="GH43" s="35">
        <v>0.5</v>
      </c>
      <c r="GI43" s="35">
        <v>0.6</v>
      </c>
      <c r="GJ43" s="35">
        <v>0.6</v>
      </c>
      <c r="GK43" s="35">
        <v>0.6</v>
      </c>
      <c r="GL43" s="35">
        <v>0.6</v>
      </c>
      <c r="GM43" s="35">
        <v>0.6</v>
      </c>
      <c r="GN43" s="35">
        <v>0.6</v>
      </c>
      <c r="GO43" s="35">
        <v>0.6</v>
      </c>
      <c r="GP43" s="35">
        <v>0.6</v>
      </c>
      <c r="GQ43" s="35">
        <v>0.6</v>
      </c>
      <c r="GR43" s="35">
        <v>0.6</v>
      </c>
      <c r="GS43" s="35">
        <v>0.6</v>
      </c>
      <c r="GT43" s="35">
        <v>0.6</v>
      </c>
      <c r="GU43" s="35">
        <v>0.6</v>
      </c>
      <c r="GV43" s="35">
        <v>0.6</v>
      </c>
      <c r="GW43" s="35">
        <v>0.6</v>
      </c>
      <c r="GX43" s="35">
        <v>2.5</v>
      </c>
      <c r="GY43" s="35">
        <v>8.6</v>
      </c>
      <c r="GZ43" s="35">
        <v>0.7</v>
      </c>
      <c r="HA43" s="35">
        <v>0.7</v>
      </c>
      <c r="HB43" s="35">
        <v>0.7</v>
      </c>
      <c r="HC43">
        <v>0.7</v>
      </c>
      <c r="HD43">
        <v>0.7</v>
      </c>
      <c r="HE43">
        <v>0.7</v>
      </c>
      <c r="HF43">
        <v>0.7</v>
      </c>
      <c r="HG43">
        <v>0.7</v>
      </c>
      <c r="HH43">
        <v>0.7</v>
      </c>
      <c r="HI43">
        <v>0.7</v>
      </c>
      <c r="HJ43">
        <v>0.7</v>
      </c>
    </row>
    <row r="44" spans="1:218" x14ac:dyDescent="0.25">
      <c r="A44" s="35" t="s">
        <v>2207</v>
      </c>
      <c r="B44" s="35">
        <v>4.7</v>
      </c>
      <c r="C44" s="35">
        <v>4.8</v>
      </c>
      <c r="D44" s="35">
        <v>4.7</v>
      </c>
      <c r="E44" s="35">
        <v>4.8</v>
      </c>
      <c r="F44" s="35">
        <v>4.8</v>
      </c>
      <c r="G44" s="35">
        <v>4.8</v>
      </c>
      <c r="H44" s="35">
        <v>4.5</v>
      </c>
      <c r="I44" s="35">
        <v>4.5999999999999996</v>
      </c>
      <c r="J44" s="35">
        <v>6.1</v>
      </c>
      <c r="K44" s="35">
        <v>6.2</v>
      </c>
      <c r="L44" s="35">
        <v>7.2</v>
      </c>
      <c r="M44" s="35">
        <v>7.1</v>
      </c>
      <c r="N44" s="35">
        <v>5.9</v>
      </c>
      <c r="O44" s="35">
        <v>5.7</v>
      </c>
      <c r="P44" s="35">
        <v>4.7</v>
      </c>
      <c r="Q44" s="35">
        <v>4.5999999999999996</v>
      </c>
      <c r="R44" s="35">
        <v>3.6</v>
      </c>
      <c r="S44" s="35">
        <v>2.9</v>
      </c>
      <c r="T44" s="35">
        <v>3.2</v>
      </c>
      <c r="U44" s="35">
        <v>3.6</v>
      </c>
      <c r="V44" s="35">
        <v>4.2</v>
      </c>
      <c r="W44" s="35">
        <v>4.3</v>
      </c>
      <c r="X44" s="35">
        <v>4.5999999999999996</v>
      </c>
      <c r="Y44" s="35">
        <v>4.9000000000000004</v>
      </c>
      <c r="Z44" s="35">
        <v>5.0999999999999996</v>
      </c>
      <c r="AA44" s="35">
        <v>4.8</v>
      </c>
      <c r="AB44" s="35">
        <v>5.0999999999999996</v>
      </c>
      <c r="AC44" s="35">
        <v>5.5</v>
      </c>
      <c r="AD44" s="35">
        <v>5.8</v>
      </c>
      <c r="AE44" s="35">
        <v>5.9</v>
      </c>
      <c r="AF44" s="35">
        <v>6.4</v>
      </c>
      <c r="AG44" s="35">
        <v>10.3</v>
      </c>
      <c r="AH44" s="35">
        <v>8.6999999999999993</v>
      </c>
      <c r="AI44" s="35">
        <v>8.4</v>
      </c>
      <c r="AJ44" s="35">
        <v>8.3000000000000007</v>
      </c>
      <c r="AK44" s="35">
        <v>10.4</v>
      </c>
      <c r="AL44" s="35">
        <v>8.4</v>
      </c>
      <c r="AM44" s="35">
        <v>8.8000000000000007</v>
      </c>
      <c r="AN44" s="35">
        <v>8.1</v>
      </c>
      <c r="AO44" s="35">
        <v>8.9</v>
      </c>
      <c r="AP44" s="35">
        <v>9.1999999999999993</v>
      </c>
      <c r="AQ44" s="35">
        <v>9.6</v>
      </c>
      <c r="AR44" s="35">
        <v>10.1</v>
      </c>
      <c r="AS44" s="35">
        <v>10.3</v>
      </c>
      <c r="AT44" s="35">
        <v>10.6</v>
      </c>
      <c r="AU44" s="35">
        <v>10.7</v>
      </c>
      <c r="AV44" s="35">
        <v>11.1</v>
      </c>
      <c r="AW44" s="35">
        <v>13.5</v>
      </c>
      <c r="AX44" s="35">
        <v>14</v>
      </c>
      <c r="AY44" s="35">
        <v>13.6</v>
      </c>
      <c r="AZ44" s="35">
        <v>13</v>
      </c>
      <c r="BA44" s="35">
        <v>19.399999999999999</v>
      </c>
      <c r="BB44" s="35">
        <v>19.899999999999999</v>
      </c>
      <c r="BC44" s="35">
        <v>21.6</v>
      </c>
      <c r="BD44" s="35">
        <v>22.2</v>
      </c>
      <c r="BE44" s="35">
        <v>21.5</v>
      </c>
      <c r="BF44" s="35">
        <v>21.2</v>
      </c>
      <c r="BG44" s="35">
        <v>21</v>
      </c>
      <c r="BH44" s="35">
        <v>20.9</v>
      </c>
      <c r="BI44" s="35">
        <v>21.2</v>
      </c>
      <c r="BJ44" s="35">
        <v>21.1</v>
      </c>
      <c r="BK44" s="35">
        <v>21</v>
      </c>
      <c r="BL44" s="35">
        <v>21.3</v>
      </c>
      <c r="BM44" s="35">
        <v>22</v>
      </c>
      <c r="BN44" s="35">
        <v>23.1</v>
      </c>
      <c r="BO44" s="35">
        <v>24.2</v>
      </c>
      <c r="BP44" s="35">
        <v>25.5</v>
      </c>
      <c r="BQ44" s="35">
        <v>26.8</v>
      </c>
      <c r="BR44" s="35">
        <v>28.3</v>
      </c>
      <c r="BS44" s="35">
        <v>30.4</v>
      </c>
      <c r="BT44" s="35">
        <v>31.3</v>
      </c>
      <c r="BU44" s="35">
        <v>31.1</v>
      </c>
      <c r="BV44" s="35">
        <v>30.4</v>
      </c>
      <c r="BW44" s="35">
        <v>29.8</v>
      </c>
      <c r="BX44" s="35">
        <v>29.2</v>
      </c>
      <c r="BY44" s="35">
        <v>28.6</v>
      </c>
      <c r="BZ44" s="35">
        <v>28</v>
      </c>
      <c r="CA44" s="35">
        <v>27.4</v>
      </c>
      <c r="CB44" s="35">
        <v>27.1</v>
      </c>
      <c r="CC44" s="35">
        <v>27.3</v>
      </c>
      <c r="CD44" s="35">
        <v>27.1</v>
      </c>
      <c r="CE44" s="35">
        <v>27</v>
      </c>
      <c r="CF44" s="35">
        <v>26.9</v>
      </c>
      <c r="CG44" s="35">
        <v>27</v>
      </c>
      <c r="CH44" s="35">
        <v>27.1</v>
      </c>
      <c r="CI44" s="35">
        <v>27.2</v>
      </c>
      <c r="CJ44" s="35">
        <v>27.5</v>
      </c>
      <c r="CK44" s="35">
        <v>28.1</v>
      </c>
      <c r="CL44" s="35">
        <v>28.6</v>
      </c>
      <c r="CM44" s="35">
        <v>29.2</v>
      </c>
      <c r="CN44" s="35">
        <v>30.4</v>
      </c>
      <c r="CO44" s="35">
        <v>32.200000000000003</v>
      </c>
      <c r="CP44" s="35">
        <v>35.5</v>
      </c>
      <c r="CQ44" s="35">
        <v>37.6</v>
      </c>
      <c r="CR44" s="35">
        <v>37.700000000000003</v>
      </c>
      <c r="CS44" s="35">
        <v>36</v>
      </c>
      <c r="CT44" s="35">
        <v>33.6</v>
      </c>
      <c r="CU44" s="35">
        <v>32.4</v>
      </c>
      <c r="CV44" s="35">
        <v>31.9</v>
      </c>
      <c r="CW44" s="35">
        <v>32.200000000000003</v>
      </c>
      <c r="CX44" s="35">
        <v>34</v>
      </c>
      <c r="CY44" s="35">
        <v>34.6</v>
      </c>
      <c r="CZ44" s="35">
        <v>35.1</v>
      </c>
      <c r="DA44" s="35">
        <v>35.5</v>
      </c>
      <c r="DB44" s="35">
        <v>35.5</v>
      </c>
      <c r="DC44" s="35">
        <v>35.4</v>
      </c>
      <c r="DD44" s="35">
        <v>35.200000000000003</v>
      </c>
      <c r="DE44" s="35">
        <v>34.799999999999997</v>
      </c>
      <c r="DF44" s="35">
        <v>34.4</v>
      </c>
      <c r="DG44" s="35">
        <v>33.6</v>
      </c>
      <c r="DH44" s="35">
        <v>33.4</v>
      </c>
      <c r="DI44" s="35">
        <v>33.799999999999997</v>
      </c>
      <c r="DJ44" s="35">
        <v>33.799999999999997</v>
      </c>
      <c r="DK44" s="35">
        <v>35</v>
      </c>
      <c r="DL44" s="35">
        <v>36.799999999999997</v>
      </c>
      <c r="DM44" s="35">
        <v>39.9</v>
      </c>
      <c r="DN44" s="35">
        <v>42.4</v>
      </c>
      <c r="DO44" s="35">
        <v>45</v>
      </c>
      <c r="DP44" s="35">
        <v>46.4</v>
      </c>
      <c r="DQ44" s="35">
        <v>46.9</v>
      </c>
      <c r="DR44" s="35">
        <v>45.1</v>
      </c>
      <c r="DS44" s="35">
        <v>45.5</v>
      </c>
      <c r="DT44" s="35">
        <v>45.8</v>
      </c>
      <c r="DU44" s="35">
        <v>47</v>
      </c>
      <c r="DV44" s="35">
        <v>55.2</v>
      </c>
      <c r="DW44" s="35">
        <v>62</v>
      </c>
      <c r="DX44" s="35">
        <v>71.2</v>
      </c>
      <c r="DY44" s="35">
        <v>46.4</v>
      </c>
      <c r="DZ44" s="35">
        <v>42.6</v>
      </c>
      <c r="EA44" s="35">
        <v>39.799999999999997</v>
      </c>
      <c r="EB44" s="35">
        <v>41.3</v>
      </c>
      <c r="EC44" s="35">
        <v>41.9</v>
      </c>
      <c r="ED44" s="35">
        <v>47.1</v>
      </c>
      <c r="EE44" s="35">
        <v>57.1</v>
      </c>
      <c r="EF44" s="35">
        <v>45.9</v>
      </c>
      <c r="EG44" s="35">
        <v>46</v>
      </c>
      <c r="EH44" s="35">
        <v>44.2</v>
      </c>
      <c r="EI44" s="35">
        <v>43.7</v>
      </c>
      <c r="EJ44" s="35">
        <v>45.4</v>
      </c>
      <c r="EK44" s="35">
        <v>52.3</v>
      </c>
      <c r="EL44" s="35">
        <v>56.7</v>
      </c>
      <c r="EM44" s="35">
        <v>60.7</v>
      </c>
      <c r="EN44" s="35">
        <v>62</v>
      </c>
      <c r="EO44" s="35">
        <v>64.2</v>
      </c>
      <c r="EP44" s="35">
        <v>55.7</v>
      </c>
      <c r="EQ44" s="35">
        <v>51.5</v>
      </c>
      <c r="ER44" s="35">
        <v>49.9</v>
      </c>
      <c r="ES44" s="35">
        <v>48.7</v>
      </c>
      <c r="ET44" s="35">
        <v>49.5</v>
      </c>
      <c r="EU44" s="35">
        <v>58.2</v>
      </c>
      <c r="EV44" s="35">
        <v>55.9</v>
      </c>
      <c r="EW44" s="35">
        <v>54.7</v>
      </c>
      <c r="EX44" s="35">
        <v>51.9</v>
      </c>
      <c r="EY44" s="35">
        <v>51.7</v>
      </c>
      <c r="EZ44" s="35">
        <v>52</v>
      </c>
      <c r="FA44" s="35">
        <v>54.6</v>
      </c>
      <c r="FB44" s="35">
        <v>55.4</v>
      </c>
      <c r="FC44" s="35">
        <v>55.5</v>
      </c>
      <c r="FD44" s="35">
        <v>67.099999999999994</v>
      </c>
      <c r="FE44" s="35">
        <v>55.5</v>
      </c>
      <c r="FF44" s="35">
        <v>54.8</v>
      </c>
      <c r="FG44" s="35">
        <v>55.5</v>
      </c>
      <c r="FH44" s="35">
        <v>56</v>
      </c>
      <c r="FI44" s="35">
        <v>56.9</v>
      </c>
      <c r="FJ44" s="35">
        <v>58.9</v>
      </c>
      <c r="FK44" s="35">
        <v>59.9</v>
      </c>
      <c r="FL44" s="35">
        <v>60.2</v>
      </c>
      <c r="FM44" s="35">
        <v>61.1</v>
      </c>
      <c r="FN44" s="35">
        <v>58.4</v>
      </c>
      <c r="FO44" s="35">
        <v>58.1</v>
      </c>
      <c r="FP44" s="35">
        <v>56.3</v>
      </c>
      <c r="FQ44" s="35">
        <v>59.4</v>
      </c>
      <c r="FR44" s="35">
        <v>59.4</v>
      </c>
      <c r="FS44" s="35">
        <v>60.1</v>
      </c>
      <c r="FT44" s="35">
        <v>60</v>
      </c>
      <c r="FU44" s="35">
        <v>59.4</v>
      </c>
      <c r="FV44" s="35">
        <v>58.7</v>
      </c>
      <c r="FW44" s="35">
        <v>58.5</v>
      </c>
      <c r="FX44" s="35">
        <v>58.2</v>
      </c>
      <c r="FY44" s="35">
        <v>57</v>
      </c>
      <c r="FZ44" s="35">
        <v>56</v>
      </c>
      <c r="GA44" s="35">
        <v>56.4</v>
      </c>
      <c r="GB44" s="35">
        <v>57.7</v>
      </c>
      <c r="GC44" s="35">
        <v>58.7</v>
      </c>
      <c r="GD44" s="35">
        <v>60.7</v>
      </c>
      <c r="GE44" s="35">
        <v>62.4</v>
      </c>
      <c r="GF44" s="35">
        <v>63</v>
      </c>
      <c r="GG44" s="35">
        <v>60.9</v>
      </c>
      <c r="GH44" s="35">
        <v>59.4</v>
      </c>
      <c r="GI44" s="35">
        <v>58</v>
      </c>
      <c r="GJ44" s="35">
        <v>61.9</v>
      </c>
      <c r="GK44" s="35">
        <v>60.2</v>
      </c>
      <c r="GL44" s="35">
        <v>58.7</v>
      </c>
      <c r="GM44" s="35">
        <v>58.2</v>
      </c>
      <c r="GN44" s="35">
        <v>57.8</v>
      </c>
      <c r="GO44" s="35">
        <v>78.5</v>
      </c>
      <c r="GP44" s="35">
        <v>69.099999999999994</v>
      </c>
      <c r="GQ44" s="35">
        <v>58.9</v>
      </c>
      <c r="GR44" s="35">
        <v>81.2</v>
      </c>
      <c r="GS44" s="35">
        <v>82.7</v>
      </c>
      <c r="GT44" s="35">
        <v>80.599999999999994</v>
      </c>
      <c r="GU44" s="35">
        <v>976.4</v>
      </c>
      <c r="GV44" s="35">
        <v>1109</v>
      </c>
      <c r="GW44" s="35">
        <v>461.4</v>
      </c>
      <c r="GX44" s="35">
        <v>388</v>
      </c>
      <c r="GY44" s="35">
        <v>701.3</v>
      </c>
      <c r="GZ44" s="35">
        <v>547.79999999999995</v>
      </c>
      <c r="HA44" s="35">
        <v>293.89999999999998</v>
      </c>
      <c r="HB44" s="35">
        <v>152</v>
      </c>
      <c r="HC44">
        <v>130.1</v>
      </c>
      <c r="HD44">
        <v>118.4</v>
      </c>
      <c r="HE44">
        <v>109.2</v>
      </c>
      <c r="HF44">
        <v>101.4</v>
      </c>
      <c r="HG44">
        <v>99.9</v>
      </c>
      <c r="HH44">
        <v>103.1</v>
      </c>
      <c r="HI44">
        <v>100</v>
      </c>
      <c r="HJ44">
        <v>97.2</v>
      </c>
    </row>
    <row r="45" spans="1:218" x14ac:dyDescent="0.25">
      <c r="A45" s="35" t="s">
        <v>2208</v>
      </c>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5"/>
      <c r="BE45" s="35"/>
      <c r="BF45" s="35"/>
      <c r="BG45" s="35"/>
      <c r="BH45" s="35"/>
      <c r="BI45" s="35"/>
      <c r="BJ45" s="35"/>
      <c r="BK45" s="35"/>
      <c r="BL45" s="35"/>
      <c r="BM45" s="35"/>
      <c r="BN45" s="35"/>
      <c r="BO45" s="35"/>
      <c r="BP45" s="35"/>
      <c r="BQ45" s="35"/>
      <c r="BR45" s="35"/>
      <c r="BS45" s="35"/>
      <c r="BT45" s="35"/>
      <c r="BU45" s="35"/>
      <c r="BV45" s="35"/>
      <c r="BW45" s="35"/>
      <c r="BX45" s="35"/>
      <c r="BY45" s="35"/>
      <c r="BZ45" s="35"/>
      <c r="CA45" s="35"/>
      <c r="CB45" s="35"/>
      <c r="CC45" s="35"/>
      <c r="CD45" s="35"/>
      <c r="CE45" s="35"/>
      <c r="CF45" s="35"/>
      <c r="CG45" s="35"/>
      <c r="CH45" s="35"/>
      <c r="CI45" s="35"/>
      <c r="CJ45" s="35"/>
      <c r="CK45" s="35"/>
      <c r="CL45" s="35"/>
      <c r="CM45" s="35"/>
      <c r="CN45" s="35"/>
      <c r="CO45" s="35"/>
      <c r="CP45" s="35"/>
      <c r="CQ45" s="35"/>
      <c r="CR45" s="35"/>
      <c r="CS45" s="35"/>
      <c r="CT45" s="35"/>
      <c r="CU45" s="35"/>
      <c r="CV45" s="35"/>
      <c r="CW45" s="35"/>
      <c r="CX45" s="35"/>
      <c r="CY45" s="35"/>
      <c r="CZ45" s="35"/>
      <c r="DA45" s="35"/>
      <c r="DB45" s="35"/>
      <c r="DC45" s="35"/>
      <c r="DD45" s="35"/>
      <c r="DE45" s="35"/>
      <c r="DF45" s="35"/>
      <c r="DG45" s="35"/>
      <c r="DH45" s="35"/>
      <c r="DI45" s="35"/>
      <c r="DJ45" s="35"/>
      <c r="DK45" s="35"/>
      <c r="DL45" s="35"/>
      <c r="DM45" s="35"/>
      <c r="DN45" s="35"/>
      <c r="DO45" s="35"/>
      <c r="DP45" s="35"/>
      <c r="DQ45" s="35"/>
      <c r="DR45" s="35"/>
      <c r="DS45" s="35"/>
      <c r="DT45" s="35"/>
      <c r="DU45" s="35"/>
      <c r="DV45" s="35"/>
      <c r="DW45" s="35"/>
      <c r="DX45" s="35"/>
      <c r="DY45" s="35"/>
      <c r="DZ45" s="35"/>
      <c r="EA45" s="35"/>
      <c r="EB45" s="35"/>
      <c r="EC45" s="35"/>
      <c r="ED45" s="35"/>
      <c r="EE45" s="35"/>
      <c r="EF45" s="35"/>
      <c r="EG45" s="35"/>
      <c r="EH45" s="35"/>
      <c r="EI45" s="35"/>
      <c r="EJ45" s="35"/>
      <c r="EK45" s="35"/>
      <c r="EL45" s="35"/>
      <c r="EM45" s="35"/>
      <c r="EN45" s="35"/>
      <c r="EO45" s="35"/>
      <c r="EP45" s="35"/>
      <c r="EQ45" s="35"/>
      <c r="ER45" s="35"/>
      <c r="ES45" s="35"/>
      <c r="ET45" s="35"/>
      <c r="EU45" s="35"/>
      <c r="EV45" s="35"/>
      <c r="EW45" s="35"/>
      <c r="EX45" s="35"/>
      <c r="EY45" s="35"/>
      <c r="EZ45" s="35"/>
      <c r="FA45" s="35"/>
      <c r="FB45" s="35"/>
      <c r="FC45" s="35"/>
      <c r="FD45" s="35"/>
      <c r="FE45" s="35"/>
      <c r="FF45" s="35"/>
      <c r="FG45" s="35"/>
      <c r="FH45" s="35"/>
      <c r="FI45" s="35"/>
      <c r="FJ45" s="35"/>
      <c r="FK45" s="35"/>
      <c r="FL45" s="35"/>
      <c r="FM45" s="35"/>
      <c r="FN45" s="35"/>
      <c r="FO45" s="35"/>
      <c r="FP45" s="35"/>
      <c r="FQ45" s="35"/>
      <c r="FR45" s="35"/>
      <c r="FS45" s="35"/>
      <c r="FT45" s="35"/>
      <c r="FU45" s="35"/>
      <c r="FV45" s="35"/>
      <c r="FW45" s="35"/>
      <c r="FX45" s="35"/>
      <c r="FY45" s="35"/>
      <c r="FZ45" s="35"/>
      <c r="GA45" s="35"/>
      <c r="GB45" s="35"/>
      <c r="GC45" s="35"/>
      <c r="GD45" s="35"/>
      <c r="GE45" s="35"/>
      <c r="GF45" s="35"/>
      <c r="GG45" s="35"/>
      <c r="GH45" s="35"/>
      <c r="GI45" s="35"/>
      <c r="GJ45" s="35"/>
      <c r="GK45" s="35"/>
      <c r="GL45" s="35"/>
      <c r="GM45" s="35"/>
      <c r="GN45" s="35"/>
      <c r="GO45" s="35"/>
      <c r="GP45" s="35"/>
      <c r="GQ45" s="35"/>
      <c r="GR45" s="35"/>
      <c r="GS45" s="35"/>
      <c r="GT45" s="35"/>
      <c r="GU45" s="35">
        <v>1078.0999999999999</v>
      </c>
      <c r="GV45" s="35">
        <v>15.6</v>
      </c>
      <c r="GW45" s="35">
        <v>5</v>
      </c>
      <c r="GX45" s="35">
        <v>1933.7</v>
      </c>
      <c r="GY45" s="35">
        <v>290.10000000000002</v>
      </c>
      <c r="GZ45" s="35">
        <v>38.9</v>
      </c>
      <c r="HA45" s="35">
        <v>14.2</v>
      </c>
      <c r="HB45" s="35">
        <v>0</v>
      </c>
      <c r="HC45">
        <v>0</v>
      </c>
      <c r="HD45">
        <v>0</v>
      </c>
      <c r="HE45">
        <v>0</v>
      </c>
    </row>
    <row r="46" spans="1:218" x14ac:dyDescent="0.25">
      <c r="A46" s="35" t="s">
        <v>2209</v>
      </c>
      <c r="B46" s="35"/>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c r="AZ46" s="35"/>
      <c r="BA46" s="35"/>
      <c r="BB46" s="35"/>
      <c r="BC46" s="35"/>
      <c r="BD46" s="35"/>
      <c r="BE46" s="35"/>
      <c r="BF46" s="35"/>
      <c r="BG46" s="35"/>
      <c r="BH46" s="35"/>
      <c r="BI46" s="35"/>
      <c r="BJ46" s="35"/>
      <c r="BK46" s="35"/>
      <c r="BL46" s="35"/>
      <c r="BM46" s="35"/>
      <c r="BN46" s="35"/>
      <c r="BO46" s="35"/>
      <c r="BP46" s="35"/>
      <c r="BQ46" s="35"/>
      <c r="BR46" s="35"/>
      <c r="BS46" s="35"/>
      <c r="BT46" s="35"/>
      <c r="BU46" s="35"/>
      <c r="BV46" s="35"/>
      <c r="BW46" s="35"/>
      <c r="BX46" s="35"/>
      <c r="BY46" s="35"/>
      <c r="BZ46" s="35"/>
      <c r="CA46" s="35"/>
      <c r="CB46" s="35"/>
      <c r="CC46" s="35"/>
      <c r="CD46" s="35"/>
      <c r="CE46" s="35"/>
      <c r="CF46" s="35"/>
      <c r="CG46" s="35"/>
      <c r="CH46" s="35"/>
      <c r="CI46" s="35"/>
      <c r="CJ46" s="35"/>
      <c r="CK46" s="35"/>
      <c r="CL46" s="35"/>
      <c r="CM46" s="35"/>
      <c r="CN46" s="35"/>
      <c r="CO46" s="35"/>
      <c r="CP46" s="35"/>
      <c r="CQ46" s="35"/>
      <c r="CR46" s="35"/>
      <c r="CS46" s="35"/>
      <c r="CT46" s="35"/>
      <c r="CU46" s="35"/>
      <c r="CV46" s="35"/>
      <c r="CW46" s="35"/>
      <c r="CX46" s="35"/>
      <c r="CY46" s="35"/>
      <c r="CZ46" s="35"/>
      <c r="DA46" s="35"/>
      <c r="DB46" s="35"/>
      <c r="DC46" s="35"/>
      <c r="DD46" s="35"/>
      <c r="DE46" s="35"/>
      <c r="DF46" s="35"/>
      <c r="DG46" s="35"/>
      <c r="DH46" s="35"/>
      <c r="DI46" s="35"/>
      <c r="DJ46" s="35"/>
      <c r="DK46" s="35"/>
      <c r="DL46" s="35"/>
      <c r="DM46" s="35"/>
      <c r="DN46" s="35"/>
      <c r="DO46" s="35"/>
      <c r="DP46" s="35"/>
      <c r="DQ46" s="35"/>
      <c r="DR46" s="35"/>
      <c r="DS46" s="35"/>
      <c r="DT46" s="35"/>
      <c r="DU46" s="35"/>
      <c r="DV46" s="35"/>
      <c r="DW46" s="35"/>
      <c r="DX46" s="35"/>
      <c r="DY46" s="35"/>
      <c r="DZ46" s="35"/>
      <c r="EA46" s="35"/>
      <c r="EB46" s="35"/>
      <c r="EC46" s="35"/>
      <c r="ED46" s="35"/>
      <c r="EE46" s="35"/>
      <c r="EF46" s="35"/>
      <c r="EG46" s="35"/>
      <c r="EH46" s="35"/>
      <c r="EI46" s="35"/>
      <c r="EJ46" s="35"/>
      <c r="EK46" s="35"/>
      <c r="EL46" s="35"/>
      <c r="EM46" s="35"/>
      <c r="EN46" s="35"/>
      <c r="EO46" s="35"/>
      <c r="EP46" s="35"/>
      <c r="EQ46" s="35"/>
      <c r="ER46" s="35"/>
      <c r="ES46" s="35"/>
      <c r="ET46" s="35"/>
      <c r="EU46" s="35"/>
      <c r="EV46" s="35"/>
      <c r="EW46" s="35"/>
      <c r="EX46" s="35"/>
      <c r="EY46" s="35"/>
      <c r="EZ46" s="35"/>
      <c r="FA46" s="35"/>
      <c r="FB46" s="35"/>
      <c r="FC46" s="35"/>
      <c r="FD46" s="35"/>
      <c r="FE46" s="35"/>
      <c r="FF46" s="35"/>
      <c r="FG46" s="35"/>
      <c r="FH46" s="35"/>
      <c r="FI46" s="35"/>
      <c r="FJ46" s="35"/>
      <c r="FK46" s="35"/>
      <c r="FL46" s="35"/>
      <c r="FM46" s="35"/>
      <c r="FN46" s="35"/>
      <c r="FO46" s="35"/>
      <c r="FP46" s="35"/>
      <c r="FQ46" s="35"/>
      <c r="FR46" s="35"/>
      <c r="FS46" s="35"/>
      <c r="FT46" s="35"/>
      <c r="FU46" s="35"/>
      <c r="FV46" s="35"/>
      <c r="FW46" s="35"/>
      <c r="FX46" s="35"/>
      <c r="FY46" s="35"/>
      <c r="FZ46" s="35"/>
      <c r="GA46" s="35"/>
      <c r="GB46" s="35"/>
      <c r="GC46" s="35"/>
      <c r="GD46" s="35"/>
      <c r="GE46" s="35"/>
      <c r="GF46" s="35"/>
      <c r="GG46" s="35"/>
      <c r="GH46" s="35"/>
      <c r="GI46" s="35"/>
      <c r="GJ46" s="35"/>
      <c r="GK46" s="35"/>
      <c r="GL46" s="35"/>
      <c r="GM46" s="35"/>
      <c r="GN46" s="35"/>
      <c r="GO46" s="35"/>
      <c r="GP46" s="35"/>
      <c r="GQ46" s="35"/>
      <c r="GR46" s="35"/>
      <c r="GS46" s="35"/>
      <c r="GT46" s="35"/>
      <c r="GU46" s="35">
        <v>9.6</v>
      </c>
      <c r="GV46" s="35">
        <v>14.4</v>
      </c>
      <c r="GW46" s="35">
        <v>14.3</v>
      </c>
      <c r="GX46" s="35">
        <v>15</v>
      </c>
      <c r="GY46" s="35">
        <v>15.3</v>
      </c>
      <c r="GZ46" s="35">
        <v>15.6</v>
      </c>
      <c r="HA46" s="35">
        <v>15.7</v>
      </c>
      <c r="HB46" s="35">
        <v>15.8</v>
      </c>
      <c r="HC46">
        <v>7.9</v>
      </c>
      <c r="HD46">
        <v>0</v>
      </c>
      <c r="HE46">
        <v>0</v>
      </c>
    </row>
    <row r="47" spans="1:218" x14ac:dyDescent="0.25">
      <c r="A47" s="35" t="s">
        <v>2210</v>
      </c>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s="35"/>
      <c r="AZ47" s="35"/>
      <c r="BA47" s="35"/>
      <c r="BB47" s="35"/>
      <c r="BC47" s="35"/>
      <c r="BD47" s="35"/>
      <c r="BE47" s="35"/>
      <c r="BF47" s="35"/>
      <c r="BG47" s="35"/>
      <c r="BH47" s="35"/>
      <c r="BI47" s="35"/>
      <c r="BJ47" s="35"/>
      <c r="BK47" s="35"/>
      <c r="BL47" s="35"/>
      <c r="BM47" s="35"/>
      <c r="BN47" s="35"/>
      <c r="BO47" s="35"/>
      <c r="BP47" s="35"/>
      <c r="BQ47" s="35"/>
      <c r="BR47" s="35"/>
      <c r="BS47" s="35"/>
      <c r="BT47" s="35"/>
      <c r="BU47" s="35"/>
      <c r="BV47" s="35"/>
      <c r="BW47" s="35"/>
      <c r="BX47" s="35"/>
      <c r="BY47" s="35"/>
      <c r="BZ47" s="35"/>
      <c r="CA47" s="35"/>
      <c r="CB47" s="35"/>
      <c r="CC47" s="35"/>
      <c r="CD47" s="35"/>
      <c r="CE47" s="35"/>
      <c r="CF47" s="35"/>
      <c r="CG47" s="35"/>
      <c r="CH47" s="35"/>
      <c r="CI47" s="35"/>
      <c r="CJ47" s="35"/>
      <c r="CK47" s="35"/>
      <c r="CL47" s="35"/>
      <c r="CM47" s="35"/>
      <c r="CN47" s="35"/>
      <c r="CO47" s="35"/>
      <c r="CP47" s="35"/>
      <c r="CQ47" s="35"/>
      <c r="CR47" s="35"/>
      <c r="CS47" s="35"/>
      <c r="CT47" s="35"/>
      <c r="CU47" s="35"/>
      <c r="CV47" s="35"/>
      <c r="CW47" s="35"/>
      <c r="CX47" s="35"/>
      <c r="CY47" s="35"/>
      <c r="CZ47" s="35"/>
      <c r="DA47" s="35"/>
      <c r="DB47" s="35"/>
      <c r="DC47" s="35"/>
      <c r="DD47" s="35"/>
      <c r="DE47" s="35"/>
      <c r="DF47" s="35"/>
      <c r="DG47" s="35"/>
      <c r="DH47" s="35"/>
      <c r="DI47" s="35"/>
      <c r="DJ47" s="35"/>
      <c r="DK47" s="35"/>
      <c r="DL47" s="35"/>
      <c r="DM47" s="35"/>
      <c r="DN47" s="35"/>
      <c r="DO47" s="35"/>
      <c r="DP47" s="35"/>
      <c r="DQ47" s="35"/>
      <c r="DR47" s="35"/>
      <c r="DS47" s="35"/>
      <c r="DT47" s="35"/>
      <c r="DU47" s="35"/>
      <c r="DV47" s="35"/>
      <c r="DW47" s="35"/>
      <c r="DX47" s="35"/>
      <c r="DY47" s="35"/>
      <c r="DZ47" s="35"/>
      <c r="EA47" s="35"/>
      <c r="EB47" s="35"/>
      <c r="EC47" s="35"/>
      <c r="ED47" s="35"/>
      <c r="EE47" s="35"/>
      <c r="EF47" s="35"/>
      <c r="EG47" s="35"/>
      <c r="EH47" s="35"/>
      <c r="EI47" s="35"/>
      <c r="EJ47" s="35"/>
      <c r="EK47" s="35"/>
      <c r="EL47" s="35"/>
      <c r="EM47" s="35"/>
      <c r="EN47" s="35"/>
      <c r="EO47" s="35"/>
      <c r="EP47" s="35"/>
      <c r="EQ47" s="35"/>
      <c r="ER47" s="35"/>
      <c r="ES47" s="35"/>
      <c r="ET47" s="35"/>
      <c r="EU47" s="35"/>
      <c r="EV47" s="35"/>
      <c r="EW47" s="35"/>
      <c r="EX47" s="35"/>
      <c r="EY47" s="35"/>
      <c r="EZ47" s="35"/>
      <c r="FA47" s="35"/>
      <c r="FB47" s="35"/>
      <c r="FC47" s="35"/>
      <c r="FD47" s="35"/>
      <c r="FE47" s="35"/>
      <c r="FF47" s="35"/>
      <c r="FG47" s="35"/>
      <c r="FH47" s="35"/>
      <c r="FI47" s="35"/>
      <c r="FJ47" s="35"/>
      <c r="FK47" s="35"/>
      <c r="FL47" s="35"/>
      <c r="FM47" s="35"/>
      <c r="FN47" s="35"/>
      <c r="FO47" s="35"/>
      <c r="FP47" s="35"/>
      <c r="FQ47" s="35"/>
      <c r="FR47" s="35"/>
      <c r="FS47" s="35"/>
      <c r="FT47" s="35"/>
      <c r="FU47" s="35"/>
      <c r="FV47" s="35"/>
      <c r="FW47" s="35"/>
      <c r="FX47" s="35"/>
      <c r="FY47" s="35"/>
      <c r="FZ47" s="35"/>
      <c r="GA47" s="35"/>
      <c r="GB47" s="35"/>
      <c r="GC47" s="35"/>
      <c r="GD47" s="35"/>
      <c r="GE47" s="35"/>
      <c r="GF47" s="35"/>
      <c r="GG47" s="35"/>
      <c r="GH47" s="35"/>
      <c r="GI47" s="35"/>
      <c r="GJ47" s="35"/>
      <c r="GK47" s="35"/>
      <c r="GL47" s="35"/>
      <c r="GM47" s="35"/>
      <c r="GN47" s="35"/>
      <c r="GO47" s="35"/>
      <c r="GP47" s="35"/>
      <c r="GQ47" s="35"/>
      <c r="GR47" s="35"/>
      <c r="GS47" s="35"/>
      <c r="GT47" s="35"/>
      <c r="GU47" s="35">
        <v>57.2</v>
      </c>
      <c r="GV47" s="35">
        <v>81.2</v>
      </c>
      <c r="GW47" s="35">
        <v>24.4</v>
      </c>
      <c r="GX47" s="35">
        <v>11.7</v>
      </c>
      <c r="GY47" s="35">
        <v>28.5</v>
      </c>
      <c r="GZ47" s="35">
        <v>18.8</v>
      </c>
      <c r="HA47" s="35">
        <v>1.6</v>
      </c>
      <c r="HB47" s="35">
        <v>0</v>
      </c>
      <c r="HC47">
        <v>0</v>
      </c>
      <c r="HD47">
        <v>0</v>
      </c>
      <c r="HE47">
        <v>0</v>
      </c>
    </row>
    <row r="48" spans="1:218" x14ac:dyDescent="0.25">
      <c r="A48" s="35" t="s">
        <v>2211</v>
      </c>
      <c r="B48" s="35"/>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s="35"/>
      <c r="AZ48" s="35"/>
      <c r="BA48" s="35"/>
      <c r="BB48" s="35"/>
      <c r="BC48" s="35"/>
      <c r="BD48" s="35"/>
      <c r="BE48" s="35"/>
      <c r="BF48" s="35"/>
      <c r="BG48" s="35"/>
      <c r="BH48" s="35"/>
      <c r="BI48" s="35"/>
      <c r="BJ48" s="35"/>
      <c r="BK48" s="35"/>
      <c r="BL48" s="35"/>
      <c r="BM48" s="35"/>
      <c r="BN48" s="35"/>
      <c r="BO48" s="35"/>
      <c r="BP48" s="35"/>
      <c r="BQ48" s="35"/>
      <c r="BR48" s="35"/>
      <c r="BS48" s="35"/>
      <c r="BT48" s="35"/>
      <c r="BU48" s="35"/>
      <c r="BV48" s="35"/>
      <c r="BW48" s="35"/>
      <c r="BX48" s="35"/>
      <c r="BY48" s="35"/>
      <c r="BZ48" s="35"/>
      <c r="CA48" s="35"/>
      <c r="CB48" s="35"/>
      <c r="CC48" s="35"/>
      <c r="CD48" s="35"/>
      <c r="CE48" s="35"/>
      <c r="CF48" s="35"/>
      <c r="CG48" s="35"/>
      <c r="CH48" s="35"/>
      <c r="CI48" s="35"/>
      <c r="CJ48" s="35"/>
      <c r="CK48" s="35"/>
      <c r="CL48" s="35"/>
      <c r="CM48" s="35"/>
      <c r="CN48" s="35"/>
      <c r="CO48" s="35"/>
      <c r="CP48" s="35"/>
      <c r="CQ48" s="35"/>
      <c r="CR48" s="35"/>
      <c r="CS48" s="35"/>
      <c r="CT48" s="35"/>
      <c r="CU48" s="35"/>
      <c r="CV48" s="35"/>
      <c r="CW48" s="35"/>
      <c r="CX48" s="35"/>
      <c r="CY48" s="35"/>
      <c r="CZ48" s="35"/>
      <c r="DA48" s="35"/>
      <c r="DB48" s="35"/>
      <c r="DC48" s="35"/>
      <c r="DD48" s="35"/>
      <c r="DE48" s="35"/>
      <c r="DF48" s="35"/>
      <c r="DG48" s="35"/>
      <c r="DH48" s="35"/>
      <c r="DI48" s="35"/>
      <c r="DJ48" s="35"/>
      <c r="DK48" s="35"/>
      <c r="DL48" s="35"/>
      <c r="DM48" s="35"/>
      <c r="DN48" s="35"/>
      <c r="DO48" s="35"/>
      <c r="DP48" s="35"/>
      <c r="DQ48" s="35"/>
      <c r="DR48" s="35"/>
      <c r="DS48" s="35"/>
      <c r="DT48" s="35"/>
      <c r="DU48" s="35"/>
      <c r="DV48" s="35"/>
      <c r="DW48" s="35"/>
      <c r="DX48" s="35"/>
      <c r="DY48" s="35"/>
      <c r="DZ48" s="35"/>
      <c r="EA48" s="35"/>
      <c r="EB48" s="35"/>
      <c r="EC48" s="35"/>
      <c r="ED48" s="35"/>
      <c r="EE48" s="35"/>
      <c r="EF48" s="35"/>
      <c r="EG48" s="35"/>
      <c r="EH48" s="35"/>
      <c r="EI48" s="35"/>
      <c r="EJ48" s="35"/>
      <c r="EK48" s="35"/>
      <c r="EL48" s="35"/>
      <c r="EM48" s="35"/>
      <c r="EN48" s="35"/>
      <c r="EO48" s="35"/>
      <c r="EP48" s="35"/>
      <c r="EQ48" s="35"/>
      <c r="ER48" s="35"/>
      <c r="ES48" s="35"/>
      <c r="ET48" s="35"/>
      <c r="EU48" s="35"/>
      <c r="EV48" s="35"/>
      <c r="EW48" s="35"/>
      <c r="EX48" s="35"/>
      <c r="EY48" s="35"/>
      <c r="EZ48" s="35"/>
      <c r="FA48" s="35"/>
      <c r="FB48" s="35"/>
      <c r="FC48" s="35"/>
      <c r="FD48" s="35"/>
      <c r="FE48" s="35"/>
      <c r="FF48" s="35"/>
      <c r="FG48" s="35"/>
      <c r="FH48" s="35"/>
      <c r="FI48" s="35"/>
      <c r="FJ48" s="35"/>
      <c r="FK48" s="35"/>
      <c r="FL48" s="35"/>
      <c r="FM48" s="35"/>
      <c r="FN48" s="35"/>
      <c r="FO48" s="35"/>
      <c r="FP48" s="35"/>
      <c r="FQ48" s="35"/>
      <c r="FR48" s="35"/>
      <c r="FS48" s="35"/>
      <c r="FT48" s="35"/>
      <c r="FU48" s="35"/>
      <c r="FV48" s="35"/>
      <c r="FW48" s="35"/>
      <c r="FX48" s="35"/>
      <c r="FY48" s="35"/>
      <c r="FZ48" s="35"/>
      <c r="GA48" s="35"/>
      <c r="GB48" s="35"/>
      <c r="GC48" s="35"/>
      <c r="GD48" s="35"/>
      <c r="GE48" s="35"/>
      <c r="GF48" s="35"/>
      <c r="GG48" s="35"/>
      <c r="GH48" s="35"/>
      <c r="GI48" s="35"/>
      <c r="GJ48" s="35"/>
      <c r="GK48" s="35"/>
      <c r="GL48" s="35"/>
      <c r="GM48" s="35"/>
      <c r="GN48" s="35"/>
      <c r="GO48" s="35"/>
      <c r="GP48" s="35"/>
      <c r="GQ48" s="35"/>
      <c r="GR48" s="35"/>
      <c r="GS48" s="35"/>
      <c r="GT48" s="35">
        <v>1.5</v>
      </c>
      <c r="GU48" s="35">
        <v>160.9</v>
      </c>
      <c r="GV48" s="35">
        <v>58.4</v>
      </c>
      <c r="GW48" s="35">
        <v>34.5</v>
      </c>
      <c r="GX48" s="35">
        <v>21.4</v>
      </c>
      <c r="GY48" s="35">
        <v>13.3</v>
      </c>
      <c r="GZ48" s="35">
        <v>18.7</v>
      </c>
      <c r="HA48" s="35">
        <v>32.200000000000003</v>
      </c>
      <c r="HB48" s="35">
        <v>26.9</v>
      </c>
      <c r="HC48">
        <v>20</v>
      </c>
      <c r="HD48">
        <v>8.1</v>
      </c>
      <c r="HE48">
        <v>4.9000000000000004</v>
      </c>
    </row>
    <row r="49" spans="1:213" x14ac:dyDescent="0.25">
      <c r="A49" s="35" t="s">
        <v>2212</v>
      </c>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5"/>
      <c r="AN49" s="35"/>
      <c r="AO49" s="35"/>
      <c r="AP49" s="35"/>
      <c r="AQ49" s="35"/>
      <c r="AR49" s="35"/>
      <c r="AS49" s="35"/>
      <c r="AT49" s="35"/>
      <c r="AU49" s="35"/>
      <c r="AV49" s="35"/>
      <c r="AW49" s="35"/>
      <c r="AX49" s="35"/>
      <c r="AY49" s="35"/>
      <c r="AZ49" s="35"/>
      <c r="BA49" s="35"/>
      <c r="BB49" s="35"/>
      <c r="BC49" s="35"/>
      <c r="BD49" s="35"/>
      <c r="BE49" s="35"/>
      <c r="BF49" s="35"/>
      <c r="BG49" s="35"/>
      <c r="BH49" s="35"/>
      <c r="BI49" s="35"/>
      <c r="BJ49" s="35"/>
      <c r="BK49" s="35"/>
      <c r="BL49" s="35"/>
      <c r="BM49" s="35"/>
      <c r="BN49" s="35"/>
      <c r="BO49" s="35"/>
      <c r="BP49" s="35"/>
      <c r="BQ49" s="35"/>
      <c r="BR49" s="35"/>
      <c r="BS49" s="35"/>
      <c r="BT49" s="35"/>
      <c r="BU49" s="35"/>
      <c r="BV49" s="35"/>
      <c r="BW49" s="35"/>
      <c r="BX49" s="35"/>
      <c r="BY49" s="35"/>
      <c r="BZ49" s="35"/>
      <c r="CA49" s="35"/>
      <c r="CB49" s="35"/>
      <c r="CC49" s="35"/>
      <c r="CD49" s="35"/>
      <c r="CE49" s="35"/>
      <c r="CF49" s="35"/>
      <c r="CG49" s="35"/>
      <c r="CH49" s="35"/>
      <c r="CI49" s="35"/>
      <c r="CJ49" s="35"/>
      <c r="CK49" s="35"/>
      <c r="CL49" s="35"/>
      <c r="CM49" s="35"/>
      <c r="CN49" s="35"/>
      <c r="CO49" s="35"/>
      <c r="CP49" s="35"/>
      <c r="CQ49" s="35"/>
      <c r="CR49" s="35"/>
      <c r="CS49" s="35"/>
      <c r="CT49" s="35"/>
      <c r="CU49" s="35"/>
      <c r="CV49" s="35"/>
      <c r="CW49" s="35"/>
      <c r="CX49" s="35"/>
      <c r="CY49" s="35"/>
      <c r="CZ49" s="35"/>
      <c r="DA49" s="35"/>
      <c r="DB49" s="35"/>
      <c r="DC49" s="35"/>
      <c r="DD49" s="35"/>
      <c r="DE49" s="35"/>
      <c r="DF49" s="35"/>
      <c r="DG49" s="35"/>
      <c r="DH49" s="35"/>
      <c r="DI49" s="35"/>
      <c r="DJ49" s="35"/>
      <c r="DK49" s="35"/>
      <c r="DL49" s="35"/>
      <c r="DM49" s="35"/>
      <c r="DN49" s="35"/>
      <c r="DO49" s="35"/>
      <c r="DP49" s="35"/>
      <c r="DQ49" s="35"/>
      <c r="DR49" s="35"/>
      <c r="DS49" s="35"/>
      <c r="DT49" s="35"/>
      <c r="DU49" s="35"/>
      <c r="DV49" s="35"/>
      <c r="DW49" s="35"/>
      <c r="DX49" s="35"/>
      <c r="DY49" s="35"/>
      <c r="DZ49" s="35"/>
      <c r="EA49" s="35"/>
      <c r="EB49" s="35"/>
      <c r="EC49" s="35"/>
      <c r="ED49" s="35"/>
      <c r="EE49" s="35"/>
      <c r="EF49" s="35"/>
      <c r="EG49" s="35"/>
      <c r="EH49" s="35"/>
      <c r="EI49" s="35"/>
      <c r="EJ49" s="35"/>
      <c r="EK49" s="35"/>
      <c r="EL49" s="35"/>
      <c r="EM49" s="35"/>
      <c r="EN49" s="35"/>
      <c r="EO49" s="35"/>
      <c r="EP49" s="35"/>
      <c r="EQ49" s="35"/>
      <c r="ER49" s="35"/>
      <c r="ES49" s="35"/>
      <c r="ET49" s="35"/>
      <c r="EU49" s="35"/>
      <c r="EV49" s="35"/>
      <c r="EW49" s="35"/>
      <c r="EX49" s="35"/>
      <c r="EY49" s="35"/>
      <c r="EZ49" s="35"/>
      <c r="FA49" s="35"/>
      <c r="FB49" s="35"/>
      <c r="FC49" s="35"/>
      <c r="FD49" s="35"/>
      <c r="FE49" s="35"/>
      <c r="FF49" s="35"/>
      <c r="FG49" s="35"/>
      <c r="FH49" s="35"/>
      <c r="FI49" s="35"/>
      <c r="FJ49" s="35"/>
      <c r="FK49" s="35"/>
      <c r="FL49" s="35"/>
      <c r="FM49" s="35"/>
      <c r="FN49" s="35"/>
      <c r="FO49" s="35"/>
      <c r="FP49" s="35"/>
      <c r="FQ49" s="35"/>
      <c r="FR49" s="35"/>
      <c r="FS49" s="35"/>
      <c r="FT49" s="35"/>
      <c r="FU49" s="35"/>
      <c r="FV49" s="35"/>
      <c r="FW49" s="35"/>
      <c r="FX49" s="35"/>
      <c r="FY49" s="35"/>
      <c r="FZ49" s="35"/>
      <c r="GA49" s="35"/>
      <c r="GB49" s="35"/>
      <c r="GC49" s="35"/>
      <c r="GD49" s="35"/>
      <c r="GE49" s="35"/>
      <c r="GF49" s="35"/>
      <c r="GG49" s="35"/>
      <c r="GH49" s="35"/>
      <c r="GI49" s="35"/>
      <c r="GJ49" s="35"/>
      <c r="GK49" s="35"/>
      <c r="GL49" s="35"/>
      <c r="GM49" s="35"/>
      <c r="GN49" s="35"/>
      <c r="GO49" s="35"/>
      <c r="GP49" s="35"/>
      <c r="GQ49" s="35"/>
      <c r="GR49" s="35"/>
      <c r="GS49" s="35"/>
      <c r="GT49" s="35"/>
      <c r="GU49" s="35">
        <v>576.9</v>
      </c>
      <c r="GV49" s="35">
        <v>819.5</v>
      </c>
      <c r="GW49" s="35">
        <v>246.3</v>
      </c>
      <c r="GX49" s="35">
        <v>197</v>
      </c>
      <c r="GY49" s="35">
        <v>441.2</v>
      </c>
      <c r="GZ49" s="35">
        <v>276.7</v>
      </c>
      <c r="HA49" s="35">
        <v>28.2</v>
      </c>
      <c r="HB49" s="35">
        <v>0</v>
      </c>
      <c r="HC49">
        <v>0</v>
      </c>
      <c r="HD49">
        <v>0</v>
      </c>
      <c r="HE49">
        <v>0</v>
      </c>
    </row>
    <row r="50" spans="1:213" x14ac:dyDescent="0.25">
      <c r="A50" s="35" t="s">
        <v>2213</v>
      </c>
      <c r="B50" s="35"/>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35"/>
      <c r="AN50" s="35"/>
      <c r="AO50" s="35"/>
      <c r="AP50" s="35"/>
      <c r="AQ50" s="35"/>
      <c r="AR50" s="35"/>
      <c r="AS50" s="35"/>
      <c r="AT50" s="35"/>
      <c r="AU50" s="35"/>
      <c r="AV50" s="35"/>
      <c r="AW50" s="35"/>
      <c r="AX50" s="35"/>
      <c r="AY50" s="35"/>
      <c r="AZ50" s="35"/>
      <c r="BA50" s="35"/>
      <c r="BB50" s="35"/>
      <c r="BC50" s="35"/>
      <c r="BD50" s="35"/>
      <c r="BE50" s="35"/>
      <c r="BF50" s="35"/>
      <c r="BG50" s="35"/>
      <c r="BH50" s="35"/>
      <c r="BI50" s="35"/>
      <c r="BJ50" s="35"/>
      <c r="BK50" s="35"/>
      <c r="BL50" s="35"/>
      <c r="BM50" s="35"/>
      <c r="BN50" s="35"/>
      <c r="BO50" s="35"/>
      <c r="BP50" s="35"/>
      <c r="BQ50" s="35"/>
      <c r="BR50" s="35"/>
      <c r="BS50" s="35"/>
      <c r="BT50" s="35"/>
      <c r="BU50" s="35"/>
      <c r="BV50" s="35"/>
      <c r="BW50" s="35"/>
      <c r="BX50" s="35"/>
      <c r="BY50" s="35"/>
      <c r="BZ50" s="35"/>
      <c r="CA50" s="35"/>
      <c r="CB50" s="35"/>
      <c r="CC50" s="35"/>
      <c r="CD50" s="35"/>
      <c r="CE50" s="35"/>
      <c r="CF50" s="35"/>
      <c r="CG50" s="35"/>
      <c r="CH50" s="35"/>
      <c r="CI50" s="35"/>
      <c r="CJ50" s="35"/>
      <c r="CK50" s="35"/>
      <c r="CL50" s="35"/>
      <c r="CM50" s="35"/>
      <c r="CN50" s="35"/>
      <c r="CO50" s="35"/>
      <c r="CP50" s="35"/>
      <c r="CQ50" s="35"/>
      <c r="CR50" s="35"/>
      <c r="CS50" s="35"/>
      <c r="CT50" s="35"/>
      <c r="CU50" s="35"/>
      <c r="CV50" s="35"/>
      <c r="CW50" s="35"/>
      <c r="CX50" s="35"/>
      <c r="CY50" s="35"/>
      <c r="CZ50" s="35"/>
      <c r="DA50" s="35"/>
      <c r="DB50" s="35"/>
      <c r="DC50" s="35"/>
      <c r="DD50" s="35"/>
      <c r="DE50" s="35"/>
      <c r="DF50" s="35"/>
      <c r="DG50" s="35"/>
      <c r="DH50" s="35"/>
      <c r="DI50" s="35"/>
      <c r="DJ50" s="35"/>
      <c r="DK50" s="35"/>
      <c r="DL50" s="35"/>
      <c r="DM50" s="35"/>
      <c r="DN50" s="35"/>
      <c r="DO50" s="35"/>
      <c r="DP50" s="35"/>
      <c r="DQ50" s="35"/>
      <c r="DR50" s="35"/>
      <c r="DS50" s="35"/>
      <c r="DT50" s="35"/>
      <c r="DU50" s="35"/>
      <c r="DV50" s="35"/>
      <c r="DW50" s="35"/>
      <c r="DX50" s="35"/>
      <c r="DY50" s="35"/>
      <c r="DZ50" s="35"/>
      <c r="EA50" s="35"/>
      <c r="EB50" s="35"/>
      <c r="EC50" s="35"/>
      <c r="ED50" s="35"/>
      <c r="EE50" s="35"/>
      <c r="EF50" s="35"/>
      <c r="EG50" s="35"/>
      <c r="EH50" s="35"/>
      <c r="EI50" s="35"/>
      <c r="EJ50" s="35"/>
      <c r="EK50" s="35"/>
      <c r="EL50" s="35"/>
      <c r="EM50" s="35"/>
      <c r="EN50" s="35"/>
      <c r="EO50" s="35"/>
      <c r="EP50" s="35"/>
      <c r="EQ50" s="35"/>
      <c r="ER50" s="35"/>
      <c r="ES50" s="35"/>
      <c r="ET50" s="35"/>
      <c r="EU50" s="35"/>
      <c r="EV50" s="35"/>
      <c r="EW50" s="35"/>
      <c r="EX50" s="35"/>
      <c r="EY50" s="35"/>
      <c r="EZ50" s="35"/>
      <c r="FA50" s="35"/>
      <c r="FB50" s="35"/>
      <c r="FC50" s="35"/>
      <c r="FD50" s="35"/>
      <c r="FE50" s="35"/>
      <c r="FF50" s="35"/>
      <c r="FG50" s="35"/>
      <c r="FH50" s="35"/>
      <c r="FI50" s="35"/>
      <c r="FJ50" s="35"/>
      <c r="FK50" s="35"/>
      <c r="FL50" s="35"/>
      <c r="FM50" s="35"/>
      <c r="FN50" s="35"/>
      <c r="FO50" s="35"/>
      <c r="FP50" s="35"/>
      <c r="FQ50" s="35"/>
      <c r="FR50" s="35"/>
      <c r="FS50" s="35"/>
      <c r="FT50" s="35"/>
      <c r="FU50" s="35"/>
      <c r="FV50" s="35"/>
      <c r="FW50" s="35"/>
      <c r="FX50" s="35"/>
      <c r="FY50" s="35"/>
      <c r="FZ50" s="35"/>
      <c r="GA50" s="35"/>
      <c r="GB50" s="35"/>
      <c r="GC50" s="35"/>
      <c r="GD50" s="35"/>
      <c r="GE50" s="35"/>
      <c r="GF50" s="35"/>
      <c r="GG50" s="35"/>
      <c r="GH50" s="35"/>
      <c r="GI50" s="35"/>
      <c r="GJ50" s="35"/>
      <c r="GK50" s="35"/>
      <c r="GL50" s="35"/>
      <c r="GM50" s="35"/>
      <c r="GN50" s="35"/>
      <c r="GO50" s="35"/>
      <c r="GP50" s="35"/>
      <c r="GQ50" s="35"/>
      <c r="GR50" s="35"/>
      <c r="GS50" s="35"/>
      <c r="GT50" s="35"/>
      <c r="GU50" s="35">
        <v>63.8</v>
      </c>
      <c r="GV50" s="35">
        <v>15</v>
      </c>
      <c r="GW50" s="35">
        <v>0.1</v>
      </c>
      <c r="GX50" s="35">
        <v>38</v>
      </c>
      <c r="GY50" s="35">
        <v>47.3</v>
      </c>
      <c r="GZ50" s="35">
        <v>0.7</v>
      </c>
      <c r="HA50" s="35">
        <v>0</v>
      </c>
      <c r="HB50" s="35">
        <v>0.3</v>
      </c>
      <c r="HC50">
        <v>0.2</v>
      </c>
      <c r="HD50">
        <v>0.3</v>
      </c>
      <c r="HE50">
        <v>0.4</v>
      </c>
    </row>
    <row r="51" spans="1:213" x14ac:dyDescent="0.25">
      <c r="A51" s="35" t="s">
        <v>2214</v>
      </c>
      <c r="B51" s="35"/>
      <c r="C51" s="35"/>
      <c r="D51" s="35"/>
      <c r="E51" s="35"/>
      <c r="F51" s="35"/>
      <c r="G51" s="35"/>
      <c r="H51" s="35"/>
      <c r="I51" s="35"/>
      <c r="J51" s="35"/>
      <c r="K51" s="35"/>
      <c r="L51" s="35"/>
      <c r="M51" s="35"/>
      <c r="N51" s="35"/>
      <c r="O51" s="35"/>
      <c r="P51" s="35"/>
      <c r="Q51" s="35"/>
      <c r="R51" s="35"/>
      <c r="S51" s="35"/>
      <c r="T51" s="35"/>
      <c r="U51" s="35"/>
      <c r="V51" s="35"/>
      <c r="W51" s="35"/>
      <c r="X51" s="35"/>
      <c r="Y51" s="35"/>
      <c r="Z51" s="35"/>
      <c r="AA51" s="35"/>
      <c r="AB51" s="35"/>
      <c r="AC51" s="35"/>
      <c r="AD51" s="35"/>
      <c r="AE51" s="35"/>
      <c r="AF51" s="35"/>
      <c r="AG51" s="35"/>
      <c r="AH51" s="35"/>
      <c r="AI51" s="35"/>
      <c r="AJ51" s="35"/>
      <c r="AK51" s="35"/>
      <c r="AL51" s="35"/>
      <c r="AM51" s="35"/>
      <c r="AN51" s="35"/>
      <c r="AO51" s="35"/>
      <c r="AP51" s="35"/>
      <c r="AQ51" s="35"/>
      <c r="AR51" s="35"/>
      <c r="AS51" s="35"/>
      <c r="AT51" s="35"/>
      <c r="AU51" s="35"/>
      <c r="AV51" s="35"/>
      <c r="AW51" s="35"/>
      <c r="AX51" s="35"/>
      <c r="AY51" s="35"/>
      <c r="AZ51" s="35"/>
      <c r="BA51" s="35"/>
      <c r="BB51" s="35"/>
      <c r="BC51" s="35"/>
      <c r="BD51" s="35"/>
      <c r="BE51" s="35"/>
      <c r="BF51" s="35"/>
      <c r="BG51" s="35"/>
      <c r="BH51" s="35"/>
      <c r="BI51" s="35"/>
      <c r="BJ51" s="35"/>
      <c r="BK51" s="35"/>
      <c r="BL51" s="35"/>
      <c r="BM51" s="35"/>
      <c r="BN51" s="35"/>
      <c r="BO51" s="35"/>
      <c r="BP51" s="35"/>
      <c r="BQ51" s="35"/>
      <c r="BR51" s="35"/>
      <c r="BS51" s="35"/>
      <c r="BT51" s="35"/>
      <c r="BU51" s="35"/>
      <c r="BV51" s="35"/>
      <c r="BW51" s="35"/>
      <c r="BX51" s="35"/>
      <c r="BY51" s="35"/>
      <c r="BZ51" s="35"/>
      <c r="CA51" s="35"/>
      <c r="CB51" s="35"/>
      <c r="CC51" s="35"/>
      <c r="CD51" s="35"/>
      <c r="CE51" s="35"/>
      <c r="CF51" s="35"/>
      <c r="CG51" s="35"/>
      <c r="CH51" s="35"/>
      <c r="CI51" s="35"/>
      <c r="CJ51" s="35"/>
      <c r="CK51" s="35"/>
      <c r="CL51" s="35"/>
      <c r="CM51" s="35"/>
      <c r="CN51" s="35"/>
      <c r="CO51" s="35"/>
      <c r="CP51" s="35"/>
      <c r="CQ51" s="35"/>
      <c r="CR51" s="35"/>
      <c r="CS51" s="35"/>
      <c r="CT51" s="35"/>
      <c r="CU51" s="35"/>
      <c r="CV51" s="35"/>
      <c r="CW51" s="35"/>
      <c r="CX51" s="35"/>
      <c r="CY51" s="35"/>
      <c r="CZ51" s="35"/>
      <c r="DA51" s="35"/>
      <c r="DB51" s="35"/>
      <c r="DC51" s="35"/>
      <c r="DD51" s="35"/>
      <c r="DE51" s="35"/>
      <c r="DF51" s="35"/>
      <c r="DG51" s="35"/>
      <c r="DH51" s="35"/>
      <c r="DI51" s="35"/>
      <c r="DJ51" s="35"/>
      <c r="DK51" s="35"/>
      <c r="DL51" s="35"/>
      <c r="DM51" s="35"/>
      <c r="DN51" s="35"/>
      <c r="DO51" s="35"/>
      <c r="DP51" s="35"/>
      <c r="DQ51" s="35"/>
      <c r="DR51" s="35"/>
      <c r="DS51" s="35"/>
      <c r="DT51" s="35"/>
      <c r="DU51" s="35"/>
      <c r="DV51" s="35"/>
      <c r="DW51" s="35"/>
      <c r="DX51" s="35"/>
      <c r="DY51" s="35"/>
      <c r="DZ51" s="35"/>
      <c r="EA51" s="35"/>
      <c r="EB51" s="35"/>
      <c r="EC51" s="35"/>
      <c r="ED51" s="35"/>
      <c r="EE51" s="35"/>
      <c r="EF51" s="35"/>
      <c r="EG51" s="35"/>
      <c r="EH51" s="35"/>
      <c r="EI51" s="35"/>
      <c r="EJ51" s="35"/>
      <c r="EK51" s="35"/>
      <c r="EL51" s="35"/>
      <c r="EM51" s="35"/>
      <c r="EN51" s="35"/>
      <c r="EO51" s="35"/>
      <c r="EP51" s="35"/>
      <c r="EQ51" s="35"/>
      <c r="ER51" s="35"/>
      <c r="ES51" s="35"/>
      <c r="ET51" s="35"/>
      <c r="EU51" s="35"/>
      <c r="EV51" s="35"/>
      <c r="EW51" s="35"/>
      <c r="EX51" s="35"/>
      <c r="EY51" s="35"/>
      <c r="EZ51" s="35"/>
      <c r="FA51" s="35"/>
      <c r="FB51" s="35"/>
      <c r="FC51" s="35"/>
      <c r="FD51" s="35"/>
      <c r="FE51" s="35"/>
      <c r="FF51" s="35"/>
      <c r="FG51" s="35"/>
      <c r="FH51" s="35"/>
      <c r="FI51" s="35"/>
      <c r="FJ51" s="35"/>
      <c r="FK51" s="35"/>
      <c r="FL51" s="35"/>
      <c r="FM51" s="35"/>
      <c r="FN51" s="35"/>
      <c r="FO51" s="35"/>
      <c r="FP51" s="35"/>
      <c r="FQ51" s="35"/>
      <c r="FR51" s="35"/>
      <c r="FS51" s="35"/>
      <c r="FT51" s="35"/>
      <c r="FU51" s="35"/>
      <c r="FV51" s="35"/>
      <c r="FW51" s="35"/>
      <c r="FX51" s="35"/>
      <c r="FY51" s="35"/>
      <c r="FZ51" s="35"/>
      <c r="GA51" s="35"/>
      <c r="GB51" s="35"/>
      <c r="GC51" s="35"/>
      <c r="GD51" s="35"/>
      <c r="GE51" s="35"/>
      <c r="GF51" s="35"/>
      <c r="GG51" s="35"/>
      <c r="GH51" s="35"/>
      <c r="GI51" s="35"/>
      <c r="GJ51" s="35"/>
      <c r="GK51" s="35"/>
      <c r="GL51" s="35"/>
      <c r="GM51" s="35"/>
      <c r="GN51" s="35"/>
      <c r="GO51" s="35"/>
      <c r="GP51" s="35"/>
      <c r="GQ51" s="35"/>
      <c r="GR51" s="35"/>
      <c r="GS51" s="35"/>
      <c r="GT51" s="35"/>
      <c r="GU51" s="35">
        <v>73.3</v>
      </c>
      <c r="GV51" s="35">
        <v>73.3</v>
      </c>
      <c r="GW51" s="35">
        <v>73.3</v>
      </c>
      <c r="GX51" s="35">
        <v>39.799999999999997</v>
      </c>
      <c r="GY51" s="35">
        <v>43</v>
      </c>
      <c r="GZ51" s="35">
        <v>45.7</v>
      </c>
      <c r="HA51" s="35">
        <v>51.5</v>
      </c>
      <c r="HB51" s="35">
        <v>0</v>
      </c>
      <c r="HC51">
        <v>0</v>
      </c>
      <c r="HD51">
        <v>0</v>
      </c>
      <c r="HE51">
        <v>0</v>
      </c>
    </row>
    <row r="52" spans="1:213" x14ac:dyDescent="0.25">
      <c r="A52" s="35" t="s">
        <v>2215</v>
      </c>
      <c r="B52" s="35"/>
      <c r="C52" s="35"/>
      <c r="D52" s="35"/>
      <c r="E52" s="35"/>
      <c r="F52" s="35"/>
      <c r="G52" s="35"/>
      <c r="H52" s="35"/>
      <c r="I52" s="35"/>
      <c r="J52" s="35"/>
      <c r="K52" s="35"/>
      <c r="L52" s="35"/>
      <c r="M52" s="35"/>
      <c r="N52" s="35"/>
      <c r="O52" s="35"/>
      <c r="P52" s="35"/>
      <c r="Q52" s="35"/>
      <c r="R52" s="35"/>
      <c r="S52" s="35"/>
      <c r="T52" s="35"/>
      <c r="U52" s="35"/>
      <c r="V52" s="35"/>
      <c r="W52" s="35"/>
      <c r="X52" s="35"/>
      <c r="Y52" s="35"/>
      <c r="Z52" s="35"/>
      <c r="AA52" s="35"/>
      <c r="AB52" s="35"/>
      <c r="AC52" s="35"/>
      <c r="AD52" s="35"/>
      <c r="AE52" s="35"/>
      <c r="AF52" s="35"/>
      <c r="AG52" s="35"/>
      <c r="AH52" s="35"/>
      <c r="AI52" s="35"/>
      <c r="AJ52" s="35"/>
      <c r="AK52" s="35"/>
      <c r="AL52" s="35"/>
      <c r="AM52" s="35"/>
      <c r="AN52" s="35"/>
      <c r="AO52" s="35"/>
      <c r="AP52" s="35"/>
      <c r="AQ52" s="35"/>
      <c r="AR52" s="35"/>
      <c r="AS52" s="35"/>
      <c r="AT52" s="35"/>
      <c r="AU52" s="35"/>
      <c r="AV52" s="35"/>
      <c r="AW52" s="35"/>
      <c r="AX52" s="35"/>
      <c r="AY52" s="35"/>
      <c r="AZ52" s="35"/>
      <c r="BA52" s="35"/>
      <c r="BB52" s="35"/>
      <c r="BC52" s="35"/>
      <c r="BD52" s="35"/>
      <c r="BE52" s="35"/>
      <c r="BF52" s="35"/>
      <c r="BG52" s="35"/>
      <c r="BH52" s="35"/>
      <c r="BI52" s="35"/>
      <c r="BJ52" s="35"/>
      <c r="BK52" s="35"/>
      <c r="BL52" s="35"/>
      <c r="BM52" s="35"/>
      <c r="BN52" s="35"/>
      <c r="BO52" s="35"/>
      <c r="BP52" s="35"/>
      <c r="BQ52" s="35"/>
      <c r="BR52" s="35"/>
      <c r="BS52" s="35"/>
      <c r="BT52" s="35"/>
      <c r="BU52" s="35"/>
      <c r="BV52" s="35"/>
      <c r="BW52" s="35"/>
      <c r="BX52" s="35"/>
      <c r="BY52" s="35"/>
      <c r="BZ52" s="35"/>
      <c r="CA52" s="35"/>
      <c r="CB52" s="35"/>
      <c r="CC52" s="35"/>
      <c r="CD52" s="35"/>
      <c r="CE52" s="35"/>
      <c r="CF52" s="35"/>
      <c r="CG52" s="35"/>
      <c r="CH52" s="35"/>
      <c r="CI52" s="35"/>
      <c r="CJ52" s="35"/>
      <c r="CK52" s="35"/>
      <c r="CL52" s="35"/>
      <c r="CM52" s="35"/>
      <c r="CN52" s="35"/>
      <c r="CO52" s="35"/>
      <c r="CP52" s="35"/>
      <c r="CQ52" s="35"/>
      <c r="CR52" s="35"/>
      <c r="CS52" s="35"/>
      <c r="CT52" s="35"/>
      <c r="CU52" s="35"/>
      <c r="CV52" s="35"/>
      <c r="CW52" s="35"/>
      <c r="CX52" s="35"/>
      <c r="CY52" s="35"/>
      <c r="CZ52" s="35"/>
      <c r="DA52" s="35"/>
      <c r="DB52" s="35"/>
      <c r="DC52" s="35"/>
      <c r="DD52" s="35"/>
      <c r="DE52" s="35"/>
      <c r="DF52" s="35"/>
      <c r="DG52" s="35"/>
      <c r="DH52" s="35"/>
      <c r="DI52" s="35"/>
      <c r="DJ52" s="35"/>
      <c r="DK52" s="35"/>
      <c r="DL52" s="35"/>
      <c r="DM52" s="35"/>
      <c r="DN52" s="35"/>
      <c r="DO52" s="35"/>
      <c r="DP52" s="35"/>
      <c r="DQ52" s="35"/>
      <c r="DR52" s="35"/>
      <c r="DS52" s="35"/>
      <c r="DT52" s="35"/>
      <c r="DU52" s="35"/>
      <c r="DV52" s="35"/>
      <c r="DW52" s="35"/>
      <c r="DX52" s="35"/>
      <c r="DY52" s="35"/>
      <c r="DZ52" s="35"/>
      <c r="EA52" s="35"/>
      <c r="EB52" s="35"/>
      <c r="EC52" s="35"/>
      <c r="ED52" s="35"/>
      <c r="EE52" s="35"/>
      <c r="EF52" s="35"/>
      <c r="EG52" s="35"/>
      <c r="EH52" s="35"/>
      <c r="EI52" s="35"/>
      <c r="EJ52" s="35"/>
      <c r="EK52" s="35"/>
      <c r="EL52" s="35"/>
      <c r="EM52" s="35"/>
      <c r="EN52" s="35"/>
      <c r="EO52" s="35"/>
      <c r="EP52" s="35"/>
      <c r="EQ52" s="35"/>
      <c r="ER52" s="35"/>
      <c r="ES52" s="35"/>
      <c r="ET52" s="35"/>
      <c r="EU52" s="35"/>
      <c r="EV52" s="35"/>
      <c r="EW52" s="35"/>
      <c r="EX52" s="35"/>
      <c r="EY52" s="35"/>
      <c r="EZ52" s="35"/>
      <c r="FA52" s="35"/>
      <c r="FB52" s="35"/>
      <c r="FC52" s="35"/>
      <c r="FD52" s="35"/>
      <c r="FE52" s="35"/>
      <c r="FF52" s="35"/>
      <c r="FG52" s="35"/>
      <c r="FH52" s="35"/>
      <c r="FI52" s="35"/>
      <c r="FJ52" s="35"/>
      <c r="FK52" s="35"/>
      <c r="FL52" s="35"/>
      <c r="FM52" s="35"/>
      <c r="FN52" s="35"/>
      <c r="FO52" s="35"/>
      <c r="FP52" s="35"/>
      <c r="FQ52" s="35"/>
      <c r="FR52" s="35"/>
      <c r="FS52" s="35"/>
      <c r="FT52" s="35"/>
      <c r="FU52" s="35"/>
      <c r="FV52" s="35"/>
      <c r="FW52" s="35"/>
      <c r="FX52" s="35"/>
      <c r="FY52" s="35"/>
      <c r="FZ52" s="35"/>
      <c r="GA52" s="35"/>
      <c r="GB52" s="35"/>
      <c r="GC52" s="35"/>
      <c r="GD52" s="35"/>
      <c r="GE52" s="35"/>
      <c r="GF52" s="35"/>
      <c r="GG52" s="35"/>
      <c r="GH52" s="35"/>
      <c r="GI52" s="35"/>
      <c r="GJ52" s="35"/>
      <c r="GK52" s="35"/>
      <c r="GL52" s="35"/>
      <c r="GM52" s="35"/>
      <c r="GN52" s="35"/>
      <c r="GO52" s="35"/>
      <c r="GP52" s="35"/>
      <c r="GQ52" s="35"/>
      <c r="GR52" s="35"/>
      <c r="GS52" s="35"/>
      <c r="GT52" s="35"/>
      <c r="GU52" s="35">
        <v>22</v>
      </c>
      <c r="GV52" s="35">
        <v>25.3</v>
      </c>
      <c r="GW52" s="35">
        <v>11.8</v>
      </c>
      <c r="GX52" s="35">
        <v>11.9</v>
      </c>
      <c r="GY52" s="35">
        <v>11.3</v>
      </c>
      <c r="GZ52" s="35">
        <v>13.6</v>
      </c>
      <c r="HA52" s="35">
        <v>19</v>
      </c>
      <c r="HB52" s="35">
        <v>21.8</v>
      </c>
      <c r="HC52">
        <v>22.3</v>
      </c>
      <c r="HD52">
        <v>20.2</v>
      </c>
      <c r="HE52">
        <v>15.8</v>
      </c>
    </row>
    <row r="53" spans="1:213" x14ac:dyDescent="0.25">
      <c r="A53" s="35" t="s">
        <v>2216</v>
      </c>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c r="AH53" s="35"/>
      <c r="AI53" s="35"/>
      <c r="AJ53" s="35"/>
      <c r="AK53" s="35"/>
      <c r="AL53" s="35"/>
      <c r="AM53" s="35"/>
      <c r="AN53" s="35"/>
      <c r="AO53" s="35"/>
      <c r="AP53" s="35"/>
      <c r="AQ53" s="35"/>
      <c r="AR53" s="35"/>
      <c r="AS53" s="35"/>
      <c r="AT53" s="35"/>
      <c r="AU53" s="35"/>
      <c r="AV53" s="35"/>
      <c r="AW53" s="35"/>
      <c r="AX53" s="35"/>
      <c r="AY53" s="35"/>
      <c r="AZ53" s="35"/>
      <c r="BA53" s="35"/>
      <c r="BB53" s="35"/>
      <c r="BC53" s="35"/>
      <c r="BD53" s="35"/>
      <c r="BE53" s="35"/>
      <c r="BF53" s="35"/>
      <c r="BG53" s="35"/>
      <c r="BH53" s="35"/>
      <c r="BI53" s="35"/>
      <c r="BJ53" s="35"/>
      <c r="BK53" s="35"/>
      <c r="BL53" s="35"/>
      <c r="BM53" s="35"/>
      <c r="BN53" s="35"/>
      <c r="BO53" s="35"/>
      <c r="BP53" s="35"/>
      <c r="BQ53" s="35"/>
      <c r="BR53" s="35"/>
      <c r="BS53" s="35"/>
      <c r="BT53" s="35"/>
      <c r="BU53" s="35"/>
      <c r="BV53" s="35"/>
      <c r="BW53" s="35"/>
      <c r="BX53" s="35"/>
      <c r="BY53" s="35"/>
      <c r="BZ53" s="35"/>
      <c r="CA53" s="35"/>
      <c r="CB53" s="35"/>
      <c r="CC53" s="35"/>
      <c r="CD53" s="35"/>
      <c r="CE53" s="35"/>
      <c r="CF53" s="35"/>
      <c r="CG53" s="35"/>
      <c r="CH53" s="35"/>
      <c r="CI53" s="35"/>
      <c r="CJ53" s="35"/>
      <c r="CK53" s="35"/>
      <c r="CL53" s="35"/>
      <c r="CM53" s="35"/>
      <c r="CN53" s="35"/>
      <c r="CO53" s="35"/>
      <c r="CP53" s="35"/>
      <c r="CQ53" s="35"/>
      <c r="CR53" s="35"/>
      <c r="CS53" s="35"/>
      <c r="CT53" s="35"/>
      <c r="CU53" s="35"/>
      <c r="CV53" s="35"/>
      <c r="CW53" s="35"/>
      <c r="CX53" s="35"/>
      <c r="CY53" s="35"/>
      <c r="CZ53" s="35"/>
      <c r="DA53" s="35"/>
      <c r="DB53" s="35"/>
      <c r="DC53" s="35"/>
      <c r="DD53" s="35"/>
      <c r="DE53" s="35"/>
      <c r="DF53" s="35"/>
      <c r="DG53" s="35"/>
      <c r="DH53" s="35"/>
      <c r="DI53" s="35"/>
      <c r="DJ53" s="35"/>
      <c r="DK53" s="35"/>
      <c r="DL53" s="35"/>
      <c r="DM53" s="35"/>
      <c r="DN53" s="35"/>
      <c r="DO53" s="35"/>
      <c r="DP53" s="35"/>
      <c r="DQ53" s="35"/>
      <c r="DR53" s="35"/>
      <c r="DS53" s="35"/>
      <c r="DT53" s="35"/>
      <c r="DU53" s="35"/>
      <c r="DV53" s="35"/>
      <c r="DW53" s="35"/>
      <c r="DX53" s="35"/>
      <c r="DY53" s="35"/>
      <c r="DZ53" s="35"/>
      <c r="EA53" s="35"/>
      <c r="EB53" s="35"/>
      <c r="EC53" s="35"/>
      <c r="ED53" s="35"/>
      <c r="EE53" s="35"/>
      <c r="EF53" s="35"/>
      <c r="EG53" s="35"/>
      <c r="EH53" s="35"/>
      <c r="EI53" s="35"/>
      <c r="EJ53" s="35"/>
      <c r="EK53" s="35"/>
      <c r="EL53" s="35"/>
      <c r="EM53" s="35"/>
      <c r="EN53" s="35"/>
      <c r="EO53" s="35"/>
      <c r="EP53" s="35"/>
      <c r="EQ53" s="35"/>
      <c r="ER53" s="35"/>
      <c r="ES53" s="35"/>
      <c r="ET53" s="35"/>
      <c r="EU53" s="35"/>
      <c r="EV53" s="35"/>
      <c r="EW53" s="35"/>
      <c r="EX53" s="35"/>
      <c r="EY53" s="35"/>
      <c r="EZ53" s="35"/>
      <c r="FA53" s="35"/>
      <c r="FB53" s="35"/>
      <c r="FC53" s="35"/>
      <c r="FD53" s="35"/>
      <c r="FE53" s="35"/>
      <c r="FF53" s="35"/>
      <c r="FG53" s="35"/>
      <c r="FH53" s="35"/>
      <c r="FI53" s="35"/>
      <c r="FJ53" s="35"/>
      <c r="FK53" s="35"/>
      <c r="FL53" s="35"/>
      <c r="FM53" s="35"/>
      <c r="FN53" s="35"/>
      <c r="FO53" s="35"/>
      <c r="FP53" s="35"/>
      <c r="FQ53" s="35"/>
      <c r="FR53" s="35"/>
      <c r="FS53" s="35"/>
      <c r="FT53" s="35"/>
      <c r="FU53" s="35"/>
      <c r="FV53" s="35"/>
      <c r="FW53" s="35"/>
      <c r="FX53" s="35"/>
      <c r="FY53" s="35"/>
      <c r="FZ53" s="35"/>
      <c r="GA53" s="35"/>
      <c r="GB53" s="35"/>
      <c r="GC53" s="35"/>
      <c r="GD53" s="35"/>
      <c r="GE53" s="35"/>
      <c r="GF53" s="35"/>
      <c r="GG53" s="35"/>
      <c r="GH53" s="35"/>
      <c r="GI53" s="35"/>
      <c r="GJ53" s="35"/>
      <c r="GK53" s="35"/>
      <c r="GL53" s="35"/>
      <c r="GM53" s="35"/>
      <c r="GN53" s="35"/>
      <c r="GO53" s="35"/>
      <c r="GP53" s="35"/>
      <c r="GQ53" s="35"/>
      <c r="GR53" s="35"/>
      <c r="GS53" s="35"/>
      <c r="GT53" s="35"/>
      <c r="GU53" s="35">
        <v>16.899999999999999</v>
      </c>
      <c r="GV53" s="35">
        <v>18.399999999999999</v>
      </c>
      <c r="GW53" s="35">
        <v>46.2</v>
      </c>
      <c r="GX53" s="35">
        <v>0.9</v>
      </c>
      <c r="GY53" s="35">
        <v>14.1</v>
      </c>
      <c r="GZ53" s="35">
        <v>8.6</v>
      </c>
      <c r="HA53" s="35">
        <v>1.2</v>
      </c>
      <c r="HB53" s="35">
        <v>0.6</v>
      </c>
      <c r="HC53">
        <v>0</v>
      </c>
      <c r="HD53">
        <v>0</v>
      </c>
      <c r="HE53">
        <v>0</v>
      </c>
    </row>
    <row r="54" spans="1:213" x14ac:dyDescent="0.25">
      <c r="A54" s="35" t="s">
        <v>2217</v>
      </c>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c r="AH54" s="35"/>
      <c r="AI54" s="35"/>
      <c r="AJ54" s="35"/>
      <c r="AK54" s="35"/>
      <c r="AL54" s="35"/>
      <c r="AM54" s="35"/>
      <c r="AN54" s="35"/>
      <c r="AO54" s="35"/>
      <c r="AP54" s="35"/>
      <c r="AQ54" s="35"/>
      <c r="AR54" s="35"/>
      <c r="AS54" s="35"/>
      <c r="AT54" s="35"/>
      <c r="AU54" s="35"/>
      <c r="AV54" s="35"/>
      <c r="AW54" s="35"/>
      <c r="AX54" s="35"/>
      <c r="AY54" s="35"/>
      <c r="AZ54" s="35"/>
      <c r="BA54" s="35"/>
      <c r="BB54" s="35"/>
      <c r="BC54" s="35"/>
      <c r="BD54" s="35"/>
      <c r="BE54" s="35"/>
      <c r="BF54" s="35"/>
      <c r="BG54" s="35"/>
      <c r="BH54" s="35"/>
      <c r="BI54" s="35"/>
      <c r="BJ54" s="35"/>
      <c r="BK54" s="35"/>
      <c r="BL54" s="35"/>
      <c r="BM54" s="35"/>
      <c r="BN54" s="35"/>
      <c r="BO54" s="35"/>
      <c r="BP54" s="35"/>
      <c r="BQ54" s="35"/>
      <c r="BR54" s="35"/>
      <c r="BS54" s="35"/>
      <c r="BT54" s="35"/>
      <c r="BU54" s="35"/>
      <c r="BV54" s="35"/>
      <c r="BW54" s="35"/>
      <c r="BX54" s="35"/>
      <c r="BY54" s="35"/>
      <c r="BZ54" s="35"/>
      <c r="CA54" s="35"/>
      <c r="CB54" s="35"/>
      <c r="CC54" s="35"/>
      <c r="CD54" s="35"/>
      <c r="CE54" s="35"/>
      <c r="CF54" s="35"/>
      <c r="CG54" s="35"/>
      <c r="CH54" s="35"/>
      <c r="CI54" s="35"/>
      <c r="CJ54" s="35"/>
      <c r="CK54" s="35"/>
      <c r="CL54" s="35"/>
      <c r="CM54" s="35"/>
      <c r="CN54" s="35"/>
      <c r="CO54" s="35"/>
      <c r="CP54" s="35"/>
      <c r="CQ54" s="35"/>
      <c r="CR54" s="35"/>
      <c r="CS54" s="35"/>
      <c r="CT54" s="35"/>
      <c r="CU54" s="35"/>
      <c r="CV54" s="35"/>
      <c r="CW54" s="35"/>
      <c r="CX54" s="35"/>
      <c r="CY54" s="35"/>
      <c r="CZ54" s="35"/>
      <c r="DA54" s="35"/>
      <c r="DB54" s="35"/>
      <c r="DC54" s="35"/>
      <c r="DD54" s="35"/>
      <c r="DE54" s="35"/>
      <c r="DF54" s="35"/>
      <c r="DG54" s="35"/>
      <c r="DH54" s="35"/>
      <c r="DI54" s="35"/>
      <c r="DJ54" s="35"/>
      <c r="DK54" s="35"/>
      <c r="DL54" s="35"/>
      <c r="DM54" s="35"/>
      <c r="DN54" s="35"/>
      <c r="DO54" s="35"/>
      <c r="DP54" s="35"/>
      <c r="DQ54" s="35"/>
      <c r="DR54" s="35"/>
      <c r="DS54" s="35"/>
      <c r="DT54" s="35"/>
      <c r="DU54" s="35"/>
      <c r="DV54" s="35"/>
      <c r="DW54" s="35"/>
      <c r="DX54" s="35"/>
      <c r="DY54" s="35"/>
      <c r="DZ54" s="35"/>
      <c r="EA54" s="35"/>
      <c r="EB54" s="35"/>
      <c r="EC54" s="35"/>
      <c r="ED54" s="35"/>
      <c r="EE54" s="35"/>
      <c r="EF54" s="35"/>
      <c r="EG54" s="35"/>
      <c r="EH54" s="35"/>
      <c r="EI54" s="35"/>
      <c r="EJ54" s="35"/>
      <c r="EK54" s="35"/>
      <c r="EL54" s="35"/>
      <c r="EM54" s="35"/>
      <c r="EN54" s="35"/>
      <c r="EO54" s="35"/>
      <c r="EP54" s="35"/>
      <c r="EQ54" s="35"/>
      <c r="ER54" s="35"/>
      <c r="ES54" s="35"/>
      <c r="ET54" s="35"/>
      <c r="EU54" s="35"/>
      <c r="EV54" s="35"/>
      <c r="EW54" s="35"/>
      <c r="EX54" s="35"/>
      <c r="EY54" s="35"/>
      <c r="EZ54" s="35"/>
      <c r="FA54" s="35"/>
      <c r="FB54" s="35"/>
      <c r="FC54" s="35"/>
      <c r="FD54" s="35"/>
      <c r="FE54" s="35"/>
      <c r="FF54" s="35"/>
      <c r="FG54" s="35"/>
      <c r="FH54" s="35"/>
      <c r="FI54" s="35"/>
      <c r="FJ54" s="35"/>
      <c r="FK54" s="35"/>
      <c r="FL54" s="35"/>
      <c r="FM54" s="35"/>
      <c r="FN54" s="35"/>
      <c r="FO54" s="35"/>
      <c r="FP54" s="35"/>
      <c r="FQ54" s="35"/>
      <c r="FR54" s="35"/>
      <c r="FS54" s="35"/>
      <c r="FT54" s="35"/>
      <c r="FU54" s="35"/>
      <c r="FV54" s="35"/>
      <c r="FW54" s="35"/>
      <c r="FX54" s="35"/>
      <c r="FY54" s="35"/>
      <c r="FZ54" s="35"/>
      <c r="GA54" s="35"/>
      <c r="GB54" s="35"/>
      <c r="GC54" s="35"/>
      <c r="GD54" s="35"/>
      <c r="GE54" s="35"/>
      <c r="GF54" s="35"/>
      <c r="GG54" s="35"/>
      <c r="GH54" s="35"/>
      <c r="GI54" s="35"/>
      <c r="GJ54" s="35"/>
      <c r="GK54" s="35"/>
      <c r="GL54" s="35"/>
      <c r="GM54" s="35"/>
      <c r="GN54" s="35"/>
      <c r="GO54" s="35"/>
      <c r="GP54" s="35"/>
      <c r="GQ54" s="35"/>
      <c r="GR54" s="35"/>
      <c r="GS54" s="35"/>
      <c r="GT54" s="35"/>
      <c r="GU54" s="35">
        <v>96.6</v>
      </c>
      <c r="GV54" s="35">
        <v>35.1</v>
      </c>
      <c r="GW54" s="35">
        <v>20.7</v>
      </c>
      <c r="GX54" s="35">
        <v>15.4</v>
      </c>
      <c r="GY54" s="35">
        <v>9.6</v>
      </c>
      <c r="GZ54" s="35">
        <v>13.5</v>
      </c>
      <c r="HA54" s="35">
        <v>23.2</v>
      </c>
      <c r="HB54" s="35">
        <v>19.3</v>
      </c>
      <c r="HC54">
        <v>14.4</v>
      </c>
      <c r="HD54">
        <v>5.9</v>
      </c>
      <c r="HE54">
        <v>3.6</v>
      </c>
    </row>
    <row r="55" spans="1:213" x14ac:dyDescent="0.25">
      <c r="A55" s="35" t="s">
        <v>2218</v>
      </c>
      <c r="B55" s="35"/>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c r="AH55" s="35"/>
      <c r="AI55" s="35"/>
      <c r="AJ55" s="35"/>
      <c r="AK55" s="35"/>
      <c r="AL55" s="35"/>
      <c r="AM55" s="35"/>
      <c r="AN55" s="35"/>
      <c r="AO55" s="35"/>
      <c r="AP55" s="35"/>
      <c r="AQ55" s="35"/>
      <c r="AR55" s="35"/>
      <c r="AS55" s="35"/>
      <c r="AT55" s="35"/>
      <c r="AU55" s="35"/>
      <c r="AV55" s="35"/>
      <c r="AW55" s="35"/>
      <c r="AX55" s="35"/>
      <c r="AY55" s="35"/>
      <c r="AZ55" s="35"/>
      <c r="BA55" s="35"/>
      <c r="BB55" s="35"/>
      <c r="BC55" s="35"/>
      <c r="BD55" s="35"/>
      <c r="BE55" s="35"/>
      <c r="BF55" s="35"/>
      <c r="BG55" s="35"/>
      <c r="BH55" s="35"/>
      <c r="BI55" s="35"/>
      <c r="BJ55" s="35"/>
      <c r="BK55" s="35"/>
      <c r="BL55" s="35"/>
      <c r="BM55" s="35"/>
      <c r="BN55" s="35"/>
      <c r="BO55" s="35"/>
      <c r="BP55" s="35"/>
      <c r="BQ55" s="35"/>
      <c r="BR55" s="35"/>
      <c r="BS55" s="35"/>
      <c r="BT55" s="35"/>
      <c r="BU55" s="35"/>
      <c r="BV55" s="35"/>
      <c r="BW55" s="35"/>
      <c r="BX55" s="35"/>
      <c r="BY55" s="35"/>
      <c r="BZ55" s="35"/>
      <c r="CA55" s="35"/>
      <c r="CB55" s="35"/>
      <c r="CC55" s="35"/>
      <c r="CD55" s="35"/>
      <c r="CE55" s="35"/>
      <c r="CF55" s="35"/>
      <c r="CG55" s="35"/>
      <c r="CH55" s="35"/>
      <c r="CI55" s="35"/>
      <c r="CJ55" s="35"/>
      <c r="CK55" s="35"/>
      <c r="CL55" s="35"/>
      <c r="CM55" s="35"/>
      <c r="CN55" s="35"/>
      <c r="CO55" s="35"/>
      <c r="CP55" s="35"/>
      <c r="CQ55" s="35"/>
      <c r="CR55" s="35"/>
      <c r="CS55" s="35"/>
      <c r="CT55" s="35"/>
      <c r="CU55" s="35"/>
      <c r="CV55" s="35"/>
      <c r="CW55" s="35"/>
      <c r="CX55" s="35"/>
      <c r="CY55" s="35"/>
      <c r="CZ55" s="35"/>
      <c r="DA55" s="35"/>
      <c r="DB55" s="35"/>
      <c r="DC55" s="35"/>
      <c r="DD55" s="35"/>
      <c r="DE55" s="35"/>
      <c r="DF55" s="35"/>
      <c r="DG55" s="35"/>
      <c r="DH55" s="35"/>
      <c r="DI55" s="35"/>
      <c r="DJ55" s="35"/>
      <c r="DK55" s="35"/>
      <c r="DL55" s="35"/>
      <c r="DM55" s="35"/>
      <c r="DN55" s="35"/>
      <c r="DO55" s="35"/>
      <c r="DP55" s="35"/>
      <c r="DQ55" s="35"/>
      <c r="DR55" s="35"/>
      <c r="DS55" s="35"/>
      <c r="DT55" s="35"/>
      <c r="DU55" s="35"/>
      <c r="DV55" s="35"/>
      <c r="DW55" s="35"/>
      <c r="DX55" s="35"/>
      <c r="DY55" s="35"/>
      <c r="DZ55" s="35"/>
      <c r="EA55" s="35"/>
      <c r="EB55" s="35"/>
      <c r="EC55" s="35"/>
      <c r="ED55" s="35"/>
      <c r="EE55" s="35"/>
      <c r="EF55" s="35"/>
      <c r="EG55" s="35"/>
      <c r="EH55" s="35"/>
      <c r="EI55" s="35"/>
      <c r="EJ55" s="35"/>
      <c r="EK55" s="35"/>
      <c r="EL55" s="35"/>
      <c r="EM55" s="35"/>
      <c r="EN55" s="35"/>
      <c r="EO55" s="35"/>
      <c r="EP55" s="35"/>
      <c r="EQ55" s="35"/>
      <c r="ER55" s="35"/>
      <c r="ES55" s="35"/>
      <c r="ET55" s="35"/>
      <c r="EU55" s="35"/>
      <c r="EV55" s="35"/>
      <c r="EW55" s="35"/>
      <c r="EX55" s="35"/>
      <c r="EY55" s="35"/>
      <c r="EZ55" s="35"/>
      <c r="FA55" s="35"/>
      <c r="FB55" s="35"/>
      <c r="FC55" s="35"/>
      <c r="FD55" s="35"/>
      <c r="FE55" s="35"/>
      <c r="FF55" s="35"/>
      <c r="FG55" s="35"/>
      <c r="FH55" s="35"/>
      <c r="FI55" s="35"/>
      <c r="FJ55" s="35"/>
      <c r="FK55" s="35"/>
      <c r="FL55" s="35"/>
      <c r="FM55" s="35"/>
      <c r="FN55" s="35"/>
      <c r="FO55" s="35"/>
      <c r="FP55" s="35"/>
      <c r="FQ55" s="35"/>
      <c r="FR55" s="35"/>
      <c r="FS55" s="35"/>
      <c r="FT55" s="35"/>
      <c r="FU55" s="35"/>
      <c r="FV55" s="35"/>
      <c r="FW55" s="35"/>
      <c r="FX55" s="35"/>
      <c r="FY55" s="35"/>
      <c r="FZ55" s="35"/>
      <c r="GA55" s="35"/>
      <c r="GB55" s="35"/>
      <c r="GC55" s="35"/>
      <c r="GD55" s="35"/>
      <c r="GE55" s="35"/>
      <c r="GF55" s="35"/>
      <c r="GG55" s="35"/>
      <c r="GH55" s="35"/>
      <c r="GI55" s="35"/>
      <c r="GJ55" s="35"/>
      <c r="GK55" s="35"/>
      <c r="GL55" s="35"/>
      <c r="GM55" s="35"/>
      <c r="GN55" s="35"/>
      <c r="GO55" s="35"/>
      <c r="GP55" s="35"/>
      <c r="GQ55" s="35"/>
      <c r="GR55" s="35"/>
      <c r="GS55" s="35"/>
      <c r="GT55" s="35"/>
      <c r="GU55" s="35">
        <v>140</v>
      </c>
      <c r="GV55" s="35">
        <v>140</v>
      </c>
      <c r="GW55" s="35">
        <v>140</v>
      </c>
      <c r="GX55" s="35">
        <v>4.8</v>
      </c>
      <c r="GY55" s="35">
        <v>4.4000000000000004</v>
      </c>
      <c r="GZ55" s="35">
        <v>5.3</v>
      </c>
      <c r="HA55" s="35">
        <v>4.7</v>
      </c>
      <c r="HB55" s="35">
        <v>0</v>
      </c>
      <c r="HC55">
        <v>0</v>
      </c>
      <c r="HD55">
        <v>0</v>
      </c>
      <c r="HE55">
        <v>0</v>
      </c>
    </row>
    <row r="56" spans="1:213" x14ac:dyDescent="0.25">
      <c r="A56" s="35" t="s">
        <v>2219</v>
      </c>
      <c r="B56" s="35"/>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c r="AH56" s="35"/>
      <c r="AI56" s="35"/>
      <c r="AJ56" s="35"/>
      <c r="AK56" s="35"/>
      <c r="AL56" s="35"/>
      <c r="AM56" s="35"/>
      <c r="AN56" s="35"/>
      <c r="AO56" s="35"/>
      <c r="AP56" s="35"/>
      <c r="AQ56" s="35"/>
      <c r="AR56" s="35"/>
      <c r="AS56" s="35"/>
      <c r="AT56" s="35"/>
      <c r="AU56" s="35"/>
      <c r="AV56" s="35"/>
      <c r="AW56" s="35"/>
      <c r="AX56" s="35"/>
      <c r="AY56" s="35"/>
      <c r="AZ56" s="35"/>
      <c r="BA56" s="35"/>
      <c r="BB56" s="35"/>
      <c r="BC56" s="35"/>
      <c r="BD56" s="35"/>
      <c r="BE56" s="35"/>
      <c r="BF56" s="35"/>
      <c r="BG56" s="35"/>
      <c r="BH56" s="35"/>
      <c r="BI56" s="35"/>
      <c r="BJ56" s="35"/>
      <c r="BK56" s="35"/>
      <c r="BL56" s="35"/>
      <c r="BM56" s="35"/>
      <c r="BN56" s="35"/>
      <c r="BO56" s="35"/>
      <c r="BP56" s="35"/>
      <c r="BQ56" s="35"/>
      <c r="BR56" s="35"/>
      <c r="BS56" s="35"/>
      <c r="BT56" s="35"/>
      <c r="BU56" s="35"/>
      <c r="BV56" s="35"/>
      <c r="BW56" s="35"/>
      <c r="BX56" s="35"/>
      <c r="BY56" s="35"/>
      <c r="BZ56" s="35"/>
      <c r="CA56" s="35"/>
      <c r="CB56" s="35"/>
      <c r="CC56" s="35"/>
      <c r="CD56" s="35"/>
      <c r="CE56" s="35"/>
      <c r="CF56" s="35"/>
      <c r="CG56" s="35"/>
      <c r="CH56" s="35"/>
      <c r="CI56" s="35"/>
      <c r="CJ56" s="35"/>
      <c r="CK56" s="35"/>
      <c r="CL56" s="35"/>
      <c r="CM56" s="35"/>
      <c r="CN56" s="35"/>
      <c r="CO56" s="35"/>
      <c r="CP56" s="35"/>
      <c r="CQ56" s="35"/>
      <c r="CR56" s="35"/>
      <c r="CS56" s="35"/>
      <c r="CT56" s="35"/>
      <c r="CU56" s="35"/>
      <c r="CV56" s="35"/>
      <c r="CW56" s="35"/>
      <c r="CX56" s="35"/>
      <c r="CY56" s="35"/>
      <c r="CZ56" s="35"/>
      <c r="DA56" s="35"/>
      <c r="DB56" s="35"/>
      <c r="DC56" s="35"/>
      <c r="DD56" s="35"/>
      <c r="DE56" s="35"/>
      <c r="DF56" s="35"/>
      <c r="DG56" s="35"/>
      <c r="DH56" s="35"/>
      <c r="DI56" s="35"/>
      <c r="DJ56" s="35"/>
      <c r="DK56" s="35"/>
      <c r="DL56" s="35"/>
      <c r="DM56" s="35"/>
      <c r="DN56" s="35"/>
      <c r="DO56" s="35"/>
      <c r="DP56" s="35"/>
      <c r="DQ56" s="35"/>
      <c r="DR56" s="35"/>
      <c r="DS56" s="35"/>
      <c r="DT56" s="35"/>
      <c r="DU56" s="35"/>
      <c r="DV56" s="35"/>
      <c r="DW56" s="35"/>
      <c r="DX56" s="35"/>
      <c r="DY56" s="35"/>
      <c r="DZ56" s="35"/>
      <c r="EA56" s="35"/>
      <c r="EB56" s="35"/>
      <c r="EC56" s="35"/>
      <c r="ED56" s="35"/>
      <c r="EE56" s="35"/>
      <c r="EF56" s="35"/>
      <c r="EG56" s="35"/>
      <c r="EH56" s="35"/>
      <c r="EI56" s="35"/>
      <c r="EJ56" s="35"/>
      <c r="EK56" s="35"/>
      <c r="EL56" s="35"/>
      <c r="EM56" s="35"/>
      <c r="EN56" s="35"/>
      <c r="EO56" s="35"/>
      <c r="EP56" s="35"/>
      <c r="EQ56" s="35"/>
      <c r="ER56" s="35"/>
      <c r="ES56" s="35"/>
      <c r="ET56" s="35"/>
      <c r="EU56" s="35"/>
      <c r="EV56" s="35"/>
      <c r="EW56" s="35"/>
      <c r="EX56" s="35"/>
      <c r="EY56" s="35"/>
      <c r="EZ56" s="35"/>
      <c r="FA56" s="35"/>
      <c r="FB56" s="35"/>
      <c r="FC56" s="35"/>
      <c r="FD56" s="35"/>
      <c r="FE56" s="35"/>
      <c r="FF56" s="35"/>
      <c r="FG56" s="35"/>
      <c r="FH56" s="35"/>
      <c r="FI56" s="35"/>
      <c r="FJ56" s="35"/>
      <c r="FK56" s="35"/>
      <c r="FL56" s="35"/>
      <c r="FM56" s="35"/>
      <c r="FN56" s="35"/>
      <c r="FO56" s="35"/>
      <c r="FP56" s="35"/>
      <c r="FQ56" s="35"/>
      <c r="FR56" s="35"/>
      <c r="FS56" s="35"/>
      <c r="FT56" s="35"/>
      <c r="FU56" s="35"/>
      <c r="FV56" s="35"/>
      <c r="FW56" s="35"/>
      <c r="FX56" s="35"/>
      <c r="FY56" s="35"/>
      <c r="FZ56" s="35"/>
      <c r="GA56" s="35"/>
      <c r="GB56" s="35"/>
      <c r="GC56" s="35"/>
      <c r="GD56" s="35"/>
      <c r="GE56" s="35"/>
      <c r="GF56" s="35"/>
      <c r="GG56" s="35"/>
      <c r="GH56" s="35"/>
      <c r="GI56" s="35"/>
      <c r="GJ56" s="35"/>
      <c r="GK56" s="35"/>
      <c r="GL56" s="35"/>
      <c r="GM56" s="35"/>
      <c r="GN56" s="35"/>
      <c r="GO56" s="35"/>
      <c r="GP56" s="35"/>
      <c r="GQ56" s="35"/>
      <c r="GR56" s="35"/>
      <c r="GS56" s="35"/>
      <c r="GT56" s="35"/>
      <c r="GU56" s="35">
        <v>597.9</v>
      </c>
      <c r="GV56" s="35">
        <v>0</v>
      </c>
      <c r="GW56" s="35">
        <v>0</v>
      </c>
      <c r="GX56" s="35">
        <v>0</v>
      </c>
      <c r="GY56" s="35">
        <v>785.9</v>
      </c>
      <c r="GZ56" s="35">
        <v>187.9</v>
      </c>
      <c r="HA56" s="35">
        <v>9.1999999999999993</v>
      </c>
      <c r="HB56" s="35">
        <v>0.6</v>
      </c>
      <c r="HC56">
        <v>0</v>
      </c>
      <c r="HD56">
        <v>0</v>
      </c>
      <c r="HE56">
        <v>0</v>
      </c>
    </row>
    <row r="57" spans="1:213" x14ac:dyDescent="0.25">
      <c r="A57" s="35" t="s">
        <v>2220</v>
      </c>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c r="AH57" s="35"/>
      <c r="AI57" s="35"/>
      <c r="AJ57" s="35"/>
      <c r="AK57" s="35"/>
      <c r="AL57" s="35"/>
      <c r="AM57" s="35"/>
      <c r="AN57" s="35"/>
      <c r="AO57" s="35"/>
      <c r="AP57" s="35"/>
      <c r="AQ57" s="35"/>
      <c r="AR57" s="35"/>
      <c r="AS57" s="35"/>
      <c r="AT57" s="35"/>
      <c r="AU57" s="35"/>
      <c r="AV57" s="35"/>
      <c r="AW57" s="35"/>
      <c r="AX57" s="35"/>
      <c r="AY57" s="35"/>
      <c r="AZ57" s="35"/>
      <c r="BA57" s="35"/>
      <c r="BB57" s="35"/>
      <c r="BC57" s="35"/>
      <c r="BD57" s="35"/>
      <c r="BE57" s="35"/>
      <c r="BF57" s="35"/>
      <c r="BG57" s="35"/>
      <c r="BH57" s="35"/>
      <c r="BI57" s="35"/>
      <c r="BJ57" s="35"/>
      <c r="BK57" s="35"/>
      <c r="BL57" s="35"/>
      <c r="BM57" s="35"/>
      <c r="BN57" s="35"/>
      <c r="BO57" s="35"/>
      <c r="BP57" s="35"/>
      <c r="BQ57" s="35"/>
      <c r="BR57" s="35"/>
      <c r="BS57" s="35"/>
      <c r="BT57" s="35"/>
      <c r="BU57" s="35"/>
      <c r="BV57" s="35"/>
      <c r="BW57" s="35"/>
      <c r="BX57" s="35"/>
      <c r="BY57" s="35"/>
      <c r="BZ57" s="35"/>
      <c r="CA57" s="35"/>
      <c r="CB57" s="35"/>
      <c r="CC57" s="35"/>
      <c r="CD57" s="35"/>
      <c r="CE57" s="35"/>
      <c r="CF57" s="35"/>
      <c r="CG57" s="35"/>
      <c r="CH57" s="35"/>
      <c r="CI57" s="35"/>
      <c r="CJ57" s="35"/>
      <c r="CK57" s="35"/>
      <c r="CL57" s="35"/>
      <c r="CM57" s="35"/>
      <c r="CN57" s="35"/>
      <c r="CO57" s="35"/>
      <c r="CP57" s="35"/>
      <c r="CQ57" s="35"/>
      <c r="CR57" s="35"/>
      <c r="CS57" s="35"/>
      <c r="CT57" s="35"/>
      <c r="CU57" s="35"/>
      <c r="CV57" s="35"/>
      <c r="CW57" s="35"/>
      <c r="CX57" s="35"/>
      <c r="CY57" s="35"/>
      <c r="CZ57" s="35"/>
      <c r="DA57" s="35"/>
      <c r="DB57" s="35"/>
      <c r="DC57" s="35"/>
      <c r="DD57" s="35"/>
      <c r="DE57" s="35"/>
      <c r="DF57" s="35"/>
      <c r="DG57" s="35"/>
      <c r="DH57" s="35"/>
      <c r="DI57" s="35"/>
      <c r="DJ57" s="35"/>
      <c r="DK57" s="35"/>
      <c r="DL57" s="35"/>
      <c r="DM57" s="35"/>
      <c r="DN57" s="35"/>
      <c r="DO57" s="35"/>
      <c r="DP57" s="35"/>
      <c r="DQ57" s="35"/>
      <c r="DR57" s="35"/>
      <c r="DS57" s="35"/>
      <c r="DT57" s="35"/>
      <c r="DU57" s="35"/>
      <c r="DV57" s="35"/>
      <c r="DW57" s="35"/>
      <c r="DX57" s="35"/>
      <c r="DY57" s="35"/>
      <c r="DZ57" s="35"/>
      <c r="EA57" s="35"/>
      <c r="EB57" s="35"/>
      <c r="EC57" s="35"/>
      <c r="ED57" s="35"/>
      <c r="EE57" s="35"/>
      <c r="EF57" s="35"/>
      <c r="EG57" s="35"/>
      <c r="EH57" s="35"/>
      <c r="EI57" s="35"/>
      <c r="EJ57" s="35"/>
      <c r="EK57" s="35"/>
      <c r="EL57" s="35"/>
      <c r="EM57" s="35"/>
      <c r="EN57" s="35"/>
      <c r="EO57" s="35"/>
      <c r="EP57" s="35"/>
      <c r="EQ57" s="35"/>
      <c r="ER57" s="35"/>
      <c r="ES57" s="35"/>
      <c r="ET57" s="35"/>
      <c r="EU57" s="35"/>
      <c r="EV57" s="35"/>
      <c r="EW57" s="35"/>
      <c r="EX57" s="35"/>
      <c r="EY57" s="35"/>
      <c r="EZ57" s="35"/>
      <c r="FA57" s="35"/>
      <c r="FB57" s="35"/>
      <c r="FC57" s="35"/>
      <c r="FD57" s="35"/>
      <c r="FE57" s="35"/>
      <c r="FF57" s="35"/>
      <c r="FG57" s="35"/>
      <c r="FH57" s="35"/>
      <c r="FI57" s="35"/>
      <c r="FJ57" s="35"/>
      <c r="FK57" s="35"/>
      <c r="FL57" s="35"/>
      <c r="FM57" s="35"/>
      <c r="FN57" s="35"/>
      <c r="FO57" s="35"/>
      <c r="FP57" s="35"/>
      <c r="FQ57" s="35"/>
      <c r="FR57" s="35"/>
      <c r="FS57" s="35"/>
      <c r="FT57" s="35"/>
      <c r="FU57" s="35"/>
      <c r="FV57" s="35"/>
      <c r="FW57" s="35"/>
      <c r="FX57" s="35"/>
      <c r="FY57" s="35"/>
      <c r="FZ57" s="35"/>
      <c r="GA57" s="35"/>
      <c r="GB57" s="35"/>
      <c r="GC57" s="35"/>
      <c r="GD57" s="35"/>
      <c r="GE57" s="35"/>
      <c r="GF57" s="35"/>
      <c r="GG57" s="35"/>
      <c r="GH57" s="35"/>
      <c r="GI57" s="35"/>
      <c r="GJ57" s="35"/>
      <c r="GK57" s="35"/>
      <c r="GL57" s="35"/>
      <c r="GM57" s="35"/>
      <c r="GN57" s="35"/>
      <c r="GO57" s="35"/>
      <c r="GP57" s="35"/>
      <c r="GQ57" s="35"/>
      <c r="GR57" s="35"/>
      <c r="GS57" s="35"/>
      <c r="GT57" s="35"/>
      <c r="GU57" s="35">
        <v>28.4</v>
      </c>
      <c r="GV57" s="35">
        <v>15.8</v>
      </c>
      <c r="GW57" s="35">
        <v>15.2</v>
      </c>
      <c r="GX57" s="35">
        <v>28.9</v>
      </c>
      <c r="GY57" s="35">
        <v>67.599999999999994</v>
      </c>
      <c r="GZ57" s="35">
        <v>80.7</v>
      </c>
      <c r="HA57" s="35">
        <v>87.2</v>
      </c>
      <c r="HB57" s="35">
        <v>72.400000000000006</v>
      </c>
      <c r="HC57">
        <v>85.9</v>
      </c>
      <c r="HD57">
        <v>68.3</v>
      </c>
      <c r="HE57">
        <v>64</v>
      </c>
    </row>
    <row r="58" spans="1:213" x14ac:dyDescent="0.25">
      <c r="A58" s="35" t="s">
        <v>2221</v>
      </c>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35"/>
      <c r="AM58" s="35"/>
      <c r="AN58" s="35"/>
      <c r="AO58" s="35"/>
      <c r="AP58" s="35"/>
      <c r="AQ58" s="35"/>
      <c r="AR58" s="35"/>
      <c r="AS58" s="35"/>
      <c r="AT58" s="35"/>
      <c r="AU58" s="35"/>
      <c r="AV58" s="35"/>
      <c r="AW58" s="35"/>
      <c r="AX58" s="35"/>
      <c r="AY58" s="35"/>
      <c r="AZ58" s="35"/>
      <c r="BA58" s="35"/>
      <c r="BB58" s="35"/>
      <c r="BC58" s="35"/>
      <c r="BD58" s="35"/>
      <c r="BE58" s="35"/>
      <c r="BF58" s="35"/>
      <c r="BG58" s="35"/>
      <c r="BH58" s="35"/>
      <c r="BI58" s="35"/>
      <c r="BJ58" s="35"/>
      <c r="BK58" s="35"/>
      <c r="BL58" s="35"/>
      <c r="BM58" s="35"/>
      <c r="BN58" s="35"/>
      <c r="BO58" s="35"/>
      <c r="BP58" s="35"/>
      <c r="BQ58" s="35"/>
      <c r="BR58" s="35"/>
      <c r="BS58" s="35"/>
      <c r="BT58" s="35"/>
      <c r="BU58" s="35"/>
      <c r="BV58" s="35"/>
      <c r="BW58" s="35"/>
      <c r="BX58" s="35"/>
      <c r="BY58" s="35"/>
      <c r="BZ58" s="35"/>
      <c r="CA58" s="35"/>
      <c r="CB58" s="35"/>
      <c r="CC58" s="35"/>
      <c r="CD58" s="35"/>
      <c r="CE58" s="35"/>
      <c r="CF58" s="35"/>
      <c r="CG58" s="35"/>
      <c r="CH58" s="35"/>
      <c r="CI58" s="35"/>
      <c r="CJ58" s="35"/>
      <c r="CK58" s="35"/>
      <c r="CL58" s="35"/>
      <c r="CM58" s="35"/>
      <c r="CN58" s="35"/>
      <c r="CO58" s="35"/>
      <c r="CP58" s="35"/>
      <c r="CQ58" s="35"/>
      <c r="CR58" s="35"/>
      <c r="CS58" s="35"/>
      <c r="CT58" s="35"/>
      <c r="CU58" s="35"/>
      <c r="CV58" s="35"/>
      <c r="CW58" s="35"/>
      <c r="CX58" s="35"/>
      <c r="CY58" s="35"/>
      <c r="CZ58" s="35"/>
      <c r="DA58" s="35"/>
      <c r="DB58" s="35"/>
      <c r="DC58" s="35"/>
      <c r="DD58" s="35"/>
      <c r="DE58" s="35"/>
      <c r="DF58" s="35"/>
      <c r="DG58" s="35"/>
      <c r="DH58" s="35"/>
      <c r="DI58" s="35"/>
      <c r="DJ58" s="35"/>
      <c r="DK58" s="35"/>
      <c r="DL58" s="35"/>
      <c r="DM58" s="35"/>
      <c r="DN58" s="35"/>
      <c r="DO58" s="35"/>
      <c r="DP58" s="35"/>
      <c r="DQ58" s="35"/>
      <c r="DR58" s="35"/>
      <c r="DS58" s="35"/>
      <c r="DT58" s="35"/>
      <c r="DU58" s="35"/>
      <c r="DV58" s="35"/>
      <c r="DW58" s="35"/>
      <c r="DX58" s="35"/>
      <c r="DY58" s="35"/>
      <c r="DZ58" s="35"/>
      <c r="EA58" s="35"/>
      <c r="EB58" s="35"/>
      <c r="EC58" s="35"/>
      <c r="ED58" s="35"/>
      <c r="EE58" s="35"/>
      <c r="EF58" s="35"/>
      <c r="EG58" s="35"/>
      <c r="EH58" s="35"/>
      <c r="EI58" s="35"/>
      <c r="EJ58" s="35"/>
      <c r="EK58" s="35"/>
      <c r="EL58" s="35"/>
      <c r="EM58" s="35"/>
      <c r="EN58" s="35"/>
      <c r="EO58" s="35"/>
      <c r="EP58" s="35"/>
      <c r="EQ58" s="35"/>
      <c r="ER58" s="35"/>
      <c r="ES58" s="35"/>
      <c r="ET58" s="35"/>
      <c r="EU58" s="35"/>
      <c r="EV58" s="35"/>
      <c r="EW58" s="35"/>
      <c r="EX58" s="35"/>
      <c r="EY58" s="35"/>
      <c r="EZ58" s="35"/>
      <c r="FA58" s="35"/>
      <c r="FB58" s="35"/>
      <c r="FC58" s="35"/>
      <c r="FD58" s="35"/>
      <c r="FE58" s="35"/>
      <c r="FF58" s="35"/>
      <c r="FG58" s="35"/>
      <c r="FH58" s="35"/>
      <c r="FI58" s="35"/>
      <c r="FJ58" s="35"/>
      <c r="FK58" s="35"/>
      <c r="FL58" s="35"/>
      <c r="FM58" s="35"/>
      <c r="FN58" s="35"/>
      <c r="FO58" s="35"/>
      <c r="FP58" s="35"/>
      <c r="FQ58" s="35"/>
      <c r="FR58" s="35"/>
      <c r="FS58" s="35"/>
      <c r="FT58" s="35"/>
      <c r="FU58" s="35"/>
      <c r="FV58" s="35"/>
      <c r="FW58" s="35"/>
      <c r="FX58" s="35"/>
      <c r="FY58" s="35"/>
      <c r="FZ58" s="35"/>
      <c r="GA58" s="35"/>
      <c r="GB58" s="35"/>
      <c r="GC58" s="35"/>
      <c r="GD58" s="35"/>
      <c r="GE58" s="35"/>
      <c r="GF58" s="35"/>
      <c r="GG58" s="35"/>
      <c r="GH58" s="35"/>
      <c r="GI58" s="35"/>
      <c r="GJ58" s="35"/>
      <c r="GK58" s="35"/>
      <c r="GL58" s="35"/>
      <c r="GM58" s="35"/>
      <c r="GN58" s="35"/>
      <c r="GO58" s="35"/>
      <c r="GP58" s="35"/>
      <c r="GQ58" s="35"/>
      <c r="GR58" s="35"/>
      <c r="GS58" s="35"/>
      <c r="GT58" s="35"/>
      <c r="GU58" s="35">
        <v>64.400000000000006</v>
      </c>
      <c r="GV58" s="35">
        <v>23.4</v>
      </c>
      <c r="GW58" s="35">
        <v>13.8</v>
      </c>
      <c r="GX58" s="35">
        <v>12</v>
      </c>
      <c r="GY58" s="35">
        <v>7.5</v>
      </c>
      <c r="GZ58" s="35">
        <v>10.5</v>
      </c>
      <c r="HA58" s="35">
        <v>18</v>
      </c>
      <c r="HB58" s="35">
        <v>15</v>
      </c>
      <c r="HC58">
        <v>11.2</v>
      </c>
      <c r="HD58">
        <v>7.5</v>
      </c>
      <c r="HE58">
        <v>6.2</v>
      </c>
    </row>
    <row r="59" spans="1:213" x14ac:dyDescent="0.25">
      <c r="A59" s="35" t="s">
        <v>2222</v>
      </c>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35"/>
      <c r="AL59" s="35"/>
      <c r="AM59" s="35"/>
      <c r="AN59" s="35"/>
      <c r="AO59" s="35"/>
      <c r="AP59" s="35"/>
      <c r="AQ59" s="35"/>
      <c r="AR59" s="35"/>
      <c r="AS59" s="35"/>
      <c r="AT59" s="35"/>
      <c r="AU59" s="35"/>
      <c r="AV59" s="35"/>
      <c r="AW59" s="35"/>
      <c r="AX59" s="35"/>
      <c r="AY59" s="35"/>
      <c r="AZ59" s="35"/>
      <c r="BA59" s="35"/>
      <c r="BB59" s="35"/>
      <c r="BC59" s="35"/>
      <c r="BD59" s="35"/>
      <c r="BE59" s="35"/>
      <c r="BF59" s="35"/>
      <c r="BG59" s="35"/>
      <c r="BH59" s="35"/>
      <c r="BI59" s="35"/>
      <c r="BJ59" s="35"/>
      <c r="BK59" s="35"/>
      <c r="BL59" s="35"/>
      <c r="BM59" s="35"/>
      <c r="BN59" s="35"/>
      <c r="BO59" s="35"/>
      <c r="BP59" s="35"/>
      <c r="BQ59" s="35"/>
      <c r="BR59" s="35"/>
      <c r="BS59" s="35"/>
      <c r="BT59" s="35"/>
      <c r="BU59" s="35"/>
      <c r="BV59" s="35"/>
      <c r="BW59" s="35"/>
      <c r="BX59" s="35"/>
      <c r="BY59" s="35"/>
      <c r="BZ59" s="35"/>
      <c r="CA59" s="35"/>
      <c r="CB59" s="35"/>
      <c r="CC59" s="35"/>
      <c r="CD59" s="35"/>
      <c r="CE59" s="35"/>
      <c r="CF59" s="35"/>
      <c r="CG59" s="35"/>
      <c r="CH59" s="35"/>
      <c r="CI59" s="35"/>
      <c r="CJ59" s="35"/>
      <c r="CK59" s="35"/>
      <c r="CL59" s="35"/>
      <c r="CM59" s="35"/>
      <c r="CN59" s="35"/>
      <c r="CO59" s="35"/>
      <c r="CP59" s="35"/>
      <c r="CQ59" s="35"/>
      <c r="CR59" s="35"/>
      <c r="CS59" s="35"/>
      <c r="CT59" s="35"/>
      <c r="CU59" s="35"/>
      <c r="CV59" s="35"/>
      <c r="CW59" s="35"/>
      <c r="CX59" s="35"/>
      <c r="CY59" s="35"/>
      <c r="CZ59" s="35"/>
      <c r="DA59" s="35"/>
      <c r="DB59" s="35"/>
      <c r="DC59" s="35"/>
      <c r="DD59" s="35"/>
      <c r="DE59" s="35"/>
      <c r="DF59" s="35"/>
      <c r="DG59" s="35"/>
      <c r="DH59" s="35"/>
      <c r="DI59" s="35"/>
      <c r="DJ59" s="35"/>
      <c r="DK59" s="35"/>
      <c r="DL59" s="35"/>
      <c r="DM59" s="35"/>
      <c r="DN59" s="35"/>
      <c r="DO59" s="35"/>
      <c r="DP59" s="35"/>
      <c r="DQ59" s="35"/>
      <c r="DR59" s="35"/>
      <c r="DS59" s="35"/>
      <c r="DT59" s="35"/>
      <c r="DU59" s="35"/>
      <c r="DV59" s="35"/>
      <c r="DW59" s="35"/>
      <c r="DX59" s="35"/>
      <c r="DY59" s="35"/>
      <c r="DZ59" s="35"/>
      <c r="EA59" s="35"/>
      <c r="EB59" s="35"/>
      <c r="EC59" s="35"/>
      <c r="ED59" s="35"/>
      <c r="EE59" s="35"/>
      <c r="EF59" s="35"/>
      <c r="EG59" s="35"/>
      <c r="EH59" s="35"/>
      <c r="EI59" s="35"/>
      <c r="EJ59" s="35"/>
      <c r="EK59" s="35"/>
      <c r="EL59" s="35"/>
      <c r="EM59" s="35"/>
      <c r="EN59" s="35"/>
      <c r="EO59" s="35"/>
      <c r="EP59" s="35"/>
      <c r="EQ59" s="35"/>
      <c r="ER59" s="35"/>
      <c r="ES59" s="35"/>
      <c r="ET59" s="35"/>
      <c r="EU59" s="35"/>
      <c r="EV59" s="35"/>
      <c r="EW59" s="35"/>
      <c r="EX59" s="35"/>
      <c r="EY59" s="35"/>
      <c r="EZ59" s="35"/>
      <c r="FA59" s="35"/>
      <c r="FB59" s="35"/>
      <c r="FC59" s="35"/>
      <c r="FD59" s="35"/>
      <c r="FE59" s="35"/>
      <c r="FF59" s="35"/>
      <c r="FG59" s="35"/>
      <c r="FH59" s="35"/>
      <c r="FI59" s="35"/>
      <c r="FJ59" s="35"/>
      <c r="FK59" s="35"/>
      <c r="FL59" s="35"/>
      <c r="FM59" s="35"/>
      <c r="FN59" s="35"/>
      <c r="FO59" s="35"/>
      <c r="FP59" s="35"/>
      <c r="FQ59" s="35"/>
      <c r="FR59" s="35"/>
      <c r="FS59" s="35"/>
      <c r="FT59" s="35"/>
      <c r="FU59" s="35"/>
      <c r="FV59" s="35"/>
      <c r="FW59" s="35"/>
      <c r="FX59" s="35"/>
      <c r="FY59" s="35"/>
      <c r="FZ59" s="35"/>
      <c r="GA59" s="35"/>
      <c r="GB59" s="35"/>
      <c r="GC59" s="35"/>
      <c r="GD59" s="35"/>
      <c r="GE59" s="35"/>
      <c r="GF59" s="35"/>
      <c r="GG59" s="35"/>
      <c r="GH59" s="35"/>
      <c r="GI59" s="35"/>
      <c r="GJ59" s="35"/>
      <c r="GK59" s="35"/>
      <c r="GL59" s="35"/>
      <c r="GM59" s="35"/>
      <c r="GN59" s="35"/>
      <c r="GO59" s="35"/>
      <c r="GP59" s="35"/>
      <c r="GQ59" s="35"/>
      <c r="GR59" s="35"/>
      <c r="GS59" s="35"/>
      <c r="GT59" s="35"/>
      <c r="GU59" s="35">
        <v>6.3</v>
      </c>
      <c r="GV59" s="35">
        <v>26.7</v>
      </c>
      <c r="GW59" s="35">
        <v>82.1</v>
      </c>
      <c r="GX59" s="35">
        <v>94.7</v>
      </c>
      <c r="GY59" s="35">
        <v>92.1</v>
      </c>
      <c r="GZ59" s="35">
        <v>51.6</v>
      </c>
      <c r="HA59" s="35">
        <v>2.8</v>
      </c>
      <c r="HB59" s="35">
        <v>0.8</v>
      </c>
      <c r="HC59">
        <v>0.5</v>
      </c>
      <c r="HD59">
        <v>0.3</v>
      </c>
      <c r="HE59">
        <v>0.2</v>
      </c>
    </row>
    <row r="60" spans="1:213" x14ac:dyDescent="0.25">
      <c r="A60" s="35" t="s">
        <v>2223</v>
      </c>
      <c r="B60" s="35"/>
      <c r="C60" s="35"/>
      <c r="D60" s="35"/>
      <c r="E60" s="35"/>
      <c r="F60" s="35"/>
      <c r="G60" s="35"/>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35"/>
      <c r="AI60" s="35"/>
      <c r="AJ60" s="35"/>
      <c r="AK60" s="35"/>
      <c r="AL60" s="35"/>
      <c r="AM60" s="35"/>
      <c r="AN60" s="35"/>
      <c r="AO60" s="35"/>
      <c r="AP60" s="35"/>
      <c r="AQ60" s="35"/>
      <c r="AR60" s="35"/>
      <c r="AS60" s="35"/>
      <c r="AT60" s="35"/>
      <c r="AU60" s="35"/>
      <c r="AV60" s="35"/>
      <c r="AW60" s="35"/>
      <c r="AX60" s="35"/>
      <c r="AY60" s="35"/>
      <c r="AZ60" s="35"/>
      <c r="BA60" s="35"/>
      <c r="BB60" s="35"/>
      <c r="BC60" s="35"/>
      <c r="BD60" s="35"/>
      <c r="BE60" s="35"/>
      <c r="BF60" s="35"/>
      <c r="BG60" s="35"/>
      <c r="BH60" s="35"/>
      <c r="BI60" s="35"/>
      <c r="BJ60" s="35"/>
      <c r="BK60" s="35"/>
      <c r="BL60" s="35"/>
      <c r="BM60" s="35"/>
      <c r="BN60" s="35"/>
      <c r="BO60" s="35"/>
      <c r="BP60" s="35"/>
      <c r="BQ60" s="35"/>
      <c r="BR60" s="35"/>
      <c r="BS60" s="35"/>
      <c r="BT60" s="35"/>
      <c r="BU60" s="35"/>
      <c r="BV60" s="35"/>
      <c r="BW60" s="35"/>
      <c r="BX60" s="35"/>
      <c r="BY60" s="35"/>
      <c r="BZ60" s="35"/>
      <c r="CA60" s="35"/>
      <c r="CB60" s="35"/>
      <c r="CC60" s="35"/>
      <c r="CD60" s="35"/>
      <c r="CE60" s="35"/>
      <c r="CF60" s="35"/>
      <c r="CG60" s="35"/>
      <c r="CH60" s="35"/>
      <c r="CI60" s="35"/>
      <c r="CJ60" s="35"/>
      <c r="CK60" s="35"/>
      <c r="CL60" s="35"/>
      <c r="CM60" s="35"/>
      <c r="CN60" s="35"/>
      <c r="CO60" s="35"/>
      <c r="CP60" s="35"/>
      <c r="CQ60" s="35"/>
      <c r="CR60" s="35"/>
      <c r="CS60" s="35"/>
      <c r="CT60" s="35"/>
      <c r="CU60" s="35"/>
      <c r="CV60" s="35"/>
      <c r="CW60" s="35"/>
      <c r="CX60" s="35"/>
      <c r="CY60" s="35"/>
      <c r="CZ60" s="35"/>
      <c r="DA60" s="35"/>
      <c r="DB60" s="35"/>
      <c r="DC60" s="35"/>
      <c r="DD60" s="35"/>
      <c r="DE60" s="35"/>
      <c r="DF60" s="35"/>
      <c r="DG60" s="35"/>
      <c r="DH60" s="35"/>
      <c r="DI60" s="35"/>
      <c r="DJ60" s="35"/>
      <c r="DK60" s="35"/>
      <c r="DL60" s="35"/>
      <c r="DM60" s="35"/>
      <c r="DN60" s="35"/>
      <c r="DO60" s="35"/>
      <c r="DP60" s="35"/>
      <c r="DQ60" s="35"/>
      <c r="DR60" s="35"/>
      <c r="DS60" s="35"/>
      <c r="DT60" s="35"/>
      <c r="DU60" s="35"/>
      <c r="DV60" s="35"/>
      <c r="DW60" s="35"/>
      <c r="DX60" s="35"/>
      <c r="DY60" s="35"/>
      <c r="DZ60" s="35"/>
      <c r="EA60" s="35"/>
      <c r="EB60" s="35"/>
      <c r="EC60" s="35"/>
      <c r="ED60" s="35"/>
      <c r="EE60" s="35"/>
      <c r="EF60" s="35"/>
      <c r="EG60" s="35"/>
      <c r="EH60" s="35"/>
      <c r="EI60" s="35"/>
      <c r="EJ60" s="35"/>
      <c r="EK60" s="35"/>
      <c r="EL60" s="35"/>
      <c r="EM60" s="35"/>
      <c r="EN60" s="35"/>
      <c r="EO60" s="35"/>
      <c r="EP60" s="35"/>
      <c r="EQ60" s="35"/>
      <c r="ER60" s="35"/>
      <c r="ES60" s="35"/>
      <c r="ET60" s="35"/>
      <c r="EU60" s="35"/>
      <c r="EV60" s="35"/>
      <c r="EW60" s="35"/>
      <c r="EX60" s="35"/>
      <c r="EY60" s="35"/>
      <c r="EZ60" s="35"/>
      <c r="FA60" s="35"/>
      <c r="FB60" s="35"/>
      <c r="FC60" s="35"/>
      <c r="FD60" s="35"/>
      <c r="FE60" s="35"/>
      <c r="FF60" s="35"/>
      <c r="FG60" s="35"/>
      <c r="FH60" s="35"/>
      <c r="FI60" s="35"/>
      <c r="FJ60" s="35"/>
      <c r="FK60" s="35"/>
      <c r="FL60" s="35"/>
      <c r="FM60" s="35"/>
      <c r="FN60" s="35"/>
      <c r="FO60" s="35"/>
      <c r="FP60" s="35"/>
      <c r="FQ60" s="35"/>
      <c r="FR60" s="35"/>
      <c r="FS60" s="35"/>
      <c r="FT60" s="35"/>
      <c r="FU60" s="35"/>
      <c r="FV60" s="35"/>
      <c r="FW60" s="35"/>
      <c r="FX60" s="35"/>
      <c r="FY60" s="35"/>
      <c r="FZ60" s="35"/>
      <c r="GA60" s="35"/>
      <c r="GB60" s="35"/>
      <c r="GC60" s="35"/>
      <c r="GD60" s="35"/>
      <c r="GE60" s="35"/>
      <c r="GF60" s="35"/>
      <c r="GG60" s="35"/>
      <c r="GH60" s="35"/>
      <c r="GI60" s="35"/>
      <c r="GJ60" s="35"/>
      <c r="GK60" s="35"/>
      <c r="GL60" s="35"/>
      <c r="GM60" s="35"/>
      <c r="GN60" s="35"/>
      <c r="GO60" s="35"/>
      <c r="GP60" s="35"/>
      <c r="GQ60" s="35"/>
      <c r="GR60" s="35"/>
      <c r="GS60" s="35"/>
      <c r="GT60" s="35"/>
      <c r="GU60" s="35">
        <v>74.400000000000006</v>
      </c>
      <c r="GV60" s="35">
        <v>138.30000000000001</v>
      </c>
      <c r="GW60" s="35">
        <v>106.8</v>
      </c>
      <c r="GX60" s="35">
        <v>89.2</v>
      </c>
      <c r="GY60" s="35">
        <v>72.3</v>
      </c>
      <c r="GZ60" s="35">
        <v>43.5</v>
      </c>
      <c r="HA60" s="35">
        <v>2.1</v>
      </c>
      <c r="HB60" s="35">
        <v>0.8</v>
      </c>
      <c r="HC60">
        <v>0.4</v>
      </c>
      <c r="HD60">
        <v>0.2</v>
      </c>
      <c r="HE60">
        <v>0.1</v>
      </c>
    </row>
    <row r="61" spans="1:213" x14ac:dyDescent="0.25">
      <c r="A61" s="35" t="s">
        <v>2224</v>
      </c>
      <c r="B61" s="35"/>
      <c r="C61" s="35"/>
      <c r="D61" s="35"/>
      <c r="E61" s="35"/>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35"/>
      <c r="AM61" s="35"/>
      <c r="AN61" s="35"/>
      <c r="AO61" s="35"/>
      <c r="AP61" s="35"/>
      <c r="AQ61" s="35"/>
      <c r="AR61" s="35"/>
      <c r="AS61" s="35"/>
      <c r="AT61" s="35"/>
      <c r="AU61" s="35"/>
      <c r="AV61" s="35"/>
      <c r="AW61" s="35"/>
      <c r="AX61" s="35"/>
      <c r="AY61" s="35"/>
      <c r="AZ61" s="35"/>
      <c r="BA61" s="35"/>
      <c r="BB61" s="35"/>
      <c r="BC61" s="35"/>
      <c r="BD61" s="35"/>
      <c r="BE61" s="35"/>
      <c r="BF61" s="35"/>
      <c r="BG61" s="35"/>
      <c r="BH61" s="35"/>
      <c r="BI61" s="35"/>
      <c r="BJ61" s="35"/>
      <c r="BK61" s="35"/>
      <c r="BL61" s="35"/>
      <c r="BM61" s="35"/>
      <c r="BN61" s="35"/>
      <c r="BO61" s="35"/>
      <c r="BP61" s="35"/>
      <c r="BQ61" s="35"/>
      <c r="BR61" s="35"/>
      <c r="BS61" s="35"/>
      <c r="BT61" s="35"/>
      <c r="BU61" s="35"/>
      <c r="BV61" s="35"/>
      <c r="BW61" s="35"/>
      <c r="BX61" s="35"/>
      <c r="BY61" s="35"/>
      <c r="BZ61" s="35"/>
      <c r="CA61" s="35"/>
      <c r="CB61" s="35"/>
      <c r="CC61" s="35"/>
      <c r="CD61" s="35"/>
      <c r="CE61" s="35"/>
      <c r="CF61" s="35"/>
      <c r="CG61" s="35"/>
      <c r="CH61" s="35"/>
      <c r="CI61" s="35"/>
      <c r="CJ61" s="35"/>
      <c r="CK61" s="35"/>
      <c r="CL61" s="35"/>
      <c r="CM61" s="35"/>
      <c r="CN61" s="35"/>
      <c r="CO61" s="35"/>
      <c r="CP61" s="35"/>
      <c r="CQ61" s="35"/>
      <c r="CR61" s="35"/>
      <c r="CS61" s="35"/>
      <c r="CT61" s="35"/>
      <c r="CU61" s="35"/>
      <c r="CV61" s="35"/>
      <c r="CW61" s="35"/>
      <c r="CX61" s="35"/>
      <c r="CY61" s="35"/>
      <c r="CZ61" s="35"/>
      <c r="DA61" s="35"/>
      <c r="DB61" s="35"/>
      <c r="DC61" s="35"/>
      <c r="DD61" s="35"/>
      <c r="DE61" s="35"/>
      <c r="DF61" s="35"/>
      <c r="DG61" s="35"/>
      <c r="DH61" s="35"/>
      <c r="DI61" s="35"/>
      <c r="DJ61" s="35"/>
      <c r="DK61" s="35"/>
      <c r="DL61" s="35"/>
      <c r="DM61" s="35"/>
      <c r="DN61" s="35"/>
      <c r="DO61" s="35"/>
      <c r="DP61" s="35"/>
      <c r="DQ61" s="35"/>
      <c r="DR61" s="35"/>
      <c r="DS61" s="35"/>
      <c r="DT61" s="35"/>
      <c r="DU61" s="35"/>
      <c r="DV61" s="35"/>
      <c r="DW61" s="35"/>
      <c r="DX61" s="35"/>
      <c r="DY61" s="35"/>
      <c r="DZ61" s="35"/>
      <c r="EA61" s="35"/>
      <c r="EB61" s="35"/>
      <c r="EC61" s="35"/>
      <c r="ED61" s="35"/>
      <c r="EE61" s="35"/>
      <c r="EF61" s="35"/>
      <c r="EG61" s="35"/>
      <c r="EH61" s="35"/>
      <c r="EI61" s="35"/>
      <c r="EJ61" s="35"/>
      <c r="EK61" s="35"/>
      <c r="EL61" s="35"/>
      <c r="EM61" s="35"/>
      <c r="EN61" s="35"/>
      <c r="EO61" s="35"/>
      <c r="EP61" s="35"/>
      <c r="EQ61" s="35"/>
      <c r="ER61" s="35"/>
      <c r="ES61" s="35"/>
      <c r="ET61" s="35"/>
      <c r="EU61" s="35"/>
      <c r="EV61" s="35"/>
      <c r="EW61" s="35"/>
      <c r="EX61" s="35"/>
      <c r="EY61" s="35"/>
      <c r="EZ61" s="35"/>
      <c r="FA61" s="35"/>
      <c r="FB61" s="35"/>
      <c r="FC61" s="35"/>
      <c r="FD61" s="35"/>
      <c r="FE61" s="35"/>
      <c r="FF61" s="35"/>
      <c r="FG61" s="35"/>
      <c r="FH61" s="35"/>
      <c r="FI61" s="35"/>
      <c r="FJ61" s="35"/>
      <c r="FK61" s="35"/>
      <c r="FL61" s="35"/>
      <c r="FM61" s="35"/>
      <c r="FN61" s="35"/>
      <c r="FO61" s="35"/>
      <c r="FP61" s="35"/>
      <c r="FQ61" s="35"/>
      <c r="FR61" s="35"/>
      <c r="FS61" s="35"/>
      <c r="FT61" s="35"/>
      <c r="FU61" s="35"/>
      <c r="FV61" s="35"/>
      <c r="FW61" s="35"/>
      <c r="FX61" s="35"/>
      <c r="FY61" s="35"/>
      <c r="FZ61" s="35"/>
      <c r="GA61" s="35"/>
      <c r="GB61" s="35"/>
      <c r="GC61" s="35"/>
      <c r="GD61" s="35"/>
      <c r="GE61" s="35"/>
      <c r="GF61" s="35"/>
      <c r="GG61" s="35"/>
      <c r="GH61" s="35"/>
      <c r="GI61" s="35"/>
      <c r="GJ61" s="35"/>
      <c r="GK61" s="35"/>
      <c r="GL61" s="35"/>
      <c r="GM61" s="35"/>
      <c r="GN61" s="35"/>
      <c r="GO61" s="35"/>
      <c r="GP61" s="35"/>
      <c r="GQ61" s="35"/>
      <c r="GR61" s="35"/>
      <c r="GS61" s="35"/>
      <c r="GT61" s="35"/>
      <c r="GU61" s="35">
        <v>698.9</v>
      </c>
      <c r="GV61" s="35">
        <v>413.9</v>
      </c>
      <c r="GW61" s="35">
        <v>14.7</v>
      </c>
      <c r="GX61" s="35">
        <v>288.2</v>
      </c>
      <c r="GY61" s="35">
        <v>233.3</v>
      </c>
      <c r="GZ61" s="35">
        <v>110.5</v>
      </c>
      <c r="HA61" s="35">
        <v>0</v>
      </c>
      <c r="HB61" s="35">
        <v>0</v>
      </c>
      <c r="HC61">
        <v>0</v>
      </c>
      <c r="HD61">
        <v>0</v>
      </c>
      <c r="HE61">
        <v>0</v>
      </c>
    </row>
    <row r="62" spans="1:213" x14ac:dyDescent="0.25">
      <c r="A62" s="35" t="s">
        <v>2225</v>
      </c>
      <c r="B62" s="35"/>
      <c r="C62" s="35"/>
      <c r="D62" s="35"/>
      <c r="E62" s="35"/>
      <c r="F62" s="35"/>
      <c r="G62" s="35"/>
      <c r="H62" s="35"/>
      <c r="I62" s="35"/>
      <c r="J62" s="35"/>
      <c r="K62" s="35"/>
      <c r="L62" s="35"/>
      <c r="M62" s="35"/>
      <c r="N62" s="35"/>
      <c r="O62" s="35"/>
      <c r="P62" s="35"/>
      <c r="Q62" s="35"/>
      <c r="R62" s="35"/>
      <c r="S62" s="35"/>
      <c r="T62" s="35"/>
      <c r="U62" s="35"/>
      <c r="V62" s="35"/>
      <c r="W62" s="35"/>
      <c r="X62" s="35"/>
      <c r="Y62" s="35"/>
      <c r="Z62" s="35"/>
      <c r="AA62" s="35"/>
      <c r="AB62" s="35"/>
      <c r="AC62" s="35"/>
      <c r="AD62" s="35"/>
      <c r="AE62" s="35"/>
      <c r="AF62" s="35"/>
      <c r="AG62" s="35"/>
      <c r="AH62" s="35"/>
      <c r="AI62" s="35"/>
      <c r="AJ62" s="35"/>
      <c r="AK62" s="35"/>
      <c r="AL62" s="35"/>
      <c r="AM62" s="35"/>
      <c r="AN62" s="35"/>
      <c r="AO62" s="35"/>
      <c r="AP62" s="35"/>
      <c r="AQ62" s="35"/>
      <c r="AR62" s="35"/>
      <c r="AS62" s="35"/>
      <c r="AT62" s="35"/>
      <c r="AU62" s="35"/>
      <c r="AV62" s="35"/>
      <c r="AW62" s="35"/>
      <c r="AX62" s="35"/>
      <c r="AY62" s="35"/>
      <c r="AZ62" s="35"/>
      <c r="BA62" s="35"/>
      <c r="BB62" s="35"/>
      <c r="BC62" s="35"/>
      <c r="BD62" s="35"/>
      <c r="BE62" s="35"/>
      <c r="BF62" s="35"/>
      <c r="BG62" s="35"/>
      <c r="BH62" s="35"/>
      <c r="BI62" s="35"/>
      <c r="BJ62" s="35"/>
      <c r="BK62" s="35"/>
      <c r="BL62" s="35"/>
      <c r="BM62" s="35"/>
      <c r="BN62" s="35"/>
      <c r="BO62" s="35"/>
      <c r="BP62" s="35"/>
      <c r="BQ62" s="35"/>
      <c r="BR62" s="35"/>
      <c r="BS62" s="35"/>
      <c r="BT62" s="35"/>
      <c r="BU62" s="35"/>
      <c r="BV62" s="35"/>
      <c r="BW62" s="35"/>
      <c r="BX62" s="35"/>
      <c r="BY62" s="35"/>
      <c r="BZ62" s="35"/>
      <c r="CA62" s="35"/>
      <c r="CB62" s="35"/>
      <c r="CC62" s="35"/>
      <c r="CD62" s="35"/>
      <c r="CE62" s="35"/>
      <c r="CF62" s="35"/>
      <c r="CG62" s="35"/>
      <c r="CH62" s="35"/>
      <c r="CI62" s="35"/>
      <c r="CJ62" s="35"/>
      <c r="CK62" s="35"/>
      <c r="CL62" s="35"/>
      <c r="CM62" s="35"/>
      <c r="CN62" s="35"/>
      <c r="CO62" s="35"/>
      <c r="CP62" s="35"/>
      <c r="CQ62" s="35"/>
      <c r="CR62" s="35"/>
      <c r="CS62" s="35"/>
      <c r="CT62" s="35"/>
      <c r="CU62" s="35"/>
      <c r="CV62" s="35"/>
      <c r="CW62" s="35"/>
      <c r="CX62" s="35"/>
      <c r="CY62" s="35"/>
      <c r="CZ62" s="35"/>
      <c r="DA62" s="35"/>
      <c r="DB62" s="35"/>
      <c r="DC62" s="35"/>
      <c r="DD62" s="35"/>
      <c r="DE62" s="35"/>
      <c r="DF62" s="35"/>
      <c r="DG62" s="35"/>
      <c r="DH62" s="35"/>
      <c r="DI62" s="35"/>
      <c r="DJ62" s="35"/>
      <c r="DK62" s="35"/>
      <c r="DL62" s="35"/>
      <c r="DM62" s="35"/>
      <c r="DN62" s="35"/>
      <c r="DO62" s="35"/>
      <c r="DP62" s="35"/>
      <c r="DQ62" s="35"/>
      <c r="DR62" s="35"/>
      <c r="DS62" s="35"/>
      <c r="DT62" s="35"/>
      <c r="DU62" s="35"/>
      <c r="DV62" s="35"/>
      <c r="DW62" s="35"/>
      <c r="DX62" s="35"/>
      <c r="DY62" s="35"/>
      <c r="DZ62" s="35"/>
      <c r="EA62" s="35"/>
      <c r="EB62" s="35"/>
      <c r="EC62" s="35"/>
      <c r="ED62" s="35"/>
      <c r="EE62" s="35"/>
      <c r="EF62" s="35"/>
      <c r="EG62" s="35"/>
      <c r="EH62" s="35"/>
      <c r="EI62" s="35"/>
      <c r="EJ62" s="35"/>
      <c r="EK62" s="35"/>
      <c r="EL62" s="35"/>
      <c r="EM62" s="35"/>
      <c r="EN62" s="35"/>
      <c r="EO62" s="35"/>
      <c r="EP62" s="35"/>
      <c r="EQ62" s="35"/>
      <c r="ER62" s="35"/>
      <c r="ES62" s="35"/>
      <c r="ET62" s="35"/>
      <c r="EU62" s="35"/>
      <c r="EV62" s="35"/>
      <c r="EW62" s="35"/>
      <c r="EX62" s="35"/>
      <c r="EY62" s="35"/>
      <c r="EZ62" s="35"/>
      <c r="FA62" s="35"/>
      <c r="FB62" s="35"/>
      <c r="FC62" s="35"/>
      <c r="FD62" s="35"/>
      <c r="FE62" s="35"/>
      <c r="FF62" s="35"/>
      <c r="FG62" s="35"/>
      <c r="FH62" s="35"/>
      <c r="FI62" s="35"/>
      <c r="FJ62" s="35"/>
      <c r="FK62" s="35"/>
      <c r="FL62" s="35"/>
      <c r="FM62" s="35"/>
      <c r="FN62" s="35"/>
      <c r="FO62" s="35"/>
      <c r="FP62" s="35"/>
      <c r="FQ62" s="35"/>
      <c r="FR62" s="35"/>
      <c r="FS62" s="35"/>
      <c r="FT62" s="35"/>
      <c r="FU62" s="35"/>
      <c r="FV62" s="35"/>
      <c r="FW62" s="35"/>
      <c r="FX62" s="35"/>
      <c r="FY62" s="35"/>
      <c r="FZ62" s="35"/>
      <c r="GA62" s="35"/>
      <c r="GB62" s="35"/>
      <c r="GC62" s="35"/>
      <c r="GD62" s="35"/>
      <c r="GE62" s="35"/>
      <c r="GF62" s="35"/>
      <c r="GG62" s="35"/>
      <c r="GH62" s="35"/>
      <c r="GI62" s="35"/>
      <c r="GJ62" s="35"/>
      <c r="GK62" s="35"/>
      <c r="GL62" s="35"/>
      <c r="GM62" s="35"/>
      <c r="GN62" s="35"/>
      <c r="GO62" s="35"/>
      <c r="GP62" s="35"/>
      <c r="GQ62" s="35"/>
      <c r="GR62" s="35"/>
      <c r="GS62" s="35"/>
      <c r="GT62" s="35"/>
      <c r="GU62" s="35">
        <v>779.6</v>
      </c>
      <c r="GV62" s="35">
        <v>582.4</v>
      </c>
      <c r="GW62" s="35">
        <v>216.6</v>
      </c>
      <c r="GX62" s="35">
        <v>497.6</v>
      </c>
      <c r="GY62" s="35">
        <v>401.5</v>
      </c>
      <c r="GZ62" s="35">
        <v>207.5</v>
      </c>
      <c r="HA62" s="35">
        <v>5.5</v>
      </c>
      <c r="HB62" s="35">
        <v>1.8</v>
      </c>
      <c r="HC62">
        <v>1</v>
      </c>
      <c r="HD62">
        <v>0.5</v>
      </c>
      <c r="HE62">
        <v>0.3</v>
      </c>
    </row>
    <row r="63" spans="1:213" x14ac:dyDescent="0.25">
      <c r="A63" s="35" t="s">
        <v>2226</v>
      </c>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35"/>
      <c r="AI63" s="35"/>
      <c r="AJ63" s="35"/>
      <c r="AK63" s="35"/>
      <c r="AL63" s="35"/>
      <c r="AM63" s="35"/>
      <c r="AN63" s="35"/>
      <c r="AO63" s="35"/>
      <c r="AP63" s="35"/>
      <c r="AQ63" s="35"/>
      <c r="AR63" s="35"/>
      <c r="AS63" s="35"/>
      <c r="AT63" s="35"/>
      <c r="AU63" s="35"/>
      <c r="AV63" s="35"/>
      <c r="AW63" s="35"/>
      <c r="AX63" s="35"/>
      <c r="AY63" s="35"/>
      <c r="AZ63" s="35"/>
      <c r="BA63" s="35"/>
      <c r="BB63" s="35"/>
      <c r="BC63" s="35"/>
      <c r="BD63" s="35"/>
      <c r="BE63" s="35"/>
      <c r="BF63" s="35"/>
      <c r="BG63" s="35"/>
      <c r="BH63" s="35"/>
      <c r="BI63" s="35"/>
      <c r="BJ63" s="35"/>
      <c r="BK63" s="35"/>
      <c r="BL63" s="35"/>
      <c r="BM63" s="35"/>
      <c r="BN63" s="35"/>
      <c r="BO63" s="35"/>
      <c r="BP63" s="35"/>
      <c r="BQ63" s="35"/>
      <c r="BR63" s="35"/>
      <c r="BS63" s="35"/>
      <c r="BT63" s="35"/>
      <c r="BU63" s="35"/>
      <c r="BV63" s="35"/>
      <c r="BW63" s="35"/>
      <c r="BX63" s="35"/>
      <c r="BY63" s="35"/>
      <c r="BZ63" s="35"/>
      <c r="CA63" s="35"/>
      <c r="CB63" s="35"/>
      <c r="CC63" s="35"/>
      <c r="CD63" s="35"/>
      <c r="CE63" s="35"/>
      <c r="CF63" s="35"/>
      <c r="CG63" s="35"/>
      <c r="CH63" s="35"/>
      <c r="CI63" s="35"/>
      <c r="CJ63" s="35"/>
      <c r="CK63" s="35"/>
      <c r="CL63" s="35"/>
      <c r="CM63" s="35"/>
      <c r="CN63" s="35"/>
      <c r="CO63" s="35"/>
      <c r="CP63" s="35"/>
      <c r="CQ63" s="35"/>
      <c r="CR63" s="35"/>
      <c r="CS63" s="35"/>
      <c r="CT63" s="35"/>
      <c r="CU63" s="35"/>
      <c r="CV63" s="35"/>
      <c r="CW63" s="35"/>
      <c r="CX63" s="35"/>
      <c r="CY63" s="35"/>
      <c r="CZ63" s="35"/>
      <c r="DA63" s="35"/>
      <c r="DB63" s="35"/>
      <c r="DC63" s="35"/>
      <c r="DD63" s="35"/>
      <c r="DE63" s="35"/>
      <c r="DF63" s="35"/>
      <c r="DG63" s="35"/>
      <c r="DH63" s="35"/>
      <c r="DI63" s="35"/>
      <c r="DJ63" s="35"/>
      <c r="DK63" s="35"/>
      <c r="DL63" s="35"/>
      <c r="DM63" s="35"/>
      <c r="DN63" s="35"/>
      <c r="DO63" s="35"/>
      <c r="DP63" s="35"/>
      <c r="DQ63" s="35"/>
      <c r="DR63" s="35"/>
      <c r="DS63" s="35"/>
      <c r="DT63" s="35"/>
      <c r="DU63" s="35"/>
      <c r="DV63" s="35"/>
      <c r="DW63" s="35"/>
      <c r="DX63" s="35"/>
      <c r="DY63" s="35"/>
      <c r="DZ63" s="35"/>
      <c r="EA63" s="35"/>
      <c r="EB63" s="35"/>
      <c r="EC63" s="35"/>
      <c r="ED63" s="35"/>
      <c r="EE63" s="35"/>
      <c r="EF63" s="35"/>
      <c r="EG63" s="35"/>
      <c r="EH63" s="35"/>
      <c r="EI63" s="35"/>
      <c r="EJ63" s="35"/>
      <c r="EK63" s="35"/>
      <c r="EL63" s="35"/>
      <c r="EM63" s="35"/>
      <c r="EN63" s="35"/>
      <c r="EO63" s="35"/>
      <c r="EP63" s="35"/>
      <c r="EQ63" s="35"/>
      <c r="ER63" s="35"/>
      <c r="ES63" s="35"/>
      <c r="ET63" s="35"/>
      <c r="EU63" s="35"/>
      <c r="EV63" s="35"/>
      <c r="EW63" s="35"/>
      <c r="EX63" s="35"/>
      <c r="EY63" s="35"/>
      <c r="EZ63" s="35"/>
      <c r="FA63" s="35"/>
      <c r="FB63" s="35"/>
      <c r="FC63" s="35"/>
      <c r="FD63" s="35"/>
      <c r="FE63" s="35"/>
      <c r="FF63" s="35"/>
      <c r="FG63" s="35"/>
      <c r="FH63" s="35"/>
      <c r="FI63" s="35"/>
      <c r="FJ63" s="35"/>
      <c r="FK63" s="35"/>
      <c r="FL63" s="35"/>
      <c r="FM63" s="35"/>
      <c r="FN63" s="35"/>
      <c r="FO63" s="35"/>
      <c r="FP63" s="35"/>
      <c r="FQ63" s="35"/>
      <c r="FR63" s="35"/>
      <c r="FS63" s="35"/>
      <c r="FT63" s="35"/>
      <c r="FU63" s="35"/>
      <c r="FV63" s="35"/>
      <c r="FW63" s="35"/>
      <c r="FX63" s="35"/>
      <c r="FY63" s="35"/>
      <c r="FZ63" s="35"/>
      <c r="GA63" s="35"/>
      <c r="GB63" s="35"/>
      <c r="GC63" s="35"/>
      <c r="GD63" s="35"/>
      <c r="GE63" s="35"/>
      <c r="GF63" s="35"/>
      <c r="GG63" s="35"/>
      <c r="GH63" s="35"/>
      <c r="GI63" s="35"/>
      <c r="GJ63" s="35"/>
      <c r="GK63" s="35"/>
      <c r="GL63" s="35"/>
      <c r="GM63" s="35"/>
      <c r="GN63" s="35"/>
      <c r="GO63" s="35"/>
      <c r="GP63" s="35"/>
      <c r="GQ63" s="35"/>
      <c r="GR63" s="35"/>
      <c r="GS63" s="35"/>
      <c r="GT63" s="35"/>
      <c r="GU63" s="35">
        <v>0.1</v>
      </c>
      <c r="GV63" s="35">
        <v>3.7</v>
      </c>
      <c r="GW63" s="35">
        <v>12.9</v>
      </c>
      <c r="GX63" s="35">
        <v>25.5</v>
      </c>
      <c r="GY63" s="35">
        <v>3.8</v>
      </c>
      <c r="GZ63" s="35">
        <v>1.8</v>
      </c>
      <c r="HA63" s="35">
        <v>0.6</v>
      </c>
      <c r="HB63" s="35">
        <v>0.2</v>
      </c>
      <c r="HC63">
        <v>0.1</v>
      </c>
      <c r="HD63">
        <v>0</v>
      </c>
      <c r="HE63">
        <v>0</v>
      </c>
    </row>
    <row r="64" spans="1:213" x14ac:dyDescent="0.25">
      <c r="A64" s="35" t="s">
        <v>2227</v>
      </c>
      <c r="B64" s="35"/>
      <c r="C64" s="35"/>
      <c r="D64" s="35"/>
      <c r="E64" s="35"/>
      <c r="F64" s="35"/>
      <c r="G64" s="35"/>
      <c r="H64" s="35"/>
      <c r="I64" s="35"/>
      <c r="J64" s="35"/>
      <c r="K64" s="35"/>
      <c r="L64" s="35"/>
      <c r="M64" s="35"/>
      <c r="N64" s="35"/>
      <c r="O64" s="35"/>
      <c r="P64" s="35"/>
      <c r="Q64" s="35"/>
      <c r="R64" s="35"/>
      <c r="S64" s="35"/>
      <c r="T64" s="35"/>
      <c r="U64" s="35"/>
      <c r="V64" s="35"/>
      <c r="W64" s="35"/>
      <c r="X64" s="35"/>
      <c r="Y64" s="35"/>
      <c r="Z64" s="35"/>
      <c r="AA64" s="35"/>
      <c r="AB64" s="35"/>
      <c r="AC64" s="35"/>
      <c r="AD64" s="35"/>
      <c r="AE64" s="35"/>
      <c r="AF64" s="35"/>
      <c r="AG64" s="35"/>
      <c r="AH64" s="35"/>
      <c r="AI64" s="35"/>
      <c r="AJ64" s="35"/>
      <c r="AK64" s="35"/>
      <c r="AL64" s="35"/>
      <c r="AM64" s="35"/>
      <c r="AN64" s="35"/>
      <c r="AO64" s="35"/>
      <c r="AP64" s="35"/>
      <c r="AQ64" s="35"/>
      <c r="AR64" s="35"/>
      <c r="AS64" s="35"/>
      <c r="AT64" s="35"/>
      <c r="AU64" s="35"/>
      <c r="AV64" s="35"/>
      <c r="AW64" s="35"/>
      <c r="AX64" s="35"/>
      <c r="AY64" s="35"/>
      <c r="AZ64" s="35"/>
      <c r="BA64" s="35"/>
      <c r="BB64" s="35"/>
      <c r="BC64" s="35"/>
      <c r="BD64" s="35"/>
      <c r="BE64" s="35"/>
      <c r="BF64" s="35"/>
      <c r="BG64" s="35"/>
      <c r="BH64" s="35"/>
      <c r="BI64" s="35"/>
      <c r="BJ64" s="35"/>
      <c r="BK64" s="35"/>
      <c r="BL64" s="35"/>
      <c r="BM64" s="35"/>
      <c r="BN64" s="35"/>
      <c r="BO64" s="35"/>
      <c r="BP64" s="35"/>
      <c r="BQ64" s="35"/>
      <c r="BR64" s="35"/>
      <c r="BS64" s="35"/>
      <c r="BT64" s="35"/>
      <c r="BU64" s="35"/>
      <c r="BV64" s="35"/>
      <c r="BW64" s="35"/>
      <c r="BX64" s="35"/>
      <c r="BY64" s="35"/>
      <c r="BZ64" s="35"/>
      <c r="CA64" s="35"/>
      <c r="CB64" s="35"/>
      <c r="CC64" s="35"/>
      <c r="CD64" s="35"/>
      <c r="CE64" s="35"/>
      <c r="CF64" s="35"/>
      <c r="CG64" s="35"/>
      <c r="CH64" s="35"/>
      <c r="CI64" s="35"/>
      <c r="CJ64" s="35"/>
      <c r="CK64" s="35"/>
      <c r="CL64" s="35"/>
      <c r="CM64" s="35"/>
      <c r="CN64" s="35"/>
      <c r="CO64" s="35"/>
      <c r="CP64" s="35"/>
      <c r="CQ64" s="35"/>
      <c r="CR64" s="35"/>
      <c r="CS64" s="35"/>
      <c r="CT64" s="35"/>
      <c r="CU64" s="35"/>
      <c r="CV64" s="35"/>
      <c r="CW64" s="35"/>
      <c r="CX64" s="35"/>
      <c r="CY64" s="35"/>
      <c r="CZ64" s="35"/>
      <c r="DA64" s="35"/>
      <c r="DB64" s="35"/>
      <c r="DC64" s="35"/>
      <c r="DD64" s="35"/>
      <c r="DE64" s="35"/>
      <c r="DF64" s="35"/>
      <c r="DG64" s="35"/>
      <c r="DH64" s="35"/>
      <c r="DI64" s="35"/>
      <c r="DJ64" s="35"/>
      <c r="DK64" s="35"/>
      <c r="DL64" s="35"/>
      <c r="DM64" s="35"/>
      <c r="DN64" s="35"/>
      <c r="DO64" s="35"/>
      <c r="DP64" s="35"/>
      <c r="DQ64" s="35"/>
      <c r="DR64" s="35"/>
      <c r="DS64" s="35"/>
      <c r="DT64" s="35"/>
      <c r="DU64" s="35"/>
      <c r="DV64" s="35"/>
      <c r="DW64" s="35"/>
      <c r="DX64" s="35"/>
      <c r="DY64" s="35"/>
      <c r="DZ64" s="35"/>
      <c r="EA64" s="35"/>
      <c r="EB64" s="35"/>
      <c r="EC64" s="35"/>
      <c r="ED64" s="35"/>
      <c r="EE64" s="35"/>
      <c r="EF64" s="35"/>
      <c r="EG64" s="35"/>
      <c r="EH64" s="35"/>
      <c r="EI64" s="35"/>
      <c r="EJ64" s="35"/>
      <c r="EK64" s="35"/>
      <c r="EL64" s="35"/>
      <c r="EM64" s="35"/>
      <c r="EN64" s="35"/>
      <c r="EO64" s="35"/>
      <c r="EP64" s="35"/>
      <c r="EQ64" s="35"/>
      <c r="ER64" s="35"/>
      <c r="ES64" s="35"/>
      <c r="ET64" s="35"/>
      <c r="EU64" s="35"/>
      <c r="EV64" s="35"/>
      <c r="EW64" s="35"/>
      <c r="EX64" s="35"/>
      <c r="EY64" s="35"/>
      <c r="EZ64" s="35"/>
      <c r="FA64" s="35"/>
      <c r="FB64" s="35"/>
      <c r="FC64" s="35"/>
      <c r="FD64" s="35"/>
      <c r="FE64" s="35"/>
      <c r="FF64" s="35"/>
      <c r="FG64" s="35"/>
      <c r="FH64" s="35"/>
      <c r="FI64" s="35"/>
      <c r="FJ64" s="35"/>
      <c r="FK64" s="35"/>
      <c r="FL64" s="35"/>
      <c r="FM64" s="35"/>
      <c r="FN64" s="35"/>
      <c r="FO64" s="35"/>
      <c r="FP64" s="35"/>
      <c r="FQ64" s="35"/>
      <c r="FR64" s="35"/>
      <c r="FS64" s="35"/>
      <c r="FT64" s="35"/>
      <c r="FU64" s="35"/>
      <c r="FV64" s="35"/>
      <c r="FW64" s="35"/>
      <c r="FX64" s="35"/>
      <c r="FY64" s="35"/>
      <c r="FZ64" s="35"/>
      <c r="GA64" s="35"/>
      <c r="GB64" s="35"/>
      <c r="GC64" s="35"/>
      <c r="GD64" s="35"/>
      <c r="GE64" s="35"/>
      <c r="GF64" s="35"/>
      <c r="GG64" s="35"/>
      <c r="GH64" s="35"/>
      <c r="GI64" s="35"/>
      <c r="GJ64" s="35"/>
      <c r="GK64" s="35"/>
      <c r="GL64" s="35"/>
      <c r="GM64" s="35"/>
      <c r="GN64" s="35"/>
      <c r="GO64" s="35"/>
      <c r="GP64" s="35"/>
      <c r="GQ64" s="35"/>
      <c r="GR64" s="35"/>
      <c r="GS64" s="35"/>
      <c r="GT64" s="35"/>
      <c r="GU64" s="35"/>
      <c r="GV64" s="35">
        <v>106.2</v>
      </c>
      <c r="GW64" s="35">
        <v>35.9</v>
      </c>
      <c r="GX64" s="35">
        <v>1.6</v>
      </c>
      <c r="GY64" s="35">
        <v>0.6</v>
      </c>
      <c r="GZ64" s="35">
        <v>0.1</v>
      </c>
      <c r="HA64" s="35">
        <v>0</v>
      </c>
      <c r="HB64" s="35">
        <v>0</v>
      </c>
      <c r="HC64">
        <v>0</v>
      </c>
      <c r="HD64">
        <v>0</v>
      </c>
      <c r="HE64">
        <v>0</v>
      </c>
    </row>
    <row r="65" spans="1:218" x14ac:dyDescent="0.25">
      <c r="A65" s="35" t="s">
        <v>2228</v>
      </c>
      <c r="B65" s="35">
        <v>5.7</v>
      </c>
      <c r="C65" s="35">
        <v>5.4</v>
      </c>
      <c r="D65" s="35">
        <v>4.9000000000000004</v>
      </c>
      <c r="E65" s="35">
        <v>5.0999999999999996</v>
      </c>
      <c r="F65" s="35">
        <v>5.6</v>
      </c>
      <c r="G65" s="35">
        <v>6.4</v>
      </c>
      <c r="H65" s="35">
        <v>5.9</v>
      </c>
      <c r="I65" s="35">
        <v>5.8</v>
      </c>
      <c r="J65" s="35">
        <v>5.9</v>
      </c>
      <c r="K65" s="35">
        <v>5.5</v>
      </c>
      <c r="L65" s="35">
        <v>7</v>
      </c>
      <c r="M65" s="35">
        <v>5.9</v>
      </c>
      <c r="N65" s="35">
        <v>5.9</v>
      </c>
      <c r="O65" s="35">
        <v>6.4</v>
      </c>
      <c r="P65" s="35">
        <v>5.5</v>
      </c>
      <c r="Q65" s="35">
        <v>6.1</v>
      </c>
      <c r="R65" s="35">
        <v>8</v>
      </c>
      <c r="S65" s="35">
        <v>8.8000000000000007</v>
      </c>
      <c r="T65" s="35">
        <v>6.7</v>
      </c>
      <c r="U65" s="35">
        <v>8.1</v>
      </c>
      <c r="V65" s="35">
        <v>9</v>
      </c>
      <c r="W65" s="35">
        <v>8.1</v>
      </c>
      <c r="X65" s="35">
        <v>11.1</v>
      </c>
      <c r="Y65" s="35">
        <v>10.7</v>
      </c>
      <c r="Z65" s="35">
        <v>10.3</v>
      </c>
      <c r="AA65" s="35">
        <v>10</v>
      </c>
      <c r="AB65" s="35">
        <v>10.8</v>
      </c>
      <c r="AC65" s="35">
        <v>11.3</v>
      </c>
      <c r="AD65" s="35">
        <v>10.9</v>
      </c>
      <c r="AE65" s="35">
        <v>10.9</v>
      </c>
      <c r="AF65" s="35">
        <v>12.1</v>
      </c>
      <c r="AG65" s="35">
        <v>10.9</v>
      </c>
      <c r="AH65" s="35">
        <v>11.2</v>
      </c>
      <c r="AI65" s="35">
        <v>11.8</v>
      </c>
      <c r="AJ65" s="35">
        <v>12.2</v>
      </c>
      <c r="AK65" s="35">
        <v>12.8</v>
      </c>
      <c r="AL65" s="35">
        <v>13.9</v>
      </c>
      <c r="AM65" s="35">
        <v>13.4</v>
      </c>
      <c r="AN65" s="35">
        <v>14.7</v>
      </c>
      <c r="AO65" s="35">
        <v>16.100000000000001</v>
      </c>
      <c r="AP65" s="35">
        <v>16.7</v>
      </c>
      <c r="AQ65" s="35">
        <v>16.899999999999999</v>
      </c>
      <c r="AR65" s="35">
        <v>16.3</v>
      </c>
      <c r="AS65" s="35">
        <v>17.100000000000001</v>
      </c>
      <c r="AT65" s="35">
        <v>16.399999999999999</v>
      </c>
      <c r="AU65" s="35">
        <v>16</v>
      </c>
      <c r="AV65" s="35">
        <v>15.1</v>
      </c>
      <c r="AW65" s="35">
        <v>15.4</v>
      </c>
      <c r="AX65" s="35">
        <v>14.2</v>
      </c>
      <c r="AY65" s="35">
        <v>14.9</v>
      </c>
      <c r="AZ65" s="35">
        <v>14.8</v>
      </c>
      <c r="BA65" s="35">
        <v>14.7</v>
      </c>
      <c r="BB65" s="35">
        <v>16.100000000000001</v>
      </c>
      <c r="BC65" s="35">
        <v>14.3</v>
      </c>
      <c r="BD65" s="35">
        <v>16</v>
      </c>
      <c r="BE65" s="35">
        <v>15.9</v>
      </c>
      <c r="BF65" s="35">
        <v>16.7</v>
      </c>
      <c r="BG65" s="35">
        <v>17.3</v>
      </c>
      <c r="BH65" s="35">
        <v>18.2</v>
      </c>
      <c r="BI65" s="35">
        <v>18.899999999999999</v>
      </c>
      <c r="BJ65" s="35">
        <v>17.2</v>
      </c>
      <c r="BK65" s="35">
        <v>19.600000000000001</v>
      </c>
      <c r="BL65" s="35">
        <v>20.2</v>
      </c>
      <c r="BM65" s="35">
        <v>21.3</v>
      </c>
      <c r="BN65" s="35">
        <v>19.8</v>
      </c>
      <c r="BO65" s="35">
        <v>20.7</v>
      </c>
      <c r="BP65" s="35">
        <v>21.4</v>
      </c>
      <c r="BQ65" s="35">
        <v>18.399999999999999</v>
      </c>
      <c r="BR65" s="35">
        <v>18.899999999999999</v>
      </c>
      <c r="BS65" s="35">
        <v>19.7</v>
      </c>
      <c r="BT65" s="35">
        <v>19</v>
      </c>
      <c r="BU65" s="35">
        <v>18.8</v>
      </c>
      <c r="BV65" s="35">
        <v>19.100000000000001</v>
      </c>
      <c r="BW65" s="35">
        <v>20</v>
      </c>
      <c r="BX65" s="35">
        <v>20.5</v>
      </c>
      <c r="BY65" s="35">
        <v>19.399999999999999</v>
      </c>
      <c r="BZ65" s="35">
        <v>20.3</v>
      </c>
      <c r="CA65" s="35">
        <v>20.100000000000001</v>
      </c>
      <c r="CB65" s="35">
        <v>19</v>
      </c>
      <c r="CC65" s="35">
        <v>21.5</v>
      </c>
      <c r="CD65" s="35">
        <v>22.3</v>
      </c>
      <c r="CE65" s="35">
        <v>20.3</v>
      </c>
      <c r="CF65" s="35">
        <v>20.7</v>
      </c>
      <c r="CG65" s="35">
        <v>49.5</v>
      </c>
      <c r="CH65" s="35">
        <v>26</v>
      </c>
      <c r="CI65" s="35">
        <v>22.2</v>
      </c>
      <c r="CJ65" s="35">
        <v>37.1</v>
      </c>
      <c r="CK65" s="35">
        <v>20.8</v>
      </c>
      <c r="CL65" s="35">
        <v>21.6</v>
      </c>
      <c r="CM65" s="35">
        <v>23.2</v>
      </c>
      <c r="CN65" s="35">
        <v>22.5</v>
      </c>
      <c r="CO65" s="35">
        <v>23.2</v>
      </c>
      <c r="CP65" s="35">
        <v>24.4</v>
      </c>
      <c r="CQ65" s="35">
        <v>22.6</v>
      </c>
      <c r="CR65" s="35">
        <v>25.3</v>
      </c>
      <c r="CS65" s="35">
        <v>24.9</v>
      </c>
      <c r="CT65" s="35">
        <v>23.8</v>
      </c>
      <c r="CU65" s="35">
        <v>27.5</v>
      </c>
      <c r="CV65" s="35">
        <v>26.2</v>
      </c>
      <c r="CW65" s="35">
        <v>26.7</v>
      </c>
      <c r="CX65" s="35">
        <v>27.9</v>
      </c>
      <c r="CY65" s="35">
        <v>28.2</v>
      </c>
      <c r="CZ65" s="35">
        <v>28.4</v>
      </c>
      <c r="DA65" s="35">
        <v>27</v>
      </c>
      <c r="DB65" s="35">
        <v>29.3</v>
      </c>
      <c r="DC65" s="35">
        <v>28.1</v>
      </c>
      <c r="DD65" s="35">
        <v>27.3</v>
      </c>
      <c r="DE65" s="35">
        <v>28.9</v>
      </c>
      <c r="DF65" s="35">
        <v>28.6</v>
      </c>
      <c r="DG65" s="35">
        <v>29.5</v>
      </c>
      <c r="DH65" s="35">
        <v>29.7</v>
      </c>
      <c r="DI65" s="35">
        <v>29</v>
      </c>
      <c r="DJ65" s="35">
        <v>27.3</v>
      </c>
      <c r="DK65" s="35">
        <v>27.5</v>
      </c>
      <c r="DL65" s="35">
        <v>29.4</v>
      </c>
      <c r="DM65" s="35">
        <v>31.5</v>
      </c>
      <c r="DN65" s="35">
        <v>29.2</v>
      </c>
      <c r="DO65" s="35">
        <v>33.9</v>
      </c>
      <c r="DP65" s="35">
        <v>35.9</v>
      </c>
      <c r="DQ65" s="35">
        <v>56.3</v>
      </c>
      <c r="DR65" s="35">
        <v>38</v>
      </c>
      <c r="DS65" s="35">
        <v>37.9</v>
      </c>
      <c r="DT65" s="35">
        <v>39.4</v>
      </c>
      <c r="DU65" s="35">
        <v>49.6</v>
      </c>
      <c r="DV65" s="35">
        <v>40.9</v>
      </c>
      <c r="DW65" s="35">
        <v>43.8</v>
      </c>
      <c r="DX65" s="35">
        <v>44.3</v>
      </c>
      <c r="DY65" s="35">
        <v>45.3</v>
      </c>
      <c r="DZ65" s="35">
        <v>59.6</v>
      </c>
      <c r="EA65" s="35">
        <v>47.2</v>
      </c>
      <c r="EB65" s="35">
        <v>43.2</v>
      </c>
      <c r="EC65" s="35">
        <v>63.5</v>
      </c>
      <c r="ED65" s="35">
        <v>65.7</v>
      </c>
      <c r="EE65" s="35">
        <v>75.5</v>
      </c>
      <c r="EF65" s="35">
        <v>71.5</v>
      </c>
      <c r="EG65" s="35">
        <v>66.400000000000006</v>
      </c>
      <c r="EH65" s="35">
        <v>75.3</v>
      </c>
      <c r="EI65" s="35">
        <v>65.2</v>
      </c>
      <c r="EJ65" s="35">
        <v>74.7</v>
      </c>
      <c r="EK65" s="35">
        <v>70.2</v>
      </c>
      <c r="EL65" s="35">
        <v>90.6</v>
      </c>
      <c r="EM65" s="35">
        <v>75</v>
      </c>
      <c r="EN65" s="35">
        <v>141.5</v>
      </c>
      <c r="EO65" s="35">
        <v>82.9</v>
      </c>
      <c r="EP65" s="35">
        <v>80.5</v>
      </c>
      <c r="EQ65" s="35">
        <v>77.5</v>
      </c>
      <c r="ER65" s="35">
        <v>74.8</v>
      </c>
      <c r="ES65" s="35">
        <v>73.900000000000006</v>
      </c>
      <c r="ET65" s="35">
        <v>90.3</v>
      </c>
      <c r="EU65" s="35">
        <v>86.5</v>
      </c>
      <c r="EV65" s="35">
        <v>86.3</v>
      </c>
      <c r="EW65" s="35">
        <v>80.400000000000006</v>
      </c>
      <c r="EX65" s="35">
        <v>87</v>
      </c>
      <c r="EY65" s="35">
        <v>81.400000000000006</v>
      </c>
      <c r="EZ65" s="35">
        <v>91.2</v>
      </c>
      <c r="FA65" s="35">
        <v>348.6</v>
      </c>
      <c r="FB65" s="35">
        <v>301.2</v>
      </c>
      <c r="FC65" s="35">
        <v>226</v>
      </c>
      <c r="FD65" s="35">
        <v>144.9</v>
      </c>
      <c r="FE65" s="35">
        <v>178.4</v>
      </c>
      <c r="FF65" s="35">
        <v>164.3</v>
      </c>
      <c r="FG65" s="35">
        <v>195.8</v>
      </c>
      <c r="FH65" s="35">
        <v>122.5</v>
      </c>
      <c r="FI65" s="35">
        <v>110</v>
      </c>
      <c r="FJ65" s="35">
        <v>110.2</v>
      </c>
      <c r="FK65" s="35">
        <v>142.19999999999999</v>
      </c>
      <c r="FL65" s="35">
        <v>122.8</v>
      </c>
      <c r="FM65" s="35">
        <v>149.69999999999999</v>
      </c>
      <c r="FN65" s="35">
        <v>110.8</v>
      </c>
      <c r="FO65" s="35">
        <v>93</v>
      </c>
      <c r="FP65" s="35">
        <v>90.7</v>
      </c>
      <c r="FQ65" s="35">
        <v>125.3</v>
      </c>
      <c r="FR65" s="35">
        <v>91.2</v>
      </c>
      <c r="FS65" s="35">
        <v>84.4</v>
      </c>
      <c r="FT65" s="35">
        <v>85.3</v>
      </c>
      <c r="FU65" s="35">
        <v>79.7</v>
      </c>
      <c r="FV65" s="35">
        <v>86.8</v>
      </c>
      <c r="FW65" s="35">
        <v>84.1</v>
      </c>
      <c r="FX65" s="35">
        <v>83</v>
      </c>
      <c r="FY65" s="35">
        <v>80.8</v>
      </c>
      <c r="FZ65" s="35">
        <v>83.2</v>
      </c>
      <c r="GA65" s="35">
        <v>77.099999999999994</v>
      </c>
      <c r="GB65" s="35">
        <v>83.9</v>
      </c>
      <c r="GC65" s="35">
        <v>76.400000000000006</v>
      </c>
      <c r="GD65" s="35">
        <v>80.900000000000006</v>
      </c>
      <c r="GE65" s="35">
        <v>77.2</v>
      </c>
      <c r="GF65" s="35">
        <v>79.599999999999994</v>
      </c>
      <c r="GG65" s="35">
        <v>84.5</v>
      </c>
      <c r="GH65" s="35">
        <v>84.3</v>
      </c>
      <c r="GI65" s="35">
        <v>85.5</v>
      </c>
      <c r="GJ65" s="35">
        <v>116.5</v>
      </c>
      <c r="GK65" s="35">
        <v>81</v>
      </c>
      <c r="GL65" s="35">
        <v>78.900000000000006</v>
      </c>
      <c r="GM65" s="35">
        <v>86.1</v>
      </c>
      <c r="GN65" s="35">
        <v>85.3</v>
      </c>
      <c r="GO65" s="35">
        <v>82.9</v>
      </c>
      <c r="GP65" s="35">
        <v>85.7</v>
      </c>
      <c r="GQ65" s="35">
        <v>78.7</v>
      </c>
      <c r="GR65" s="35">
        <v>82.7</v>
      </c>
      <c r="GS65" s="35">
        <v>133.6</v>
      </c>
      <c r="GT65" s="35">
        <v>95.1</v>
      </c>
      <c r="GU65" s="35">
        <v>92.9</v>
      </c>
      <c r="GV65" s="35">
        <v>93.1</v>
      </c>
      <c r="GW65" s="35">
        <v>88.8</v>
      </c>
      <c r="GX65" s="35">
        <v>318.60000000000002</v>
      </c>
      <c r="GY65" s="35">
        <v>87.2</v>
      </c>
      <c r="GZ65" s="35">
        <v>99.2</v>
      </c>
      <c r="HA65" s="35">
        <v>89.1</v>
      </c>
      <c r="HB65" s="35">
        <v>92.2</v>
      </c>
      <c r="HC65">
        <v>450.3</v>
      </c>
      <c r="HD65">
        <v>212.5</v>
      </c>
      <c r="HE65">
        <v>111.6</v>
      </c>
      <c r="HF65">
        <v>115.5</v>
      </c>
      <c r="HG65">
        <v>133.30000000000001</v>
      </c>
      <c r="HH65">
        <v>561.29999999999995</v>
      </c>
      <c r="HI65">
        <v>165.1</v>
      </c>
      <c r="HJ65">
        <v>158.5</v>
      </c>
    </row>
    <row r="66" spans="1:218" x14ac:dyDescent="0.25">
      <c r="A66" s="35" t="s">
        <v>2229</v>
      </c>
      <c r="B66" s="35">
        <v>0.58399999999999996</v>
      </c>
      <c r="C66" s="35">
        <v>0.98</v>
      </c>
      <c r="D66" s="35">
        <v>1.256</v>
      </c>
      <c r="E66" s="35">
        <v>1.5920000000000001</v>
      </c>
      <c r="F66" s="35">
        <v>1.62</v>
      </c>
      <c r="G66" s="35">
        <v>1.6</v>
      </c>
      <c r="H66" s="35">
        <v>1.7</v>
      </c>
      <c r="I66" s="35">
        <v>1.8720000000000001</v>
      </c>
      <c r="J66" s="35">
        <v>1.8320000000000001</v>
      </c>
      <c r="K66" s="35">
        <v>1.8240000000000001</v>
      </c>
      <c r="L66" s="35">
        <v>2.1080000000000001</v>
      </c>
      <c r="M66" s="35">
        <v>2.1560000000000001</v>
      </c>
      <c r="N66" s="35">
        <v>2.1560000000000001</v>
      </c>
      <c r="O66" s="35">
        <v>2.1440000000000001</v>
      </c>
      <c r="P66" s="35">
        <v>2.2480000000000002</v>
      </c>
      <c r="Q66" s="35">
        <v>2.2879999999999998</v>
      </c>
      <c r="R66" s="35">
        <v>3.0640000000000001</v>
      </c>
      <c r="S66" s="35">
        <v>3.16</v>
      </c>
      <c r="T66" s="35">
        <v>3.62</v>
      </c>
      <c r="U66" s="35">
        <v>3.8879999999999999</v>
      </c>
      <c r="V66" s="35">
        <v>4.3639999999999999</v>
      </c>
      <c r="W66" s="35">
        <v>4.5119999999999996</v>
      </c>
      <c r="X66" s="35">
        <v>4.8319999999999999</v>
      </c>
      <c r="Y66" s="35">
        <v>4.68</v>
      </c>
      <c r="Z66" s="35">
        <v>4.7679999999999998</v>
      </c>
      <c r="AA66" s="35">
        <v>4.6760000000000002</v>
      </c>
      <c r="AB66" s="35">
        <v>4.4160000000000004</v>
      </c>
      <c r="AC66" s="35">
        <v>4.532</v>
      </c>
      <c r="AD66" s="35">
        <v>4.4960000000000004</v>
      </c>
      <c r="AE66" s="35">
        <v>4.3159999999999998</v>
      </c>
      <c r="AF66" s="35">
        <v>4.38</v>
      </c>
      <c r="AG66" s="35">
        <v>4.3840000000000003</v>
      </c>
      <c r="AH66" s="35">
        <v>4.5839999999999996</v>
      </c>
      <c r="AI66" s="35">
        <v>4.4880000000000004</v>
      </c>
      <c r="AJ66" s="35">
        <v>4.6719999999999997</v>
      </c>
      <c r="AK66" s="35">
        <v>4.5960000000000001</v>
      </c>
      <c r="AL66" s="35">
        <v>5.4240000000000004</v>
      </c>
      <c r="AM66" s="35">
        <v>5.78</v>
      </c>
      <c r="AN66" s="35">
        <v>6.88</v>
      </c>
      <c r="AO66" s="35">
        <v>7.2439999999999998</v>
      </c>
      <c r="AP66" s="35">
        <v>7.7640000000000002</v>
      </c>
      <c r="AQ66" s="35">
        <v>8.14</v>
      </c>
      <c r="AR66" s="35">
        <v>8.44</v>
      </c>
      <c r="AS66" s="35">
        <v>8.5120000000000005</v>
      </c>
      <c r="AT66" s="35">
        <v>10.144</v>
      </c>
      <c r="AU66" s="35">
        <v>10.272</v>
      </c>
      <c r="AV66" s="35">
        <v>10.16</v>
      </c>
      <c r="AW66" s="35">
        <v>9.6839999999999993</v>
      </c>
      <c r="AX66" s="35">
        <v>9.2959999999999994</v>
      </c>
      <c r="AY66" s="35">
        <v>9.4320000000000004</v>
      </c>
      <c r="AZ66" s="35">
        <v>9.6760000000000002</v>
      </c>
      <c r="BA66" s="35">
        <v>11.18</v>
      </c>
      <c r="BB66" s="35">
        <v>11.288</v>
      </c>
      <c r="BC66" s="35">
        <v>11.124000000000001</v>
      </c>
      <c r="BD66" s="35">
        <v>10.964</v>
      </c>
      <c r="BE66" s="35">
        <v>10.888</v>
      </c>
      <c r="BF66" s="35">
        <v>10.8</v>
      </c>
      <c r="BG66" s="35">
        <v>10.624000000000001</v>
      </c>
      <c r="BH66" s="35">
        <v>10.432</v>
      </c>
      <c r="BI66" s="35">
        <v>10.82</v>
      </c>
      <c r="BJ66" s="35">
        <v>10.784000000000001</v>
      </c>
      <c r="BK66" s="35">
        <v>10.72</v>
      </c>
      <c r="BL66" s="35">
        <v>10.612</v>
      </c>
      <c r="BM66" s="35">
        <v>10.644</v>
      </c>
      <c r="BN66" s="35">
        <v>10.488</v>
      </c>
      <c r="BO66" s="35">
        <v>10.564</v>
      </c>
      <c r="BP66" s="35">
        <v>10.576000000000001</v>
      </c>
      <c r="BQ66" s="35">
        <v>10.584</v>
      </c>
      <c r="BR66" s="35">
        <v>10.54</v>
      </c>
      <c r="BS66" s="35">
        <v>10.488</v>
      </c>
      <c r="BT66" s="35">
        <v>10.311999999999999</v>
      </c>
      <c r="BU66" s="35">
        <v>11.087999999999999</v>
      </c>
      <c r="BV66" s="35">
        <v>11.176</v>
      </c>
      <c r="BW66" s="35">
        <v>11.132</v>
      </c>
      <c r="BX66" s="35">
        <v>11.052</v>
      </c>
      <c r="BY66" s="35">
        <v>11.492000000000001</v>
      </c>
      <c r="BZ66" s="35">
        <v>11.656000000000001</v>
      </c>
      <c r="CA66" s="35">
        <v>11.712</v>
      </c>
      <c r="CB66" s="35">
        <v>11.784000000000001</v>
      </c>
      <c r="CC66" s="35">
        <v>14.148</v>
      </c>
      <c r="CD66" s="35">
        <v>13.984</v>
      </c>
      <c r="CE66" s="35">
        <v>14.215999999999999</v>
      </c>
      <c r="CF66" s="35">
        <v>14.404</v>
      </c>
      <c r="CG66" s="35">
        <v>16.36</v>
      </c>
      <c r="CH66" s="35">
        <v>16.995999999999999</v>
      </c>
      <c r="CI66" s="35">
        <v>17.635999999999999</v>
      </c>
      <c r="CJ66" s="35">
        <v>18.091999999999999</v>
      </c>
      <c r="CK66" s="35">
        <v>20.332000000000001</v>
      </c>
      <c r="CL66" s="35">
        <v>20.596</v>
      </c>
      <c r="CM66" s="35">
        <v>20.931999999999999</v>
      </c>
      <c r="CN66" s="35">
        <v>21.792000000000002</v>
      </c>
      <c r="CO66" s="35">
        <v>21.86</v>
      </c>
      <c r="CP66" s="35">
        <v>21.82</v>
      </c>
      <c r="CQ66" s="35">
        <v>22.14</v>
      </c>
      <c r="CR66" s="35">
        <v>22.204000000000001</v>
      </c>
      <c r="CS66" s="35">
        <v>22.68</v>
      </c>
      <c r="CT66" s="35">
        <v>23.06</v>
      </c>
      <c r="CU66" s="35">
        <v>22.58</v>
      </c>
      <c r="CV66" s="35">
        <v>22.504000000000001</v>
      </c>
      <c r="CW66" s="35">
        <v>23.224</v>
      </c>
      <c r="CX66" s="35">
        <v>22.716000000000001</v>
      </c>
      <c r="CY66" s="35">
        <v>22.384</v>
      </c>
      <c r="CZ66" s="35">
        <v>22.052</v>
      </c>
      <c r="DA66" s="35">
        <v>22.635999999999999</v>
      </c>
      <c r="DB66" s="35">
        <v>22.564</v>
      </c>
      <c r="DC66" s="35">
        <v>22.236000000000001</v>
      </c>
      <c r="DD66" s="35">
        <v>21.852</v>
      </c>
      <c r="DE66" s="35">
        <v>21.16</v>
      </c>
      <c r="DF66" s="35">
        <v>20.04</v>
      </c>
      <c r="DG66" s="35">
        <v>19.076000000000001</v>
      </c>
      <c r="DH66" s="35">
        <v>18.143999999999998</v>
      </c>
      <c r="DI66" s="35">
        <v>17.667999999999999</v>
      </c>
      <c r="DJ66" s="35">
        <v>17.123999999999999</v>
      </c>
      <c r="DK66" s="35">
        <v>16.579999999999998</v>
      </c>
      <c r="DL66" s="35">
        <v>15.976000000000001</v>
      </c>
      <c r="DM66" s="35">
        <v>16.18</v>
      </c>
      <c r="DN66" s="35">
        <v>15.788</v>
      </c>
      <c r="DO66" s="35">
        <v>15.464</v>
      </c>
      <c r="DP66" s="35">
        <v>15.284000000000001</v>
      </c>
      <c r="DQ66" s="35">
        <v>15.356</v>
      </c>
      <c r="DR66" s="35">
        <v>13.616</v>
      </c>
      <c r="DS66" s="35">
        <v>14.896000000000001</v>
      </c>
      <c r="DT66" s="35">
        <v>14.84</v>
      </c>
      <c r="DU66" s="35">
        <v>14.907999999999999</v>
      </c>
      <c r="DV66" s="35">
        <v>15.1</v>
      </c>
      <c r="DW66" s="35">
        <v>15.536</v>
      </c>
      <c r="DX66" s="35">
        <v>15.996</v>
      </c>
      <c r="DY66" s="35">
        <v>17.236000000000001</v>
      </c>
      <c r="DZ66" s="35">
        <v>17.898</v>
      </c>
      <c r="EA66" s="35">
        <v>18.222000000000001</v>
      </c>
      <c r="EB66" s="35">
        <v>18.484999999999999</v>
      </c>
      <c r="EC66" s="35">
        <v>19.841999999999999</v>
      </c>
      <c r="ED66" s="35">
        <v>20.652000000000001</v>
      </c>
      <c r="EE66" s="35">
        <v>21.759</v>
      </c>
      <c r="EF66" s="35">
        <v>22.788</v>
      </c>
      <c r="EG66" s="35">
        <v>23.298999999999999</v>
      </c>
      <c r="EH66" s="35">
        <v>24.085999999999999</v>
      </c>
      <c r="EI66" s="35">
        <v>24.969000000000001</v>
      </c>
      <c r="EJ66" s="35">
        <v>25.888000000000002</v>
      </c>
      <c r="EK66" s="35">
        <v>28.838999999999999</v>
      </c>
      <c r="EL66" s="35">
        <v>27.844000000000001</v>
      </c>
      <c r="EM66" s="35">
        <v>28.236999999999998</v>
      </c>
      <c r="EN66" s="35">
        <v>29.613</v>
      </c>
      <c r="EO66" s="35">
        <v>32.274000000000001</v>
      </c>
      <c r="EP66" s="35">
        <v>29.234999999999999</v>
      </c>
      <c r="EQ66" s="35">
        <v>29.263999999999999</v>
      </c>
      <c r="ER66" s="35">
        <v>29.344000000000001</v>
      </c>
      <c r="ES66" s="35">
        <v>29.716999999999999</v>
      </c>
      <c r="ET66" s="35">
        <v>30</v>
      </c>
      <c r="EU66" s="35">
        <v>30.391999999999999</v>
      </c>
      <c r="EV66" s="35">
        <v>30.74</v>
      </c>
      <c r="EW66" s="35">
        <v>32.552999999999997</v>
      </c>
      <c r="EX66" s="35">
        <v>33.466000000000001</v>
      </c>
      <c r="EY66" s="35">
        <v>34.606999999999999</v>
      </c>
      <c r="EZ66" s="35">
        <v>37.1</v>
      </c>
      <c r="FA66" s="35">
        <v>42.963999999999999</v>
      </c>
      <c r="FB66" s="35">
        <v>44.63</v>
      </c>
      <c r="FC66" s="35">
        <v>55.540999999999997</v>
      </c>
      <c r="FD66" s="35">
        <v>58.195</v>
      </c>
      <c r="FE66" s="35">
        <v>60.683</v>
      </c>
      <c r="FF66" s="35">
        <v>63.749000000000002</v>
      </c>
      <c r="FG66" s="35">
        <v>65.742999999999995</v>
      </c>
      <c r="FH66" s="35">
        <v>67.739999999999995</v>
      </c>
      <c r="FI66" s="35">
        <v>68.828000000000003</v>
      </c>
      <c r="FJ66" s="35">
        <v>71.063000000000002</v>
      </c>
      <c r="FK66" s="35">
        <v>72.828999999999994</v>
      </c>
      <c r="FL66" s="35">
        <v>73.527000000000001</v>
      </c>
      <c r="FM66" s="35">
        <v>73.492000000000004</v>
      </c>
      <c r="FN66" s="35">
        <v>74.054000000000002</v>
      </c>
      <c r="FO66" s="35">
        <v>74.347999999999999</v>
      </c>
      <c r="FP66" s="35">
        <v>75.343000000000004</v>
      </c>
      <c r="FQ66" s="35">
        <v>75.66</v>
      </c>
      <c r="FR66" s="35">
        <v>75.959999999999994</v>
      </c>
      <c r="FS66" s="35">
        <v>76.039000000000001</v>
      </c>
      <c r="FT66" s="35">
        <v>75.213999999999999</v>
      </c>
      <c r="FU66" s="35">
        <v>71.414000000000001</v>
      </c>
      <c r="FV66" s="35">
        <v>69.317999999999998</v>
      </c>
      <c r="FW66" s="35">
        <v>69.353999999999999</v>
      </c>
      <c r="FX66" s="35">
        <v>68.644999999999996</v>
      </c>
      <c r="FY66" s="35">
        <v>70.316999999999993</v>
      </c>
      <c r="FZ66" s="35">
        <v>69.766999999999996</v>
      </c>
      <c r="GA66" s="35">
        <v>69.164000000000001</v>
      </c>
      <c r="GB66" s="35">
        <v>68.382000000000005</v>
      </c>
      <c r="GC66" s="35">
        <v>67.638000000000005</v>
      </c>
      <c r="GD66" s="35">
        <v>67.293999999999997</v>
      </c>
      <c r="GE66" s="35">
        <v>65.412999999999997</v>
      </c>
      <c r="GF66" s="35">
        <v>64.802999999999997</v>
      </c>
      <c r="GG66" s="35">
        <v>64.498999999999995</v>
      </c>
      <c r="GH66" s="35">
        <v>63.667000000000002</v>
      </c>
      <c r="GI66" s="35">
        <v>62.198</v>
      </c>
      <c r="GJ66" s="35">
        <v>63.704999999999998</v>
      </c>
      <c r="GK66" s="35">
        <v>67.448999999999998</v>
      </c>
      <c r="GL66" s="35">
        <v>59.752000000000002</v>
      </c>
      <c r="GM66" s="35">
        <v>58.478999999999999</v>
      </c>
      <c r="GN66" s="35">
        <v>57.514000000000003</v>
      </c>
      <c r="GO66" s="35">
        <v>57.017000000000003</v>
      </c>
      <c r="GP66" s="35">
        <v>55.847999999999999</v>
      </c>
      <c r="GQ66" s="35">
        <v>54.531999999999996</v>
      </c>
      <c r="GR66" s="35">
        <v>54.451999999999998</v>
      </c>
      <c r="GS66" s="35">
        <v>54.012999999999998</v>
      </c>
      <c r="GT66" s="35">
        <v>61.353000000000002</v>
      </c>
      <c r="GU66" s="35">
        <v>106.1</v>
      </c>
      <c r="GV66" s="35">
        <v>110.04900000000001</v>
      </c>
      <c r="GW66" s="35">
        <v>117.309</v>
      </c>
      <c r="GX66" s="35">
        <v>142.78899999999999</v>
      </c>
      <c r="GY66" s="35">
        <v>157.602</v>
      </c>
      <c r="GZ66" s="35">
        <v>149.11600000000001</v>
      </c>
      <c r="HA66" s="35">
        <v>146.631</v>
      </c>
      <c r="HB66" s="35">
        <v>134.809</v>
      </c>
      <c r="HC66">
        <v>123.735</v>
      </c>
      <c r="HD66">
        <v>116.06100000000001</v>
      </c>
      <c r="HE66">
        <v>136.14500000000001</v>
      </c>
      <c r="HF66">
        <v>130.17699999999999</v>
      </c>
      <c r="HG66">
        <v>103.13</v>
      </c>
      <c r="HH66">
        <v>103.06100000000001</v>
      </c>
      <c r="HI66">
        <v>92.111999999999995</v>
      </c>
      <c r="HJ66">
        <v>93.572000000000003</v>
      </c>
    </row>
    <row r="67" spans="1:218" x14ac:dyDescent="0.25">
      <c r="A67" s="35" t="s">
        <v>2230</v>
      </c>
      <c r="B67" s="35">
        <v>38.1</v>
      </c>
      <c r="C67" s="35">
        <v>38.633333333333297</v>
      </c>
      <c r="D67" s="35">
        <v>39.033333333333303</v>
      </c>
      <c r="E67" s="35">
        <v>39.6</v>
      </c>
      <c r="F67" s="35">
        <v>39.933333333333302</v>
      </c>
      <c r="G67" s="35">
        <v>40.299999999999997</v>
      </c>
      <c r="H67" s="35">
        <v>40.700000000000003</v>
      </c>
      <c r="I67" s="35">
        <v>41</v>
      </c>
      <c r="J67" s="35">
        <v>41.3333333333333</v>
      </c>
      <c r="K67" s="35">
        <v>41.6</v>
      </c>
      <c r="L67" s="35">
        <v>41.933333333333302</v>
      </c>
      <c r="M67" s="35">
        <v>42.366666666666703</v>
      </c>
      <c r="N67" s="35">
        <v>43.033333333333303</v>
      </c>
      <c r="O67" s="35">
        <v>43.933333333333302</v>
      </c>
      <c r="P67" s="35">
        <v>44.8</v>
      </c>
      <c r="Q67" s="35">
        <v>45.933333333333302</v>
      </c>
      <c r="R67" s="35">
        <v>47.3</v>
      </c>
      <c r="S67" s="35">
        <v>48.566666666666698</v>
      </c>
      <c r="T67" s="35">
        <v>49.933333333333302</v>
      </c>
      <c r="U67" s="35">
        <v>51.466666666666697</v>
      </c>
      <c r="V67" s="35">
        <v>52.566666666666698</v>
      </c>
      <c r="W67" s="35">
        <v>53.2</v>
      </c>
      <c r="X67" s="35">
        <v>54.266666666666701</v>
      </c>
      <c r="Y67" s="35">
        <v>55.266666666666701</v>
      </c>
      <c r="Z67" s="35">
        <v>55.9</v>
      </c>
      <c r="AA67" s="35">
        <v>56.4</v>
      </c>
      <c r="AB67" s="35">
        <v>57.3</v>
      </c>
      <c r="AC67" s="35">
        <v>58.133333333333297</v>
      </c>
      <c r="AD67" s="35">
        <v>59.2</v>
      </c>
      <c r="AE67" s="35">
        <v>60.233333333333299</v>
      </c>
      <c r="AF67" s="35">
        <v>61.066666666666698</v>
      </c>
      <c r="AG67" s="35">
        <v>61.966666666666697</v>
      </c>
      <c r="AH67" s="35">
        <v>63.033333333333303</v>
      </c>
      <c r="AI67" s="35">
        <v>64.466666666666697</v>
      </c>
      <c r="AJ67" s="35">
        <v>65.966666666666697</v>
      </c>
      <c r="AK67" s="35">
        <v>67.5</v>
      </c>
      <c r="AL67" s="35">
        <v>69.2</v>
      </c>
      <c r="AM67" s="35">
        <v>71.400000000000006</v>
      </c>
      <c r="AN67" s="35">
        <v>73.7</v>
      </c>
      <c r="AO67" s="35">
        <v>76.033333333333303</v>
      </c>
      <c r="AP67" s="35">
        <v>79.033333333333303</v>
      </c>
      <c r="AQ67" s="35">
        <v>81.7</v>
      </c>
      <c r="AR67" s="35">
        <v>83.233333333333306</v>
      </c>
      <c r="AS67" s="35">
        <v>85.566666666666706</v>
      </c>
      <c r="AT67" s="35">
        <v>87.933333333333294</v>
      </c>
      <c r="AU67" s="35">
        <v>89.766666666666694</v>
      </c>
      <c r="AV67" s="35">
        <v>92.266666666666694</v>
      </c>
      <c r="AW67" s="35">
        <v>93.766666666666694</v>
      </c>
      <c r="AX67" s="35">
        <v>94.6</v>
      </c>
      <c r="AY67" s="35">
        <v>95.966666666666697</v>
      </c>
      <c r="AZ67" s="35">
        <v>97.633333333333297</v>
      </c>
      <c r="BA67" s="35">
        <v>97.933333333333294</v>
      </c>
      <c r="BB67" s="35">
        <v>98</v>
      </c>
      <c r="BC67" s="35">
        <v>99.133333333333297</v>
      </c>
      <c r="BD67" s="35">
        <v>100.1</v>
      </c>
      <c r="BE67" s="35">
        <v>101.1</v>
      </c>
      <c r="BF67" s="35">
        <v>102.533333333333</v>
      </c>
      <c r="BG67" s="35">
        <v>103.5</v>
      </c>
      <c r="BH67" s="35">
        <v>104.4</v>
      </c>
      <c r="BI67" s="35">
        <v>105.3</v>
      </c>
      <c r="BJ67" s="35">
        <v>106.26666666666701</v>
      </c>
      <c r="BK67" s="35">
        <v>107.23333333333299</v>
      </c>
      <c r="BL67" s="35">
        <v>107.9</v>
      </c>
      <c r="BM67" s="35">
        <v>109</v>
      </c>
      <c r="BN67" s="35">
        <v>109.566666666667</v>
      </c>
      <c r="BO67" s="35">
        <v>109.033333333333</v>
      </c>
      <c r="BP67" s="35">
        <v>109.7</v>
      </c>
      <c r="BQ67" s="35">
        <v>110.466666666667</v>
      </c>
      <c r="BR67" s="35">
        <v>111.8</v>
      </c>
      <c r="BS67" s="35">
        <v>113.066666666667</v>
      </c>
      <c r="BT67" s="35">
        <v>114.26666666666701</v>
      </c>
      <c r="BU67" s="35">
        <v>115.333333333333</v>
      </c>
      <c r="BV67" s="35">
        <v>116.23333333333299</v>
      </c>
      <c r="BW67" s="35">
        <v>117.566666666667</v>
      </c>
      <c r="BX67" s="35">
        <v>119</v>
      </c>
      <c r="BY67" s="35">
        <v>120.3</v>
      </c>
      <c r="BZ67" s="35">
        <v>121.666666666667</v>
      </c>
      <c r="CA67" s="35">
        <v>123.633333333333</v>
      </c>
      <c r="CB67" s="35">
        <v>124.6</v>
      </c>
      <c r="CC67" s="35">
        <v>125.866666666667</v>
      </c>
      <c r="CD67" s="35">
        <v>128.03333333333299</v>
      </c>
      <c r="CE67" s="35">
        <v>129.30000000000001</v>
      </c>
      <c r="CF67" s="35">
        <v>131.53333333333299</v>
      </c>
      <c r="CG67" s="35">
        <v>133.76666666666699</v>
      </c>
      <c r="CH67" s="35">
        <v>134.76666666666699</v>
      </c>
      <c r="CI67" s="35">
        <v>135.566666666667</v>
      </c>
      <c r="CJ67" s="35">
        <v>136.6</v>
      </c>
      <c r="CK67" s="35">
        <v>137.73333333333301</v>
      </c>
      <c r="CL67" s="35">
        <v>138.666666666667</v>
      </c>
      <c r="CM67" s="35">
        <v>139.73333333333301</v>
      </c>
      <c r="CN67" s="35">
        <v>140.80000000000001</v>
      </c>
      <c r="CO67" s="35">
        <v>142.03333333333299</v>
      </c>
      <c r="CP67" s="35">
        <v>143.066666666667</v>
      </c>
      <c r="CQ67" s="35">
        <v>144.1</v>
      </c>
      <c r="CR67" s="35">
        <v>144.76666666666699</v>
      </c>
      <c r="CS67" s="35">
        <v>145.96666666666701</v>
      </c>
      <c r="CT67" s="35">
        <v>146.69999999999999</v>
      </c>
      <c r="CU67" s="35">
        <v>147.53333333333299</v>
      </c>
      <c r="CV67" s="35">
        <v>148.9</v>
      </c>
      <c r="CW67" s="35">
        <v>149.76666666666699</v>
      </c>
      <c r="CX67" s="35">
        <v>150.86666666666699</v>
      </c>
      <c r="CY67" s="35">
        <v>152.1</v>
      </c>
      <c r="CZ67" s="35">
        <v>152.86666666666699</v>
      </c>
      <c r="DA67" s="35">
        <v>153.69999999999999</v>
      </c>
      <c r="DB67" s="35">
        <v>155.066666666667</v>
      </c>
      <c r="DC67" s="35">
        <v>156.4</v>
      </c>
      <c r="DD67" s="35">
        <v>157.30000000000001</v>
      </c>
      <c r="DE67" s="35">
        <v>158.666666666667</v>
      </c>
      <c r="DF67" s="35">
        <v>159.63333333333301</v>
      </c>
      <c r="DG67" s="35">
        <v>160</v>
      </c>
      <c r="DH67" s="35">
        <v>160.80000000000001</v>
      </c>
      <c r="DI67" s="35">
        <v>161.666666666667</v>
      </c>
      <c r="DJ67" s="35">
        <v>162</v>
      </c>
      <c r="DK67" s="35">
        <v>162.53333333333299</v>
      </c>
      <c r="DL67" s="35">
        <v>163.36666666666699</v>
      </c>
      <c r="DM67" s="35">
        <v>164.13333333333301</v>
      </c>
      <c r="DN67" s="35">
        <v>164.73333333333301</v>
      </c>
      <c r="DO67" s="35">
        <v>165.96666666666701</v>
      </c>
      <c r="DP67" s="35">
        <v>167.2</v>
      </c>
      <c r="DQ67" s="35">
        <v>168.433333333333</v>
      </c>
      <c r="DR67" s="35">
        <v>170.1</v>
      </c>
      <c r="DS67" s="35">
        <v>171.433333333333</v>
      </c>
      <c r="DT67" s="35">
        <v>173</v>
      </c>
      <c r="DU67" s="35">
        <v>174.23333333333301</v>
      </c>
      <c r="DV67" s="35">
        <v>175.9</v>
      </c>
      <c r="DW67" s="35">
        <v>177.13333333333301</v>
      </c>
      <c r="DX67" s="35">
        <v>177.63333333333301</v>
      </c>
      <c r="DY67" s="35">
        <v>177.5</v>
      </c>
      <c r="DZ67" s="35">
        <v>178.066666666667</v>
      </c>
      <c r="EA67" s="35">
        <v>179.46666666666701</v>
      </c>
      <c r="EB67" s="35">
        <v>180.433333333333</v>
      </c>
      <c r="EC67" s="35">
        <v>181.5</v>
      </c>
      <c r="ED67" s="35">
        <v>183.36666666666699</v>
      </c>
      <c r="EE67" s="35">
        <v>183.066666666667</v>
      </c>
      <c r="EF67" s="35">
        <v>184.433333333333</v>
      </c>
      <c r="EG67" s="35">
        <v>185.13333333333301</v>
      </c>
      <c r="EH67" s="35">
        <v>186.7</v>
      </c>
      <c r="EI67" s="35">
        <v>188.166666666667</v>
      </c>
      <c r="EJ67" s="35">
        <v>189.36666666666699</v>
      </c>
      <c r="EK67" s="35">
        <v>191.4</v>
      </c>
      <c r="EL67" s="35">
        <v>192.36666666666699</v>
      </c>
      <c r="EM67" s="35">
        <v>193.666666666667</v>
      </c>
      <c r="EN67" s="35">
        <v>196.6</v>
      </c>
      <c r="EO67" s="35">
        <v>198.433333333333</v>
      </c>
      <c r="EP67" s="35">
        <v>199.46666666666701</v>
      </c>
      <c r="EQ67" s="35">
        <v>201.26666666666699</v>
      </c>
      <c r="ER67" s="35">
        <v>203.166666666667</v>
      </c>
      <c r="ES67" s="35">
        <v>202.333333333333</v>
      </c>
      <c r="ET67" s="35">
        <v>204.31700000000001</v>
      </c>
      <c r="EU67" s="35">
        <v>206.631</v>
      </c>
      <c r="EV67" s="35">
        <v>207.93899999999999</v>
      </c>
      <c r="EW67" s="35">
        <v>210.48966666666701</v>
      </c>
      <c r="EX67" s="35">
        <v>212.76966666666701</v>
      </c>
      <c r="EY67" s="35">
        <v>215.53766666666701</v>
      </c>
      <c r="EZ67" s="35">
        <v>218.86099999999999</v>
      </c>
      <c r="FA67" s="35">
        <v>213.84866666666699</v>
      </c>
      <c r="FB67" s="35">
        <v>212.37766666666701</v>
      </c>
      <c r="FC67" s="35">
        <v>213.50700000000001</v>
      </c>
      <c r="FD67" s="35">
        <v>215.34399999999999</v>
      </c>
      <c r="FE67" s="35">
        <v>217.03</v>
      </c>
      <c r="FF67" s="35">
        <v>217.374</v>
      </c>
      <c r="FG67" s="35">
        <v>217.297333333333</v>
      </c>
      <c r="FH67" s="35">
        <v>217.934333333333</v>
      </c>
      <c r="FI67" s="35">
        <v>219.69900000000001</v>
      </c>
      <c r="FJ67" s="35">
        <v>222.04366666666701</v>
      </c>
      <c r="FK67" s="35">
        <v>224.56833333333299</v>
      </c>
      <c r="FL67" s="35">
        <v>226.03266666666701</v>
      </c>
      <c r="FM67" s="35">
        <v>227.047333333333</v>
      </c>
      <c r="FN67" s="35">
        <v>228.32599999999999</v>
      </c>
      <c r="FO67" s="35">
        <v>228.80799999999999</v>
      </c>
      <c r="FP67" s="35">
        <v>229.84100000000001</v>
      </c>
      <c r="FQ67" s="35">
        <v>231.369333333333</v>
      </c>
      <c r="FR67" s="35">
        <v>232.29933333333301</v>
      </c>
      <c r="FS67" s="35">
        <v>232.04499999999999</v>
      </c>
      <c r="FT67" s="35">
        <v>233.3</v>
      </c>
      <c r="FU67" s="35">
        <v>234.16266666666701</v>
      </c>
      <c r="FV67" s="35">
        <v>235.62100000000001</v>
      </c>
      <c r="FW67" s="35">
        <v>236.87233333333299</v>
      </c>
      <c r="FX67" s="35">
        <v>237.47833333333301</v>
      </c>
      <c r="FY67" s="35">
        <v>236.88833333333301</v>
      </c>
      <c r="FZ67" s="35">
        <v>235.35499999999999</v>
      </c>
      <c r="GA67" s="35">
        <v>236.96</v>
      </c>
      <c r="GB67" s="35">
        <v>237.85499999999999</v>
      </c>
      <c r="GC67" s="35">
        <v>237.83699999999999</v>
      </c>
      <c r="GD67" s="35">
        <v>237.689333333333</v>
      </c>
      <c r="GE67" s="35">
        <v>239.59033333333301</v>
      </c>
      <c r="GF67" s="35">
        <v>240.607333333333</v>
      </c>
      <c r="GG67" s="35">
        <v>242.13466666666699</v>
      </c>
      <c r="GH67" s="35">
        <v>243.838666666667</v>
      </c>
      <c r="GI67" s="35">
        <v>244.12</v>
      </c>
      <c r="GJ67" s="35">
        <v>245.28700000000001</v>
      </c>
      <c r="GK67" s="35">
        <v>247.238333333333</v>
      </c>
      <c r="GL67" s="35">
        <v>249.321666666667</v>
      </c>
      <c r="GM67" s="35">
        <v>250.679</v>
      </c>
      <c r="GN67" s="35">
        <v>251.68633333333301</v>
      </c>
      <c r="GO67" s="35">
        <v>252.71100000000001</v>
      </c>
      <c r="GP67" s="35">
        <v>253.38566666666699</v>
      </c>
      <c r="GQ67" s="35">
        <v>255.24733333333299</v>
      </c>
      <c r="GR67" s="35">
        <v>256.089333333333</v>
      </c>
      <c r="GS67" s="35">
        <v>257.88799999999998</v>
      </c>
      <c r="GT67" s="35">
        <v>258.767333333333</v>
      </c>
      <c r="GU67" s="35">
        <v>256.32600000000002</v>
      </c>
      <c r="GV67" s="35">
        <v>259.24166666666702</v>
      </c>
      <c r="GW67" s="35">
        <v>261.04966666666701</v>
      </c>
      <c r="GX67" s="35">
        <v>263.67033333333302</v>
      </c>
      <c r="GY67" s="35">
        <v>268.62266666666699</v>
      </c>
      <c r="GZ67" s="35">
        <v>272.89</v>
      </c>
      <c r="HA67" s="35">
        <v>278.68033333333301</v>
      </c>
      <c r="HB67" s="35">
        <v>284.82600000000002</v>
      </c>
      <c r="HC67">
        <v>291.70633333333302</v>
      </c>
      <c r="HD67">
        <v>295.50900000000001</v>
      </c>
      <c r="HE67">
        <v>298.44099999999997</v>
      </c>
      <c r="HF67">
        <v>301.20299999999997</v>
      </c>
      <c r="HG67">
        <v>303.46666666666698</v>
      </c>
      <c r="HH67">
        <v>306.034333333333</v>
      </c>
      <c r="HI67">
        <v>308.09899999999999</v>
      </c>
      <c r="HJ67">
        <v>310.98966666666701</v>
      </c>
    </row>
    <row r="68" spans="1:218" x14ac:dyDescent="0.25">
      <c r="A68" s="35" t="s">
        <v>2231</v>
      </c>
      <c r="B68" s="35">
        <v>38.299999999999997</v>
      </c>
      <c r="C68" s="35">
        <v>38.8333333333333</v>
      </c>
      <c r="D68" s="35">
        <v>39.233333333333299</v>
      </c>
      <c r="E68" s="35">
        <v>39.799999999999997</v>
      </c>
      <c r="F68" s="35">
        <v>40.1666666666667</v>
      </c>
      <c r="G68" s="35">
        <v>40.533333333333303</v>
      </c>
      <c r="H68" s="35">
        <v>40.966666666666697</v>
      </c>
      <c r="I68" s="35">
        <v>41.233333333333299</v>
      </c>
      <c r="J68" s="35">
        <v>41.6</v>
      </c>
      <c r="K68" s="35">
        <v>41.8</v>
      </c>
      <c r="L68" s="35">
        <v>42.2</v>
      </c>
      <c r="M68" s="35">
        <v>42.633333333333297</v>
      </c>
      <c r="N68" s="35">
        <v>43.266666666666701</v>
      </c>
      <c r="O68" s="35">
        <v>44.1666666666667</v>
      </c>
      <c r="P68" s="35">
        <v>45.066666666666698</v>
      </c>
      <c r="Q68" s="35">
        <v>46.1666666666667</v>
      </c>
      <c r="R68" s="35">
        <v>47.566666666666698</v>
      </c>
      <c r="S68" s="35">
        <v>48.766666666666701</v>
      </c>
      <c r="T68" s="35">
        <v>50.233333333333299</v>
      </c>
      <c r="U68" s="35">
        <v>51.766666666666701</v>
      </c>
      <c r="V68" s="35">
        <v>52.866666666666703</v>
      </c>
      <c r="W68" s="35">
        <v>53.5</v>
      </c>
      <c r="X68" s="35">
        <v>54.566666666666698</v>
      </c>
      <c r="Y68" s="35">
        <v>55.566666666666698</v>
      </c>
      <c r="Z68" s="35">
        <v>56.233333333333299</v>
      </c>
      <c r="AA68" s="35">
        <v>56.733333333333299</v>
      </c>
      <c r="AB68" s="35">
        <v>57.6</v>
      </c>
      <c r="AC68" s="35">
        <v>58.433333333333302</v>
      </c>
      <c r="AD68" s="35">
        <v>59.533333333333303</v>
      </c>
      <c r="AE68" s="35">
        <v>60.6</v>
      </c>
      <c r="AF68" s="35">
        <v>61.433333333333302</v>
      </c>
      <c r="AG68" s="35">
        <v>62.266666666666701</v>
      </c>
      <c r="AH68" s="35">
        <v>63.366666666666703</v>
      </c>
      <c r="AI68" s="35">
        <v>64.766666666666694</v>
      </c>
      <c r="AJ68" s="35">
        <v>66.233333333333306</v>
      </c>
      <c r="AK68" s="35">
        <v>67.8333333333333</v>
      </c>
      <c r="AL68" s="35">
        <v>69.566666666666706</v>
      </c>
      <c r="AM68" s="35">
        <v>71.900000000000006</v>
      </c>
      <c r="AN68" s="35">
        <v>74.233333333333306</v>
      </c>
      <c r="AO68" s="35">
        <v>76.5</v>
      </c>
      <c r="AP68" s="35">
        <v>79.5</v>
      </c>
      <c r="AQ68" s="35">
        <v>82.2</v>
      </c>
      <c r="AR68" s="35">
        <v>83.733333333333306</v>
      </c>
      <c r="AS68" s="35">
        <v>86.1666666666667</v>
      </c>
      <c r="AT68" s="35">
        <v>88.466666666666697</v>
      </c>
      <c r="AU68" s="35">
        <v>90.233333333333306</v>
      </c>
      <c r="AV68" s="35">
        <v>92.733333333333306</v>
      </c>
      <c r="AW68" s="35">
        <v>94.1666666666667</v>
      </c>
      <c r="AX68" s="35">
        <v>94.966666666666697</v>
      </c>
      <c r="AY68" s="35">
        <v>96.233333333333306</v>
      </c>
      <c r="AZ68" s="35">
        <v>98</v>
      </c>
      <c r="BA68" s="35">
        <v>98.3333333333333</v>
      </c>
      <c r="BB68" s="35">
        <v>98.3</v>
      </c>
      <c r="BC68" s="35">
        <v>99.433333333333294</v>
      </c>
      <c r="BD68" s="35">
        <v>100.4</v>
      </c>
      <c r="BE68" s="35">
        <v>101.166666666667</v>
      </c>
      <c r="BF68" s="35">
        <v>101.933333333333</v>
      </c>
      <c r="BG68" s="35">
        <v>102.466666666667</v>
      </c>
      <c r="BH68" s="35">
        <v>103.933333333333</v>
      </c>
      <c r="BI68" s="35">
        <v>104.8</v>
      </c>
      <c r="BJ68" s="35">
        <v>105.666666666667</v>
      </c>
      <c r="BK68" s="35">
        <v>106.633333333333</v>
      </c>
      <c r="BL68" s="35">
        <v>107.133333333333</v>
      </c>
      <c r="BM68" s="35">
        <v>108.2</v>
      </c>
      <c r="BN68" s="35">
        <v>108.666666666667</v>
      </c>
      <c r="BO68" s="35">
        <v>107.933333333333</v>
      </c>
      <c r="BP68" s="35">
        <v>108.5</v>
      </c>
      <c r="BQ68" s="35">
        <v>109.2</v>
      </c>
      <c r="BR68" s="35">
        <v>110.666666666667</v>
      </c>
      <c r="BS68" s="35">
        <v>111.966666666667</v>
      </c>
      <c r="BT68" s="35">
        <v>113.166666666667</v>
      </c>
      <c r="BU68" s="35">
        <v>114.166666666667</v>
      </c>
      <c r="BV68" s="35">
        <v>114.933333333333</v>
      </c>
      <c r="BW68" s="35">
        <v>116.2</v>
      </c>
      <c r="BX68" s="35">
        <v>117.73333333333299</v>
      </c>
      <c r="BY68" s="35">
        <v>118.933333333333</v>
      </c>
      <c r="BZ68" s="35">
        <v>120.366666666667</v>
      </c>
      <c r="CA68" s="35">
        <v>122.4</v>
      </c>
      <c r="CB68" s="35">
        <v>123.26666666666701</v>
      </c>
      <c r="CC68" s="35">
        <v>124.4</v>
      </c>
      <c r="CD68" s="35">
        <v>126.566666666667</v>
      </c>
      <c r="CE68" s="35">
        <v>127.666666666667</v>
      </c>
      <c r="CF68" s="35">
        <v>129.86666666666699</v>
      </c>
      <c r="CG68" s="35">
        <v>132.1</v>
      </c>
      <c r="CH68" s="35">
        <v>132.933333333333</v>
      </c>
      <c r="CI68" s="35">
        <v>133.73333333333301</v>
      </c>
      <c r="CJ68" s="35">
        <v>134.63333333333301</v>
      </c>
      <c r="CK68" s="35">
        <v>135.73333333333301</v>
      </c>
      <c r="CL68" s="35">
        <v>136.53333333333299</v>
      </c>
      <c r="CM68" s="35">
        <v>137.566666666667</v>
      </c>
      <c r="CN68" s="35">
        <v>138.69999999999999</v>
      </c>
      <c r="CO68" s="35">
        <v>139.80000000000001</v>
      </c>
      <c r="CP68" s="35">
        <v>140.76666666666699</v>
      </c>
      <c r="CQ68" s="35">
        <v>141.73333333333301</v>
      </c>
      <c r="CR68" s="35">
        <v>142.333333333333</v>
      </c>
      <c r="CS68" s="35">
        <v>143.433333333333</v>
      </c>
      <c r="CT68" s="35">
        <v>144.03333333333299</v>
      </c>
      <c r="CU68" s="35">
        <v>144.86666666666699</v>
      </c>
      <c r="CV68" s="35">
        <v>146.4</v>
      </c>
      <c r="CW68" s="35">
        <v>147.26666666666699</v>
      </c>
      <c r="CX68" s="35">
        <v>148.333333333333</v>
      </c>
      <c r="CY68" s="35">
        <v>149.5</v>
      </c>
      <c r="CZ68" s="35">
        <v>150.166666666667</v>
      </c>
      <c r="DA68" s="35">
        <v>151</v>
      </c>
      <c r="DB68" s="35">
        <v>152.4</v>
      </c>
      <c r="DC68" s="35">
        <v>153.73333333333301</v>
      </c>
      <c r="DD68" s="35">
        <v>154.566666666667</v>
      </c>
      <c r="DE68" s="35">
        <v>155.86666666666699</v>
      </c>
      <c r="DF68" s="35">
        <v>156.80000000000001</v>
      </c>
      <c r="DG68" s="35">
        <v>157.1</v>
      </c>
      <c r="DH68" s="35">
        <v>157.80000000000001</v>
      </c>
      <c r="DI68" s="35">
        <v>158.53333333333299</v>
      </c>
      <c r="DJ68" s="35">
        <v>158.73333333333301</v>
      </c>
      <c r="DK68" s="35">
        <v>159.19999999999999</v>
      </c>
      <c r="DL68" s="35">
        <v>159.96666666666701</v>
      </c>
      <c r="DM68" s="35">
        <v>160.76666666666699</v>
      </c>
      <c r="DN68" s="35">
        <v>161.36666666666699</v>
      </c>
      <c r="DO68" s="35">
        <v>162.53333333333299</v>
      </c>
      <c r="DP68" s="35">
        <v>163.9</v>
      </c>
      <c r="DQ68" s="35">
        <v>165.2</v>
      </c>
      <c r="DR68" s="35">
        <v>166.833333333333</v>
      </c>
      <c r="DS68" s="35">
        <v>168.166666666667</v>
      </c>
      <c r="DT68" s="35">
        <v>169.7</v>
      </c>
      <c r="DU68" s="35">
        <v>170.833333333333</v>
      </c>
      <c r="DV68" s="35">
        <v>172.433333333333</v>
      </c>
      <c r="DW68" s="35">
        <v>173.73333333333301</v>
      </c>
      <c r="DX68" s="35">
        <v>174.1</v>
      </c>
      <c r="DY68" s="35">
        <v>173.666666666667</v>
      </c>
      <c r="DZ68" s="35">
        <v>174.03333333333299</v>
      </c>
      <c r="EA68" s="35">
        <v>175.53333333333299</v>
      </c>
      <c r="EB68" s="35">
        <v>176.5</v>
      </c>
      <c r="EC68" s="35">
        <v>177.46666666666701</v>
      </c>
      <c r="ED68" s="35">
        <v>179.46666666666701</v>
      </c>
      <c r="EE68" s="35">
        <v>178.933333333333</v>
      </c>
      <c r="EF68" s="35">
        <v>180.2</v>
      </c>
      <c r="EG68" s="35">
        <v>180.73333333333301</v>
      </c>
      <c r="EH68" s="35">
        <v>182.333333333333</v>
      </c>
      <c r="EI68" s="35">
        <v>183.666666666667</v>
      </c>
      <c r="EJ68" s="35">
        <v>184.86666666666699</v>
      </c>
      <c r="EK68" s="35">
        <v>187.066666666667</v>
      </c>
      <c r="EL68" s="35">
        <v>187.933333333333</v>
      </c>
      <c r="EM68" s="35">
        <v>189.23333333333301</v>
      </c>
      <c r="EN68" s="35">
        <v>192.566666666667</v>
      </c>
      <c r="EO68" s="35">
        <v>194.2</v>
      </c>
      <c r="EP68" s="35">
        <v>195.13333333333301</v>
      </c>
      <c r="EQ68" s="35">
        <v>196.933333333333</v>
      </c>
      <c r="ER68" s="35">
        <v>198.8</v>
      </c>
      <c r="ES68" s="35">
        <v>197.566666666667</v>
      </c>
      <c r="ET68" s="35">
        <v>199.553</v>
      </c>
      <c r="EU68" s="35">
        <v>202.077</v>
      </c>
      <c r="EV68" s="35">
        <v>203.37</v>
      </c>
      <c r="EW68" s="35">
        <v>206.08566666666701</v>
      </c>
      <c r="EX68" s="35">
        <v>208.51599999999999</v>
      </c>
      <c r="EY68" s="35">
        <v>211.50266666666701</v>
      </c>
      <c r="EZ68" s="35">
        <v>215.13</v>
      </c>
      <c r="FA68" s="35">
        <v>208.838666666667</v>
      </c>
      <c r="FB68" s="35">
        <v>206.94333333333299</v>
      </c>
      <c r="FC68" s="35">
        <v>208.39033333333299</v>
      </c>
      <c r="FD68" s="35">
        <v>210.69499999999999</v>
      </c>
      <c r="FE68" s="35">
        <v>212.63266666666701</v>
      </c>
      <c r="FF68" s="35">
        <v>213.23699999999999</v>
      </c>
      <c r="FG68" s="35">
        <v>213.15066666666701</v>
      </c>
      <c r="FH68" s="35">
        <v>213.82</v>
      </c>
      <c r="FI68" s="35">
        <v>215.76400000000001</v>
      </c>
      <c r="FJ68" s="35">
        <v>218.41566666666699</v>
      </c>
      <c r="FK68" s="35">
        <v>221.28766666666701</v>
      </c>
      <c r="FL68" s="35">
        <v>222.738</v>
      </c>
      <c r="FM68" s="35">
        <v>223.774666666667</v>
      </c>
      <c r="FN68" s="35">
        <v>225.08733333333299</v>
      </c>
      <c r="FO68" s="35">
        <v>225.45933333333301</v>
      </c>
      <c r="FP68" s="35">
        <v>226.357</v>
      </c>
      <c r="FQ68" s="35">
        <v>227.97166666666701</v>
      </c>
      <c r="FR68" s="35">
        <v>228.83666666666701</v>
      </c>
      <c r="FS68" s="35">
        <v>228.40966666666699</v>
      </c>
      <c r="FT68" s="35">
        <v>229.589</v>
      </c>
      <c r="FU68" s="35">
        <v>230.43366666666699</v>
      </c>
      <c r="FV68" s="35">
        <v>231.95</v>
      </c>
      <c r="FW68" s="35">
        <v>233.101333333333</v>
      </c>
      <c r="FX68" s="35">
        <v>233.494333333333</v>
      </c>
      <c r="FY68" s="35">
        <v>232.43100000000001</v>
      </c>
      <c r="FZ68" s="35">
        <v>230.23666666666699</v>
      </c>
      <c r="GA68" s="35">
        <v>231.957666666667</v>
      </c>
      <c r="GB68" s="35">
        <v>232.69333333333299</v>
      </c>
      <c r="GC68" s="35">
        <v>232.280333333333</v>
      </c>
      <c r="GD68" s="35">
        <v>231.78100000000001</v>
      </c>
      <c r="GE68" s="35">
        <v>233.774</v>
      </c>
      <c r="GF68" s="35">
        <v>234.59666666666701</v>
      </c>
      <c r="GG68" s="35">
        <v>236.14066666666699</v>
      </c>
      <c r="GH68" s="35">
        <v>237.85900000000001</v>
      </c>
      <c r="GI68" s="35">
        <v>237.92533333333299</v>
      </c>
      <c r="GJ68" s="35">
        <v>239.136666666667</v>
      </c>
      <c r="GK68" s="35">
        <v>241.27633333333301</v>
      </c>
      <c r="GL68" s="35">
        <v>243.41566666666699</v>
      </c>
      <c r="GM68" s="35">
        <v>244.71766666666699</v>
      </c>
      <c r="GN68" s="35">
        <v>245.76533333333299</v>
      </c>
      <c r="GO68" s="35">
        <v>246.649666666667</v>
      </c>
      <c r="GP68" s="35">
        <v>246.95666666666699</v>
      </c>
      <c r="GQ68" s="35">
        <v>248.90166666666701</v>
      </c>
      <c r="GR68" s="35">
        <v>249.57300000000001</v>
      </c>
      <c r="GS68" s="35">
        <v>251.42666666666699</v>
      </c>
      <c r="GT68" s="35">
        <v>252.16200000000001</v>
      </c>
      <c r="GU68" s="35">
        <v>249.46633333333301</v>
      </c>
      <c r="GV68" s="35">
        <v>252.79599999999999</v>
      </c>
      <c r="GW68" s="35">
        <v>254.727</v>
      </c>
      <c r="GX68" s="35">
        <v>257.64833333333303</v>
      </c>
      <c r="GY68" s="35">
        <v>263.00766666666698</v>
      </c>
      <c r="GZ68" s="35">
        <v>267.54566666666699</v>
      </c>
      <c r="HA68" s="35">
        <v>273.81566666666703</v>
      </c>
      <c r="HB68" s="35">
        <v>280.38133333333298</v>
      </c>
      <c r="HC68">
        <v>287.39100000000002</v>
      </c>
      <c r="HD68">
        <v>290.78399999999999</v>
      </c>
      <c r="HE68">
        <v>293.19366666666701</v>
      </c>
      <c r="HF68">
        <v>295.60266666666701</v>
      </c>
      <c r="HG68">
        <v>297.69900000000001</v>
      </c>
      <c r="HH68">
        <v>300.327333333333</v>
      </c>
      <c r="HI68">
        <v>302.32366666666701</v>
      </c>
      <c r="HJ68">
        <v>305.07433333333302</v>
      </c>
    </row>
    <row r="69" spans="1:218" x14ac:dyDescent="0.25">
      <c r="A69" s="35" t="s">
        <v>2232</v>
      </c>
      <c r="B69" s="35">
        <v>5304.1</v>
      </c>
      <c r="C69" s="35">
        <v>5347.2</v>
      </c>
      <c r="D69" s="35">
        <v>5389.2</v>
      </c>
      <c r="E69" s="35">
        <v>5431.2</v>
      </c>
      <c r="F69" s="35">
        <v>5474.8</v>
      </c>
      <c r="G69" s="35">
        <v>5521.3</v>
      </c>
      <c r="H69" s="35">
        <v>5569.2</v>
      </c>
      <c r="I69" s="35">
        <v>5617.3</v>
      </c>
      <c r="J69" s="35">
        <v>5664.2</v>
      </c>
      <c r="K69" s="35">
        <v>5709</v>
      </c>
      <c r="L69" s="35">
        <v>5752.5</v>
      </c>
      <c r="M69" s="35">
        <v>5795.9</v>
      </c>
      <c r="N69" s="35">
        <v>5840.8</v>
      </c>
      <c r="O69" s="35">
        <v>5889.1</v>
      </c>
      <c r="P69" s="35">
        <v>5939.1</v>
      </c>
      <c r="Q69" s="35">
        <v>5990.7</v>
      </c>
      <c r="R69" s="35">
        <v>6043.1</v>
      </c>
      <c r="S69" s="35">
        <v>6095.6</v>
      </c>
      <c r="T69" s="35">
        <v>6147.4</v>
      </c>
      <c r="U69" s="35">
        <v>6198.5</v>
      </c>
      <c r="V69" s="35">
        <v>6248.6</v>
      </c>
      <c r="W69" s="35">
        <v>6298.1</v>
      </c>
      <c r="X69" s="35">
        <v>6347.3</v>
      </c>
      <c r="Y69" s="35">
        <v>6396.6</v>
      </c>
      <c r="Z69" s="35">
        <v>6445.2</v>
      </c>
      <c r="AA69" s="35">
        <v>6494.1</v>
      </c>
      <c r="AB69" s="35">
        <v>6544</v>
      </c>
      <c r="AC69" s="35">
        <v>6594.6</v>
      </c>
      <c r="AD69" s="35">
        <v>6647.1</v>
      </c>
      <c r="AE69" s="35">
        <v>6701.3</v>
      </c>
      <c r="AF69" s="35">
        <v>6756.7</v>
      </c>
      <c r="AG69" s="35">
        <v>6813.7</v>
      </c>
      <c r="AH69" s="35">
        <v>6872.2</v>
      </c>
      <c r="AI69" s="35">
        <v>6931.5</v>
      </c>
      <c r="AJ69" s="35">
        <v>6992.3</v>
      </c>
      <c r="AK69" s="35">
        <v>7054.4</v>
      </c>
      <c r="AL69" s="35">
        <v>7118.6</v>
      </c>
      <c r="AM69" s="35">
        <v>7181.2</v>
      </c>
      <c r="AN69" s="35">
        <v>7240.8</v>
      </c>
      <c r="AO69" s="35">
        <v>7296.3</v>
      </c>
      <c r="AP69" s="35">
        <v>7346.7</v>
      </c>
      <c r="AQ69" s="35">
        <v>7391</v>
      </c>
      <c r="AR69" s="35">
        <v>7429.3</v>
      </c>
      <c r="AS69" s="35">
        <v>7469.4</v>
      </c>
      <c r="AT69" s="35">
        <v>7511.5</v>
      </c>
      <c r="AU69" s="35">
        <v>7560</v>
      </c>
      <c r="AV69" s="35">
        <v>7611.3</v>
      </c>
      <c r="AW69" s="35">
        <v>7665.5</v>
      </c>
      <c r="AX69" s="35">
        <v>7721.9</v>
      </c>
      <c r="AY69" s="35">
        <v>7779.8</v>
      </c>
      <c r="AZ69" s="35">
        <v>7838.9</v>
      </c>
      <c r="BA69" s="35">
        <v>7899.4</v>
      </c>
      <c r="BB69" s="35">
        <v>7959.8</v>
      </c>
      <c r="BC69" s="35">
        <v>8021.8</v>
      </c>
      <c r="BD69" s="35">
        <v>8085.8</v>
      </c>
      <c r="BE69" s="35">
        <v>8152.5</v>
      </c>
      <c r="BF69" s="35">
        <v>8222</v>
      </c>
      <c r="BG69" s="35">
        <v>8294.2999999999993</v>
      </c>
      <c r="BH69" s="35">
        <v>8368.5</v>
      </c>
      <c r="BI69" s="35">
        <v>8444.2000000000007</v>
      </c>
      <c r="BJ69" s="35">
        <v>8520.5</v>
      </c>
      <c r="BK69" s="35">
        <v>8597.2999999999993</v>
      </c>
      <c r="BL69" s="35">
        <v>8674.1</v>
      </c>
      <c r="BM69" s="35">
        <v>8750.5</v>
      </c>
      <c r="BN69" s="35">
        <v>8826.2999999999993</v>
      </c>
      <c r="BO69" s="35">
        <v>8901.5</v>
      </c>
      <c r="BP69" s="35">
        <v>8976.6</v>
      </c>
      <c r="BQ69" s="35">
        <v>9051.4</v>
      </c>
      <c r="BR69" s="35">
        <v>9125.7000000000007</v>
      </c>
      <c r="BS69" s="35">
        <v>9199.5</v>
      </c>
      <c r="BT69" s="35">
        <v>9272.9</v>
      </c>
      <c r="BU69" s="35">
        <v>9346.7000000000007</v>
      </c>
      <c r="BV69" s="35">
        <v>9420.2000000000007</v>
      </c>
      <c r="BW69" s="35">
        <v>9494.1</v>
      </c>
      <c r="BX69" s="35">
        <v>9568.2000000000007</v>
      </c>
      <c r="BY69" s="35">
        <v>9642.7999999999993</v>
      </c>
      <c r="BZ69" s="35">
        <v>9717.2999999999993</v>
      </c>
      <c r="CA69" s="35">
        <v>9791.7999999999993</v>
      </c>
      <c r="CB69" s="35">
        <v>9865.9</v>
      </c>
      <c r="CC69" s="35">
        <v>9939.6</v>
      </c>
      <c r="CD69" s="35">
        <v>10012</v>
      </c>
      <c r="CE69" s="35">
        <v>10082.799999999999</v>
      </c>
      <c r="CF69" s="35">
        <v>10151.6</v>
      </c>
      <c r="CG69" s="35">
        <v>10218.299999999999</v>
      </c>
      <c r="CH69" s="35">
        <v>10283.4</v>
      </c>
      <c r="CI69" s="35">
        <v>10346.9</v>
      </c>
      <c r="CJ69" s="35">
        <v>10409.299999999999</v>
      </c>
      <c r="CK69" s="35">
        <v>10471.5</v>
      </c>
      <c r="CL69" s="35">
        <v>10533.6</v>
      </c>
      <c r="CM69" s="35">
        <v>10596.4</v>
      </c>
      <c r="CN69" s="35">
        <v>10660.5</v>
      </c>
      <c r="CO69" s="35">
        <v>10725.5</v>
      </c>
      <c r="CP69" s="35">
        <v>10791.4</v>
      </c>
      <c r="CQ69" s="35">
        <v>10859.2</v>
      </c>
      <c r="CR69" s="35">
        <v>10928</v>
      </c>
      <c r="CS69" s="35">
        <v>10997.7</v>
      </c>
      <c r="CT69" s="35">
        <v>11068.3</v>
      </c>
      <c r="CU69" s="35">
        <v>11139.6</v>
      </c>
      <c r="CV69" s="35">
        <v>11212.4</v>
      </c>
      <c r="CW69" s="35">
        <v>11286.4</v>
      </c>
      <c r="CX69" s="35">
        <v>11361</v>
      </c>
      <c r="CY69" s="35">
        <v>11437</v>
      </c>
      <c r="CZ69" s="35">
        <v>11513.8</v>
      </c>
      <c r="DA69" s="35">
        <v>11592.7</v>
      </c>
      <c r="DB69" s="35">
        <v>11673.2</v>
      </c>
      <c r="DC69" s="35">
        <v>11759.1</v>
      </c>
      <c r="DD69" s="35">
        <v>11851.4</v>
      </c>
      <c r="DE69" s="35">
        <v>11950</v>
      </c>
      <c r="DF69" s="35">
        <v>12054.7</v>
      </c>
      <c r="DG69" s="35">
        <v>12164.9</v>
      </c>
      <c r="DH69" s="35">
        <v>12281.1</v>
      </c>
      <c r="DI69" s="35">
        <v>12402.1</v>
      </c>
      <c r="DJ69" s="35">
        <v>12527.6</v>
      </c>
      <c r="DK69" s="35">
        <v>12658.1</v>
      </c>
      <c r="DL69" s="35">
        <v>12792.1</v>
      </c>
      <c r="DM69" s="35">
        <v>12929.7</v>
      </c>
      <c r="DN69" s="35">
        <v>13070.9</v>
      </c>
      <c r="DO69" s="35">
        <v>13214.6</v>
      </c>
      <c r="DP69" s="35">
        <v>13360.5</v>
      </c>
      <c r="DQ69" s="35">
        <v>13508.5</v>
      </c>
      <c r="DR69" s="35">
        <v>13657.5</v>
      </c>
      <c r="DS69" s="35">
        <v>13802.3</v>
      </c>
      <c r="DT69" s="35">
        <v>13940.5</v>
      </c>
      <c r="DU69" s="35">
        <v>14071.3</v>
      </c>
      <c r="DV69" s="35">
        <v>14195</v>
      </c>
      <c r="DW69" s="35">
        <v>14311.6</v>
      </c>
      <c r="DX69" s="35">
        <v>14421.4</v>
      </c>
      <c r="DY69" s="35">
        <v>14525.4</v>
      </c>
      <c r="DZ69" s="35">
        <v>14624.3</v>
      </c>
      <c r="EA69" s="35">
        <v>14719.7</v>
      </c>
      <c r="EB69" s="35">
        <v>14813.5</v>
      </c>
      <c r="EC69" s="35">
        <v>14905.9</v>
      </c>
      <c r="ED69" s="35">
        <v>14998.2</v>
      </c>
      <c r="EE69" s="35">
        <v>15091.2</v>
      </c>
      <c r="EF69" s="35">
        <v>15184.3</v>
      </c>
      <c r="EG69" s="35">
        <v>15278.8</v>
      </c>
      <c r="EH69" s="35">
        <v>15375.2</v>
      </c>
      <c r="EI69" s="35">
        <v>15473.4</v>
      </c>
      <c r="EJ69" s="35">
        <v>15573.9</v>
      </c>
      <c r="EK69" s="35">
        <v>15675.9</v>
      </c>
      <c r="EL69" s="35">
        <v>15776</v>
      </c>
      <c r="EM69" s="35">
        <v>15873.3</v>
      </c>
      <c r="EN69" s="35">
        <v>15968.9</v>
      </c>
      <c r="EO69" s="35">
        <v>16061.9</v>
      </c>
      <c r="EP69" s="35">
        <v>16152.3</v>
      </c>
      <c r="EQ69" s="35">
        <v>16240.4</v>
      </c>
      <c r="ER69" s="35">
        <v>16324.2</v>
      </c>
      <c r="ES69" s="35">
        <v>16403.599999999999</v>
      </c>
      <c r="ET69" s="35">
        <v>16483.8</v>
      </c>
      <c r="EU69" s="35">
        <v>16565.400000000001</v>
      </c>
      <c r="EV69" s="35">
        <v>16648.099999999999</v>
      </c>
      <c r="EW69" s="35">
        <v>16731.400000000001</v>
      </c>
      <c r="EX69" s="35">
        <v>16814.099999999999</v>
      </c>
      <c r="EY69" s="35">
        <v>16894.400000000001</v>
      </c>
      <c r="EZ69" s="35">
        <v>16971.8</v>
      </c>
      <c r="FA69" s="35">
        <v>17045.2</v>
      </c>
      <c r="FB69" s="35">
        <v>17113.099999999999</v>
      </c>
      <c r="FC69" s="35">
        <v>17177.099999999999</v>
      </c>
      <c r="FD69" s="35">
        <v>17237.599999999999</v>
      </c>
      <c r="FE69" s="35">
        <v>17296.8</v>
      </c>
      <c r="FF69" s="35">
        <v>17356.7</v>
      </c>
      <c r="FG69" s="35">
        <v>17418.5</v>
      </c>
      <c r="FH69" s="35">
        <v>17483.400000000001</v>
      </c>
      <c r="FI69" s="35">
        <v>17550.900000000001</v>
      </c>
      <c r="FJ69" s="35">
        <v>17620.900000000001</v>
      </c>
      <c r="FK69" s="35">
        <v>17693.5</v>
      </c>
      <c r="FL69" s="35">
        <v>17768.3</v>
      </c>
      <c r="FM69" s="35">
        <v>17844.7</v>
      </c>
      <c r="FN69" s="35">
        <v>17922.5</v>
      </c>
      <c r="FO69" s="35">
        <v>18001.8</v>
      </c>
      <c r="FP69" s="35">
        <v>18082.2</v>
      </c>
      <c r="FQ69" s="35">
        <v>18163.400000000001</v>
      </c>
      <c r="FR69" s="35">
        <v>18246.099999999999</v>
      </c>
      <c r="FS69" s="35">
        <v>18329.2</v>
      </c>
      <c r="FT69" s="35">
        <v>18412.599999999999</v>
      </c>
      <c r="FU69" s="35">
        <v>18496.900000000001</v>
      </c>
      <c r="FV69" s="35">
        <v>18582.099999999999</v>
      </c>
      <c r="FW69" s="35">
        <v>18667.900000000001</v>
      </c>
      <c r="FX69" s="35">
        <v>18755.400000000001</v>
      </c>
      <c r="FY69" s="35">
        <v>18843.7</v>
      </c>
      <c r="FZ69" s="35">
        <v>18932.400000000001</v>
      </c>
      <c r="GA69" s="35">
        <v>19021.599999999999</v>
      </c>
      <c r="GB69" s="35">
        <v>19110.599999999999</v>
      </c>
      <c r="GC69" s="35">
        <v>19199.3</v>
      </c>
      <c r="GD69" s="35">
        <v>19287.7</v>
      </c>
      <c r="GE69" s="35">
        <v>19376</v>
      </c>
      <c r="GF69" s="35">
        <v>19464.2</v>
      </c>
      <c r="GG69" s="35">
        <v>19552.5</v>
      </c>
      <c r="GH69" s="35">
        <v>19641.400000000001</v>
      </c>
      <c r="GI69" s="35">
        <v>19731</v>
      </c>
      <c r="GJ69" s="35">
        <v>19823.400000000001</v>
      </c>
      <c r="GK69" s="35">
        <v>19918.5</v>
      </c>
      <c r="GL69" s="35">
        <v>20016.5</v>
      </c>
      <c r="GM69" s="35">
        <v>20117.400000000001</v>
      </c>
      <c r="GN69" s="35">
        <v>20220.8</v>
      </c>
      <c r="GO69" s="35">
        <v>20325.099999999999</v>
      </c>
      <c r="GP69" s="35">
        <v>20430.400000000001</v>
      </c>
      <c r="GQ69" s="35">
        <v>20536.8</v>
      </c>
      <c r="GR69" s="35">
        <v>20643.3</v>
      </c>
      <c r="GS69" s="35">
        <v>20747.2</v>
      </c>
      <c r="GT69" s="35">
        <v>20850.099999999999</v>
      </c>
      <c r="GU69" s="35">
        <v>20952.599999999999</v>
      </c>
      <c r="GV69" s="35">
        <v>21052.6</v>
      </c>
      <c r="GW69" s="35">
        <v>21153.599999999999</v>
      </c>
      <c r="GX69" s="35">
        <v>21254.6</v>
      </c>
      <c r="GY69" s="35">
        <v>21355.9</v>
      </c>
      <c r="GZ69" s="35">
        <v>21461</v>
      </c>
      <c r="HA69" s="35">
        <v>21567.1</v>
      </c>
      <c r="HB69" s="35">
        <v>21674</v>
      </c>
      <c r="HC69">
        <v>21782</v>
      </c>
      <c r="HD69">
        <v>21894.2</v>
      </c>
      <c r="HE69">
        <v>22006.9</v>
      </c>
      <c r="HF69">
        <v>22125.8</v>
      </c>
      <c r="HG69">
        <v>22246.2</v>
      </c>
      <c r="HH69">
        <v>22369.7</v>
      </c>
      <c r="HI69">
        <v>22495.200000000001</v>
      </c>
      <c r="HJ69">
        <v>22618.2</v>
      </c>
    </row>
    <row r="70" spans="1:218" x14ac:dyDescent="0.25">
      <c r="A70" s="35" t="s">
        <v>2233</v>
      </c>
      <c r="B70" s="35">
        <v>1051.9000000000001</v>
      </c>
      <c r="C70" s="35">
        <v>1075.2</v>
      </c>
      <c r="D70" s="35">
        <v>1092.5999999999999</v>
      </c>
      <c r="E70" s="35">
        <v>1115.5999999999999</v>
      </c>
      <c r="F70" s="35">
        <v>1141.7</v>
      </c>
      <c r="G70" s="35">
        <v>1166.5</v>
      </c>
      <c r="H70" s="35">
        <v>1188.5999999999999</v>
      </c>
      <c r="I70" s="35">
        <v>1208.9000000000001</v>
      </c>
      <c r="J70" s="35">
        <v>1237.5</v>
      </c>
      <c r="K70" s="35">
        <v>1255.0999999999999</v>
      </c>
      <c r="L70" s="35">
        <v>1276.7</v>
      </c>
      <c r="M70" s="35">
        <v>1302.8</v>
      </c>
      <c r="N70" s="35">
        <v>1328</v>
      </c>
      <c r="O70" s="35">
        <v>1359.6</v>
      </c>
      <c r="P70" s="35">
        <v>1397.7</v>
      </c>
      <c r="Q70" s="35">
        <v>1438</v>
      </c>
      <c r="R70" s="35">
        <v>1477.9</v>
      </c>
      <c r="S70" s="35">
        <v>1526.1</v>
      </c>
      <c r="T70" s="35">
        <v>1584.1</v>
      </c>
      <c r="U70" s="35">
        <v>1644.3</v>
      </c>
      <c r="V70" s="35">
        <v>1695.2</v>
      </c>
      <c r="W70" s="35">
        <v>1734.1</v>
      </c>
      <c r="X70" s="35">
        <v>1778.5</v>
      </c>
      <c r="Y70" s="35">
        <v>1822.2</v>
      </c>
      <c r="Z70" s="35">
        <v>1855.5</v>
      </c>
      <c r="AA70" s="35">
        <v>1888.4</v>
      </c>
      <c r="AB70" s="35">
        <v>1927.6</v>
      </c>
      <c r="AC70" s="35">
        <v>1977.3</v>
      </c>
      <c r="AD70" s="35">
        <v>2025</v>
      </c>
      <c r="AE70" s="35">
        <v>2070.4</v>
      </c>
      <c r="AF70" s="35">
        <v>2112.9</v>
      </c>
      <c r="AG70" s="35">
        <v>2176.8000000000002</v>
      </c>
      <c r="AH70" s="35">
        <v>2227.4</v>
      </c>
      <c r="AI70" s="35">
        <v>2289.5</v>
      </c>
      <c r="AJ70" s="35">
        <v>2348.9</v>
      </c>
      <c r="AK70" s="35">
        <v>2418.1999999999998</v>
      </c>
      <c r="AL70" s="35">
        <v>2484.6999999999998</v>
      </c>
      <c r="AM70" s="35">
        <v>2567.9</v>
      </c>
      <c r="AN70" s="35">
        <v>2645.8</v>
      </c>
      <c r="AO70" s="35">
        <v>2715.6</v>
      </c>
      <c r="AP70" s="35">
        <v>2791.7</v>
      </c>
      <c r="AQ70" s="35">
        <v>2875.5</v>
      </c>
      <c r="AR70" s="35">
        <v>2955</v>
      </c>
      <c r="AS70" s="35">
        <v>3048.3</v>
      </c>
      <c r="AT70" s="35">
        <v>3146.2</v>
      </c>
      <c r="AU70" s="35">
        <v>3229.2</v>
      </c>
      <c r="AV70" s="35">
        <v>3312.3</v>
      </c>
      <c r="AW70" s="35">
        <v>3393.6</v>
      </c>
      <c r="AX70" s="35">
        <v>3465.6</v>
      </c>
      <c r="AY70" s="35">
        <v>3537</v>
      </c>
      <c r="AZ70" s="35">
        <v>3614.4</v>
      </c>
      <c r="BA70" s="35">
        <v>3680.1</v>
      </c>
      <c r="BB70" s="35">
        <v>3736.1</v>
      </c>
      <c r="BC70" s="35">
        <v>3793.2</v>
      </c>
      <c r="BD70" s="35">
        <v>3864.1</v>
      </c>
      <c r="BE70" s="35">
        <v>3925.5</v>
      </c>
      <c r="BF70" s="35">
        <v>3999.1</v>
      </c>
      <c r="BG70" s="35">
        <v>4068.8</v>
      </c>
      <c r="BH70" s="35">
        <v>4141.7</v>
      </c>
      <c r="BI70" s="35">
        <v>4210.3999999999996</v>
      </c>
      <c r="BJ70" s="35">
        <v>4290.5</v>
      </c>
      <c r="BK70" s="35">
        <v>4357</v>
      </c>
      <c r="BL70" s="35">
        <v>4422.3999999999996</v>
      </c>
      <c r="BM70" s="35">
        <v>4486.3</v>
      </c>
      <c r="BN70" s="35">
        <v>4547.7</v>
      </c>
      <c r="BO70" s="35">
        <v>4603.8</v>
      </c>
      <c r="BP70" s="35">
        <v>4661.7</v>
      </c>
      <c r="BQ70" s="35">
        <v>4726.1000000000004</v>
      </c>
      <c r="BR70" s="35">
        <v>4795.3999999999996</v>
      </c>
      <c r="BS70" s="35">
        <v>4867.7</v>
      </c>
      <c r="BT70" s="35">
        <v>4943.8</v>
      </c>
      <c r="BU70" s="35">
        <v>5022.7</v>
      </c>
      <c r="BV70" s="35">
        <v>5101.8999999999996</v>
      </c>
      <c r="BW70" s="35">
        <v>5191.8999999999996</v>
      </c>
      <c r="BX70" s="35">
        <v>5295</v>
      </c>
      <c r="BY70" s="35">
        <v>5382.4</v>
      </c>
      <c r="BZ70" s="35">
        <v>5480.6</v>
      </c>
      <c r="CA70" s="35">
        <v>5581.4</v>
      </c>
      <c r="CB70" s="35">
        <v>5664.8</v>
      </c>
      <c r="CC70" s="35">
        <v>5747.6</v>
      </c>
      <c r="CD70" s="35">
        <v>5852</v>
      </c>
      <c r="CE70" s="35">
        <v>5959.4</v>
      </c>
      <c r="CF70" s="35">
        <v>6051.5</v>
      </c>
      <c r="CG70" s="35">
        <v>6136.6</v>
      </c>
      <c r="CH70" s="35">
        <v>6236.2</v>
      </c>
      <c r="CI70" s="35">
        <v>6320.8</v>
      </c>
      <c r="CJ70" s="35">
        <v>6408.5</v>
      </c>
      <c r="CK70" s="35">
        <v>6485.1</v>
      </c>
      <c r="CL70" s="35">
        <v>6547.8</v>
      </c>
      <c r="CM70" s="35">
        <v>6626.5</v>
      </c>
      <c r="CN70" s="35">
        <v>6699</v>
      </c>
      <c r="CO70" s="35">
        <v>6786.4</v>
      </c>
      <c r="CP70" s="35">
        <v>6866.4</v>
      </c>
      <c r="CQ70" s="35">
        <v>6950.6</v>
      </c>
      <c r="CR70" s="35">
        <v>7036.2</v>
      </c>
      <c r="CS70" s="35">
        <v>7119.7</v>
      </c>
      <c r="CT70" s="35">
        <v>7199.7</v>
      </c>
      <c r="CU70" s="35">
        <v>7281</v>
      </c>
      <c r="CV70" s="35">
        <v>7370.7</v>
      </c>
      <c r="CW70" s="35">
        <v>7459.6</v>
      </c>
      <c r="CX70" s="35">
        <v>7549.6</v>
      </c>
      <c r="CY70" s="35">
        <v>7636.6</v>
      </c>
      <c r="CZ70" s="35">
        <v>7725.7</v>
      </c>
      <c r="DA70" s="35">
        <v>7816.1</v>
      </c>
      <c r="DB70" s="35">
        <v>7908.3</v>
      </c>
      <c r="DC70" s="35">
        <v>7999.4</v>
      </c>
      <c r="DD70" s="35">
        <v>8088.6</v>
      </c>
      <c r="DE70" s="35">
        <v>8199.6</v>
      </c>
      <c r="DF70" s="35">
        <v>8320.7000000000007</v>
      </c>
      <c r="DG70" s="35">
        <v>8413.5</v>
      </c>
      <c r="DH70" s="35">
        <v>8530.9</v>
      </c>
      <c r="DI70" s="35">
        <v>8643.7000000000007</v>
      </c>
      <c r="DJ70" s="35">
        <v>8743.6</v>
      </c>
      <c r="DK70" s="35">
        <v>8855.5</v>
      </c>
      <c r="DL70" s="35">
        <v>8987.1</v>
      </c>
      <c r="DM70" s="35">
        <v>9109.4</v>
      </c>
      <c r="DN70" s="35">
        <v>9238.7000000000007</v>
      </c>
      <c r="DO70" s="35">
        <v>9375.7000000000007</v>
      </c>
      <c r="DP70" s="35">
        <v>9512.6</v>
      </c>
      <c r="DQ70" s="35">
        <v>9671.5</v>
      </c>
      <c r="DR70" s="35">
        <v>9843.2000000000007</v>
      </c>
      <c r="DS70" s="35">
        <v>10009.4</v>
      </c>
      <c r="DT70" s="35">
        <v>10168.799999999999</v>
      </c>
      <c r="DU70" s="35">
        <v>10319.5</v>
      </c>
      <c r="DV70" s="35">
        <v>10479</v>
      </c>
      <c r="DW70" s="35">
        <v>10628.6</v>
      </c>
      <c r="DX70" s="35">
        <v>10752.3</v>
      </c>
      <c r="DY70" s="35">
        <v>10863.8</v>
      </c>
      <c r="DZ70" s="35">
        <v>10972.2</v>
      </c>
      <c r="EA70" s="35">
        <v>11082.5</v>
      </c>
      <c r="EB70" s="35">
        <v>11206.3</v>
      </c>
      <c r="EC70" s="35">
        <v>11341.6</v>
      </c>
      <c r="ED70" s="35">
        <v>11467.8</v>
      </c>
      <c r="EE70" s="35">
        <v>11579.5</v>
      </c>
      <c r="EF70" s="35">
        <v>11717.6</v>
      </c>
      <c r="EG70" s="35">
        <v>11862.3</v>
      </c>
      <c r="EH70" s="35">
        <v>12022.3</v>
      </c>
      <c r="EI70" s="35">
        <v>12196.7</v>
      </c>
      <c r="EJ70" s="35">
        <v>12353.9</v>
      </c>
      <c r="EK70" s="35">
        <v>12531.2</v>
      </c>
      <c r="EL70" s="35">
        <v>12712</v>
      </c>
      <c r="EM70" s="35">
        <v>12882.6</v>
      </c>
      <c r="EN70" s="35">
        <v>13078.1</v>
      </c>
      <c r="EO70" s="35">
        <v>13262.5</v>
      </c>
      <c r="EP70" s="35">
        <v>13431.7</v>
      </c>
      <c r="EQ70" s="35">
        <v>13622.7</v>
      </c>
      <c r="ER70" s="35">
        <v>13788.7</v>
      </c>
      <c r="ES70" s="35">
        <v>13905.4</v>
      </c>
      <c r="ET70" s="35">
        <v>14106.3</v>
      </c>
      <c r="EU70" s="35">
        <v>14274.7</v>
      </c>
      <c r="EV70" s="35">
        <v>14424.2</v>
      </c>
      <c r="EW70" s="35">
        <v>14555.2</v>
      </c>
      <c r="EX70" s="35">
        <v>14681.3</v>
      </c>
      <c r="EY70" s="35">
        <v>14822.8</v>
      </c>
      <c r="EZ70" s="35">
        <v>15002.9</v>
      </c>
      <c r="FA70" s="35">
        <v>15104.2</v>
      </c>
      <c r="FB70" s="35">
        <v>15152.4</v>
      </c>
      <c r="FC70" s="35">
        <v>15183.8</v>
      </c>
      <c r="FD70" s="35">
        <v>15255.4</v>
      </c>
      <c r="FE70" s="35">
        <v>15356.1</v>
      </c>
      <c r="FF70" s="35">
        <v>15453.8</v>
      </c>
      <c r="FG70" s="35">
        <v>15584.4</v>
      </c>
      <c r="FH70" s="35">
        <v>15690</v>
      </c>
      <c r="FI70" s="35">
        <v>15842</v>
      </c>
      <c r="FJ70" s="35">
        <v>15986.8</v>
      </c>
      <c r="FK70" s="35">
        <v>16158.7</v>
      </c>
      <c r="FL70" s="35">
        <v>16324.9</v>
      </c>
      <c r="FM70" s="35">
        <v>16414.599999999999</v>
      </c>
      <c r="FN70" s="35">
        <v>16582.8</v>
      </c>
      <c r="FO70" s="35">
        <v>16724.900000000001</v>
      </c>
      <c r="FP70" s="35">
        <v>16891.7</v>
      </c>
      <c r="FQ70" s="35">
        <v>17052.7</v>
      </c>
      <c r="FR70" s="35">
        <v>17198.400000000001</v>
      </c>
      <c r="FS70" s="35">
        <v>17313.900000000001</v>
      </c>
      <c r="FT70" s="35">
        <v>17477.900000000001</v>
      </c>
      <c r="FU70" s="35">
        <v>17650.8</v>
      </c>
      <c r="FV70" s="35">
        <v>17799.3</v>
      </c>
      <c r="FW70" s="35">
        <v>17982.900000000001</v>
      </c>
      <c r="FX70" s="35">
        <v>18141.3</v>
      </c>
      <c r="FY70" s="35">
        <v>18244.8</v>
      </c>
      <c r="FZ70" s="35">
        <v>18320.7</v>
      </c>
      <c r="GA70" s="35">
        <v>18512.8</v>
      </c>
      <c r="GB70" s="35">
        <v>18648.7</v>
      </c>
      <c r="GC70" s="35">
        <v>18734.8</v>
      </c>
      <c r="GD70" s="35">
        <v>18804.7</v>
      </c>
      <c r="GE70" s="35">
        <v>19019.3</v>
      </c>
      <c r="GF70" s="35">
        <v>19154.7</v>
      </c>
      <c r="GG70" s="35">
        <v>19334.7</v>
      </c>
      <c r="GH70" s="35">
        <v>19521.7</v>
      </c>
      <c r="GI70" s="35">
        <v>19661.900000000001</v>
      </c>
      <c r="GJ70" s="35">
        <v>19855.5</v>
      </c>
      <c r="GK70" s="35">
        <v>20073.5</v>
      </c>
      <c r="GL70" s="35">
        <v>20300.599999999999</v>
      </c>
      <c r="GM70" s="35">
        <v>20547.099999999999</v>
      </c>
      <c r="GN70" s="35">
        <v>20741.8</v>
      </c>
      <c r="GO70" s="35">
        <v>20938.7</v>
      </c>
      <c r="GP70" s="35">
        <v>21119.9</v>
      </c>
      <c r="GQ70" s="35">
        <v>21335.200000000001</v>
      </c>
      <c r="GR70" s="35">
        <v>21512.6</v>
      </c>
      <c r="GS70" s="35">
        <v>21689.200000000001</v>
      </c>
      <c r="GT70" s="35">
        <v>21900.3</v>
      </c>
      <c r="GU70" s="35">
        <v>21919.4</v>
      </c>
      <c r="GV70" s="35">
        <v>22218.400000000001</v>
      </c>
      <c r="GW70" s="35">
        <v>22480.9</v>
      </c>
      <c r="GX70" s="35">
        <v>22884.6</v>
      </c>
      <c r="GY70" s="35">
        <v>23343.1</v>
      </c>
      <c r="GZ70" s="35">
        <v>23804.5</v>
      </c>
      <c r="HA70" s="35">
        <v>24338.1</v>
      </c>
      <c r="HB70" s="35">
        <v>24954.400000000001</v>
      </c>
      <c r="HC70">
        <v>25631.200000000001</v>
      </c>
      <c r="HD70">
        <v>26045.9</v>
      </c>
      <c r="HE70">
        <v>26428.7</v>
      </c>
      <c r="HF70">
        <v>26830</v>
      </c>
      <c r="HG70">
        <v>27088.400000000001</v>
      </c>
      <c r="HH70">
        <v>27476.6</v>
      </c>
      <c r="HI70">
        <v>27775.200000000001</v>
      </c>
      <c r="HJ70">
        <v>28036.2</v>
      </c>
    </row>
    <row r="71" spans="1:218" x14ac:dyDescent="0.25">
      <c r="A71" s="35" t="s">
        <v>2234</v>
      </c>
      <c r="B71" s="35">
        <v>1</v>
      </c>
      <c r="C71" s="35">
        <v>1</v>
      </c>
      <c r="D71" s="35">
        <v>1</v>
      </c>
      <c r="E71" s="35">
        <v>1</v>
      </c>
      <c r="F71" s="35">
        <v>-1</v>
      </c>
      <c r="G71" s="35">
        <v>-1</v>
      </c>
      <c r="H71" s="35">
        <v>-1</v>
      </c>
      <c r="I71" s="35">
        <v>-1</v>
      </c>
      <c r="J71" s="35">
        <v>-1</v>
      </c>
      <c r="K71" s="35">
        <v>-1</v>
      </c>
      <c r="L71" s="35">
        <v>-1</v>
      </c>
      <c r="M71" s="35">
        <v>-1</v>
      </c>
      <c r="N71" s="35">
        <v>-1</v>
      </c>
      <c r="O71" s="35">
        <v>-1</v>
      </c>
      <c r="P71" s="35">
        <v>-1</v>
      </c>
      <c r="Q71" s="35">
        <v>1</v>
      </c>
      <c r="R71" s="35">
        <v>1</v>
      </c>
      <c r="S71" s="35">
        <v>1</v>
      </c>
      <c r="T71" s="35">
        <v>1</v>
      </c>
      <c r="U71" s="35">
        <v>1</v>
      </c>
      <c r="V71" s="35">
        <v>1</v>
      </c>
      <c r="W71" s="35">
        <v>-1</v>
      </c>
      <c r="X71" s="35">
        <v>-1</v>
      </c>
      <c r="Y71" s="35">
        <v>-1</v>
      </c>
      <c r="Z71" s="35">
        <v>-1</v>
      </c>
      <c r="AA71" s="35">
        <v>-1</v>
      </c>
      <c r="AB71" s="35">
        <v>-1</v>
      </c>
      <c r="AC71" s="35">
        <v>-1</v>
      </c>
      <c r="AD71" s="35">
        <v>-1</v>
      </c>
      <c r="AE71" s="35">
        <v>-1</v>
      </c>
      <c r="AF71" s="35">
        <v>-1</v>
      </c>
      <c r="AG71" s="35">
        <v>-1</v>
      </c>
      <c r="AH71" s="35">
        <v>-1</v>
      </c>
      <c r="AI71" s="35">
        <v>-1</v>
      </c>
      <c r="AJ71" s="35">
        <v>-1</v>
      </c>
      <c r="AK71" s="35">
        <v>-1</v>
      </c>
      <c r="AL71" s="35">
        <v>-1</v>
      </c>
      <c r="AM71" s="35">
        <v>-1</v>
      </c>
      <c r="AN71" s="35">
        <v>-1</v>
      </c>
      <c r="AO71" s="35">
        <v>-1</v>
      </c>
      <c r="AP71" s="35">
        <v>1</v>
      </c>
      <c r="AQ71" s="35">
        <v>1</v>
      </c>
      <c r="AR71" s="35">
        <v>1</v>
      </c>
      <c r="AS71" s="35">
        <v>-1</v>
      </c>
      <c r="AT71" s="35">
        <v>-1</v>
      </c>
      <c r="AU71" s="35">
        <v>-1</v>
      </c>
      <c r="AV71" s="35">
        <v>1</v>
      </c>
      <c r="AW71" s="35">
        <v>1</v>
      </c>
      <c r="AX71" s="35">
        <v>1</v>
      </c>
      <c r="AY71" s="35">
        <v>1</v>
      </c>
      <c r="AZ71" s="35">
        <v>1</v>
      </c>
      <c r="BA71" s="35">
        <v>1</v>
      </c>
      <c r="BB71" s="35">
        <v>-1</v>
      </c>
      <c r="BC71" s="35">
        <v>-1</v>
      </c>
      <c r="BD71" s="35">
        <v>-1</v>
      </c>
      <c r="BE71" s="35">
        <v>-1</v>
      </c>
      <c r="BF71" s="35">
        <v>-1</v>
      </c>
      <c r="BG71" s="35">
        <v>-1</v>
      </c>
      <c r="BH71" s="35">
        <v>-1</v>
      </c>
      <c r="BI71" s="35">
        <v>-1</v>
      </c>
      <c r="BJ71" s="35">
        <v>-1</v>
      </c>
      <c r="BK71" s="35">
        <v>-1</v>
      </c>
      <c r="BL71" s="35">
        <v>-1</v>
      </c>
      <c r="BM71" s="35">
        <v>-1</v>
      </c>
      <c r="BN71" s="35">
        <v>-1</v>
      </c>
      <c r="BO71" s="35">
        <v>-1</v>
      </c>
      <c r="BP71" s="35">
        <v>-1</v>
      </c>
      <c r="BQ71" s="35">
        <v>-1</v>
      </c>
      <c r="BR71" s="35">
        <v>-1</v>
      </c>
      <c r="BS71" s="35">
        <v>-1</v>
      </c>
      <c r="BT71" s="35">
        <v>-1</v>
      </c>
      <c r="BU71" s="35">
        <v>-1</v>
      </c>
      <c r="BV71" s="35">
        <v>-1</v>
      </c>
      <c r="BW71" s="35">
        <v>-1</v>
      </c>
      <c r="BX71" s="35">
        <v>-1</v>
      </c>
      <c r="BY71" s="35">
        <v>-1</v>
      </c>
      <c r="BZ71" s="35">
        <v>-1</v>
      </c>
      <c r="CA71" s="35">
        <v>-1</v>
      </c>
      <c r="CB71" s="35">
        <v>-1</v>
      </c>
      <c r="CC71" s="35">
        <v>-1</v>
      </c>
      <c r="CD71" s="35">
        <v>-1</v>
      </c>
      <c r="CE71" s="35">
        <v>-1</v>
      </c>
      <c r="CF71" s="35">
        <v>1</v>
      </c>
      <c r="CG71" s="35">
        <v>1</v>
      </c>
      <c r="CH71" s="35">
        <v>1</v>
      </c>
      <c r="CI71" s="35">
        <v>-1</v>
      </c>
      <c r="CJ71" s="35">
        <v>-1</v>
      </c>
      <c r="CK71" s="35">
        <v>-1</v>
      </c>
      <c r="CL71" s="35">
        <v>-1</v>
      </c>
      <c r="CM71" s="35">
        <v>-1</v>
      </c>
      <c r="CN71" s="35">
        <v>-1</v>
      </c>
      <c r="CO71" s="35">
        <v>-1</v>
      </c>
      <c r="CP71" s="35">
        <v>-1</v>
      </c>
      <c r="CQ71" s="35">
        <v>-1</v>
      </c>
      <c r="CR71" s="35">
        <v>-1</v>
      </c>
      <c r="CS71" s="35">
        <v>-1</v>
      </c>
      <c r="CT71" s="35">
        <v>-1</v>
      </c>
      <c r="CU71" s="35">
        <v>-1</v>
      </c>
      <c r="CV71" s="35">
        <v>-1</v>
      </c>
      <c r="CW71" s="35">
        <v>-1</v>
      </c>
      <c r="CX71" s="35">
        <v>-1</v>
      </c>
      <c r="CY71" s="35">
        <v>-1</v>
      </c>
      <c r="CZ71" s="35">
        <v>-1</v>
      </c>
      <c r="DA71" s="35">
        <v>-1</v>
      </c>
      <c r="DB71" s="35">
        <v>-1</v>
      </c>
      <c r="DC71" s="35">
        <v>-1</v>
      </c>
      <c r="DD71" s="35">
        <v>-1</v>
      </c>
      <c r="DE71" s="35">
        <v>-1</v>
      </c>
      <c r="DF71" s="35">
        <v>-1</v>
      </c>
      <c r="DG71" s="35">
        <v>-1</v>
      </c>
      <c r="DH71" s="35">
        <v>-1</v>
      </c>
      <c r="DI71" s="35">
        <v>-1</v>
      </c>
      <c r="DJ71" s="35">
        <v>-1</v>
      </c>
      <c r="DK71" s="35">
        <v>-1</v>
      </c>
      <c r="DL71" s="35">
        <v>-1</v>
      </c>
      <c r="DM71" s="35">
        <v>-1</v>
      </c>
      <c r="DN71" s="35">
        <v>-1</v>
      </c>
      <c r="DO71" s="35">
        <v>-1</v>
      </c>
      <c r="DP71" s="35">
        <v>-1</v>
      </c>
      <c r="DQ71" s="35">
        <v>-1</v>
      </c>
      <c r="DR71" s="35">
        <v>-1</v>
      </c>
      <c r="DS71" s="35">
        <v>-1</v>
      </c>
      <c r="DT71" s="35">
        <v>-1</v>
      </c>
      <c r="DU71" s="35">
        <v>-1</v>
      </c>
      <c r="DV71" s="35">
        <v>1</v>
      </c>
      <c r="DW71" s="35">
        <v>1</v>
      </c>
      <c r="DX71" s="35">
        <v>1</v>
      </c>
      <c r="DY71" s="35">
        <v>1</v>
      </c>
      <c r="DZ71" s="35">
        <v>-1</v>
      </c>
      <c r="EA71" s="35">
        <v>-1</v>
      </c>
      <c r="EB71" s="35">
        <v>-1</v>
      </c>
      <c r="EC71" s="35">
        <v>-1</v>
      </c>
      <c r="ED71" s="35">
        <v>-1</v>
      </c>
      <c r="EE71" s="35">
        <v>-1</v>
      </c>
      <c r="EF71" s="35">
        <v>-1</v>
      </c>
      <c r="EG71" s="35">
        <v>-1</v>
      </c>
      <c r="EH71" s="35">
        <v>-1</v>
      </c>
      <c r="EI71" s="35">
        <v>-1</v>
      </c>
      <c r="EJ71" s="35">
        <v>-1</v>
      </c>
      <c r="EK71" s="35">
        <v>-1</v>
      </c>
      <c r="EL71" s="35">
        <v>-1</v>
      </c>
      <c r="EM71" s="35">
        <v>-1</v>
      </c>
      <c r="EN71" s="35">
        <v>-1</v>
      </c>
      <c r="EO71" s="35">
        <v>-1</v>
      </c>
      <c r="EP71" s="35">
        <v>-1</v>
      </c>
      <c r="EQ71" s="35">
        <v>-1</v>
      </c>
      <c r="ER71" s="35">
        <v>-1</v>
      </c>
      <c r="ES71" s="35">
        <v>-1</v>
      </c>
      <c r="ET71" s="35">
        <v>-1</v>
      </c>
      <c r="EU71" s="35">
        <v>-1</v>
      </c>
      <c r="EV71" s="35">
        <v>-1</v>
      </c>
      <c r="EW71" s="35">
        <v>1</v>
      </c>
      <c r="EX71" s="35">
        <v>1</v>
      </c>
      <c r="EY71" s="35">
        <v>1</v>
      </c>
      <c r="EZ71" s="35">
        <v>1</v>
      </c>
      <c r="FA71" s="35">
        <v>1</v>
      </c>
      <c r="FB71" s="35">
        <v>1</v>
      </c>
      <c r="FC71" s="35">
        <v>1</v>
      </c>
      <c r="FD71" s="35">
        <v>-1</v>
      </c>
      <c r="FE71" s="35">
        <v>-1</v>
      </c>
      <c r="FF71" s="35">
        <v>-1</v>
      </c>
      <c r="FG71" s="35">
        <v>-1</v>
      </c>
      <c r="FH71" s="35">
        <v>-1</v>
      </c>
      <c r="FI71" s="35">
        <v>-1</v>
      </c>
      <c r="FJ71" s="35">
        <v>-1</v>
      </c>
      <c r="FK71" s="35">
        <v>-1</v>
      </c>
      <c r="FL71" s="35">
        <v>-1</v>
      </c>
      <c r="FM71" s="35">
        <v>-1</v>
      </c>
      <c r="FN71" s="35">
        <v>-1</v>
      </c>
      <c r="FO71" s="35">
        <v>-1</v>
      </c>
      <c r="FP71" s="35">
        <v>-1</v>
      </c>
      <c r="FQ71" s="35">
        <v>-1</v>
      </c>
      <c r="FR71" s="35">
        <v>-1</v>
      </c>
      <c r="FS71" s="35">
        <v>-1</v>
      </c>
      <c r="FT71" s="35">
        <v>-1</v>
      </c>
      <c r="FU71" s="35">
        <v>-1</v>
      </c>
      <c r="FV71" s="35">
        <v>-1</v>
      </c>
      <c r="FW71" s="35">
        <v>-1</v>
      </c>
      <c r="FX71" s="35">
        <v>-1</v>
      </c>
      <c r="FY71" s="35">
        <v>-1</v>
      </c>
      <c r="FZ71" s="35">
        <v>-1</v>
      </c>
      <c r="GA71" s="35">
        <v>-1</v>
      </c>
      <c r="GB71" s="35">
        <v>-1</v>
      </c>
      <c r="GC71" s="35">
        <v>-1</v>
      </c>
      <c r="GD71" s="35">
        <v>-1</v>
      </c>
      <c r="GE71" s="35">
        <v>-1</v>
      </c>
      <c r="GF71" s="35">
        <v>-1</v>
      </c>
      <c r="GG71" s="35">
        <v>-1</v>
      </c>
      <c r="GH71" s="35">
        <v>-1</v>
      </c>
      <c r="GI71" s="35">
        <v>-1</v>
      </c>
      <c r="GJ71" s="35">
        <v>-1</v>
      </c>
      <c r="GK71" s="35">
        <v>-1</v>
      </c>
      <c r="GL71" s="35">
        <v>-1</v>
      </c>
      <c r="GM71" s="35">
        <v>-1</v>
      </c>
      <c r="GN71" s="35">
        <v>-1</v>
      </c>
      <c r="GO71" s="35">
        <v>-1</v>
      </c>
      <c r="GP71" s="35">
        <v>-1</v>
      </c>
      <c r="GQ71" s="35">
        <v>-1</v>
      </c>
      <c r="GR71" s="35">
        <v>-1</v>
      </c>
      <c r="GS71" s="35">
        <v>1</v>
      </c>
      <c r="GT71" s="35">
        <v>1</v>
      </c>
      <c r="GU71" s="35">
        <v>1</v>
      </c>
      <c r="GV71" s="35">
        <v>-1</v>
      </c>
      <c r="GW71" s="35">
        <v>-1</v>
      </c>
      <c r="GX71" s="35">
        <v>-1</v>
      </c>
      <c r="GY71" s="35">
        <v>-1</v>
      </c>
      <c r="GZ71" s="35">
        <v>-1</v>
      </c>
      <c r="HA71" s="35">
        <v>-1</v>
      </c>
      <c r="HB71" s="35">
        <v>-1</v>
      </c>
      <c r="HC71">
        <v>-1</v>
      </c>
      <c r="HD71">
        <v>-1</v>
      </c>
      <c r="HE71">
        <v>-1</v>
      </c>
      <c r="HF71">
        <v>-1</v>
      </c>
      <c r="HG71">
        <v>-1</v>
      </c>
      <c r="HH71">
        <v>-1</v>
      </c>
      <c r="HI71">
        <v>-1</v>
      </c>
      <c r="HJ71">
        <v>-1</v>
      </c>
    </row>
    <row r="72" spans="1:218" x14ac:dyDescent="0.25">
      <c r="A72" s="35" t="s">
        <v>2235</v>
      </c>
      <c r="B72" s="35">
        <v>2613.3333333333298</v>
      </c>
      <c r="C72" s="35">
        <v>2648.3333333333298</v>
      </c>
      <c r="D72" s="35">
        <v>2681.6666666666702</v>
      </c>
      <c r="E72" s="35">
        <v>2716.3333333333298</v>
      </c>
      <c r="F72" s="35">
        <v>2719.3333333333298</v>
      </c>
      <c r="G72" s="35">
        <v>2739.6666666666702</v>
      </c>
      <c r="H72" s="35">
        <v>2751.6666666666702</v>
      </c>
      <c r="I72" s="35">
        <v>2781</v>
      </c>
      <c r="J72" s="35">
        <v>2815</v>
      </c>
      <c r="K72" s="35">
        <v>2849</v>
      </c>
      <c r="L72" s="35">
        <v>2874</v>
      </c>
      <c r="M72" s="35">
        <v>2901.3333333333298</v>
      </c>
      <c r="N72" s="35">
        <v>2899.6666666666702</v>
      </c>
      <c r="O72" s="35">
        <v>2911.6666666666702</v>
      </c>
      <c r="P72" s="35">
        <v>2926.3333333333298</v>
      </c>
      <c r="Q72" s="35">
        <v>2953.3333333333298</v>
      </c>
      <c r="R72" s="35">
        <v>2988.6666666666702</v>
      </c>
      <c r="S72" s="35">
        <v>3018</v>
      </c>
      <c r="T72" s="35">
        <v>3048.3333333333298</v>
      </c>
      <c r="U72" s="35">
        <v>3099</v>
      </c>
      <c r="V72" s="35">
        <v>3161.6666666666702</v>
      </c>
      <c r="W72" s="35">
        <v>3177.3333333333298</v>
      </c>
      <c r="X72" s="35">
        <v>3178</v>
      </c>
      <c r="Y72" s="35">
        <v>3197.3333333333298</v>
      </c>
      <c r="Z72" s="35">
        <v>3214.3333333333298</v>
      </c>
      <c r="AA72" s="35">
        <v>3241.6666666666702</v>
      </c>
      <c r="AB72" s="35">
        <v>3290.6666666666702</v>
      </c>
      <c r="AC72" s="35">
        <v>3342</v>
      </c>
      <c r="AD72" s="35">
        <v>3341.3333333333298</v>
      </c>
      <c r="AE72" s="35">
        <v>3374.6666666666702</v>
      </c>
      <c r="AF72" s="35">
        <v>3385</v>
      </c>
      <c r="AG72" s="35">
        <v>3404.6666666666702</v>
      </c>
      <c r="AH72" s="35">
        <v>3442.3333333333298</v>
      </c>
      <c r="AI72" s="35">
        <v>3479</v>
      </c>
      <c r="AJ72" s="35">
        <v>3477.3333333333298</v>
      </c>
      <c r="AK72" s="35">
        <v>3494</v>
      </c>
      <c r="AL72" s="35">
        <v>3504.3333333333298</v>
      </c>
      <c r="AM72" s="35">
        <v>3518</v>
      </c>
      <c r="AN72" s="35">
        <v>3560.6666666666702</v>
      </c>
      <c r="AO72" s="35">
        <v>3579.3333333333298</v>
      </c>
      <c r="AP72" s="35">
        <v>3582</v>
      </c>
      <c r="AQ72" s="35">
        <v>3602.6666666666702</v>
      </c>
      <c r="AR72" s="35">
        <v>3624</v>
      </c>
      <c r="AS72" s="35">
        <v>3630.6666666666702</v>
      </c>
      <c r="AT72" s="35">
        <v>3636</v>
      </c>
      <c r="AU72" s="35">
        <v>3631.6666666666702</v>
      </c>
      <c r="AV72" s="35">
        <v>3640</v>
      </c>
      <c r="AW72" s="35">
        <v>3653</v>
      </c>
      <c r="AX72" s="35">
        <v>3645.6666666666702</v>
      </c>
      <c r="AY72" s="35">
        <v>3647.3333333333298</v>
      </c>
      <c r="AZ72" s="35">
        <v>3625.6666666666702</v>
      </c>
      <c r="BA72" s="35">
        <v>3640.3333333333298</v>
      </c>
      <c r="BB72" s="35">
        <v>3650.3333333333298</v>
      </c>
      <c r="BC72" s="35">
        <v>3656</v>
      </c>
      <c r="BD72" s="35">
        <v>3671.3333333333298</v>
      </c>
      <c r="BE72" s="35">
        <v>3671.6666666666702</v>
      </c>
      <c r="BF72" s="35">
        <v>3687</v>
      </c>
      <c r="BG72" s="35">
        <v>3720</v>
      </c>
      <c r="BH72" s="35">
        <v>3758</v>
      </c>
      <c r="BI72" s="35">
        <v>3773</v>
      </c>
      <c r="BJ72" s="35">
        <v>3798.3333333333298</v>
      </c>
      <c r="BK72" s="35">
        <v>3819.3333333333298</v>
      </c>
      <c r="BL72" s="35">
        <v>3844.3333333333298</v>
      </c>
      <c r="BM72" s="35">
        <v>3864.3333333333298</v>
      </c>
      <c r="BN72" s="35">
        <v>3872.3333333333298</v>
      </c>
      <c r="BO72" s="35">
        <v>3883</v>
      </c>
      <c r="BP72" s="35">
        <v>3889.3333333333298</v>
      </c>
      <c r="BQ72" s="35">
        <v>3926.6666666666702</v>
      </c>
      <c r="BR72" s="35">
        <v>3943.6666666666702</v>
      </c>
      <c r="BS72" s="35">
        <v>3953</v>
      </c>
      <c r="BT72" s="35">
        <v>3969</v>
      </c>
      <c r="BU72" s="35">
        <v>4000.6666666666702</v>
      </c>
      <c r="BV72" s="35">
        <v>4030.6666666666702</v>
      </c>
      <c r="BW72" s="35">
        <v>4065.3333333333298</v>
      </c>
      <c r="BX72" s="35">
        <v>4094.3333333333298</v>
      </c>
      <c r="BY72" s="35">
        <v>4114.6666666666697</v>
      </c>
      <c r="BZ72" s="35">
        <v>4135.6666666666697</v>
      </c>
      <c r="CA72" s="35">
        <v>4169</v>
      </c>
      <c r="CB72" s="35">
        <v>4201.3333333333303</v>
      </c>
      <c r="CC72" s="35">
        <v>4221</v>
      </c>
      <c r="CD72" s="35">
        <v>4258</v>
      </c>
      <c r="CE72" s="35">
        <v>4295.6666666666697</v>
      </c>
      <c r="CF72" s="35">
        <v>4322.6666666666697</v>
      </c>
      <c r="CG72" s="35">
        <v>4342.6666666666697</v>
      </c>
      <c r="CH72" s="35">
        <v>4358</v>
      </c>
      <c r="CI72" s="35">
        <v>4362.3333333333303</v>
      </c>
      <c r="CJ72" s="35">
        <v>4345</v>
      </c>
      <c r="CK72" s="35">
        <v>4354.3333333333303</v>
      </c>
      <c r="CL72" s="35">
        <v>4372</v>
      </c>
      <c r="CM72" s="35">
        <v>4395.6666666666697</v>
      </c>
      <c r="CN72" s="35">
        <v>4425.3333333333303</v>
      </c>
      <c r="CO72" s="35">
        <v>4438</v>
      </c>
      <c r="CP72" s="35">
        <v>4456</v>
      </c>
      <c r="CQ72" s="35">
        <v>4478</v>
      </c>
      <c r="CR72" s="35">
        <v>4496</v>
      </c>
      <c r="CS72" s="35">
        <v>4515</v>
      </c>
      <c r="CT72" s="35">
        <v>4523.6666666666697</v>
      </c>
      <c r="CU72" s="35">
        <v>4555.3333333333303</v>
      </c>
      <c r="CV72" s="35">
        <v>4600</v>
      </c>
      <c r="CW72" s="35">
        <v>4626.3333333333303</v>
      </c>
      <c r="CX72" s="35">
        <v>4649.6666666666697</v>
      </c>
      <c r="CY72" s="35">
        <v>4643</v>
      </c>
      <c r="CZ72" s="35">
        <v>4623.6666666666697</v>
      </c>
      <c r="DA72" s="35">
        <v>4624.6666666666697</v>
      </c>
      <c r="DB72" s="35">
        <v>4621.3333333333303</v>
      </c>
      <c r="DC72" s="35">
        <v>4618.3333333333303</v>
      </c>
      <c r="DD72" s="35">
        <v>4600.3333333333303</v>
      </c>
      <c r="DE72" s="35">
        <v>4581.3333333333303</v>
      </c>
      <c r="DF72" s="35">
        <v>4574.3333333333303</v>
      </c>
      <c r="DG72" s="35">
        <v>4577</v>
      </c>
      <c r="DH72" s="35">
        <v>4589</v>
      </c>
      <c r="DI72" s="35">
        <v>4583</v>
      </c>
      <c r="DJ72" s="35">
        <v>4578</v>
      </c>
      <c r="DK72" s="35">
        <v>4596.6666666666697</v>
      </c>
      <c r="DL72" s="35">
        <v>4631.6666666666697</v>
      </c>
      <c r="DM72" s="35">
        <v>4640.6666666666697</v>
      </c>
      <c r="DN72" s="35">
        <v>4669</v>
      </c>
      <c r="DO72" s="35">
        <v>4688.3333333333303</v>
      </c>
      <c r="DP72" s="35">
        <v>4717.3333333333303</v>
      </c>
      <c r="DQ72" s="35">
        <v>4757.3333333333303</v>
      </c>
      <c r="DR72" s="35">
        <v>4768</v>
      </c>
      <c r="DS72" s="35">
        <v>4779.3333333333303</v>
      </c>
      <c r="DT72" s="35">
        <v>4793.3333333333303</v>
      </c>
      <c r="DU72" s="35">
        <v>4809</v>
      </c>
      <c r="DV72" s="35">
        <v>4832</v>
      </c>
      <c r="DW72" s="35">
        <v>4877.6666666666697</v>
      </c>
      <c r="DX72" s="35">
        <v>4936.6666666666697</v>
      </c>
      <c r="DY72" s="35">
        <v>4977.3333333333303</v>
      </c>
      <c r="DZ72" s="35">
        <v>5004.3333333333303</v>
      </c>
      <c r="EA72" s="35">
        <v>5039</v>
      </c>
      <c r="EB72" s="35">
        <v>5052.6666666666697</v>
      </c>
      <c r="EC72" s="35">
        <v>5020.6666666666697</v>
      </c>
      <c r="ED72" s="35">
        <v>5029.3333333333303</v>
      </c>
      <c r="EE72" s="35">
        <v>5007.6666666666697</v>
      </c>
      <c r="EF72" s="35">
        <v>4978.6666666666697</v>
      </c>
      <c r="EG72" s="35">
        <v>4985.3333333333303</v>
      </c>
      <c r="EH72" s="35">
        <v>4968.3333333333303</v>
      </c>
      <c r="EI72" s="35">
        <v>4974</v>
      </c>
      <c r="EJ72" s="35">
        <v>4984</v>
      </c>
      <c r="EK72" s="35">
        <v>4995.3333333333303</v>
      </c>
      <c r="EL72" s="35">
        <v>5015.6666666666697</v>
      </c>
      <c r="EM72" s="35">
        <v>5023.3333333333303</v>
      </c>
      <c r="EN72" s="35">
        <v>5039.3333333333303</v>
      </c>
      <c r="EO72" s="35">
        <v>5047.6666666666697</v>
      </c>
      <c r="EP72" s="35">
        <v>5047</v>
      </c>
      <c r="EQ72" s="35">
        <v>5068.3333333333303</v>
      </c>
      <c r="ER72" s="35">
        <v>5086</v>
      </c>
      <c r="ES72" s="35">
        <v>5098.3333333333303</v>
      </c>
      <c r="ET72" s="35">
        <v>5106.3333333333303</v>
      </c>
      <c r="EU72" s="35">
        <v>5124.3333333333303</v>
      </c>
      <c r="EV72" s="35">
        <v>5122</v>
      </c>
      <c r="EW72" s="35">
        <v>5136</v>
      </c>
      <c r="EX72" s="35">
        <v>5148.6666666666697</v>
      </c>
      <c r="EY72" s="35">
        <v>5166</v>
      </c>
      <c r="EZ72" s="35">
        <v>5196.3333333333303</v>
      </c>
      <c r="FA72" s="35">
        <v>5189</v>
      </c>
      <c r="FB72" s="35">
        <v>5192</v>
      </c>
      <c r="FC72" s="35">
        <v>5181.6666666666697</v>
      </c>
      <c r="FD72" s="35">
        <v>5145.3333333333303</v>
      </c>
      <c r="FE72" s="35">
        <v>5153.3333333333303</v>
      </c>
      <c r="FF72" s="35">
        <v>5144</v>
      </c>
      <c r="FG72" s="35">
        <v>5136.6666666666697</v>
      </c>
      <c r="FH72" s="35">
        <v>5129.3333333333303</v>
      </c>
      <c r="FI72" s="35">
        <v>5137</v>
      </c>
      <c r="FJ72" s="35">
        <v>5113.3333333333303</v>
      </c>
      <c r="FK72" s="35">
        <v>5084.3333333333303</v>
      </c>
      <c r="FL72" s="35">
        <v>5069.6666666666697</v>
      </c>
      <c r="FM72" s="35">
        <v>5051</v>
      </c>
      <c r="FN72" s="35">
        <v>5048</v>
      </c>
      <c r="FO72" s="35">
        <v>5055.3333333333303</v>
      </c>
      <c r="FP72" s="35">
        <v>5064.6666666666697</v>
      </c>
      <c r="FQ72" s="35">
        <v>5051.6666666666697</v>
      </c>
      <c r="FR72" s="35">
        <v>5042</v>
      </c>
      <c r="FS72" s="35">
        <v>5044.6666666666697</v>
      </c>
      <c r="FT72" s="35">
        <v>5040</v>
      </c>
      <c r="FU72" s="35">
        <v>5055.3333333333303</v>
      </c>
      <c r="FV72" s="35">
        <v>5054.6666666666697</v>
      </c>
      <c r="FW72" s="35">
        <v>5054.6666666666697</v>
      </c>
      <c r="FX72" s="35">
        <v>5030.6666666666697</v>
      </c>
      <c r="FY72" s="35">
        <v>5052.6666666666697</v>
      </c>
      <c r="FZ72" s="35">
        <v>5067.6666666666697</v>
      </c>
      <c r="GA72" s="35">
        <v>5072.3333333333303</v>
      </c>
      <c r="GB72" s="35">
        <v>5077.6666666666697</v>
      </c>
      <c r="GC72" s="35">
        <v>5087.3333333333303</v>
      </c>
      <c r="GD72" s="35">
        <v>5089</v>
      </c>
      <c r="GE72" s="35">
        <v>5098.6666666666697</v>
      </c>
      <c r="GF72" s="35">
        <v>5126.6666666666697</v>
      </c>
      <c r="GG72" s="35">
        <v>5135.3333333333303</v>
      </c>
      <c r="GH72" s="35">
        <v>5159.6666666666697</v>
      </c>
      <c r="GI72" s="35">
        <v>5174.6666666666697</v>
      </c>
      <c r="GJ72" s="35">
        <v>5163.6666666666697</v>
      </c>
      <c r="GK72" s="35">
        <v>5157.3333333333303</v>
      </c>
      <c r="GL72" s="35">
        <v>5157.3333333333303</v>
      </c>
      <c r="GM72" s="35">
        <v>5176.6666666666697</v>
      </c>
      <c r="GN72" s="35">
        <v>5177.3333333333303</v>
      </c>
      <c r="GO72" s="35">
        <v>5174.6666666666697</v>
      </c>
      <c r="GP72" s="35">
        <v>5182</v>
      </c>
      <c r="GQ72" s="35">
        <v>5170.6666666666697</v>
      </c>
      <c r="GR72" s="35">
        <v>5207.6666666666697</v>
      </c>
      <c r="GS72" s="35">
        <v>5246</v>
      </c>
      <c r="GT72" s="35">
        <v>5285</v>
      </c>
      <c r="GU72" s="35">
        <v>5077</v>
      </c>
      <c r="GV72" s="35">
        <v>5093.6666666666697</v>
      </c>
      <c r="GW72" s="35">
        <v>5078</v>
      </c>
      <c r="GX72" s="35">
        <v>5173.6666666666697</v>
      </c>
      <c r="GY72" s="35">
        <v>5183.6666666666697</v>
      </c>
      <c r="GZ72" s="35">
        <v>5151.6666666666697</v>
      </c>
      <c r="HA72" s="35">
        <v>5126.6666666666697</v>
      </c>
      <c r="HB72" s="35">
        <v>5080.6666666666697</v>
      </c>
      <c r="HC72">
        <v>5093</v>
      </c>
      <c r="HD72">
        <v>5138.6666666666697</v>
      </c>
      <c r="HE72">
        <v>5145</v>
      </c>
      <c r="HF72">
        <v>5228</v>
      </c>
      <c r="HG72">
        <v>5281.3333333333303</v>
      </c>
      <c r="HH72">
        <v>5325.3333333333303</v>
      </c>
      <c r="HI72">
        <v>5387.3333333333303</v>
      </c>
      <c r="HJ72">
        <v>5433</v>
      </c>
    </row>
    <row r="73" spans="1:218" x14ac:dyDescent="0.25">
      <c r="A73" s="35" t="s">
        <v>2236</v>
      </c>
      <c r="B73" s="35">
        <v>7048.6666666666697</v>
      </c>
      <c r="C73" s="35">
        <v>7104.3333333333303</v>
      </c>
      <c r="D73" s="35">
        <v>7204.3333333333303</v>
      </c>
      <c r="E73" s="35">
        <v>7279.3333333333303</v>
      </c>
      <c r="F73" s="35">
        <v>7353.3333333333303</v>
      </c>
      <c r="G73" s="35">
        <v>7419.6666666666697</v>
      </c>
      <c r="H73" s="35">
        <v>7443.6666666666697</v>
      </c>
      <c r="I73" s="35">
        <v>7534</v>
      </c>
      <c r="J73" s="35">
        <v>7651.6666666666697</v>
      </c>
      <c r="K73" s="35">
        <v>7726.3333333333303</v>
      </c>
      <c r="L73" s="35">
        <v>7855</v>
      </c>
      <c r="M73" s="35">
        <v>7931.3333333333303</v>
      </c>
      <c r="N73" s="35">
        <v>8016</v>
      </c>
      <c r="O73" s="35">
        <v>8115</v>
      </c>
      <c r="P73" s="35">
        <v>8183.6666666666697</v>
      </c>
      <c r="Q73" s="35">
        <v>8272.3333333333303</v>
      </c>
      <c r="R73" s="35">
        <v>8307.6666666666697</v>
      </c>
      <c r="S73" s="35">
        <v>8346.3333333333303</v>
      </c>
      <c r="T73" s="35">
        <v>8424.6666666666697</v>
      </c>
      <c r="U73" s="35">
        <v>8551.3333333333303</v>
      </c>
      <c r="V73" s="35">
        <v>8673</v>
      </c>
      <c r="W73" s="35">
        <v>8751.3333333333303</v>
      </c>
      <c r="X73" s="35">
        <v>8786.3333333333303</v>
      </c>
      <c r="Y73" s="35">
        <v>8824.6666666666697</v>
      </c>
      <c r="Z73" s="35">
        <v>8883</v>
      </c>
      <c r="AA73" s="35">
        <v>8868.6666666666697</v>
      </c>
      <c r="AB73" s="35">
        <v>8845</v>
      </c>
      <c r="AC73" s="35">
        <v>8861</v>
      </c>
      <c r="AD73" s="35">
        <v>8860.6666666666697</v>
      </c>
      <c r="AE73" s="35">
        <v>8907.3333333333303</v>
      </c>
      <c r="AF73" s="35">
        <v>9099.3333333333303</v>
      </c>
      <c r="AG73" s="35">
        <v>9231</v>
      </c>
      <c r="AH73" s="35">
        <v>9348.3333333333303</v>
      </c>
      <c r="AI73" s="35">
        <v>9466</v>
      </c>
      <c r="AJ73" s="35">
        <v>9492.3333333333303</v>
      </c>
      <c r="AK73" s="35">
        <v>9482.6666666666697</v>
      </c>
      <c r="AL73" s="35">
        <v>9531.3333333333303</v>
      </c>
      <c r="AM73" s="35">
        <v>9604.3333333333303</v>
      </c>
      <c r="AN73" s="35">
        <v>9710.6666666666697</v>
      </c>
      <c r="AO73" s="35">
        <v>9697.3333333333303</v>
      </c>
      <c r="AP73" s="35">
        <v>9741.3333333333303</v>
      </c>
      <c r="AQ73" s="35">
        <v>9749.3333333333303</v>
      </c>
      <c r="AR73" s="35">
        <v>9782.3333333333303</v>
      </c>
      <c r="AS73" s="35">
        <v>9793</v>
      </c>
      <c r="AT73" s="35">
        <v>9750.3333333333303</v>
      </c>
      <c r="AU73" s="35">
        <v>9665</v>
      </c>
      <c r="AV73" s="35">
        <v>9547.6666666666697</v>
      </c>
      <c r="AW73" s="35">
        <v>9507</v>
      </c>
      <c r="AX73" s="35">
        <v>9484.3333333333303</v>
      </c>
      <c r="AY73" s="35">
        <v>9495.6666666666697</v>
      </c>
      <c r="AZ73" s="35">
        <v>9409.6666666666697</v>
      </c>
      <c r="BA73" s="35">
        <v>9437</v>
      </c>
      <c r="BB73" s="35">
        <v>9447.3333333333303</v>
      </c>
      <c r="BC73" s="35">
        <v>9445.3333333333303</v>
      </c>
      <c r="BD73" s="35">
        <v>9433</v>
      </c>
      <c r="BE73" s="35">
        <v>9401.6666666666697</v>
      </c>
      <c r="BF73" s="35">
        <v>9412</v>
      </c>
      <c r="BG73" s="35">
        <v>9445.3333333333303</v>
      </c>
      <c r="BH73" s="35">
        <v>9509</v>
      </c>
      <c r="BI73" s="35">
        <v>9555</v>
      </c>
      <c r="BJ73" s="35">
        <v>9595.6666666666697</v>
      </c>
      <c r="BK73" s="35">
        <v>9640.3333333333303</v>
      </c>
      <c r="BL73" s="35">
        <v>9746.6666666666697</v>
      </c>
      <c r="BM73" s="35">
        <v>9764.3333333333303</v>
      </c>
      <c r="BN73" s="35">
        <v>9815.3333333333303</v>
      </c>
      <c r="BO73" s="35">
        <v>9854.3333333333303</v>
      </c>
      <c r="BP73" s="35">
        <v>9906.6666666666697</v>
      </c>
      <c r="BQ73" s="35">
        <v>10024.333333333299</v>
      </c>
      <c r="BR73" s="35">
        <v>10039.333333333299</v>
      </c>
      <c r="BS73" s="35">
        <v>10083.333333333299</v>
      </c>
      <c r="BT73" s="35">
        <v>10092.333333333299</v>
      </c>
      <c r="BU73" s="35">
        <v>10184.666666666701</v>
      </c>
      <c r="BV73" s="35">
        <v>10250.666666666701</v>
      </c>
      <c r="BW73" s="35">
        <v>10315.333333333299</v>
      </c>
      <c r="BX73" s="35">
        <v>10341.666666666701</v>
      </c>
      <c r="BY73" s="35">
        <v>10446.666666666701</v>
      </c>
      <c r="BZ73" s="35">
        <v>10510.666666666701</v>
      </c>
      <c r="CA73" s="35">
        <v>10566.333333333299</v>
      </c>
      <c r="CB73" s="35">
        <v>10640.666666666701</v>
      </c>
      <c r="CC73" s="35">
        <v>10719.666666666701</v>
      </c>
      <c r="CD73" s="35">
        <v>10814</v>
      </c>
      <c r="CE73" s="35">
        <v>10873</v>
      </c>
      <c r="CF73" s="35">
        <v>10967.333333333299</v>
      </c>
      <c r="CG73" s="35">
        <v>11000.333333333299</v>
      </c>
      <c r="CH73" s="35">
        <v>11027</v>
      </c>
      <c r="CI73" s="35">
        <v>11057.333333333299</v>
      </c>
      <c r="CJ73" s="35">
        <v>11099.333333333299</v>
      </c>
      <c r="CK73" s="35">
        <v>11139.333333333299</v>
      </c>
      <c r="CL73" s="35">
        <v>11199</v>
      </c>
      <c r="CM73" s="35">
        <v>11238</v>
      </c>
      <c r="CN73" s="35">
        <v>11306.666666666701</v>
      </c>
      <c r="CO73" s="35">
        <v>11319.666666666701</v>
      </c>
      <c r="CP73" s="35">
        <v>11366.666666666701</v>
      </c>
      <c r="CQ73" s="35">
        <v>11407.666666666701</v>
      </c>
      <c r="CR73" s="35">
        <v>11483</v>
      </c>
      <c r="CS73" s="35">
        <v>11520.666666666701</v>
      </c>
      <c r="CT73" s="35">
        <v>11591.333333333299</v>
      </c>
      <c r="CU73" s="35">
        <v>11672.333333333299</v>
      </c>
      <c r="CV73" s="35">
        <v>11710.333333333299</v>
      </c>
      <c r="CW73" s="35">
        <v>11752</v>
      </c>
      <c r="CX73" s="35">
        <v>11791.333333333299</v>
      </c>
      <c r="CY73" s="35">
        <v>11828.666666666701</v>
      </c>
      <c r="CZ73" s="35">
        <v>11868</v>
      </c>
      <c r="DA73" s="35">
        <v>11923</v>
      </c>
      <c r="DB73" s="35">
        <v>11966</v>
      </c>
      <c r="DC73" s="35">
        <v>12017.333333333299</v>
      </c>
      <c r="DD73" s="35">
        <v>12067</v>
      </c>
      <c r="DE73" s="35">
        <v>12139</v>
      </c>
      <c r="DF73" s="35">
        <v>12185.666666666701</v>
      </c>
      <c r="DG73" s="35">
        <v>12229.666666666701</v>
      </c>
      <c r="DH73" s="35">
        <v>12296</v>
      </c>
      <c r="DI73" s="35">
        <v>12380</v>
      </c>
      <c r="DJ73" s="35">
        <v>12437.333333333299</v>
      </c>
      <c r="DK73" s="35">
        <v>12501.333333333299</v>
      </c>
      <c r="DL73" s="35">
        <v>12553.333333333299</v>
      </c>
      <c r="DM73" s="35">
        <v>12616.333333333299</v>
      </c>
      <c r="DN73" s="35">
        <v>12694.666666666701</v>
      </c>
      <c r="DO73" s="35">
        <v>12783.333333333299</v>
      </c>
      <c r="DP73" s="35">
        <v>12887.333333333299</v>
      </c>
      <c r="DQ73" s="35">
        <v>12972.333333333299</v>
      </c>
      <c r="DR73" s="35">
        <v>13050.333333333299</v>
      </c>
      <c r="DS73" s="35">
        <v>13113</v>
      </c>
      <c r="DT73" s="35">
        <v>13168</v>
      </c>
      <c r="DU73" s="35">
        <v>13220.666666666701</v>
      </c>
      <c r="DV73" s="35">
        <v>13310</v>
      </c>
      <c r="DW73" s="35">
        <v>13410.666666666701</v>
      </c>
      <c r="DX73" s="35">
        <v>13500.666666666701</v>
      </c>
      <c r="DY73" s="35">
        <v>13583.666666666701</v>
      </c>
      <c r="DZ73" s="35">
        <v>13639</v>
      </c>
      <c r="EA73" s="35">
        <v>13699.333333333299</v>
      </c>
      <c r="EB73" s="35">
        <v>13744.666666666701</v>
      </c>
      <c r="EC73" s="35">
        <v>13775</v>
      </c>
      <c r="ED73" s="35">
        <v>13801</v>
      </c>
      <c r="EE73" s="35">
        <v>13820</v>
      </c>
      <c r="EF73" s="35">
        <v>13832.333333333299</v>
      </c>
      <c r="EG73" s="35">
        <v>13824.333333333299</v>
      </c>
      <c r="EH73" s="35">
        <v>13859</v>
      </c>
      <c r="EI73" s="35">
        <v>13898</v>
      </c>
      <c r="EJ73" s="35">
        <v>13909.333333333299</v>
      </c>
      <c r="EK73" s="35">
        <v>13958.666666666701</v>
      </c>
      <c r="EL73" s="35">
        <v>13994.666666666701</v>
      </c>
      <c r="EM73" s="35">
        <v>14012</v>
      </c>
      <c r="EN73" s="35">
        <v>14085.333333333299</v>
      </c>
      <c r="EO73" s="35">
        <v>14072.333333333299</v>
      </c>
      <c r="EP73" s="35">
        <v>14098</v>
      </c>
      <c r="EQ73" s="35">
        <v>14119.666666666701</v>
      </c>
      <c r="ER73" s="35">
        <v>14201</v>
      </c>
      <c r="ES73" s="35">
        <v>14251.333333333299</v>
      </c>
      <c r="ET73" s="35">
        <v>14287.333333333299</v>
      </c>
      <c r="EU73" s="35">
        <v>14336</v>
      </c>
      <c r="EV73" s="35">
        <v>14369.333333333299</v>
      </c>
      <c r="EW73" s="35">
        <v>14455</v>
      </c>
      <c r="EX73" s="35">
        <v>14521.666666666701</v>
      </c>
      <c r="EY73" s="35">
        <v>14560.333333333299</v>
      </c>
      <c r="EZ73" s="35">
        <v>14594</v>
      </c>
      <c r="FA73" s="35">
        <v>14591</v>
      </c>
      <c r="FB73" s="35">
        <v>14587</v>
      </c>
      <c r="FC73" s="35">
        <v>14576.333333333299</v>
      </c>
      <c r="FD73" s="35">
        <v>14532</v>
      </c>
      <c r="FE73" s="35">
        <v>14521</v>
      </c>
      <c r="FF73" s="35">
        <v>14466</v>
      </c>
      <c r="FG73" s="35">
        <v>14434</v>
      </c>
      <c r="FH73" s="35">
        <v>14327.666666666701</v>
      </c>
      <c r="FI73" s="35">
        <v>14279</v>
      </c>
      <c r="FJ73" s="35">
        <v>14232.666666666701</v>
      </c>
      <c r="FK73" s="35">
        <v>14207.666666666701</v>
      </c>
      <c r="FL73" s="35">
        <v>14094</v>
      </c>
      <c r="FM73" s="35">
        <v>14080.666666666701</v>
      </c>
      <c r="FN73" s="35">
        <v>14067.666666666701</v>
      </c>
      <c r="FO73" s="35">
        <v>14044.333333333299</v>
      </c>
      <c r="FP73" s="35">
        <v>14034.333333333299</v>
      </c>
      <c r="FQ73" s="35">
        <v>14026.333333333299</v>
      </c>
      <c r="FR73" s="35">
        <v>14029.333333333299</v>
      </c>
      <c r="FS73" s="35">
        <v>14033</v>
      </c>
      <c r="FT73" s="35">
        <v>14031</v>
      </c>
      <c r="FU73" s="35">
        <v>14033.666666666701</v>
      </c>
      <c r="FV73" s="35">
        <v>14037.666666666701</v>
      </c>
      <c r="FW73" s="35">
        <v>14077</v>
      </c>
      <c r="FX73" s="35">
        <v>14120</v>
      </c>
      <c r="FY73" s="35">
        <v>14140</v>
      </c>
      <c r="FZ73" s="35">
        <v>14155</v>
      </c>
      <c r="GA73" s="35">
        <v>14181.666666666701</v>
      </c>
      <c r="GB73" s="35">
        <v>14214</v>
      </c>
      <c r="GC73" s="35">
        <v>14223.666666666701</v>
      </c>
      <c r="GD73" s="35">
        <v>14277</v>
      </c>
      <c r="GE73" s="35">
        <v>14297.666666666701</v>
      </c>
      <c r="GF73" s="35">
        <v>14369</v>
      </c>
      <c r="GG73" s="35">
        <v>14351</v>
      </c>
      <c r="GH73" s="35">
        <v>14352.333333333299</v>
      </c>
      <c r="GI73" s="35">
        <v>14369</v>
      </c>
      <c r="GJ73" s="35">
        <v>14373</v>
      </c>
      <c r="GK73" s="35">
        <v>14421.666666666701</v>
      </c>
      <c r="GL73" s="35">
        <v>14457.333333333299</v>
      </c>
      <c r="GM73" s="35">
        <v>14484.666666666701</v>
      </c>
      <c r="GN73" s="35">
        <v>14480.333333333299</v>
      </c>
      <c r="GO73" s="35">
        <v>14505.666666666701</v>
      </c>
      <c r="GP73" s="35">
        <v>14542.333333333299</v>
      </c>
      <c r="GQ73" s="35">
        <v>14594.666666666701</v>
      </c>
      <c r="GR73" s="35">
        <v>14564</v>
      </c>
      <c r="GS73" s="35">
        <v>14617</v>
      </c>
      <c r="GT73" s="35">
        <v>14685</v>
      </c>
      <c r="GU73" s="35">
        <v>13623.333333333299</v>
      </c>
      <c r="GV73" s="35">
        <v>13664</v>
      </c>
      <c r="GW73" s="35">
        <v>13706.333333333299</v>
      </c>
      <c r="GX73" s="35">
        <v>13753.333333333299</v>
      </c>
      <c r="GY73" s="35">
        <v>13875</v>
      </c>
      <c r="GZ73" s="35">
        <v>14041</v>
      </c>
      <c r="HA73" s="35">
        <v>14037.666666666701</v>
      </c>
      <c r="HB73" s="35">
        <v>14100.333333333299</v>
      </c>
      <c r="HC73">
        <v>14151.333333333299</v>
      </c>
      <c r="HD73">
        <v>14266</v>
      </c>
      <c r="HE73">
        <v>14325</v>
      </c>
      <c r="HF73">
        <v>14429.666666666701</v>
      </c>
      <c r="HG73">
        <v>14508.666666666701</v>
      </c>
      <c r="HH73">
        <v>14587</v>
      </c>
      <c r="HI73">
        <v>14672.666666666701</v>
      </c>
      <c r="HJ73">
        <v>14781.666666666701</v>
      </c>
    </row>
    <row r="74" spans="1:218" x14ac:dyDescent="0.25">
      <c r="A74" s="35" t="s">
        <v>2237</v>
      </c>
      <c r="B74" s="35">
        <v>23545.666666666701</v>
      </c>
      <c r="C74" s="35">
        <v>24037</v>
      </c>
      <c r="D74" s="35">
        <v>25485.666666666701</v>
      </c>
      <c r="E74" s="35">
        <v>25754.666666666701</v>
      </c>
      <c r="F74" s="35">
        <v>25713</v>
      </c>
      <c r="G74" s="35">
        <v>25998.666666666701</v>
      </c>
      <c r="H74" s="35">
        <v>25691</v>
      </c>
      <c r="I74" s="35">
        <v>26178.666666666701</v>
      </c>
      <c r="J74" s="35">
        <v>25519</v>
      </c>
      <c r="K74" s="35">
        <v>24875</v>
      </c>
      <c r="L74" s="35">
        <v>25641</v>
      </c>
      <c r="M74" s="35">
        <v>27114.333333333299</v>
      </c>
      <c r="N74" s="35">
        <v>27472.666666666701</v>
      </c>
      <c r="O74" s="35">
        <v>27079.333333333299</v>
      </c>
      <c r="P74" s="35">
        <v>27510</v>
      </c>
      <c r="Q74" s="35">
        <v>28620</v>
      </c>
      <c r="R74" s="35">
        <v>30923.666666666701</v>
      </c>
      <c r="S74" s="35">
        <v>33400.666666666701</v>
      </c>
      <c r="T74" s="35">
        <v>33701.666666666701</v>
      </c>
      <c r="U74" s="35">
        <v>33884</v>
      </c>
      <c r="V74" s="35">
        <v>37820.333333333299</v>
      </c>
      <c r="W74" s="35">
        <v>35429.666666666701</v>
      </c>
      <c r="X74" s="35">
        <v>36988.333333333299</v>
      </c>
      <c r="Y74" s="35">
        <v>39554</v>
      </c>
      <c r="Z74" s="35">
        <v>42554</v>
      </c>
      <c r="AA74" s="35">
        <v>38830.666666666701</v>
      </c>
      <c r="AB74" s="35">
        <v>36130</v>
      </c>
      <c r="AC74" s="35">
        <v>34359.666666666701</v>
      </c>
      <c r="AD74" s="35">
        <v>36034</v>
      </c>
      <c r="AE74" s="35">
        <v>37037.666666666701</v>
      </c>
      <c r="AF74" s="35">
        <v>35666.333333333299</v>
      </c>
      <c r="AG74" s="35">
        <v>35160</v>
      </c>
      <c r="AH74" s="35">
        <v>34095.333333333299</v>
      </c>
      <c r="AI74" s="35">
        <v>41889.666666666701</v>
      </c>
      <c r="AJ74" s="35">
        <v>43760.666666666701</v>
      </c>
      <c r="AK74" s="35">
        <v>45015.333333333299</v>
      </c>
      <c r="AL74" s="35">
        <v>40794</v>
      </c>
      <c r="AM74" s="35">
        <v>45875.333333333299</v>
      </c>
      <c r="AN74" s="35">
        <v>49343.666666666701</v>
      </c>
      <c r="AO74" s="35">
        <v>52609</v>
      </c>
      <c r="AP74" s="35">
        <v>55934.333333333299</v>
      </c>
      <c r="AQ74" s="35">
        <v>54112</v>
      </c>
      <c r="AR74" s="35">
        <v>52797</v>
      </c>
      <c r="AS74" s="35">
        <v>54381</v>
      </c>
      <c r="AT74" s="35">
        <v>60484</v>
      </c>
      <c r="AU74" s="35">
        <v>53862</v>
      </c>
      <c r="AV74" s="35">
        <v>52044</v>
      </c>
      <c r="AW74" s="35">
        <v>54313.666666666701</v>
      </c>
      <c r="AX74" s="35">
        <v>51944</v>
      </c>
      <c r="AY74" s="35">
        <v>52182.666666666701</v>
      </c>
      <c r="AZ74" s="35">
        <v>52486.333333333299</v>
      </c>
      <c r="BA74" s="35">
        <v>54765.333333333299</v>
      </c>
      <c r="BB74" s="35">
        <v>52678.333333333299</v>
      </c>
      <c r="BC74" s="35">
        <v>51386</v>
      </c>
      <c r="BD74" s="35">
        <v>53662.333333333299</v>
      </c>
      <c r="BE74" s="35">
        <v>53249</v>
      </c>
      <c r="BF74" s="35">
        <v>55752.333333333299</v>
      </c>
      <c r="BG74" s="35">
        <v>57382.666666666701</v>
      </c>
      <c r="BH74" s="35">
        <v>59910.333333333299</v>
      </c>
      <c r="BI74" s="35">
        <v>60890.666666666701</v>
      </c>
      <c r="BJ74" s="35">
        <v>62514.666666666701</v>
      </c>
      <c r="BK74" s="35">
        <v>65739.333333333299</v>
      </c>
      <c r="BL74" s="35">
        <v>67220</v>
      </c>
      <c r="BM74" s="35">
        <v>66558.333333333299</v>
      </c>
      <c r="BN74" s="35">
        <v>70815.333333333299</v>
      </c>
      <c r="BO74" s="35">
        <v>72215.333333333299</v>
      </c>
      <c r="BP74" s="35">
        <v>73843.333333333299</v>
      </c>
      <c r="BQ74" s="35">
        <v>71122.666666666701</v>
      </c>
      <c r="BR74" s="35">
        <v>75290</v>
      </c>
      <c r="BS74" s="35">
        <v>75025.666666666701</v>
      </c>
      <c r="BT74" s="35">
        <v>77047</v>
      </c>
      <c r="BU74" s="35">
        <v>78058</v>
      </c>
      <c r="BV74" s="35">
        <v>79349.666666666701</v>
      </c>
      <c r="BW74" s="35">
        <v>83348</v>
      </c>
      <c r="BX74" s="35">
        <v>82022.666666666701</v>
      </c>
      <c r="BY74" s="35">
        <v>84604</v>
      </c>
      <c r="BZ74" s="35">
        <v>83566.666666666701</v>
      </c>
      <c r="CA74" s="35">
        <v>85684</v>
      </c>
      <c r="CB74" s="35">
        <v>85730.333333333299</v>
      </c>
      <c r="CC74" s="35">
        <v>89358.333333333299</v>
      </c>
      <c r="CD74" s="35">
        <v>94388.333333333299</v>
      </c>
      <c r="CE74" s="35">
        <v>93807</v>
      </c>
      <c r="CF74" s="35">
        <v>94972</v>
      </c>
      <c r="CG74" s="35">
        <v>98807.666666666701</v>
      </c>
      <c r="CH74" s="35">
        <v>95253.666666666701</v>
      </c>
      <c r="CI74" s="35">
        <v>96128.666666666701</v>
      </c>
      <c r="CJ74" s="35">
        <v>97326.333333333299</v>
      </c>
      <c r="CK74" s="35">
        <v>99221</v>
      </c>
      <c r="CL74" s="35">
        <v>106368.66666666701</v>
      </c>
      <c r="CM74" s="35">
        <v>103446</v>
      </c>
      <c r="CN74" s="35">
        <v>99580.333333333299</v>
      </c>
      <c r="CO74" s="35">
        <v>98022.333333333299</v>
      </c>
      <c r="CP74" s="35">
        <v>102495</v>
      </c>
      <c r="CQ74" s="35">
        <v>111962</v>
      </c>
      <c r="CR74" s="35">
        <v>116124.66666666701</v>
      </c>
      <c r="CS74" s="35">
        <v>118029</v>
      </c>
      <c r="CT74" s="35">
        <v>111803</v>
      </c>
      <c r="CU74" s="35">
        <v>113545</v>
      </c>
      <c r="CV74" s="35">
        <v>118942</v>
      </c>
      <c r="CW74" s="35">
        <v>117294.33333333299</v>
      </c>
      <c r="CX74" s="35">
        <v>116848.66666666701</v>
      </c>
      <c r="CY74" s="35">
        <v>124434.33333333299</v>
      </c>
      <c r="CZ74" s="35">
        <v>125240</v>
      </c>
      <c r="DA74" s="35">
        <v>127572.66666666701</v>
      </c>
      <c r="DB74" s="35">
        <v>126179.33333333299</v>
      </c>
      <c r="DC74" s="35">
        <v>131672</v>
      </c>
      <c r="DD74" s="35">
        <v>131615</v>
      </c>
      <c r="DE74" s="35">
        <v>135638.66666666701</v>
      </c>
      <c r="DF74" s="35">
        <v>135471.66666666701</v>
      </c>
      <c r="DG74" s="35">
        <v>139479.33333333299</v>
      </c>
      <c r="DH74" s="35">
        <v>141385.33333333299</v>
      </c>
      <c r="DI74" s="35">
        <v>140102.66666666701</v>
      </c>
      <c r="DJ74" s="35">
        <v>133975</v>
      </c>
      <c r="DK74" s="35">
        <v>137818</v>
      </c>
      <c r="DL74" s="35">
        <v>143529.33333333299</v>
      </c>
      <c r="DM74" s="35">
        <v>144434.66666666701</v>
      </c>
      <c r="DN74" s="35">
        <v>150497</v>
      </c>
      <c r="DO74" s="35">
        <v>152515.33333333299</v>
      </c>
      <c r="DP74" s="35">
        <v>155465.33333333299</v>
      </c>
      <c r="DQ74" s="35">
        <v>163365.33333333299</v>
      </c>
      <c r="DR74" s="35">
        <v>168776.33333333299</v>
      </c>
      <c r="DS74" s="35">
        <v>165200.66666666701</v>
      </c>
      <c r="DT74" s="35">
        <v>166145</v>
      </c>
      <c r="DU74" s="35">
        <v>170616.66666666701</v>
      </c>
      <c r="DV74" s="35">
        <v>176411.33333333299</v>
      </c>
      <c r="DW74" s="35">
        <v>189275.66666666701</v>
      </c>
      <c r="DX74" s="35">
        <v>187116</v>
      </c>
      <c r="DY74" s="35">
        <v>193037.66666666701</v>
      </c>
      <c r="DZ74" s="35">
        <v>198023.33333333299</v>
      </c>
      <c r="EA74" s="35">
        <v>194794</v>
      </c>
      <c r="EB74" s="35">
        <v>196443.66666666701</v>
      </c>
      <c r="EC74" s="35">
        <v>199770.66666666701</v>
      </c>
      <c r="ED74" s="35">
        <v>197410.66666666701</v>
      </c>
      <c r="EE74" s="35">
        <v>195858</v>
      </c>
      <c r="EF74" s="35">
        <v>200686</v>
      </c>
      <c r="EG74" s="35">
        <v>199340</v>
      </c>
      <c r="EH74" s="35">
        <v>197322.33333333299</v>
      </c>
      <c r="EI74" s="35">
        <v>202356.33333333299</v>
      </c>
      <c r="EJ74" s="35">
        <v>202328</v>
      </c>
      <c r="EK74" s="35">
        <v>204931</v>
      </c>
      <c r="EL74" s="35">
        <v>207202</v>
      </c>
      <c r="EM74" s="35">
        <v>215946</v>
      </c>
      <c r="EN74" s="35">
        <v>219407.66666666701</v>
      </c>
      <c r="EO74" s="35">
        <v>222763.66666666701</v>
      </c>
      <c r="EP74" s="35">
        <v>230117.66666666701</v>
      </c>
      <c r="EQ74" s="35">
        <v>238436</v>
      </c>
      <c r="ER74" s="35">
        <v>238965</v>
      </c>
      <c r="ES74" s="35">
        <v>242956.33333333299</v>
      </c>
      <c r="ET74" s="35">
        <v>258254.33333333299</v>
      </c>
      <c r="EU74" s="35">
        <v>266203.66666666698</v>
      </c>
      <c r="EV74" s="35">
        <v>271640.33333333302</v>
      </c>
      <c r="EW74" s="35">
        <v>276454.66666666698</v>
      </c>
      <c r="EX74" s="35">
        <v>278038.33333333302</v>
      </c>
      <c r="EY74" s="35">
        <v>283074.33333333302</v>
      </c>
      <c r="EZ74" s="35">
        <v>287093.66666666698</v>
      </c>
      <c r="FA74" s="35">
        <v>288334</v>
      </c>
      <c r="FB74" s="35">
        <v>289591.33333333302</v>
      </c>
      <c r="FC74" s="35">
        <v>292223.66666666698</v>
      </c>
      <c r="FD74" s="35">
        <v>287368</v>
      </c>
      <c r="FE74" s="35">
        <v>274301</v>
      </c>
      <c r="FF74" s="35">
        <v>268022</v>
      </c>
      <c r="FG74" s="35">
        <v>274526.66666666698</v>
      </c>
      <c r="FH74" s="35">
        <v>277232.33333333302</v>
      </c>
      <c r="FI74" s="35">
        <v>269906.33333333302</v>
      </c>
      <c r="FJ74" s="35">
        <v>258077</v>
      </c>
      <c r="FK74" s="35">
        <v>251739</v>
      </c>
      <c r="FL74" s="35">
        <v>253215.33333333299</v>
      </c>
      <c r="FM74" s="35">
        <v>258046</v>
      </c>
      <c r="FN74" s="35">
        <v>254528.33333333299</v>
      </c>
      <c r="FO74" s="35">
        <v>254598.66666666701</v>
      </c>
      <c r="FP74" s="35">
        <v>252248.66666666701</v>
      </c>
      <c r="FQ74" s="35">
        <v>246424.33333333299</v>
      </c>
      <c r="FR74" s="35">
        <v>242924.33333333299</v>
      </c>
      <c r="FS74" s="35">
        <v>245991.66666666701</v>
      </c>
      <c r="FT74" s="35">
        <v>249225</v>
      </c>
      <c r="FU74" s="35">
        <v>247543.33333333299</v>
      </c>
      <c r="FV74" s="35">
        <v>242281</v>
      </c>
      <c r="FW74" s="35">
        <v>251080</v>
      </c>
      <c r="FX74" s="35">
        <v>258128</v>
      </c>
      <c r="FY74" s="35">
        <v>260687.66666666701</v>
      </c>
      <c r="FZ74" s="35">
        <v>259584</v>
      </c>
      <c r="GA74" s="35">
        <v>273165.33333333302</v>
      </c>
      <c r="GB74" s="35">
        <v>279160.66666666698</v>
      </c>
      <c r="GC74" s="35">
        <v>269714.66666666698</v>
      </c>
      <c r="GD74" s="35">
        <v>278853</v>
      </c>
      <c r="GE74" s="35">
        <v>273154</v>
      </c>
      <c r="GF74" s="35">
        <v>272552.66666666698</v>
      </c>
      <c r="GG74" s="35">
        <v>276613</v>
      </c>
      <c r="GH74" s="35">
        <v>272002.33333333302</v>
      </c>
      <c r="GI74" s="35">
        <v>273260.33333333302</v>
      </c>
      <c r="GJ74" s="35">
        <v>275498.66666666698</v>
      </c>
      <c r="GK74" s="35">
        <v>281479</v>
      </c>
      <c r="GL74" s="35">
        <v>280538.66666666698</v>
      </c>
      <c r="GM74" s="35">
        <v>290258</v>
      </c>
      <c r="GN74" s="35">
        <v>294040</v>
      </c>
      <c r="GO74" s="35">
        <v>286080</v>
      </c>
      <c r="GP74" s="35">
        <v>301680.66666666698</v>
      </c>
      <c r="GQ74" s="35">
        <v>320618</v>
      </c>
      <c r="GR74" s="35">
        <v>323840.33333333302</v>
      </c>
      <c r="GS74" s="35">
        <v>324321.66666666698</v>
      </c>
      <c r="GT74" s="35">
        <v>343394.66666666698</v>
      </c>
      <c r="GU74" s="35">
        <v>342896</v>
      </c>
      <c r="GV74" s="35">
        <v>335544.66666666698</v>
      </c>
      <c r="GW74" s="35">
        <v>341308</v>
      </c>
      <c r="GX74" s="35">
        <v>339069.33333333302</v>
      </c>
      <c r="GY74" s="35">
        <v>334613.66666666698</v>
      </c>
      <c r="GZ74" s="35">
        <v>329916</v>
      </c>
      <c r="HA74" s="35">
        <v>330081.66666666698</v>
      </c>
      <c r="HB74">
        <v>337359</v>
      </c>
      <c r="HC74">
        <v>342241.33333333302</v>
      </c>
      <c r="HD74">
        <v>352124.66666666698</v>
      </c>
      <c r="HE74">
        <v>358350</v>
      </c>
      <c r="HF74">
        <v>370365</v>
      </c>
      <c r="HG74">
        <v>389196.33333333302</v>
      </c>
      <c r="HH74">
        <v>410267.66666666698</v>
      </c>
      <c r="HI74">
        <v>439774.33333333302</v>
      </c>
      <c r="HJ74">
        <v>445813.33333333302</v>
      </c>
    </row>
    <row r="75" spans="1:218" x14ac:dyDescent="0.25">
      <c r="A75" s="35" t="s">
        <v>2238</v>
      </c>
      <c r="B75" s="35">
        <v>1.44276850123595E-2</v>
      </c>
      <c r="C75" s="35">
        <v>1.44276850123595E-2</v>
      </c>
      <c r="D75" s="35">
        <v>8.2052812173654104E-3</v>
      </c>
      <c r="E75" s="35">
        <v>1.30709282825294E-2</v>
      </c>
      <c r="F75" s="35">
        <v>1.5141925118068E-2</v>
      </c>
      <c r="G75" s="35">
        <v>1.3429256594724E-2</v>
      </c>
      <c r="H75" s="35">
        <v>1.00804543303361E-2</v>
      </c>
      <c r="I75" s="35">
        <v>8.2931171812772302E-3</v>
      </c>
      <c r="J75" s="35">
        <v>1.60315985130111E-2</v>
      </c>
      <c r="K75" s="35">
        <v>6.1285158929795802E-3</v>
      </c>
      <c r="L75" s="35">
        <v>9.0458657211691697E-3</v>
      </c>
      <c r="M75" s="35">
        <v>1.13523740877557E-2</v>
      </c>
      <c r="N75" s="35">
        <v>1.2694877505567999E-2</v>
      </c>
      <c r="O75" s="35">
        <v>1.6538376951836398E-2</v>
      </c>
      <c r="P75" s="35">
        <v>1.9125091947557401E-2</v>
      </c>
      <c r="Q75" s="35">
        <v>1.7322634059355298E-2</v>
      </c>
      <c r="R75" s="35">
        <v>2.02412253244857E-2</v>
      </c>
      <c r="S75" s="35">
        <v>2.2212222858545301E-2</v>
      </c>
      <c r="T75" s="35">
        <v>3.08135579655049E-2</v>
      </c>
      <c r="U75" s="35">
        <v>3.0358321363406899E-2</v>
      </c>
      <c r="V75" s="35">
        <v>2.2606533288120199E-2</v>
      </c>
      <c r="W75" s="35">
        <v>1.44799381010281E-2</v>
      </c>
      <c r="X75" s="35">
        <v>1.7687223069659402E-2</v>
      </c>
      <c r="Y75" s="35">
        <v>1.6701759394739599E-2</v>
      </c>
      <c r="Z75" s="35">
        <v>1.09164940854365E-2</v>
      </c>
      <c r="AA75" s="35">
        <v>0.01</v>
      </c>
      <c r="AB75" s="35">
        <v>1.27544004400439E-2</v>
      </c>
      <c r="AC75" s="35">
        <v>1.7006687260260101E-2</v>
      </c>
      <c r="AD75" s="35">
        <v>1.6121495327102699E-2</v>
      </c>
      <c r="AE75" s="35">
        <v>1.5832867982787501E-2</v>
      </c>
      <c r="AF75" s="35">
        <v>1.3775262732417E-2</v>
      </c>
      <c r="AG75" s="35">
        <v>1.6713980415297799E-2</v>
      </c>
      <c r="AH75" s="35">
        <v>1.6376470588235201E-2</v>
      </c>
      <c r="AI75" s="35">
        <v>1.9940117912152298E-2</v>
      </c>
      <c r="AJ75" s="35">
        <v>1.7643676421632299E-2</v>
      </c>
      <c r="AK75" s="35">
        <v>1.97763635282222E-2</v>
      </c>
      <c r="AL75" s="35">
        <v>1.8663789332477899E-2</v>
      </c>
      <c r="AM75" s="35">
        <v>2.4161919212161199E-2</v>
      </c>
      <c r="AN75" s="35">
        <v>2.08805031446542E-2</v>
      </c>
      <c r="AO75" s="35">
        <v>1.8235584031542702E-2</v>
      </c>
      <c r="AP75" s="35">
        <v>2.1861890932558699E-2</v>
      </c>
      <c r="AQ75" s="35">
        <v>2.3736217467961399E-2</v>
      </c>
      <c r="AR75" s="35">
        <v>2.22861990077887E-2</v>
      </c>
      <c r="AS75" s="35">
        <v>2.65275333165702E-2</v>
      </c>
      <c r="AT75" s="35">
        <v>2.6503368034292499E-2</v>
      </c>
      <c r="AU75" s="35">
        <v>1.8779678812609099E-2</v>
      </c>
      <c r="AV75" s="35">
        <v>1.94406708202557E-2</v>
      </c>
      <c r="AW75" s="35">
        <v>1.6519621358330999E-2</v>
      </c>
      <c r="AX75" s="35">
        <v>1.4329950500644201E-2</v>
      </c>
      <c r="AY75" s="35">
        <v>1.3280745147848501E-2</v>
      </c>
      <c r="AZ75" s="35">
        <v>1.38763661953247E-2</v>
      </c>
      <c r="BA75" s="35">
        <v>1.01292729481173E-2</v>
      </c>
      <c r="BB75" s="35">
        <v>7.9878035687444005E-3</v>
      </c>
      <c r="BC75" s="35">
        <v>7.4132458513516096E-3</v>
      </c>
      <c r="BD75" s="35">
        <v>1.0636273286671801E-2</v>
      </c>
      <c r="BE75" s="35">
        <v>7.4695568481399901E-3</v>
      </c>
      <c r="BF75" s="35">
        <v>9.8648003156733798E-3</v>
      </c>
      <c r="BG75" s="35">
        <v>8.9869617077285007E-3</v>
      </c>
      <c r="BH75" s="35">
        <v>9.0292073456574896E-3</v>
      </c>
      <c r="BI75" s="35">
        <v>6.9890518321011896E-3</v>
      </c>
      <c r="BJ75" s="35">
        <v>1.02503410093879E-2</v>
      </c>
      <c r="BK75" s="35">
        <v>5.8971864265431303E-3</v>
      </c>
      <c r="BL75" s="35">
        <v>6.6521910777734804E-3</v>
      </c>
      <c r="BM75" s="35">
        <v>5.1963841010256298E-3</v>
      </c>
      <c r="BN75" s="35">
        <v>4.9354297530335199E-3</v>
      </c>
      <c r="BO75" s="35">
        <v>3.4941279239055802E-3</v>
      </c>
      <c r="BP75" s="35">
        <v>4.7586807234742999E-3</v>
      </c>
      <c r="BQ75" s="35">
        <v>5.9490575845671002E-3</v>
      </c>
      <c r="BR75" s="35">
        <v>5.8181818181819401E-3</v>
      </c>
      <c r="BS75" s="35">
        <v>6.7930129010160796E-3</v>
      </c>
      <c r="BT75" s="35">
        <v>7.7299616336867797E-3</v>
      </c>
      <c r="BU75" s="35">
        <v>7.5018754688671602E-3</v>
      </c>
      <c r="BV75" s="35">
        <v>7.7252419955324801E-3</v>
      </c>
      <c r="BW75" s="35">
        <v>9.9935346818140793E-3</v>
      </c>
      <c r="BX75" s="35">
        <v>1.22357158533908E-2</v>
      </c>
      <c r="BY75" s="35">
        <v>9.1968560845605597E-3</v>
      </c>
      <c r="BZ75" s="35">
        <v>9.6322555233287997E-3</v>
      </c>
      <c r="CA75" s="35">
        <v>1.0817137182579199E-2</v>
      </c>
      <c r="CB75" s="35">
        <v>7.4207922529032598E-3</v>
      </c>
      <c r="CC75" s="35">
        <v>6.8262951676099099E-3</v>
      </c>
      <c r="CD75" s="35">
        <v>1.0896449141256001E-2</v>
      </c>
      <c r="CE75" s="35">
        <v>1.11896247882697E-2</v>
      </c>
      <c r="CF75" s="35">
        <v>8.6462158000710793E-3</v>
      </c>
      <c r="CG75" s="35">
        <v>7.6326914044151399E-3</v>
      </c>
      <c r="CH75" s="35">
        <v>9.7224765678325404E-3</v>
      </c>
      <c r="CI75" s="35">
        <v>7.2051573758058502E-3</v>
      </c>
      <c r="CJ75" s="35">
        <v>7.6774489261393101E-3</v>
      </c>
      <c r="CK75" s="35">
        <v>5.8157480059131102E-3</v>
      </c>
      <c r="CL75" s="35">
        <v>3.9893402245012597E-3</v>
      </c>
      <c r="CM75" s="35">
        <v>5.9682764389821204E-3</v>
      </c>
      <c r="CN75" s="35">
        <v>4.7974669374570801E-3</v>
      </c>
      <c r="CO75" s="35">
        <v>7.0345200770296499E-3</v>
      </c>
      <c r="CP75" s="35">
        <v>5.9581193204267802E-3</v>
      </c>
      <c r="CQ75" s="35">
        <v>5.8914095393702796E-3</v>
      </c>
      <c r="CR75" s="35">
        <v>5.0291283364831702E-3</v>
      </c>
      <c r="CS75" s="35">
        <v>5.8742171595518302E-3</v>
      </c>
      <c r="CT75" s="35">
        <v>5.1137855917933201E-3</v>
      </c>
      <c r="CU75" s="35">
        <v>4.7803498416796302E-3</v>
      </c>
      <c r="CV75" s="35">
        <v>5.3236243479324302E-3</v>
      </c>
      <c r="CW75" s="35">
        <v>5.5693351796339803E-3</v>
      </c>
      <c r="CX75" s="35">
        <v>5.7049468093155501E-3</v>
      </c>
      <c r="CY75" s="35">
        <v>4.8901594944328296E-3</v>
      </c>
      <c r="CZ75" s="35">
        <v>4.4770532305158399E-3</v>
      </c>
      <c r="DA75" s="35">
        <v>4.7254188778247403E-3</v>
      </c>
      <c r="DB75" s="35">
        <v>4.6141748638746103E-3</v>
      </c>
      <c r="DC75" s="35">
        <v>4.0760869565217303E-3</v>
      </c>
      <c r="DD75" s="35">
        <v>4.8537977290110702E-3</v>
      </c>
      <c r="DE75" s="35">
        <v>4.2302175122221897E-3</v>
      </c>
      <c r="DF75" s="35">
        <v>4.4893378226713602E-3</v>
      </c>
      <c r="DG75" s="35">
        <v>4.9771457592684403E-3</v>
      </c>
      <c r="DH75" s="35">
        <v>2.9743856305408699E-3</v>
      </c>
      <c r="DI75" s="35">
        <v>3.5845905792928302E-3</v>
      </c>
      <c r="DJ75" s="35">
        <v>1.00411687920476E-3</v>
      </c>
      <c r="DK75" s="35">
        <v>2.5937549259849001E-3</v>
      </c>
      <c r="DL75" s="35">
        <v>3.8734206163169001E-3</v>
      </c>
      <c r="DM75" s="35">
        <v>2.6909660425715699E-3</v>
      </c>
      <c r="DN75" s="35">
        <v>2.7121435874131201E-3</v>
      </c>
      <c r="DO75" s="35">
        <v>4.5174537987679999E-3</v>
      </c>
      <c r="DP75" s="35">
        <v>3.8486480390220699E-3</v>
      </c>
      <c r="DQ75" s="35">
        <v>5.2522926116815903E-3</v>
      </c>
      <c r="DR75" s="35">
        <v>6.6637794945587601E-3</v>
      </c>
      <c r="DS75" s="35">
        <v>6.0090482666739203E-3</v>
      </c>
      <c r="DT75" s="35">
        <v>6.2628464223144498E-3</v>
      </c>
      <c r="DU75" s="35">
        <v>5.4287476866132804E-3</v>
      </c>
      <c r="DV75" s="35">
        <v>6.8447389591088604E-3</v>
      </c>
      <c r="DW75" s="35">
        <v>6.6627845564235502E-3</v>
      </c>
      <c r="DX75" s="35">
        <v>3.0268379632745201E-3</v>
      </c>
      <c r="DY75" s="35">
        <v>3.2322961373389999E-3</v>
      </c>
      <c r="DZ75" s="35">
        <v>2.6336546302856401E-3</v>
      </c>
      <c r="EA75" s="35">
        <v>3.96010560281601E-3</v>
      </c>
      <c r="EB75" s="35">
        <v>4.4890098944152497E-3</v>
      </c>
      <c r="EC75" s="35">
        <v>5.8175664061983498E-3</v>
      </c>
      <c r="ED75" s="35">
        <v>5.3764147595074504E-3</v>
      </c>
      <c r="EE75" s="35">
        <v>3.4517925786459202E-3</v>
      </c>
      <c r="EF75" s="35">
        <v>5.7201678263363301E-3</v>
      </c>
      <c r="EG75" s="35">
        <v>5.8042365744639399E-3</v>
      </c>
      <c r="EH75" s="35">
        <v>7.1876650393518596E-3</v>
      </c>
      <c r="EI75" s="35">
        <v>8.1083500658643004E-3</v>
      </c>
      <c r="EJ75" s="35">
        <v>6.3177925784965198E-3</v>
      </c>
      <c r="EK75" s="35">
        <v>7.72789733116519E-3</v>
      </c>
      <c r="EL75" s="35">
        <v>7.6811449159326396E-3</v>
      </c>
      <c r="EM75" s="35">
        <v>7.2873991309745402E-3</v>
      </c>
      <c r="EN75" s="35">
        <v>9.46547197949155E-3</v>
      </c>
      <c r="EO75" s="35">
        <v>7.9604419754593092E-3</v>
      </c>
      <c r="EP75" s="35">
        <v>7.00122339716813E-3</v>
      </c>
      <c r="EQ75" s="35">
        <v>8.85307030733129E-3</v>
      </c>
      <c r="ER75" s="35">
        <v>7.3326894874272703E-3</v>
      </c>
      <c r="ES75" s="35">
        <v>3.7876097815021702E-3</v>
      </c>
      <c r="ET75" s="35">
        <v>1.0011084121406499E-2</v>
      </c>
      <c r="EU75" s="35">
        <v>6.3744089662014503E-3</v>
      </c>
      <c r="EV75" s="35">
        <v>4.2574912123989296E-3</v>
      </c>
      <c r="EW75" s="35">
        <v>4.7823676185194701E-3</v>
      </c>
      <c r="EX75" s="35">
        <v>4.3342300705893101E-3</v>
      </c>
      <c r="EY75" s="35">
        <v>3.6515985759910702E-3</v>
      </c>
      <c r="EZ75" s="35">
        <v>7.78986746960486E-3</v>
      </c>
      <c r="FA75" s="35">
        <v>1.69758151220556E-3</v>
      </c>
      <c r="FB75" s="35">
        <v>2.8245076883104398E-4</v>
      </c>
      <c r="FC75" s="35">
        <v>-1.3327911809885001E-3</v>
      </c>
      <c r="FD75" s="35">
        <v>6.3335519916751803E-4</v>
      </c>
      <c r="FE75" s="35">
        <v>3.6620928182291598E-3</v>
      </c>
      <c r="FF75" s="35">
        <v>2.4775332777764399E-3</v>
      </c>
      <c r="FG75" s="35">
        <v>4.6395111101125196E-3</v>
      </c>
      <c r="FH75" s="35">
        <v>3.6229048092943899E-3</v>
      </c>
      <c r="FI75" s="35">
        <v>5.7378419029581202E-3</v>
      </c>
      <c r="FJ75" s="35">
        <v>4.8742660906169197E-3</v>
      </c>
      <c r="FK75" s="35">
        <v>7.1987652959983901E-3</v>
      </c>
      <c r="FL75" s="35">
        <v>5.22093188708772E-3</v>
      </c>
      <c r="FM75" s="35">
        <v>1.20862369337971E-3</v>
      </c>
      <c r="FN75" s="35">
        <v>5.9161944948942198E-3</v>
      </c>
      <c r="FO75" s="35">
        <v>4.1731985512729599E-3</v>
      </c>
      <c r="FP75" s="35">
        <v>6.2230165480561296E-3</v>
      </c>
      <c r="FQ75" s="35">
        <v>4.3869504274600696E-3</v>
      </c>
      <c r="FR75" s="35">
        <v>3.5688033323033599E-3</v>
      </c>
      <c r="FS75" s="35">
        <v>2.8661203345932101E-3</v>
      </c>
      <c r="FT75" s="35">
        <v>5.4512352604949603E-3</v>
      </c>
      <c r="FU75" s="35">
        <v>5.1374369663854703E-3</v>
      </c>
      <c r="FV75" s="35">
        <v>3.8019627763754599E-3</v>
      </c>
      <c r="FW75" s="35">
        <v>5.2483305509181096E-3</v>
      </c>
      <c r="FX75" s="35">
        <v>4.34904455954244E-3</v>
      </c>
      <c r="FY75" s="35">
        <v>3.92716148901462E-4</v>
      </c>
      <c r="FZ75" s="35">
        <v>-5.9917355371896797E-4</v>
      </c>
      <c r="GA75" s="35">
        <v>5.7885923383846896E-3</v>
      </c>
      <c r="GB75" s="35">
        <v>2.4048837639514299E-3</v>
      </c>
      <c r="GC75" s="35">
        <v>-9.22736220472231E-5</v>
      </c>
      <c r="GD75" s="35">
        <v>-6.04960677555888E-4</v>
      </c>
      <c r="GE75" s="35">
        <v>6.5662576435343602E-3</v>
      </c>
      <c r="GF75" s="35">
        <v>2.6909120561013902E-3</v>
      </c>
      <c r="GG75" s="35">
        <v>5.2047330541211698E-3</v>
      </c>
      <c r="GH75" s="35">
        <v>5.1069940536385703E-3</v>
      </c>
      <c r="GI75" s="35">
        <v>2.6864139894757799E-3</v>
      </c>
      <c r="GJ75" s="35">
        <v>5.19788070964111E-3</v>
      </c>
      <c r="GK75" s="35">
        <v>6.0494739153871303E-3</v>
      </c>
      <c r="GL75" s="35">
        <v>6.4298471919030896E-3</v>
      </c>
      <c r="GM75" s="35">
        <v>7.0197578577908502E-3</v>
      </c>
      <c r="GN75" s="35">
        <v>4.3665557078520498E-3</v>
      </c>
      <c r="GO75" s="35">
        <v>4.0843779853001498E-3</v>
      </c>
      <c r="GP75" s="35">
        <v>3.5920586379303301E-3</v>
      </c>
      <c r="GQ75" s="35">
        <v>4.8657799274485197E-3</v>
      </c>
      <c r="GR75" s="35">
        <v>3.2249369452625998E-3</v>
      </c>
      <c r="GS75" s="35">
        <v>3.3872933319261098E-3</v>
      </c>
      <c r="GT75" s="35">
        <v>4.5521488820456897E-3</v>
      </c>
      <c r="GU75" s="35">
        <v>-3.6271205803393202E-3</v>
      </c>
      <c r="GV75" s="35">
        <v>8.9049407133508004E-3</v>
      </c>
      <c r="GW75" s="35">
        <v>6.9796293314896597E-3</v>
      </c>
      <c r="GX75" s="35">
        <v>1.3175961628891101E-2</v>
      </c>
      <c r="GY75" s="35">
        <v>1.4861089194382299E-2</v>
      </c>
      <c r="GZ75" s="35">
        <v>1.48629861339773E-2</v>
      </c>
      <c r="HA75" s="35">
        <v>1.7132763142478701E-2</v>
      </c>
      <c r="HB75" s="35">
        <v>2.05922486664658E-2</v>
      </c>
      <c r="HC75">
        <v>2.1895782327099499E-2</v>
      </c>
      <c r="HD75">
        <v>1.08407530755115E-2</v>
      </c>
      <c r="HE75">
        <v>9.5394183896453395E-3</v>
      </c>
      <c r="HF75">
        <v>9.5658327436207707E-3</v>
      </c>
      <c r="HG75">
        <v>4.3293970180762198E-3</v>
      </c>
      <c r="HH75">
        <v>8.2355549351746903E-3</v>
      </c>
      <c r="HI75">
        <v>4.0474949508111403E-3</v>
      </c>
      <c r="HJ75">
        <v>7.5351410101469601E-3</v>
      </c>
    </row>
    <row r="76" spans="1:218" x14ac:dyDescent="0.25">
      <c r="A76" s="35" t="s">
        <v>2239</v>
      </c>
      <c r="B76" s="35">
        <v>1.1057395597613699E-2</v>
      </c>
      <c r="C76" s="35">
        <v>1.1057395597613699E-2</v>
      </c>
      <c r="D76" s="35">
        <v>9.7665191515337001E-3</v>
      </c>
      <c r="E76" s="35">
        <v>1.29464510604E-2</v>
      </c>
      <c r="F76" s="35">
        <v>9.4987069822955999E-3</v>
      </c>
      <c r="G76" s="35">
        <v>1.1379870929602499E-2</v>
      </c>
      <c r="H76" s="35">
        <v>9.8392596200680398E-3</v>
      </c>
      <c r="I76" s="35">
        <v>6.1740304842754501E-3</v>
      </c>
      <c r="J76" s="35">
        <v>1.05465004793863E-2</v>
      </c>
      <c r="K76" s="35">
        <v>5.78747628083498E-3</v>
      </c>
      <c r="L76" s="35">
        <v>8.7727572870483998E-3</v>
      </c>
      <c r="M76" s="35">
        <v>8.1354030297362493E-3</v>
      </c>
      <c r="N76" s="35">
        <v>1.2104628513125E-2</v>
      </c>
      <c r="O76" s="35">
        <v>1.9199926682857499E-2</v>
      </c>
      <c r="P76" s="35">
        <v>1.8208794173185699E-2</v>
      </c>
      <c r="Q76" s="35">
        <v>2.04442089459973E-2</v>
      </c>
      <c r="R76" s="35">
        <v>2.977066205106E-2</v>
      </c>
      <c r="S76" s="35">
        <v>2.83217077065301E-2</v>
      </c>
      <c r="T76" s="35">
        <v>2.69695979078131E-2</v>
      </c>
      <c r="U76" s="35">
        <v>2.5425752029285299E-2</v>
      </c>
      <c r="V76" s="35">
        <v>1.88196034302122E-2</v>
      </c>
      <c r="W76" s="35">
        <v>1.22638634978671E-2</v>
      </c>
      <c r="X76" s="35">
        <v>1.8737301527579402E-2</v>
      </c>
      <c r="Y76" s="35">
        <v>1.6767617077854999E-2</v>
      </c>
      <c r="Z76" s="35">
        <v>1.1006175081729E-2</v>
      </c>
      <c r="AA76" s="35">
        <v>8.3713577408113197E-3</v>
      </c>
      <c r="AB76" s="35">
        <v>1.51785078030358E-2</v>
      </c>
      <c r="AC76" s="35">
        <v>1.57939070616313E-2</v>
      </c>
      <c r="AD76" s="35">
        <v>1.8070624006633999E-2</v>
      </c>
      <c r="AE76" s="35">
        <v>1.71050398778212E-2</v>
      </c>
      <c r="AF76" s="35">
        <v>1.50488838466416E-2</v>
      </c>
      <c r="AG76" s="35">
        <v>1.42011834319526E-2</v>
      </c>
      <c r="AH76" s="35">
        <v>1.64008816284196E-2</v>
      </c>
      <c r="AI76" s="35">
        <v>2.0537024044901001E-2</v>
      </c>
      <c r="AJ76" s="35">
        <v>1.75614024123492E-2</v>
      </c>
      <c r="AK76" s="35">
        <v>1.8885886254759801E-2</v>
      </c>
      <c r="AL76" s="35">
        <v>1.8837216311522201E-2</v>
      </c>
      <c r="AM76" s="35">
        <v>2.7334043308484102E-2</v>
      </c>
      <c r="AN76" s="35">
        <v>2.4821469707440699E-2</v>
      </c>
      <c r="AO76" s="35">
        <v>2.41921888170833E-2</v>
      </c>
      <c r="AP76" s="35">
        <v>3.00128940221118E-2</v>
      </c>
      <c r="AQ76" s="35">
        <v>2.44772939139699E-2</v>
      </c>
      <c r="AR76" s="35">
        <v>2.3398502495840301E-2</v>
      </c>
      <c r="AS76" s="35">
        <v>2.4743420384107501E-2</v>
      </c>
      <c r="AT76" s="35">
        <v>2.5930884029947001E-2</v>
      </c>
      <c r="AU76" s="35">
        <v>1.6769766093176298E-2</v>
      </c>
      <c r="AV76" s="35">
        <v>1.6493179333618501E-2</v>
      </c>
      <c r="AW76" s="35">
        <v>1.5313756663237799E-2</v>
      </c>
      <c r="AX76" s="35">
        <v>1.27109862527921E-2</v>
      </c>
      <c r="AY76" s="35">
        <v>9.6182268810114397E-3</v>
      </c>
      <c r="AZ76" s="35">
        <v>1.5787577136165101E-2</v>
      </c>
      <c r="BA76" s="35">
        <v>1.10413941422964E-2</v>
      </c>
      <c r="BB76" s="35">
        <v>8.2673625578386593E-3</v>
      </c>
      <c r="BC76" s="35">
        <v>9.1348036017226998E-3</v>
      </c>
      <c r="BD76" s="35">
        <v>1.31471184102763E-2</v>
      </c>
      <c r="BE76" s="35">
        <v>6.5946221919672698E-3</v>
      </c>
      <c r="BF76" s="35">
        <v>1.0820406610592101E-2</v>
      </c>
      <c r="BG76" s="35">
        <v>9.6801170813296498E-3</v>
      </c>
      <c r="BH76" s="35">
        <v>7.7236866626633196E-3</v>
      </c>
      <c r="BI76" s="35">
        <v>6.1644680064112398E-3</v>
      </c>
      <c r="BJ76" s="35">
        <v>1.18041089735734E-2</v>
      </c>
      <c r="BK76" s="35">
        <v>8.0938155982561693E-3</v>
      </c>
      <c r="BL76" s="35">
        <v>7.8486334968466097E-3</v>
      </c>
      <c r="BM76" s="35">
        <v>6.9730019667442198E-3</v>
      </c>
      <c r="BN76" s="35">
        <v>7.08254419191912E-3</v>
      </c>
      <c r="BO76" s="35">
        <v>-1.0578486492839299E-3</v>
      </c>
      <c r="BP76" s="35">
        <v>5.2948443904063903E-3</v>
      </c>
      <c r="BQ76" s="35">
        <v>6.0472465520942098E-3</v>
      </c>
      <c r="BR76" s="35">
        <v>9.4623155527115994E-3</v>
      </c>
      <c r="BS76" s="35">
        <v>9.6617429553793599E-3</v>
      </c>
      <c r="BT76" s="35">
        <v>9.4741648276386297E-3</v>
      </c>
      <c r="BU76" s="35">
        <v>8.6314123101278693E-3</v>
      </c>
      <c r="BV76" s="35">
        <v>7.9035874439461508E-3</v>
      </c>
      <c r="BW76" s="35">
        <v>1.10486995532322E-2</v>
      </c>
      <c r="BX76" s="35">
        <v>1.2321458039201301E-2</v>
      </c>
      <c r="BY76" s="35">
        <v>1.0106681639528299E-2</v>
      </c>
      <c r="BZ76" s="35">
        <v>1.14938406641683E-2</v>
      </c>
      <c r="CA76" s="35">
        <v>1.34727885126751E-2</v>
      </c>
      <c r="CB76" s="35">
        <v>5.8947000174915899E-3</v>
      </c>
      <c r="CC76" s="35">
        <v>7.85991270627928E-3</v>
      </c>
      <c r="CD76" s="35">
        <v>1.4493003675011501E-2</v>
      </c>
      <c r="CE76" s="35">
        <v>9.0817871052228903E-3</v>
      </c>
      <c r="CF76" s="35">
        <v>1.27079365614415E-2</v>
      </c>
      <c r="CG76" s="35">
        <v>1.3230815317789101E-2</v>
      </c>
      <c r="CH76" s="35">
        <v>5.2560691173089103E-3</v>
      </c>
      <c r="CI76" s="35">
        <v>5.4573379954903096E-3</v>
      </c>
      <c r="CJ76" s="35">
        <v>6.7927717108684496E-3</v>
      </c>
      <c r="CK76" s="35">
        <v>7.2634535300384303E-3</v>
      </c>
      <c r="CL76" s="35">
        <v>6.2656239984615301E-3</v>
      </c>
      <c r="CM76" s="35">
        <v>6.64065610319287E-3</v>
      </c>
      <c r="CN76" s="35">
        <v>6.3753717648546999E-3</v>
      </c>
      <c r="CO76" s="35">
        <v>6.9794859702898603E-3</v>
      </c>
      <c r="CP76" s="35">
        <v>5.9632526264849998E-3</v>
      </c>
      <c r="CQ76" s="35">
        <v>6.7193246535590702E-3</v>
      </c>
      <c r="CR76" s="35">
        <v>4.3314733175079398E-3</v>
      </c>
      <c r="CS76" s="35">
        <v>5.7708541171055403E-3</v>
      </c>
      <c r="CT76" s="35">
        <v>3.58608902656754E-3</v>
      </c>
      <c r="CU76" s="35">
        <v>5.5803910835383599E-3</v>
      </c>
      <c r="CV76" s="35">
        <v>7.16737483555874E-3</v>
      </c>
      <c r="CW76" s="35">
        <v>4.69920578918126E-3</v>
      </c>
      <c r="CX76" s="35">
        <v>4.8864315600716203E-3</v>
      </c>
      <c r="CY76" s="35">
        <v>5.8292563237021299E-3</v>
      </c>
      <c r="CZ76" s="35">
        <v>4.0804861100844896E-3</v>
      </c>
      <c r="DA76" s="35">
        <v>4.40256202606193E-3</v>
      </c>
      <c r="DB76" s="35">
        <v>5.5560442137978496E-3</v>
      </c>
      <c r="DC76" s="35">
        <v>6.6916449200355999E-3</v>
      </c>
      <c r="DD76" s="35">
        <v>4.25766089323987E-3</v>
      </c>
      <c r="DE76" s="35">
        <v>6.82086926426906E-3</v>
      </c>
      <c r="DF76" s="35">
        <v>4.4114066371616599E-3</v>
      </c>
      <c r="DG76" s="35">
        <v>2.50973234274965E-3</v>
      </c>
      <c r="DH76" s="35">
        <v>2.63146665149439E-3</v>
      </c>
      <c r="DI76" s="35">
        <v>3.1494722505958101E-3</v>
      </c>
      <c r="DJ76" s="35">
        <v>7.0711356243924301E-5</v>
      </c>
      <c r="DK76" s="35">
        <v>1.8100827264371201E-3</v>
      </c>
      <c r="DL76" s="35">
        <v>3.0913428285079801E-3</v>
      </c>
      <c r="DM76" s="35">
        <v>2.6315048830598499E-3</v>
      </c>
      <c r="DN76" s="35">
        <v>1.9789751435108599E-3</v>
      </c>
      <c r="DO76" s="35">
        <v>5.6870710183500898E-3</v>
      </c>
      <c r="DP76" s="35">
        <v>5.5016992590115601E-3</v>
      </c>
      <c r="DQ76" s="35">
        <v>6.0672382984028302E-3</v>
      </c>
      <c r="DR76" s="35">
        <v>8.1234768480908902E-3</v>
      </c>
      <c r="DS76" s="35">
        <v>4.7665223507560297E-3</v>
      </c>
      <c r="DT76" s="35">
        <v>6.44301870378428E-3</v>
      </c>
      <c r="DU76" s="35">
        <v>5.6454444774587404E-3</v>
      </c>
      <c r="DV76" s="35">
        <v>7.4133763094279496E-3</v>
      </c>
      <c r="DW76" s="35">
        <v>4.67925131978886E-3</v>
      </c>
      <c r="DX76" s="35">
        <v>5.04226211801573E-4</v>
      </c>
      <c r="DY76" s="35">
        <v>4.11135130833795E-4</v>
      </c>
      <c r="DZ76" s="35">
        <v>2.0150599215187398E-3</v>
      </c>
      <c r="EA76" s="35">
        <v>7.4222057578321498E-3</v>
      </c>
      <c r="EB76" s="35">
        <v>5.17433843325232E-3</v>
      </c>
      <c r="EC76" s="35">
        <v>4.6642887939480904E-3</v>
      </c>
      <c r="ED76" s="35">
        <v>7.6466916354556201E-3</v>
      </c>
      <c r="EE76" s="35">
        <v>1.00665943936806E-3</v>
      </c>
      <c r="EF76" s="35">
        <v>6.5882777648849098E-3</v>
      </c>
      <c r="EG76" s="35">
        <v>4.9184737361187602E-3</v>
      </c>
      <c r="EH76" s="35">
        <v>7.7112303554813799E-3</v>
      </c>
      <c r="EI76" s="35">
        <v>6.7288963092255703E-3</v>
      </c>
      <c r="EJ76" s="35">
        <v>4.9124305852199504E-3</v>
      </c>
      <c r="EK76" s="35">
        <v>8.5516034256423196E-3</v>
      </c>
      <c r="EL76" s="35">
        <v>5.8138814166532899E-3</v>
      </c>
      <c r="EM76" s="35">
        <v>6.3102368803766903E-3</v>
      </c>
      <c r="EN76" s="35">
        <v>1.0802204531536999E-2</v>
      </c>
      <c r="EO76" s="35">
        <v>7.9605486356806292E-3</v>
      </c>
      <c r="EP76" s="35">
        <v>5.1929942660688998E-3</v>
      </c>
      <c r="EQ76" s="35">
        <v>8.7776993817343402E-3</v>
      </c>
      <c r="ER76" s="35">
        <v>7.1957797403829904E-3</v>
      </c>
      <c r="ES76" s="35">
        <v>-1.64779548504035E-3</v>
      </c>
      <c r="ET76" s="35">
        <v>9.1367805522151197E-3</v>
      </c>
      <c r="EU76" s="35">
        <v>8.4932883161794592E-3</v>
      </c>
      <c r="EV76" s="35">
        <v>5.6531208007042401E-3</v>
      </c>
      <c r="EW76" s="35">
        <v>1.0159885730083499E-2</v>
      </c>
      <c r="EX76" s="35">
        <v>8.1419481378428599E-3</v>
      </c>
      <c r="EY76" s="35">
        <v>9.7389376527010595E-3</v>
      </c>
      <c r="EZ76" s="35">
        <v>1.06643963750013E-2</v>
      </c>
      <c r="FA76" s="35">
        <v>-1.5960807350838501E-2</v>
      </c>
      <c r="FB76" s="35">
        <v>-6.7582027686105004E-3</v>
      </c>
      <c r="FC76" s="35">
        <v>3.9804493031378998E-3</v>
      </c>
      <c r="FD76" s="35">
        <v>6.89016400849418E-3</v>
      </c>
      <c r="FE76" s="35">
        <v>7.7180229297075797E-3</v>
      </c>
      <c r="FF76" s="35">
        <v>3.8628520538797101E-3</v>
      </c>
      <c r="FG76" s="35">
        <v>1.5525023010301E-3</v>
      </c>
      <c r="FH76" s="35">
        <v>1.91547549187865E-3</v>
      </c>
      <c r="FI76" s="35">
        <v>6.4095480163552897E-3</v>
      </c>
      <c r="FJ76" s="35">
        <v>8.4001317667727893E-3</v>
      </c>
      <c r="FK76" s="35">
        <v>9.8328523983230998E-3</v>
      </c>
      <c r="FL76" s="35">
        <v>4.6259354309992097E-3</v>
      </c>
      <c r="FM76" s="35">
        <v>3.30589157104977E-3</v>
      </c>
      <c r="FN76" s="35">
        <v>6.6220914683070599E-3</v>
      </c>
      <c r="FO76" s="35">
        <v>2.4124811358854398E-3</v>
      </c>
      <c r="FP76" s="35">
        <v>2.90497344175744E-3</v>
      </c>
      <c r="FQ76" s="35">
        <v>5.61340451398062E-3</v>
      </c>
      <c r="FR76" s="35">
        <v>3.5006202300107399E-3</v>
      </c>
      <c r="FS76" s="35">
        <v>5.1330937889559902E-4</v>
      </c>
      <c r="FT76" s="35">
        <v>4.1148385475562304E-3</v>
      </c>
      <c r="FU76" s="35">
        <v>3.6808792400497801E-3</v>
      </c>
      <c r="FV76" s="35">
        <v>4.5920169551394397E-3</v>
      </c>
      <c r="FW76" s="35">
        <v>4.4779515181601103E-3</v>
      </c>
      <c r="FX76" s="35">
        <v>2.72833036477271E-3</v>
      </c>
      <c r="FY76" s="35">
        <v>-1.3245169106926901E-3</v>
      </c>
      <c r="FZ76" s="35">
        <v>-4.4825990849740602E-3</v>
      </c>
      <c r="GA76" s="35">
        <v>4.9881750302078797E-3</v>
      </c>
      <c r="GB76" s="35">
        <v>2.5998849062809398E-3</v>
      </c>
      <c r="GC76" s="35">
        <v>-7.6871829037050698E-4</v>
      </c>
      <c r="GD76" s="35">
        <v>4.92358190583575E-4</v>
      </c>
      <c r="GE76" s="35">
        <v>6.3462445405892999E-3</v>
      </c>
      <c r="GF76" s="35">
        <v>3.4536507839482101E-3</v>
      </c>
      <c r="GG76" s="35">
        <v>4.57886614684866E-3</v>
      </c>
      <c r="GH76" s="35">
        <v>5.8314046914005298E-3</v>
      </c>
      <c r="GI76" s="35">
        <v>2.0095655319321E-3</v>
      </c>
      <c r="GJ76" s="35">
        <v>3.5297420881632599E-3</v>
      </c>
      <c r="GK76" s="35">
        <v>5.9954434629683204E-3</v>
      </c>
      <c r="GL76" s="35">
        <v>6.9927291509395096E-3</v>
      </c>
      <c r="GM76" s="35">
        <v>5.2475833497731498E-3</v>
      </c>
      <c r="GN76" s="35">
        <v>3.3558364078814002E-3</v>
      </c>
      <c r="GO76" s="35">
        <v>3.7944725878693601E-3</v>
      </c>
      <c r="GP76" s="35">
        <v>2.28951111630726E-3</v>
      </c>
      <c r="GQ76" s="35">
        <v>5.2975883822428101E-3</v>
      </c>
      <c r="GR76" s="35">
        <v>2.4366189012010602E-3</v>
      </c>
      <c r="GS76" s="35">
        <v>3.9161216891407903E-3</v>
      </c>
      <c r="GT76" s="35">
        <v>3.2282859338970101E-3</v>
      </c>
      <c r="GU76" s="35">
        <v>-4.3479926448053404E-3</v>
      </c>
      <c r="GV76" s="35">
        <v>8.2433966256900693E-3</v>
      </c>
      <c r="GW76" s="35">
        <v>4.9990936757649002E-3</v>
      </c>
      <c r="GX76" s="35">
        <v>1.17236076436023E-2</v>
      </c>
      <c r="GY76" s="35">
        <v>1.52939631068325E-2</v>
      </c>
      <c r="GZ76" s="35">
        <v>1.3834466952535899E-2</v>
      </c>
      <c r="HA76" s="35">
        <v>1.6489676860671699E-2</v>
      </c>
      <c r="HB76" s="35">
        <v>1.8616496583388601E-2</v>
      </c>
      <c r="HC76">
        <v>1.7492737036710799E-2</v>
      </c>
      <c r="HD76">
        <v>1.14901753809149E-2</v>
      </c>
      <c r="HE76">
        <v>1.0204867199863099E-2</v>
      </c>
      <c r="HF76">
        <v>1.02541956680045E-2</v>
      </c>
      <c r="HG76">
        <v>6.1604740631469E-3</v>
      </c>
      <c r="HH76">
        <v>6.4143147512578701E-3</v>
      </c>
      <c r="HI76">
        <v>4.4448491068915796E-3</v>
      </c>
      <c r="HJ76">
        <v>8.2075961467149607E-3</v>
      </c>
    </row>
    <row r="77" spans="1:218" x14ac:dyDescent="0.25">
      <c r="A77" s="35" t="s">
        <v>2240</v>
      </c>
      <c r="B77" s="35">
        <v>1.32039273219726E-2</v>
      </c>
      <c r="C77" s="35">
        <v>1.32039273219726E-2</v>
      </c>
      <c r="D77" s="35">
        <v>1.7097349075517999E-2</v>
      </c>
      <c r="E77" s="35">
        <v>1.27032798554454E-2</v>
      </c>
      <c r="F77" s="35">
        <v>3.1684238983509E-2</v>
      </c>
      <c r="G77" s="35">
        <v>1.8657303076358801E-2</v>
      </c>
      <c r="H77" s="35">
        <v>1.4508411791943201E-2</v>
      </c>
      <c r="I77" s="35">
        <v>2.0437141842892598E-2</v>
      </c>
      <c r="J77" s="35">
        <v>4.12980817016202E-2</v>
      </c>
      <c r="K77" s="35">
        <v>1.01656087433781E-2</v>
      </c>
      <c r="L77" s="35">
        <v>8.2207313616176093E-3</v>
      </c>
      <c r="M77" s="35">
        <v>2.17432052483599E-2</v>
      </c>
      <c r="N77" s="35">
        <v>1.6097963676389802E-2</v>
      </c>
      <c r="O77" s="35">
        <v>1.7377567140600202E-2</v>
      </c>
      <c r="P77" s="35">
        <v>2.06743566992014E-2</v>
      </c>
      <c r="Q77" s="35">
        <v>2.1385725462922799E-2</v>
      </c>
      <c r="R77" s="35">
        <v>1.02561920163418E-2</v>
      </c>
      <c r="S77" s="35">
        <v>1.8071527865537701E-2</v>
      </c>
      <c r="T77" s="35">
        <v>2.9212181396888401E-2</v>
      </c>
      <c r="U77" s="35">
        <v>3.3207365120205799E-2</v>
      </c>
      <c r="V77" s="35">
        <v>1.81712062256809E-2</v>
      </c>
      <c r="W77" s="35">
        <v>1.4483891924943501E-2</v>
      </c>
      <c r="X77" s="35">
        <v>1.34860242597754E-2</v>
      </c>
      <c r="Y77" s="35">
        <v>2.2970561998215899E-2</v>
      </c>
      <c r="Z77" s="35">
        <v>1.4606496620885199E-2</v>
      </c>
      <c r="AA77" s="35">
        <v>8.3798882681565007E-3</v>
      </c>
      <c r="AB77" s="35">
        <v>1.14709851551957E-2</v>
      </c>
      <c r="AC77" s="35">
        <v>2.6719567430918901E-2</v>
      </c>
      <c r="AD77" s="35">
        <v>1.4157718350317899E-2</v>
      </c>
      <c r="AE77" s="35">
        <v>1.1363636363636499E-2</v>
      </c>
      <c r="AF77" s="35">
        <v>4.9344847130996499E-3</v>
      </c>
      <c r="AG77" s="35">
        <v>2.8963869811884101E-2</v>
      </c>
      <c r="AH77" s="35">
        <v>1.1446443541626401E-2</v>
      </c>
      <c r="AI77" s="35">
        <v>1.9637221460677701E-2</v>
      </c>
      <c r="AJ77" s="35">
        <v>1.6726590589338799E-2</v>
      </c>
      <c r="AK77" s="35">
        <v>1.7250922509225001E-2</v>
      </c>
      <c r="AL77" s="35">
        <v>1.8439587678728001E-2</v>
      </c>
      <c r="AM77" s="35">
        <v>1.51078923154553E-2</v>
      </c>
      <c r="AN77" s="35">
        <v>2.3333333333333199E-2</v>
      </c>
      <c r="AO77" s="35">
        <v>2.2001257214698099E-2</v>
      </c>
      <c r="AP77" s="35">
        <v>1.97662715276226E-2</v>
      </c>
      <c r="AQ77" s="35">
        <v>3.8656614119259698E-2</v>
      </c>
      <c r="AR77" s="35">
        <v>1.0135937706216199E-2</v>
      </c>
      <c r="AS77" s="35">
        <v>3.01026940865976E-2</v>
      </c>
      <c r="AT77" s="35">
        <v>1.9989345780168099E-2</v>
      </c>
      <c r="AU77" s="35">
        <v>2.3253500460095802E-2</v>
      </c>
      <c r="AV77" s="35">
        <v>2.19230021388295E-2</v>
      </c>
      <c r="AW77" s="35">
        <v>1.91694810445702E-2</v>
      </c>
      <c r="AX77" s="35">
        <v>1.5961915429851599E-2</v>
      </c>
      <c r="AY77" s="35">
        <v>1.9822675486953299E-2</v>
      </c>
      <c r="AZ77" s="35">
        <v>8.3785670848441907E-3</v>
      </c>
      <c r="BA77" s="35">
        <v>1.18156842599002E-2</v>
      </c>
      <c r="BB77" s="35">
        <v>1.8763796909493399E-3</v>
      </c>
      <c r="BC77" s="35">
        <v>7.7117990525503704E-3</v>
      </c>
      <c r="BD77" s="35">
        <v>1.10856018366676E-2</v>
      </c>
      <c r="BE77" s="35">
        <v>6.5308593918949097E-3</v>
      </c>
      <c r="BF77" s="35">
        <v>1.29554829838432E-2</v>
      </c>
      <c r="BG77" s="35">
        <v>9.9688209217978496E-3</v>
      </c>
      <c r="BH77" s="35">
        <v>1.48686393514923E-2</v>
      </c>
      <c r="BI77" s="35">
        <v>1.23124676668391E-2</v>
      </c>
      <c r="BJ77" s="35">
        <v>-3.9860997547015399E-3</v>
      </c>
      <c r="BK77" s="35">
        <v>2.3601847101077898E-3</v>
      </c>
      <c r="BL77" s="35">
        <v>5.3439803439803103E-3</v>
      </c>
      <c r="BM77" s="35">
        <v>6.5579112441702704E-3</v>
      </c>
      <c r="BN77" s="35">
        <v>-2.52918681585501E-3</v>
      </c>
      <c r="BO77" s="35">
        <v>-2.4950302243499402E-3</v>
      </c>
      <c r="BP77" s="35">
        <v>1.42348754448407E-3</v>
      </c>
      <c r="BQ77" s="35">
        <v>1.1168646563102199E-3</v>
      </c>
      <c r="BR77" s="35">
        <v>-1.68356997971597E-3</v>
      </c>
      <c r="BS77" s="35">
        <v>4.73413657882449E-3</v>
      </c>
      <c r="BT77" s="35">
        <v>7.2396359959554504E-3</v>
      </c>
      <c r="BU77" s="35">
        <v>2.08801798907809E-3</v>
      </c>
      <c r="BV77" s="35">
        <v>1.3644013463696101E-2</v>
      </c>
      <c r="BW77" s="35">
        <v>9.8234933686478492E-3</v>
      </c>
      <c r="BX77" s="35">
        <v>5.7154041886864296E-3</v>
      </c>
      <c r="BY77" s="35">
        <v>8.0572963294538395E-3</v>
      </c>
      <c r="BZ77" s="35">
        <v>7.4136998996061597E-3</v>
      </c>
      <c r="CA77" s="35">
        <v>7.3399770026829599E-3</v>
      </c>
      <c r="CB77" s="35">
        <v>4.9844947967201403E-3</v>
      </c>
      <c r="CC77" s="35">
        <v>3.57785139611932E-3</v>
      </c>
      <c r="CD77" s="35">
        <v>7.0170143735617304E-3</v>
      </c>
      <c r="CE77" s="35">
        <v>1.7176787921926898E-2</v>
      </c>
      <c r="CF77" s="35">
        <v>1.34430878588665E-3</v>
      </c>
      <c r="CG77" s="35">
        <v>1.18986317493013E-2</v>
      </c>
      <c r="CH77" s="35">
        <v>8.9780637188086009E-3</v>
      </c>
      <c r="CI77" s="35">
        <v>4.9174126844029296E-3</v>
      </c>
      <c r="CJ77" s="35">
        <v>1.28696899085858E-2</v>
      </c>
      <c r="CK77" s="35">
        <v>1.01047639272316E-2</v>
      </c>
      <c r="CL77" s="35">
        <v>1.4716445627989099E-3</v>
      </c>
      <c r="CM77" s="35">
        <v>3.6387173521335E-3</v>
      </c>
      <c r="CN77" s="35">
        <v>8.7326349549423608E-3</v>
      </c>
      <c r="CO77" s="35">
        <v>6.2724633674315902E-3</v>
      </c>
      <c r="CP77" s="35">
        <v>2.5070833691078799E-3</v>
      </c>
      <c r="CQ77" s="35">
        <v>4.3849882667306196E-3</v>
      </c>
      <c r="CR77" s="35">
        <v>7.2479833552192598E-3</v>
      </c>
      <c r="CS77" s="35">
        <v>8.9566895804409404E-3</v>
      </c>
      <c r="CT77" s="35">
        <v>4.59800976657543E-3</v>
      </c>
      <c r="CU77" s="35">
        <v>8.3855341184331193E-3</v>
      </c>
      <c r="CV77" s="35">
        <v>5.7316083290539499E-3</v>
      </c>
      <c r="CW77" s="35">
        <v>8.21899757877231E-3</v>
      </c>
      <c r="CX77" s="35">
        <v>8.4297196628111398E-3</v>
      </c>
      <c r="CY77" s="35">
        <v>6.6582426127528302E-3</v>
      </c>
      <c r="CZ77" s="35">
        <v>5.1819308324883E-3</v>
      </c>
      <c r="DA77" s="35">
        <v>1.38006115816269E-2</v>
      </c>
      <c r="DB77" s="35">
        <v>2.3530154920012899E-3</v>
      </c>
      <c r="DC77" s="35">
        <v>-5.3566927148979097E-3</v>
      </c>
      <c r="DD77" s="35">
        <v>5.8132167522018099E-3</v>
      </c>
      <c r="DE77" s="35">
        <v>3.4173766516008E-3</v>
      </c>
      <c r="DF77" s="35">
        <v>3.4214326071944101E-3</v>
      </c>
      <c r="DG77" s="35">
        <v>6.5692745643945996E-3</v>
      </c>
      <c r="DH77" s="35">
        <v>2.3153183951269999E-3</v>
      </c>
      <c r="DI77" s="35">
        <v>6.9919228563011197E-3</v>
      </c>
      <c r="DJ77" s="35">
        <v>-4.18757890199206E-3</v>
      </c>
      <c r="DK77" s="35">
        <v>6.4469249559382397E-3</v>
      </c>
      <c r="DL77" s="35">
        <v>6.5285181031966601E-3</v>
      </c>
      <c r="DM77" s="35">
        <v>3.2201941273426499E-3</v>
      </c>
      <c r="DN77" s="35">
        <v>3.2250703582565902E-3</v>
      </c>
      <c r="DO77" s="35">
        <v>8.4310127829922994E-3</v>
      </c>
      <c r="DP77" s="35">
        <v>9.0672601236032602E-3</v>
      </c>
      <c r="DQ77" s="35">
        <v>1.22939826543083E-2</v>
      </c>
      <c r="DR77" s="35">
        <v>9.7451826117678202E-3</v>
      </c>
      <c r="DS77" s="35">
        <v>3.8342104879505201E-3</v>
      </c>
      <c r="DT77" s="35">
        <v>7.1598698733590397E-3</v>
      </c>
      <c r="DU77" s="35">
        <v>4.5134032213876001E-3</v>
      </c>
      <c r="DV77" s="35">
        <v>1.7226034279807E-3</v>
      </c>
      <c r="DW77" s="35">
        <v>5.24490556303925E-3</v>
      </c>
      <c r="DX77" s="35">
        <v>6.4007526943035097E-3</v>
      </c>
      <c r="DY77" s="35">
        <v>6.4875277986318203E-3</v>
      </c>
      <c r="DZ77" s="35">
        <v>6.4738582787979802E-3</v>
      </c>
      <c r="EA77" s="35">
        <v>9.4525623994965394E-3</v>
      </c>
      <c r="EB77" s="35">
        <v>8.5883281849539195E-3</v>
      </c>
      <c r="EC77" s="35">
        <v>1.8541154495886399E-2</v>
      </c>
      <c r="ED77" s="35">
        <v>1.0841277760547999E-2</v>
      </c>
      <c r="EE77" s="35">
        <v>7.1233242179682401E-3</v>
      </c>
      <c r="EF77" s="35">
        <v>9.0464774367873292E-3</v>
      </c>
      <c r="EG77" s="35">
        <v>7.4820823816648101E-3</v>
      </c>
      <c r="EH77" s="35">
        <v>8.5079216176777699E-3</v>
      </c>
      <c r="EI77" s="35">
        <v>8.68160971513454E-3</v>
      </c>
      <c r="EJ77" s="35">
        <v>9.1576264456882904E-3</v>
      </c>
      <c r="EK77" s="35">
        <v>9.7344908112497706E-3</v>
      </c>
      <c r="EL77" s="35">
        <v>1.3160044746666001E-2</v>
      </c>
      <c r="EM77" s="35">
        <v>9.0191797136689508E-3</v>
      </c>
      <c r="EN77" s="35">
        <v>1.04385673711778E-2</v>
      </c>
      <c r="EO77" s="35">
        <v>7.1791876566644798E-3</v>
      </c>
      <c r="EP77" s="35">
        <v>8.4207219832792592E-3</v>
      </c>
      <c r="EQ77" s="35">
        <v>6.9726485281962304E-3</v>
      </c>
      <c r="ER77" s="35">
        <v>7.4002688843677299E-3</v>
      </c>
      <c r="ES77" s="35">
        <v>5.2082718221866404E-3</v>
      </c>
      <c r="ET77" s="35">
        <v>8.55323448551348E-3</v>
      </c>
      <c r="EU77" s="35">
        <v>7.9914261084319503E-3</v>
      </c>
      <c r="EV77" s="35">
        <v>6.88794378698221E-3</v>
      </c>
      <c r="EW77" s="35">
        <v>8.0115697167255605E-3</v>
      </c>
      <c r="EX77" s="35">
        <v>8.4375213500034203E-3</v>
      </c>
      <c r="EY77" s="35">
        <v>1.0241297155697099E-2</v>
      </c>
      <c r="EZ77" s="35">
        <v>7.49972057672976E-3</v>
      </c>
      <c r="FA77" s="35">
        <v>-4.75921057010686E-3</v>
      </c>
      <c r="FB77" s="35">
        <v>-8.3935259497057695E-3</v>
      </c>
      <c r="FC77" s="35">
        <v>1.79858136894362E-4</v>
      </c>
      <c r="FD77" s="35">
        <v>3.0570384939590002E-3</v>
      </c>
      <c r="FE77" s="35">
        <v>7.6865328806572401E-3</v>
      </c>
      <c r="FF77" s="35">
        <v>6.3714098273157703E-3</v>
      </c>
      <c r="FG77" s="35">
        <v>7.6679999116080503E-3</v>
      </c>
      <c r="FH77" s="35">
        <v>3.96929824561387E-3</v>
      </c>
      <c r="FI77" s="35">
        <v>8.1365632030756495E-3</v>
      </c>
      <c r="FJ77" s="35">
        <v>8.9809006900885002E-3</v>
      </c>
      <c r="FK77" s="35">
        <v>9.0512798488233698E-3</v>
      </c>
      <c r="FL77" s="35">
        <v>3.47950073952696E-3</v>
      </c>
      <c r="FM77" s="35">
        <v>-1.3360761775496101E-3</v>
      </c>
      <c r="FN77" s="35">
        <v>3.4614567848798598E-3</v>
      </c>
      <c r="FO77" s="35">
        <v>2.2114997989546299E-3</v>
      </c>
      <c r="FP77" s="35">
        <v>1.9215541360924099E-3</v>
      </c>
      <c r="FQ77" s="35">
        <v>1.2223779466158399E-3</v>
      </c>
      <c r="FR77" s="35">
        <v>-6.94641785860872E-4</v>
      </c>
      <c r="FS77" s="35">
        <v>1.6324897047825799E-3</v>
      </c>
      <c r="FT77" s="35">
        <v>3.5120186746862001E-3</v>
      </c>
      <c r="FU77" s="35">
        <v>1.5382036128924101E-2</v>
      </c>
      <c r="FV77" s="35">
        <v>-2.63147032114253E-3</v>
      </c>
      <c r="FW77" s="35">
        <v>4.2214611635920099E-3</v>
      </c>
      <c r="FX77" s="35">
        <v>4.69827008871082E-3</v>
      </c>
      <c r="FY77" s="35">
        <v>1.32290053633866E-3</v>
      </c>
      <c r="FZ77" s="35">
        <v>-1.9458839433850201E-3</v>
      </c>
      <c r="GA77" s="35">
        <v>1.9394163280384001E-3</v>
      </c>
      <c r="GB77" s="35">
        <v>9.1150234020553899E-4</v>
      </c>
      <c r="GC77" s="35">
        <v>-1.2176404379412599E-3</v>
      </c>
      <c r="GD77" s="35">
        <v>-1.10643267664512E-3</v>
      </c>
      <c r="GE77" s="35">
        <v>5.32291314113409E-3</v>
      </c>
      <c r="GF77" s="35">
        <v>3.8970843280079501E-3</v>
      </c>
      <c r="GG77" s="35">
        <v>4.9489858135849402E-3</v>
      </c>
      <c r="GH77" s="35">
        <v>4.7425953827950904E-3</v>
      </c>
      <c r="GI77" s="35">
        <v>3.2407407407408799E-3</v>
      </c>
      <c r="GJ77" s="35">
        <v>4.3939728336108699E-3</v>
      </c>
      <c r="GK77" s="35">
        <v>7.1713943268076896E-3</v>
      </c>
      <c r="GL77" s="35">
        <v>9.5202205517761502E-3</v>
      </c>
      <c r="GM77" s="35">
        <v>6.8665396176741398E-3</v>
      </c>
      <c r="GN77" s="35">
        <v>5.1708830502357203E-3</v>
      </c>
      <c r="GO77" s="35">
        <v>7.2893513350869004E-3</v>
      </c>
      <c r="GP77" s="35">
        <v>1.03875580566208E-2</v>
      </c>
      <c r="GQ77" s="35">
        <v>-5.9796292057678899E-3</v>
      </c>
      <c r="GR77" s="35">
        <v>1.6118354776502E-3</v>
      </c>
      <c r="GS77" s="35">
        <v>3.4675325919326602E-3</v>
      </c>
      <c r="GT77" s="35">
        <v>3.1405416241085901E-3</v>
      </c>
      <c r="GU77" s="35">
        <v>2.3789585870903599E-4</v>
      </c>
      <c r="GV77" s="35">
        <v>5.7081426655123399E-3</v>
      </c>
      <c r="GW77" s="35">
        <v>7.2649532224040598E-3</v>
      </c>
      <c r="GX77" s="35">
        <v>8.4240380913027692E-3</v>
      </c>
      <c r="GY77" s="35">
        <v>9.7412877870699504E-3</v>
      </c>
      <c r="GZ77" s="35">
        <v>1.0136132221648201E-2</v>
      </c>
      <c r="HA77" s="35">
        <v>1.13948668316244E-2</v>
      </c>
      <c r="HB77" s="35">
        <v>1.7630968394254799E-2</v>
      </c>
      <c r="HC77">
        <v>1.6704517227919401E-2</v>
      </c>
      <c r="HD77">
        <v>1.1857914438036E-2</v>
      </c>
      <c r="HE77">
        <v>1.0080540848179701E-2</v>
      </c>
      <c r="HF77">
        <v>1.01762923122892E-2</v>
      </c>
      <c r="HG77">
        <v>5.1214008637083799E-3</v>
      </c>
      <c r="HH77">
        <v>9.7870229456919998E-3</v>
      </c>
      <c r="HI77">
        <v>9.7504517181945492E-3</v>
      </c>
      <c r="HJ77">
        <v>1.1206583764884301E-2</v>
      </c>
    </row>
    <row r="78" spans="1:218" x14ac:dyDescent="0.25">
      <c r="A78" s="35" t="s">
        <v>2241</v>
      </c>
      <c r="B78" s="35">
        <v>2.11423161880719E-2</v>
      </c>
      <c r="C78" s="35">
        <v>2.11423161880719E-2</v>
      </c>
      <c r="D78" s="35">
        <v>1.8077873918417801E-2</v>
      </c>
      <c r="E78" s="35">
        <v>1.89710122932161E-2</v>
      </c>
      <c r="F78" s="35">
        <v>2.27137324992552E-2</v>
      </c>
      <c r="G78" s="35">
        <v>1.8058690744920902E-2</v>
      </c>
      <c r="H78" s="35">
        <v>1.4090551462699399E-2</v>
      </c>
      <c r="I78" s="35">
        <v>1.0932430526167301E-2</v>
      </c>
      <c r="J78" s="35">
        <v>2.2395869671387701E-2</v>
      </c>
      <c r="K78" s="35">
        <v>1.18056503343797E-2</v>
      </c>
      <c r="L78" s="35">
        <v>1.51750185472448E-2</v>
      </c>
      <c r="M78" s="35">
        <v>1.3752325272389E-2</v>
      </c>
      <c r="N78" s="35">
        <v>1.9660528212857901E-2</v>
      </c>
      <c r="O78" s="35">
        <v>1.78032007198408E-2</v>
      </c>
      <c r="P78" s="35">
        <v>1.34503662541046E-2</v>
      </c>
      <c r="Q78" s="35">
        <v>1.8941990155149999E-2</v>
      </c>
      <c r="R78" s="35">
        <v>2.90466581055462E-2</v>
      </c>
      <c r="S78" s="35">
        <v>3.4763489422391401E-2</v>
      </c>
      <c r="T78" s="35">
        <v>3.6467007408258E-2</v>
      </c>
      <c r="U78" s="35">
        <v>2.9421542553191599E-2</v>
      </c>
      <c r="V78" s="35">
        <v>2.01302545885138E-2</v>
      </c>
      <c r="W78" s="35">
        <v>1.9838547987126101E-2</v>
      </c>
      <c r="X78" s="35">
        <v>1.2778726266232001E-2</v>
      </c>
      <c r="Y78" s="35">
        <v>1.2770739681242401E-2</v>
      </c>
      <c r="Z78" s="35">
        <v>1.12982951679612E-2</v>
      </c>
      <c r="AA78" s="35">
        <v>1.21197007481295E-2</v>
      </c>
      <c r="AB78" s="35">
        <v>7.4409895037696999E-3</v>
      </c>
      <c r="AC78" s="35">
        <v>1.19839561729604E-2</v>
      </c>
      <c r="AD78" s="35">
        <v>1.8850596935569699E-2</v>
      </c>
      <c r="AE78" s="35">
        <v>1.7885098913610599E-2</v>
      </c>
      <c r="AF78" s="35">
        <v>1.70115585384043E-2</v>
      </c>
      <c r="AG78" s="35">
        <v>1.6864488336923101E-2</v>
      </c>
      <c r="AH78" s="35">
        <v>1.41511559781875E-2</v>
      </c>
      <c r="AI78" s="35">
        <v>1.6708883260009699E-2</v>
      </c>
      <c r="AJ78" s="35">
        <v>1.5210455002403899E-2</v>
      </c>
      <c r="AK78" s="35">
        <v>1.43367632496663E-2</v>
      </c>
      <c r="AL78" s="35">
        <v>2.3811544991511099E-2</v>
      </c>
      <c r="AM78" s="35">
        <v>2.2884623357240601E-2</v>
      </c>
      <c r="AN78" s="35">
        <v>3.3883192153366201E-2</v>
      </c>
      <c r="AO78" s="35">
        <v>1.9522521463013E-2</v>
      </c>
      <c r="AP78" s="35">
        <v>2.6031453070327198E-2</v>
      </c>
      <c r="AQ78" s="35">
        <v>2.7469644730924801E-2</v>
      </c>
      <c r="AR78" s="35">
        <v>2.8850713061239201E-2</v>
      </c>
      <c r="AS78" s="35">
        <v>2.72263187748156E-2</v>
      </c>
      <c r="AT78" s="35">
        <v>3.2475151849806802E-2</v>
      </c>
      <c r="AU78" s="35">
        <v>2.1559648360463899E-2</v>
      </c>
      <c r="AV78" s="35">
        <v>1.3578954256920199E-2</v>
      </c>
      <c r="AW78" s="35">
        <v>1.57859056719503E-2</v>
      </c>
      <c r="AX78" s="35">
        <v>1.6875357528761199E-2</v>
      </c>
      <c r="AY78" s="35">
        <v>1.6064006000562601E-2</v>
      </c>
      <c r="AZ78" s="35">
        <v>1.5686998246747099E-2</v>
      </c>
      <c r="BA78" s="35">
        <v>1.27191787044609E-2</v>
      </c>
      <c r="BB78" s="35">
        <v>7.1768188750334101E-3</v>
      </c>
      <c r="BC78" s="35">
        <v>1.0985422048039E-2</v>
      </c>
      <c r="BD78" s="35">
        <v>9.6913453349387595E-3</v>
      </c>
      <c r="BE78" s="35">
        <v>7.5914022279748297E-3</v>
      </c>
      <c r="BF78" s="35">
        <v>1.4519946885283699E-2</v>
      </c>
      <c r="BG78" s="35">
        <v>9.5034855598235008E-3</v>
      </c>
      <c r="BH78" s="35">
        <v>9.3294624989430606E-3</v>
      </c>
      <c r="BI78" s="35">
        <v>9.9413571628035307E-3</v>
      </c>
      <c r="BJ78" s="35">
        <v>1.18066692473595E-2</v>
      </c>
      <c r="BK78" s="35">
        <v>9.8379471483616109E-3</v>
      </c>
      <c r="BL78" s="35">
        <v>8.2807891104916802E-3</v>
      </c>
      <c r="BM78" s="35">
        <v>9.25950776993467E-3</v>
      </c>
      <c r="BN78" s="35">
        <v>4.1484948409742399E-3</v>
      </c>
      <c r="BO78" s="35">
        <v>4.4226694915254798E-3</v>
      </c>
      <c r="BP78" s="35">
        <v>8.6481925804835508E-3</v>
      </c>
      <c r="BQ78" s="35">
        <v>1.27042216703699E-2</v>
      </c>
      <c r="BR78" s="35">
        <v>1.4300095506053E-2</v>
      </c>
      <c r="BS78" s="35">
        <v>1.22407430970861E-2</v>
      </c>
      <c r="BT78" s="35">
        <v>1.19670152855993E-2</v>
      </c>
      <c r="BU78" s="35">
        <v>5.9375931630725196E-3</v>
      </c>
      <c r="BV78" s="35">
        <v>5.1369440122495096E-3</v>
      </c>
      <c r="BW78" s="35">
        <v>9.7545394235729593E-3</v>
      </c>
      <c r="BX78" s="35">
        <v>8.4436441502822E-3</v>
      </c>
      <c r="BY78" s="35">
        <v>1.1461525468716E-2</v>
      </c>
      <c r="BZ78" s="35">
        <v>1.3144711102629001E-2</v>
      </c>
      <c r="CA78" s="35">
        <v>1.3586380654124101E-2</v>
      </c>
      <c r="CB78" s="35">
        <v>9.3853087394881705E-3</v>
      </c>
      <c r="CC78" s="35">
        <v>1.2911392405063201E-2</v>
      </c>
      <c r="CD78" s="35">
        <v>1.41555520210856E-2</v>
      </c>
      <c r="CE78" s="35">
        <v>1.0306044719272401E-2</v>
      </c>
      <c r="CF78" s="35">
        <v>1.3593826229653499E-2</v>
      </c>
      <c r="CG78" s="35">
        <v>1.5752510556369798E-2</v>
      </c>
      <c r="CH78" s="35">
        <v>4.2001421586577202E-3</v>
      </c>
      <c r="CI78" s="35">
        <v>6.0486465617091102E-3</v>
      </c>
      <c r="CJ78" s="35">
        <v>8.2295753027459301E-3</v>
      </c>
      <c r="CK78" s="35">
        <v>8.7333474307464999E-3</v>
      </c>
      <c r="CL78" s="35">
        <v>7.1274343332703403E-3</v>
      </c>
      <c r="CM78" s="35">
        <v>1.19476302479029E-2</v>
      </c>
      <c r="CN78" s="35">
        <v>7.3636793714133598E-3</v>
      </c>
      <c r="CO78" s="35">
        <v>6.8402246043899302E-3</v>
      </c>
      <c r="CP78" s="35">
        <v>5.8203204218210099E-3</v>
      </c>
      <c r="CQ78" s="35">
        <v>5.8874528701333704E-3</v>
      </c>
      <c r="CR78" s="35">
        <v>2.84631882779762E-3</v>
      </c>
      <c r="CS78" s="35">
        <v>5.0368771361755096E-3</v>
      </c>
      <c r="CT78" s="35">
        <v>8.1737366505578706E-3</v>
      </c>
      <c r="CU78" s="35">
        <v>5.5430622953407402E-3</v>
      </c>
      <c r="CV78" s="35">
        <v>8.7493869543893207E-3</v>
      </c>
      <c r="CW78" s="35">
        <v>8.4790260788394408E-3</v>
      </c>
      <c r="CX78" s="35">
        <v>5.5730181074880002E-3</v>
      </c>
      <c r="CY78" s="35">
        <v>7.5940628236106401E-3</v>
      </c>
      <c r="CZ78" s="35">
        <v>4.1109969167523203E-3</v>
      </c>
      <c r="DA78" s="35">
        <v>3.8288032146782699E-3</v>
      </c>
      <c r="DB78" s="35">
        <v>9.9886706948639804E-3</v>
      </c>
      <c r="DC78" s="35">
        <v>1.346071154817E-3</v>
      </c>
      <c r="DD78" s="35">
        <v>6.3105617893617297E-3</v>
      </c>
      <c r="DE78" s="35">
        <v>7.1800961056791603E-3</v>
      </c>
      <c r="DF78" s="35">
        <v>6.6315440445050599E-3</v>
      </c>
      <c r="DG78" s="35">
        <v>3.2390293891593198E-3</v>
      </c>
      <c r="DH78" s="35">
        <v>4.3412436386187601E-3</v>
      </c>
      <c r="DI78" s="35">
        <v>7.8458437006230196E-3</v>
      </c>
      <c r="DJ78" s="35">
        <v>1.3335015227144999E-3</v>
      </c>
      <c r="DK78" s="35">
        <v>4.4270880198680196E-3</v>
      </c>
      <c r="DL78" s="35">
        <v>7.4892946087827799E-3</v>
      </c>
      <c r="DM78" s="35">
        <v>8.3583788301826393E-3</v>
      </c>
      <c r="DN78" s="35">
        <v>7.6541859931922298E-3</v>
      </c>
      <c r="DO78" s="35">
        <v>1.35468626936204E-2</v>
      </c>
      <c r="DP78" s="35">
        <v>1.20015886995113E-2</v>
      </c>
      <c r="DQ78" s="35">
        <v>1.1483857757149701E-2</v>
      </c>
      <c r="DR78" s="35">
        <v>1.2770551816050101E-2</v>
      </c>
      <c r="DS78" s="35">
        <v>1.0627311190325501E-2</v>
      </c>
      <c r="DT78" s="35">
        <v>1.07463080168777E-2</v>
      </c>
      <c r="DU78" s="35">
        <v>1.2491031243885099E-2</v>
      </c>
      <c r="DV78" s="35">
        <v>1.1950394588500401E-2</v>
      </c>
      <c r="DW78" s="35">
        <v>3.8992869875222901E-3</v>
      </c>
      <c r="DX78" s="35">
        <v>2.5999968292722601E-3</v>
      </c>
      <c r="DY78" s="35">
        <v>1.92912825540392E-3</v>
      </c>
      <c r="DZ78" s="35">
        <v>5.8867162224009997E-3</v>
      </c>
      <c r="EA78" s="35">
        <v>9.0215890548515105E-3</v>
      </c>
      <c r="EB78" s="35">
        <v>7.2615882197446498E-3</v>
      </c>
      <c r="EC78" s="35">
        <v>8.4442248911666996E-3</v>
      </c>
      <c r="ED78" s="35">
        <v>1.4251817833907301E-2</v>
      </c>
      <c r="EE78" s="35">
        <v>7.6974160830722805E-4</v>
      </c>
      <c r="EF78" s="35">
        <v>6.6358001417647899E-3</v>
      </c>
      <c r="EG78" s="35">
        <v>7.8805039926887997E-3</v>
      </c>
      <c r="EH78" s="35">
        <v>1.27540023486392E-2</v>
      </c>
      <c r="EI78" s="35">
        <v>1.4340021429305501E-2</v>
      </c>
      <c r="EJ78" s="35">
        <v>1.61486369161312E-2</v>
      </c>
      <c r="EK78" s="35">
        <v>1.7301777170197999E-2</v>
      </c>
      <c r="EL78" s="35">
        <v>9.05667772505225E-3</v>
      </c>
      <c r="EM78" s="35">
        <v>1.2818022917071299E-2</v>
      </c>
      <c r="EN78" s="35">
        <v>1.6025202027119701E-2</v>
      </c>
      <c r="EO78" s="35">
        <v>1.6325155028309401E-2</v>
      </c>
      <c r="EP78" s="35">
        <v>7.1493944900584703E-3</v>
      </c>
      <c r="EQ78" s="35">
        <v>1.54484393520347E-2</v>
      </c>
      <c r="ER78" s="35">
        <v>1.0155246877553399E-2</v>
      </c>
      <c r="ES78" s="35">
        <v>1.0553886449426101E-2</v>
      </c>
      <c r="ET78" s="35">
        <v>1.9134014331452901E-2</v>
      </c>
      <c r="EU78" s="35">
        <v>1.0833520333108901E-2</v>
      </c>
      <c r="EV78" s="35">
        <v>1.0951740808800899E-2</v>
      </c>
      <c r="EW78" s="35">
        <v>1.4334337753595799E-2</v>
      </c>
      <c r="EX78" s="35">
        <v>1.61162292834292E-2</v>
      </c>
      <c r="EY78" s="35">
        <v>1.4002319910991099E-2</v>
      </c>
      <c r="EZ78" s="35">
        <v>1.3517141556455701E-2</v>
      </c>
      <c r="FA78" s="35">
        <v>-1.2012392458567001E-2</v>
      </c>
      <c r="FB78" s="35">
        <v>-1.28695327800056E-2</v>
      </c>
      <c r="FC78" s="35">
        <v>2.3027869626830498E-3</v>
      </c>
      <c r="FD78" s="35">
        <v>5.2076583210602899E-3</v>
      </c>
      <c r="FE78" s="35">
        <v>7.2084109849150898E-3</v>
      </c>
      <c r="FF78" s="35">
        <v>9.97300190848582E-3</v>
      </c>
      <c r="FG78" s="35">
        <v>6.7289633478897501E-3</v>
      </c>
      <c r="FH78" s="35">
        <v>5.2762294988153401E-3</v>
      </c>
      <c r="FI78" s="35">
        <v>8.4135983787598807E-3</v>
      </c>
      <c r="FJ78" s="35">
        <v>1.0172400167094E-2</v>
      </c>
      <c r="FK78" s="35">
        <v>1.21599570825044E-2</v>
      </c>
      <c r="FL78" s="35">
        <v>5.1125195998322796E-3</v>
      </c>
      <c r="FM78" s="35">
        <v>-1.23043120021982E-3</v>
      </c>
      <c r="FN78" s="35">
        <v>1.2121478776412601E-2</v>
      </c>
      <c r="FO78" s="35">
        <v>9.7810139651155495E-5</v>
      </c>
      <c r="FP78" s="35">
        <v>5.9549682691471002E-3</v>
      </c>
      <c r="FQ78" s="35">
        <v>1.22499243831828E-2</v>
      </c>
      <c r="FR78" s="35">
        <v>1.140802083111E-2</v>
      </c>
      <c r="FS78" s="35">
        <v>5.1068319704563603E-3</v>
      </c>
      <c r="FT78" s="35">
        <v>7.9152625998593108E-3</v>
      </c>
      <c r="FU78" s="35">
        <v>5.7804672283960903E-3</v>
      </c>
      <c r="FV78" s="35">
        <v>7.9943666639052894E-3</v>
      </c>
      <c r="FW78" s="35">
        <v>3.10252722416271E-3</v>
      </c>
      <c r="FX78" s="35">
        <v>5.3153356137727297E-3</v>
      </c>
      <c r="FY78" s="35">
        <v>-8.7611169405366095E-4</v>
      </c>
      <c r="FZ78" s="35">
        <v>-9.1868468009176397E-3</v>
      </c>
      <c r="GA78" s="35">
        <v>6.2671084858087998E-3</v>
      </c>
      <c r="GB78" s="35">
        <v>6.3405704468055802E-4</v>
      </c>
      <c r="GC78" s="35">
        <v>-3.86325310439983E-3</v>
      </c>
      <c r="GD78" s="35">
        <v>-8.0232283747319107E-3</v>
      </c>
      <c r="GE78" s="35">
        <v>7.5606350519727998E-3</v>
      </c>
      <c r="GF78" s="35">
        <v>3.14116777531415E-3</v>
      </c>
      <c r="GG78" s="35">
        <v>4.8709604797281302E-3</v>
      </c>
      <c r="GH78" s="35">
        <v>9.2262571539136803E-3</v>
      </c>
      <c r="GI78" s="35">
        <v>1.8061834032936401E-3</v>
      </c>
      <c r="GJ78" s="35">
        <v>8.8736238832427504E-3</v>
      </c>
      <c r="GK78" s="35">
        <v>1.28189768779201E-2</v>
      </c>
      <c r="GL78" s="35">
        <v>1.29228767447362E-2</v>
      </c>
      <c r="GM78" s="35">
        <v>1.01986200722077E-2</v>
      </c>
      <c r="GN78" s="35">
        <v>8.9781999287139608E-3</v>
      </c>
      <c r="GO78" s="35">
        <v>4.3727742292747297E-3</v>
      </c>
      <c r="GP78" s="35">
        <v>-4.3157124252593002E-3</v>
      </c>
      <c r="GQ78" s="35">
        <v>6.8453261793150998E-3</v>
      </c>
      <c r="GR78" s="35">
        <v>3.7549781907833001E-3</v>
      </c>
      <c r="GS78" s="35">
        <v>6.06484280532049E-3</v>
      </c>
      <c r="GT78" s="35">
        <v>1.2892260887528401E-2</v>
      </c>
      <c r="GU78" s="35">
        <v>-2.1136357315682001E-3</v>
      </c>
      <c r="GV78" s="35">
        <v>1.2049088189663999E-2</v>
      </c>
      <c r="GW78" s="35">
        <v>1.2502294841197E-2</v>
      </c>
      <c r="GX78" s="35">
        <v>2.2329604177621299E-2</v>
      </c>
      <c r="GY78" s="35">
        <v>1.84543076309138E-2</v>
      </c>
      <c r="GZ78" s="35">
        <v>1.5829893944934802E-2</v>
      </c>
      <c r="HA78" s="35">
        <v>1.9097579373242898E-2</v>
      </c>
      <c r="HB78" s="35">
        <v>2.2011573528917E-2</v>
      </c>
      <c r="HC78">
        <v>3.27630052094907E-2</v>
      </c>
      <c r="HD78">
        <v>4.1836002868755901E-3</v>
      </c>
      <c r="HE78">
        <v>6.7690354322897904E-3</v>
      </c>
      <c r="HF78">
        <v>-1.5764416558927699E-5</v>
      </c>
      <c r="HG78">
        <v>-7.2438636041176601E-3</v>
      </c>
      <c r="HH78">
        <v>1.4053530453285799E-2</v>
      </c>
      <c r="HI78">
        <v>1.6207709232130001E-3</v>
      </c>
      <c r="HJ78">
        <v>9.4352897032612404E-3</v>
      </c>
    </row>
    <row r="79" spans="1:218" x14ac:dyDescent="0.25">
      <c r="A79" s="35" t="s">
        <v>2242</v>
      </c>
      <c r="B79" s="35">
        <v>1.98894115705208E-2</v>
      </c>
      <c r="C79" s="35">
        <v>1.98894115705208E-2</v>
      </c>
      <c r="D79" s="35">
        <v>1.7640394885903899E-2</v>
      </c>
      <c r="E79" s="35">
        <v>1.6857506361323198E-2</v>
      </c>
      <c r="F79" s="35">
        <v>2.4554269627776099E-2</v>
      </c>
      <c r="G79" s="35">
        <v>1.8775759426041799E-2</v>
      </c>
      <c r="H79" s="35">
        <v>1.50584357207071E-2</v>
      </c>
      <c r="I79" s="35">
        <v>9.0781607498708894E-3</v>
      </c>
      <c r="J79" s="35">
        <v>2.5234055002925498E-2</v>
      </c>
      <c r="K79" s="35">
        <v>1.3126917314689301E-2</v>
      </c>
      <c r="L79" s="35">
        <v>1.55622843461729E-2</v>
      </c>
      <c r="M79" s="35">
        <v>1.2411593398973899E-2</v>
      </c>
      <c r="N79" s="35">
        <v>1.9724676392027799E-2</v>
      </c>
      <c r="O79" s="35">
        <v>1.6925246826516201E-2</v>
      </c>
      <c r="P79" s="35">
        <v>1.15580212667592E-2</v>
      </c>
      <c r="Q79" s="35">
        <v>1.6779838077827E-2</v>
      </c>
      <c r="R79" s="35">
        <v>2.42727798112117E-2</v>
      </c>
      <c r="S79" s="35">
        <v>2.6894865525672201E-2</v>
      </c>
      <c r="T79" s="35">
        <v>2.8754578754578701E-2</v>
      </c>
      <c r="U79" s="35">
        <v>2.61705536763399E-2</v>
      </c>
      <c r="V79" s="35">
        <v>1.9951422623178301E-2</v>
      </c>
      <c r="W79" s="35">
        <v>2.4097068662471102E-2</v>
      </c>
      <c r="X79" s="35">
        <v>1.5391429520540199E-2</v>
      </c>
      <c r="Y79" s="35">
        <v>1.4558342420937899E-2</v>
      </c>
      <c r="Z79" s="35">
        <v>1.30058580104262E-2</v>
      </c>
      <c r="AA79" s="35">
        <v>1.3051090243514101E-2</v>
      </c>
      <c r="AB79" s="35">
        <v>8.7457449594134894E-3</v>
      </c>
      <c r="AC79" s="35">
        <v>1.32385006749038E-2</v>
      </c>
      <c r="AD79" s="35">
        <v>2.0290003586616898E-2</v>
      </c>
      <c r="AE79" s="35">
        <v>1.9886506302415601E-2</v>
      </c>
      <c r="AF79" s="35">
        <v>1.78738490324486E-2</v>
      </c>
      <c r="AG79" s="35">
        <v>1.8333978328173298E-2</v>
      </c>
      <c r="AH79" s="35">
        <v>1.45361265498076E-2</v>
      </c>
      <c r="AI79" s="35">
        <v>1.6060308095706199E-2</v>
      </c>
      <c r="AJ79" s="35">
        <v>1.42857142857145E-2</v>
      </c>
      <c r="AK79" s="35">
        <v>1.3402998636983E-2</v>
      </c>
      <c r="AL79" s="35">
        <v>2.4568482403048798E-2</v>
      </c>
      <c r="AM79" s="35">
        <v>2.1835207631383E-2</v>
      </c>
      <c r="AN79" s="35">
        <v>3.5157588215141998E-2</v>
      </c>
      <c r="AO79" s="35">
        <v>1.7167914615480201E-2</v>
      </c>
      <c r="AP79" s="35">
        <v>2.57035952497153E-2</v>
      </c>
      <c r="AQ79" s="35">
        <v>2.71609833465505E-2</v>
      </c>
      <c r="AR79" s="35">
        <v>2.7793862188766599E-2</v>
      </c>
      <c r="AS79" s="35">
        <v>2.6591549295774699E-2</v>
      </c>
      <c r="AT79" s="35">
        <v>3.3549189624263703E-2</v>
      </c>
      <c r="AU79" s="35">
        <v>2.08849557522124E-2</v>
      </c>
      <c r="AV79" s="35">
        <v>1.1962552011095799E-2</v>
      </c>
      <c r="AW79" s="35">
        <v>1.5350351207812101E-2</v>
      </c>
      <c r="AX79" s="35">
        <v>1.75142577531806E-2</v>
      </c>
      <c r="AY79" s="35">
        <v>1.59525072963651E-2</v>
      </c>
      <c r="AZ79" s="35">
        <v>1.6616067639473799E-2</v>
      </c>
      <c r="BA79" s="35">
        <v>1.4995825573181E-2</v>
      </c>
      <c r="BB79" s="35">
        <v>8.6051441045271702E-3</v>
      </c>
      <c r="BC79" s="35">
        <v>1.3644490448856799E-2</v>
      </c>
      <c r="BD79" s="35">
        <v>1.1696992202005201E-2</v>
      </c>
      <c r="BE79" s="35">
        <v>9.3901021594173795E-3</v>
      </c>
      <c r="BF79" s="35">
        <v>1.75146207690677E-2</v>
      </c>
      <c r="BG79" s="35">
        <v>1.0899669436254899E-2</v>
      </c>
      <c r="BH79" s="35">
        <v>1.0752688172042999E-2</v>
      </c>
      <c r="BI79" s="35">
        <v>1.18041387350627E-2</v>
      </c>
      <c r="BJ79" s="35">
        <v>1.3221950165634299E-2</v>
      </c>
      <c r="BK79" s="35">
        <v>1.14288963438904E-2</v>
      </c>
      <c r="BL79" s="35">
        <v>9.2759163480997699E-3</v>
      </c>
      <c r="BM79" s="35">
        <v>1.0081880465660401E-2</v>
      </c>
      <c r="BN79" s="35">
        <v>3.6395720745561202E-3</v>
      </c>
      <c r="BO79" s="35">
        <v>3.0219780219780099E-3</v>
      </c>
      <c r="BP79" s="35">
        <v>8.5456039441249593E-3</v>
      </c>
      <c r="BQ79" s="35">
        <v>1.3171473575579899E-2</v>
      </c>
      <c r="BR79" s="35">
        <v>1.6216795775591701E-2</v>
      </c>
      <c r="BS79" s="35">
        <v>1.3135682633467E-2</v>
      </c>
      <c r="BT79" s="35">
        <v>1.2705024733142599E-2</v>
      </c>
      <c r="BU79" s="35">
        <v>6.1185665072753803E-3</v>
      </c>
      <c r="BV79" s="35">
        <v>4.4204824202778202E-3</v>
      </c>
      <c r="BW79" s="35">
        <v>1.07863339184411E-2</v>
      </c>
      <c r="BX79" s="35">
        <v>8.9094707170362906E-3</v>
      </c>
      <c r="BY79" s="35">
        <v>1.2946840621648E-2</v>
      </c>
      <c r="BZ79" s="35">
        <v>1.51701718957789E-2</v>
      </c>
      <c r="CA79" s="35">
        <v>1.48949590024743E-2</v>
      </c>
      <c r="CB79" s="35">
        <v>9.8479778181470596E-3</v>
      </c>
      <c r="CC79" s="35">
        <v>1.4698920658966099E-2</v>
      </c>
      <c r="CD79" s="35">
        <v>1.58389512234949E-2</v>
      </c>
      <c r="CE79" s="35">
        <v>1.06778726922017E-2</v>
      </c>
      <c r="CF79" s="35">
        <v>1.4518437734305899E-2</v>
      </c>
      <c r="CG79" s="35">
        <v>1.89465197527545E-2</v>
      </c>
      <c r="CH79" s="35">
        <v>4.7474614268758798E-3</v>
      </c>
      <c r="CI79" s="35">
        <v>6.2781642385265598E-3</v>
      </c>
      <c r="CJ79" s="35">
        <v>9.5432707984608508E-3</v>
      </c>
      <c r="CK79" s="35">
        <v>1.1391042204995899E-2</v>
      </c>
      <c r="CL79" s="35">
        <v>9.4104622197619392E-3</v>
      </c>
      <c r="CM79" s="35">
        <v>1.3604437788698799E-2</v>
      </c>
      <c r="CN79" s="35">
        <v>8.5525220575994893E-3</v>
      </c>
      <c r="CO79" s="35">
        <v>7.3245713578311599E-3</v>
      </c>
      <c r="CP79" s="35">
        <v>5.46884601204356E-3</v>
      </c>
      <c r="CQ79" s="35">
        <v>5.90763714885201E-3</v>
      </c>
      <c r="CR79" s="35">
        <v>3.2604953522752402E-3</v>
      </c>
      <c r="CS79" s="35">
        <v>5.1069842551474398E-3</v>
      </c>
      <c r="CT79" s="35">
        <v>8.3746711385135307E-3</v>
      </c>
      <c r="CU79" s="35">
        <v>5.8155745867356501E-3</v>
      </c>
      <c r="CV79" s="35">
        <v>8.7323274325767902E-3</v>
      </c>
      <c r="CW79" s="35">
        <v>8.5389553029857606E-3</v>
      </c>
      <c r="CX79" s="35">
        <v>4.5934057378644901E-3</v>
      </c>
      <c r="CY79" s="35">
        <v>7.69171155112969E-3</v>
      </c>
      <c r="CZ79" s="35">
        <v>3.78766030262812E-3</v>
      </c>
      <c r="DA79" s="35">
        <v>3.3902850137910198E-3</v>
      </c>
      <c r="DB79" s="35">
        <v>1.1014603417008899E-2</v>
      </c>
      <c r="DC79" s="35">
        <v>1.41610966353234E-3</v>
      </c>
      <c r="DD79" s="35">
        <v>6.6180213812998502E-3</v>
      </c>
      <c r="DE79" s="35">
        <v>8.1104368022777394E-3</v>
      </c>
      <c r="DF79" s="35">
        <v>6.8560599022686698E-3</v>
      </c>
      <c r="DG79" s="35">
        <v>2.3989665990036299E-3</v>
      </c>
      <c r="DH79" s="35">
        <v>4.7680412371133903E-3</v>
      </c>
      <c r="DI79" s="35">
        <v>8.1716411073855504E-3</v>
      </c>
      <c r="DJ79" s="35">
        <v>1.58109950022722E-3</v>
      </c>
      <c r="DK79" s="35">
        <v>5.3164465089272604E-3</v>
      </c>
      <c r="DL79" s="35">
        <v>7.7971302229040704E-3</v>
      </c>
      <c r="DM79" s="35">
        <v>9.0083636298512494E-3</v>
      </c>
      <c r="DN79" s="35">
        <v>8.5374511892082304E-3</v>
      </c>
      <c r="DO79" s="35">
        <v>1.49944562749689E-2</v>
      </c>
      <c r="DP79" s="35">
        <v>1.3853969795224699E-2</v>
      </c>
      <c r="DQ79" s="35">
        <v>1.21938705705296E-2</v>
      </c>
      <c r="DR79" s="35">
        <v>1.39562389118866E-2</v>
      </c>
      <c r="DS79" s="35">
        <v>1.04480845178383E-2</v>
      </c>
      <c r="DT79" s="35">
        <v>1.17418120650419E-2</v>
      </c>
      <c r="DU79" s="35">
        <v>1.4083129584352001E-2</v>
      </c>
      <c r="DV79" s="35">
        <v>1.3357122191146801E-2</v>
      </c>
      <c r="DW79" s="35">
        <v>4.2192085018637497E-3</v>
      </c>
      <c r="DX79" s="35">
        <v>2.4798218319093102E-3</v>
      </c>
      <c r="DY79" s="35">
        <v>1.1029180059241E-3</v>
      </c>
      <c r="DZ79" s="35">
        <v>6.2482294060248701E-3</v>
      </c>
      <c r="EA79" s="35">
        <v>9.8850394932352703E-3</v>
      </c>
      <c r="EB79" s="35">
        <v>8.2549909396441006E-3</v>
      </c>
      <c r="EC79" s="35">
        <v>1.0061443932411601E-2</v>
      </c>
      <c r="ED79" s="35">
        <v>1.5725039920918601E-2</v>
      </c>
      <c r="EE79" s="35">
        <v>7.0370869454539097E-4</v>
      </c>
      <c r="EF79" s="35">
        <v>7.9148961637440802E-3</v>
      </c>
      <c r="EG79" s="35">
        <v>9.1293698508128109E-3</v>
      </c>
      <c r="EH79" s="35">
        <v>1.42247719917623E-2</v>
      </c>
      <c r="EI79" s="35">
        <v>1.3387094434855799E-2</v>
      </c>
      <c r="EJ79" s="35">
        <v>1.3582367253470701E-2</v>
      </c>
      <c r="EK79" s="35">
        <v>1.5730241884240201E-2</v>
      </c>
      <c r="EL79" s="35">
        <v>9.2030083549969905E-3</v>
      </c>
      <c r="EM79" s="35">
        <v>1.14195192506372E-2</v>
      </c>
      <c r="EN79" s="35">
        <v>1.45456526476355E-2</v>
      </c>
      <c r="EO79" s="35">
        <v>1.69011437469795E-2</v>
      </c>
      <c r="EP79" s="35">
        <v>7.3794405354383804E-3</v>
      </c>
      <c r="EQ79" s="35">
        <v>1.3851395623116301E-2</v>
      </c>
      <c r="ER79" s="35">
        <v>9.2545917510049609E-3</v>
      </c>
      <c r="ES79" s="35">
        <v>7.4664139441362699E-3</v>
      </c>
      <c r="ET79" s="35">
        <v>1.7656929296011099E-2</v>
      </c>
      <c r="EU79" s="35">
        <v>1.09174942227219E-2</v>
      </c>
      <c r="EV79" s="35">
        <v>1.1256780634877599E-2</v>
      </c>
      <c r="EW79" s="35">
        <v>1.49560117302052E-2</v>
      </c>
      <c r="EX79" s="35">
        <v>1.77333140710778E-2</v>
      </c>
      <c r="EY79" s="35">
        <v>1.5543489832854101E-2</v>
      </c>
      <c r="EZ79" s="35">
        <v>1.36632071845406E-2</v>
      </c>
      <c r="FA79" s="35">
        <v>-1.92360728075015E-2</v>
      </c>
      <c r="FB79" s="35">
        <v>-1.7469244288224901E-2</v>
      </c>
      <c r="FC79" s="35">
        <v>5.0680308613268998E-3</v>
      </c>
      <c r="FD79" s="35">
        <v>8.6849224052014708E-3</v>
      </c>
      <c r="FE79" s="35">
        <v>9.1276936106143795E-3</v>
      </c>
      <c r="FF79" s="35">
        <v>1.16094740768369E-2</v>
      </c>
      <c r="FG79" s="35">
        <v>7.2705904042034098E-3</v>
      </c>
      <c r="FH79" s="35">
        <v>5.7538978940505602E-3</v>
      </c>
      <c r="FI79" s="35">
        <v>9.3150747253247807E-3</v>
      </c>
      <c r="FJ79" s="35">
        <v>1.11109859027958E-2</v>
      </c>
      <c r="FK79" s="35">
        <v>1.26160464520155E-2</v>
      </c>
      <c r="FL79" s="35">
        <v>3.7310558117522601E-3</v>
      </c>
      <c r="FM79" s="35">
        <v>-3.62946555845511E-3</v>
      </c>
      <c r="FN79" s="35">
        <v>1.32061144309814E-2</v>
      </c>
      <c r="FO79" s="35">
        <v>-1.6075249546525501E-3</v>
      </c>
      <c r="FP79" s="35">
        <v>6.0705621253496203E-3</v>
      </c>
      <c r="FQ79" s="35">
        <v>1.4522529926360101E-2</v>
      </c>
      <c r="FR79" s="35">
        <v>1.29929652526115E-2</v>
      </c>
      <c r="FS79" s="35">
        <v>5.1452561579983201E-3</v>
      </c>
      <c r="FT79" s="35">
        <v>8.4582530776315893E-3</v>
      </c>
      <c r="FU79" s="35">
        <v>5.43929579804026E-3</v>
      </c>
      <c r="FV79" s="35">
        <v>8.4967995044393802E-3</v>
      </c>
      <c r="FW79" s="35">
        <v>2.8357032441672599E-3</v>
      </c>
      <c r="FX79" s="35">
        <v>5.45120457329529E-3</v>
      </c>
      <c r="FY79" s="35">
        <v>-1.41125347736915E-3</v>
      </c>
      <c r="FZ79" s="35">
        <v>-1.1061969396573701E-2</v>
      </c>
      <c r="GA79" s="35">
        <v>6.7237603709378001E-3</v>
      </c>
      <c r="GB79" s="35">
        <v>1.6339702413170599E-4</v>
      </c>
      <c r="GC79" s="35">
        <v>-4.5641585917477502E-3</v>
      </c>
      <c r="GD79" s="35">
        <v>-9.2419735357471798E-3</v>
      </c>
      <c r="GE79" s="35">
        <v>7.4646181242170604E-3</v>
      </c>
      <c r="GF79" s="35">
        <v>3.68924057136977E-3</v>
      </c>
      <c r="GG79" s="35">
        <v>4.8940810287809696E-3</v>
      </c>
      <c r="GH79" s="35">
        <v>9.8627568850804294E-3</v>
      </c>
      <c r="GI79" s="35">
        <v>1.0391968924987601E-3</v>
      </c>
      <c r="GJ79" s="35">
        <v>8.9701465459897101E-3</v>
      </c>
      <c r="GK79" s="35">
        <v>1.44943461062053E-2</v>
      </c>
      <c r="GL79" s="35">
        <v>1.37457044673539E-2</v>
      </c>
      <c r="GM79" s="35">
        <v>9.5964256228449098E-3</v>
      </c>
      <c r="GN79" s="35">
        <v>9.5148302434988601E-3</v>
      </c>
      <c r="GO79" s="35">
        <v>3.0686539854383201E-3</v>
      </c>
      <c r="GP79" s="35">
        <v>-6.1945389248865296E-3</v>
      </c>
      <c r="GQ79" s="35">
        <v>5.9750291581421901E-3</v>
      </c>
      <c r="GR79" s="35">
        <v>3.66826004732612E-3</v>
      </c>
      <c r="GS79" s="35">
        <v>7.1582096900950597E-3</v>
      </c>
      <c r="GT79" s="35">
        <v>1.52770073987722E-2</v>
      </c>
      <c r="GU79" s="35">
        <v>-1.8612145119172301E-3</v>
      </c>
      <c r="GV79" s="35">
        <v>1.2496173220895501E-2</v>
      </c>
      <c r="GW79" s="35">
        <v>1.4064504306395401E-2</v>
      </c>
      <c r="GX79" s="35">
        <v>2.3690987124463499E-2</v>
      </c>
      <c r="GY79" s="35">
        <v>1.7361448228991001E-2</v>
      </c>
      <c r="GZ79" s="35">
        <v>1.48268323153804E-2</v>
      </c>
      <c r="HA79" s="35">
        <v>1.7790430270233401E-2</v>
      </c>
      <c r="HB79" s="35">
        <v>2.1200463655148199E-2</v>
      </c>
      <c r="HC79">
        <v>3.3435325470068597E-2</v>
      </c>
      <c r="HD79">
        <v>1.28936749361297E-3</v>
      </c>
      <c r="HE79">
        <v>6.1205834426294502E-3</v>
      </c>
      <c r="HF79">
        <v>-2.6861544538810999E-3</v>
      </c>
      <c r="HG79">
        <v>-9.0228542004990898E-3</v>
      </c>
      <c r="HH79">
        <v>1.6627230287139499E-2</v>
      </c>
      <c r="HI79">
        <v>1.4153613889411601E-3</v>
      </c>
      <c r="HJ79">
        <v>1.0356795125475301E-2</v>
      </c>
    </row>
    <row r="80" spans="1:218" x14ac:dyDescent="0.25">
      <c r="A80" s="35" t="s">
        <v>2243</v>
      </c>
      <c r="B80" s="35">
        <v>2.51540041067762E-2</v>
      </c>
      <c r="C80" s="35">
        <v>2.51540041067762E-2</v>
      </c>
      <c r="D80" s="35">
        <v>1.93415122684026E-2</v>
      </c>
      <c r="E80" s="35">
        <v>2.5422167638931702E-2</v>
      </c>
      <c r="F80" s="35">
        <v>1.6827354931432802E-2</v>
      </c>
      <c r="G80" s="35">
        <v>1.5959952885747902E-2</v>
      </c>
      <c r="H80" s="35">
        <v>1.0897918961219499E-2</v>
      </c>
      <c r="I80" s="35">
        <v>1.73175067377715E-2</v>
      </c>
      <c r="J80" s="35">
        <v>1.2795220111605899E-2</v>
      </c>
      <c r="K80" s="35">
        <v>7.0124666073019303E-3</v>
      </c>
      <c r="L80" s="35">
        <v>1.38720017685419E-2</v>
      </c>
      <c r="M80" s="35">
        <v>1.8697192695557498E-2</v>
      </c>
      <c r="N80" s="35">
        <v>1.92636986301369E-2</v>
      </c>
      <c r="O80" s="35">
        <v>2.1052078958421001E-2</v>
      </c>
      <c r="P80" s="35">
        <v>2.0360944007403702E-2</v>
      </c>
      <c r="Q80" s="35">
        <v>2.68581506676746E-2</v>
      </c>
      <c r="R80" s="35">
        <v>4.6373540092256499E-2</v>
      </c>
      <c r="S80" s="35">
        <v>6.2842939548843901E-2</v>
      </c>
      <c r="T80" s="35">
        <v>6.3892688523143407E-2</v>
      </c>
      <c r="U80" s="35">
        <v>4.1557795197212803E-2</v>
      </c>
      <c r="V80" s="35">
        <v>2.13037072432605E-2</v>
      </c>
      <c r="W80" s="35">
        <v>4.9126637554586204E-3</v>
      </c>
      <c r="X80" s="35">
        <v>3.18150073717693E-3</v>
      </c>
      <c r="Y80" s="35">
        <v>6.0720915841583302E-3</v>
      </c>
      <c r="Z80" s="35">
        <v>4.9206166147695001E-3</v>
      </c>
      <c r="AA80" s="35">
        <v>8.5689147316476699E-3</v>
      </c>
      <c r="AB80" s="35">
        <v>2.1998862127821099E-3</v>
      </c>
      <c r="AC80" s="35">
        <v>6.7744010899595296E-3</v>
      </c>
      <c r="AD80" s="35">
        <v>1.29313585444704E-2</v>
      </c>
      <c r="AE80" s="35">
        <v>9.8715950419356897E-3</v>
      </c>
      <c r="AF80" s="35">
        <v>1.3449948552109301E-2</v>
      </c>
      <c r="AG80" s="35">
        <v>1.0696932337370501E-2</v>
      </c>
      <c r="AH80" s="35">
        <v>1.24134467046964E-2</v>
      </c>
      <c r="AI80" s="35">
        <v>1.9632162727240401E-2</v>
      </c>
      <c r="AJ80" s="35">
        <v>1.9149897473325701E-2</v>
      </c>
      <c r="AK80" s="35">
        <v>1.7869322057018099E-2</v>
      </c>
      <c r="AL80" s="35">
        <v>2.0604395604395798E-2</v>
      </c>
      <c r="AM80" s="35">
        <v>2.71476873584349E-2</v>
      </c>
      <c r="AN80" s="35">
        <v>2.9210610418664198E-2</v>
      </c>
      <c r="AO80" s="35">
        <v>2.8381567507141901E-2</v>
      </c>
      <c r="AP80" s="35">
        <v>2.7296334319705198E-2</v>
      </c>
      <c r="AQ80" s="35">
        <v>2.8716712715302101E-2</v>
      </c>
      <c r="AR80" s="35">
        <v>3.2858081659475902E-2</v>
      </c>
      <c r="AS80" s="35">
        <v>2.9599712301861598E-2</v>
      </c>
      <c r="AT80" s="35">
        <v>2.83188693946641E-2</v>
      </c>
      <c r="AU80" s="35">
        <v>2.3907193060382002E-2</v>
      </c>
      <c r="AV80" s="35">
        <v>2.0490966622435301E-2</v>
      </c>
      <c r="AW80" s="35">
        <v>1.7804005901327798E-2</v>
      </c>
      <c r="AX80" s="35">
        <v>1.4028449991401201E-2</v>
      </c>
      <c r="AY80" s="35">
        <v>1.6741774482725201E-2</v>
      </c>
      <c r="AZ80" s="35">
        <v>1.17955439056356E-2</v>
      </c>
      <c r="BA80" s="35">
        <v>2.5435704192180398E-3</v>
      </c>
      <c r="BB80" s="35">
        <v>9.1618116895331202E-4</v>
      </c>
      <c r="BC80" s="35">
        <v>-1.33780834135244E-3</v>
      </c>
      <c r="BD80" s="35">
        <v>5.6404230317275204E-4</v>
      </c>
      <c r="BE80" s="35">
        <v>-2.8186216939918301E-4</v>
      </c>
      <c r="BF80" s="35">
        <v>1.08077627931014E-3</v>
      </c>
      <c r="BG80" s="35">
        <v>3.5439354111903602E-3</v>
      </c>
      <c r="BH80" s="35">
        <v>3.2273907247597502E-3</v>
      </c>
      <c r="BI80" s="35">
        <v>2.0281138541158299E-3</v>
      </c>
      <c r="BJ80" s="35">
        <v>5.5602084496555503E-3</v>
      </c>
      <c r="BK80" s="35">
        <v>3.1002012817249501E-3</v>
      </c>
      <c r="BL80" s="35">
        <v>4.0823857739233898E-3</v>
      </c>
      <c r="BM80" s="35">
        <v>5.9723434556897496E-3</v>
      </c>
      <c r="BN80" s="35">
        <v>6.2108964698361904E-3</v>
      </c>
      <c r="BO80" s="35">
        <v>1.0302727726591901E-2</v>
      </c>
      <c r="BP80" s="35">
        <v>9.0970350404311305E-3</v>
      </c>
      <c r="BQ80" s="35">
        <v>1.0818030050083499E-2</v>
      </c>
      <c r="BR80" s="35">
        <v>6.4081389971593098E-3</v>
      </c>
      <c r="BS80" s="35">
        <v>8.4241389873529506E-3</v>
      </c>
      <c r="BT80" s="35">
        <v>8.8962180224356792E-3</v>
      </c>
      <c r="BU80" s="35">
        <v>5.2906639138008398E-3</v>
      </c>
      <c r="BV80" s="35">
        <v>8.0439851956442005E-3</v>
      </c>
      <c r="BW80" s="35">
        <v>5.5179439292005698E-3</v>
      </c>
      <c r="BX80" s="35">
        <v>6.4585575888052001E-3</v>
      </c>
      <c r="BY80" s="35">
        <v>5.2637097619796496E-3</v>
      </c>
      <c r="BZ80" s="35">
        <v>4.8397863818423498E-3</v>
      </c>
      <c r="CA80" s="35">
        <v>8.1174223550903903E-3</v>
      </c>
      <c r="CB80" s="35">
        <v>7.4136617310900403E-3</v>
      </c>
      <c r="CC80" s="35">
        <v>5.5397698235859502E-3</v>
      </c>
      <c r="CD80" s="35">
        <v>7.1965846716812703E-3</v>
      </c>
      <c r="CE80" s="35">
        <v>8.8204424350073508E-3</v>
      </c>
      <c r="CF80" s="35">
        <v>9.7036874012124096E-3</v>
      </c>
      <c r="CG80" s="35">
        <v>2.6750683628580202E-3</v>
      </c>
      <c r="CH80" s="35">
        <v>1.95648307345708E-3</v>
      </c>
      <c r="CI80" s="35">
        <v>5.14792899408278E-3</v>
      </c>
      <c r="CJ80" s="35">
        <v>2.6687074429465598E-3</v>
      </c>
      <c r="CK80" s="35">
        <v>-2.5050394348005199E-3</v>
      </c>
      <c r="CL80" s="35">
        <v>-2.6094292609233302E-3</v>
      </c>
      <c r="CM80" s="35">
        <v>4.7210638130459302E-3</v>
      </c>
      <c r="CN80" s="35">
        <v>2.0557600438562101E-3</v>
      </c>
      <c r="CO80" s="35">
        <v>4.5524706434028096E-3</v>
      </c>
      <c r="CP80" s="35">
        <v>7.42988291126934E-3</v>
      </c>
      <c r="CQ80" s="35">
        <v>5.8305660668778198E-3</v>
      </c>
      <c r="CR80" s="35">
        <v>1.0173135245115099E-3</v>
      </c>
      <c r="CS80" s="35">
        <v>4.6787214051504699E-3</v>
      </c>
      <c r="CT80" s="35">
        <v>7.29077202023087E-3</v>
      </c>
      <c r="CU80" s="35">
        <v>4.3390113117456296E-3</v>
      </c>
      <c r="CV80" s="35">
        <v>8.7537259932837196E-3</v>
      </c>
      <c r="CW80" s="35">
        <v>8.3224237890406894E-3</v>
      </c>
      <c r="CX80" s="35">
        <v>9.9786701289066304E-3</v>
      </c>
      <c r="CY80" s="35">
        <v>7.1621398270067501E-3</v>
      </c>
      <c r="CZ80" s="35">
        <v>5.5066280108673196E-3</v>
      </c>
      <c r="DA80" s="35">
        <v>5.7666152869706401E-3</v>
      </c>
      <c r="DB80" s="35">
        <v>5.3729513369273896E-3</v>
      </c>
      <c r="DC80" s="35">
        <v>1.09395455605177E-3</v>
      </c>
      <c r="DD80" s="35">
        <v>4.9801153667012902E-3</v>
      </c>
      <c r="DE80" s="35">
        <v>3.2263814616755298E-3</v>
      </c>
      <c r="DF80" s="35">
        <v>5.6502194346226301E-3</v>
      </c>
      <c r="DG80" s="35">
        <v>6.8199084789484204E-3</v>
      </c>
      <c r="DH80" s="35">
        <v>2.5445292620864799E-3</v>
      </c>
      <c r="DI80" s="35">
        <v>6.4239453877121804E-3</v>
      </c>
      <c r="DJ80" s="35">
        <v>3.47844235351502E-4</v>
      </c>
      <c r="DK80" s="35">
        <v>6.0851574317144497E-4</v>
      </c>
      <c r="DL80" s="35">
        <v>6.1857103141507198E-3</v>
      </c>
      <c r="DM80" s="35">
        <v>5.6296193962837001E-3</v>
      </c>
      <c r="DN80" s="35">
        <v>4.0182711130953798E-3</v>
      </c>
      <c r="DO80" s="35">
        <v>7.4057604159540897E-3</v>
      </c>
      <c r="DP80" s="35">
        <v>4.2274324714350903E-3</v>
      </c>
      <c r="DQ80" s="35">
        <v>8.5207100591717707E-3</v>
      </c>
      <c r="DR80" s="35">
        <v>7.9122942300600095E-3</v>
      </c>
      <c r="DS80" s="35">
        <v>1.1392741908658599E-2</v>
      </c>
      <c r="DT80" s="35">
        <v>6.5448685270756996E-3</v>
      </c>
      <c r="DU80" s="35">
        <v>5.8814880164681496E-3</v>
      </c>
      <c r="DV80" s="35">
        <v>6.1719371761761498E-3</v>
      </c>
      <c r="DW80" s="35">
        <v>2.5666273870441599E-3</v>
      </c>
      <c r="DX80" s="35">
        <v>3.1396921491595501E-3</v>
      </c>
      <c r="DY80" s="35">
        <v>5.37694814053902E-3</v>
      </c>
      <c r="DZ80" s="35">
        <v>4.3903062039016803E-3</v>
      </c>
      <c r="EA80" s="35">
        <v>5.4360783939726397E-3</v>
      </c>
      <c r="EB80" s="35">
        <v>3.0669512291516799E-3</v>
      </c>
      <c r="EC80" s="35">
        <v>1.73367586565587E-3</v>
      </c>
      <c r="ED80" s="35">
        <v>8.2915086769772602E-3</v>
      </c>
      <c r="EE80" s="35">
        <v>1.04547014948664E-3</v>
      </c>
      <c r="EF80" s="35">
        <v>1.26260658114186E-3</v>
      </c>
      <c r="EG80" s="35">
        <v>2.7711180994489698E-3</v>
      </c>
      <c r="EH80" s="35">
        <v>6.5049990684964403E-3</v>
      </c>
      <c r="EI80" s="35">
        <v>1.8370841109962802E-2</v>
      </c>
      <c r="EJ80" s="35">
        <v>2.6930417133682601E-2</v>
      </c>
      <c r="EK80" s="35">
        <v>2.40117994100295E-2</v>
      </c>
      <c r="EL80" s="35">
        <v>8.4548020971366693E-3</v>
      </c>
      <c r="EM80" s="35">
        <v>1.8810254945368799E-2</v>
      </c>
      <c r="EN80" s="35">
        <v>2.22761173106041E-2</v>
      </c>
      <c r="EO80" s="35">
        <v>1.3946599744929299E-2</v>
      </c>
      <c r="EP80" s="35">
        <v>6.2079039195002102E-3</v>
      </c>
      <c r="EQ80" s="35">
        <v>2.2043899619608402E-2</v>
      </c>
      <c r="ER80" s="35">
        <v>1.3914278574904199E-2</v>
      </c>
      <c r="ES80" s="35">
        <v>2.3451585705947402E-2</v>
      </c>
      <c r="ET80" s="35">
        <v>2.5233514568520701E-2</v>
      </c>
      <c r="EU80" s="35">
        <v>1.0458130392859699E-2</v>
      </c>
      <c r="EV80" s="35">
        <v>9.6280890628823706E-3</v>
      </c>
      <c r="EW80" s="35">
        <v>1.1765846329080201E-2</v>
      </c>
      <c r="EX80" s="35">
        <v>9.4852571319072893E-3</v>
      </c>
      <c r="EY80" s="35">
        <v>7.6877446909477997E-3</v>
      </c>
      <c r="EZ80" s="35">
        <v>1.29270762203018E-2</v>
      </c>
      <c r="FA80" s="35">
        <v>1.8317913431586699E-2</v>
      </c>
      <c r="FB80" s="35">
        <v>6.2434369721045E-3</v>
      </c>
      <c r="FC80" s="35">
        <v>-8.7795914200479198E-3</v>
      </c>
      <c r="FD80" s="35">
        <v>-9.0175659438119799E-3</v>
      </c>
      <c r="FE80" s="35">
        <v>-7.7369885792799597E-4</v>
      </c>
      <c r="FF80" s="35">
        <v>2.8313879579338098E-3</v>
      </c>
      <c r="FG80" s="35">
        <v>4.3560933448574301E-3</v>
      </c>
      <c r="FH80" s="35">
        <v>3.1438963661607499E-3</v>
      </c>
      <c r="FI80" s="35">
        <v>4.4951788349134603E-3</v>
      </c>
      <c r="FJ80" s="35">
        <v>6.0350717376451701E-3</v>
      </c>
      <c r="FK80" s="35">
        <v>1.01075268817203E-2</v>
      </c>
      <c r="FL80" s="35">
        <v>1.1306208890333101E-2</v>
      </c>
      <c r="FM80" s="35">
        <v>9.3959136639631992E-3</v>
      </c>
      <c r="FN80" s="35">
        <v>7.44237102085643E-3</v>
      </c>
      <c r="FO80" s="35">
        <v>7.8341214670181198E-3</v>
      </c>
      <c r="FP80" s="35">
        <v>5.4596365287522498E-3</v>
      </c>
      <c r="FQ80" s="35">
        <v>1.9461947054904001E-3</v>
      </c>
      <c r="FR80" s="35">
        <v>3.9599497762468098E-3</v>
      </c>
      <c r="FS80" s="35">
        <v>4.9598084487771903E-3</v>
      </c>
      <c r="FT80" s="35">
        <v>5.3501531654187601E-3</v>
      </c>
      <c r="FU80" s="35">
        <v>7.4376580370083501E-3</v>
      </c>
      <c r="FV80" s="35">
        <v>5.5554388691689801E-3</v>
      </c>
      <c r="FW80" s="35">
        <v>4.4281521864000303E-3</v>
      </c>
      <c r="FX80" s="35">
        <v>4.6269820639459596E-3</v>
      </c>
      <c r="FY80" s="35">
        <v>1.64562202442542E-3</v>
      </c>
      <c r="FZ80" s="35">
        <v>-3.8231434505409101E-4</v>
      </c>
      <c r="GA80" s="35">
        <v>4.1967294453286704E-3</v>
      </c>
      <c r="GB80" s="35">
        <v>2.77926462716693E-3</v>
      </c>
      <c r="GC80" s="35">
        <v>-6.6722782237382805E-4</v>
      </c>
      <c r="GD80" s="35">
        <v>-2.4652553080027899E-3</v>
      </c>
      <c r="GE80" s="35">
        <v>8.0421776693131407E-3</v>
      </c>
      <c r="GF80" s="35">
        <v>6.02692708439712E-4</v>
      </c>
      <c r="GG80" s="35">
        <v>4.7675926209509402E-3</v>
      </c>
      <c r="GH80" s="35">
        <v>6.4011379800852398E-3</v>
      </c>
      <c r="GI80" s="35">
        <v>5.2498738011104197E-3</v>
      </c>
      <c r="GJ80" s="35">
        <v>8.4563623581401792E-3</v>
      </c>
      <c r="GK80" s="35">
        <v>5.5371867904234796E-3</v>
      </c>
      <c r="GL80" s="35">
        <v>9.3395927422550394E-3</v>
      </c>
      <c r="GM80" s="35">
        <v>1.2785665924188699E-2</v>
      </c>
      <c r="GN80" s="35">
        <v>6.61731935590137E-3</v>
      </c>
      <c r="GO80" s="35">
        <v>1.00869130003753E-2</v>
      </c>
      <c r="GP80" s="35">
        <v>3.9068083281719197E-3</v>
      </c>
      <c r="GQ80" s="35">
        <v>1.0602249537278599E-2</v>
      </c>
      <c r="GR80" s="35">
        <v>4.1795025922308797E-3</v>
      </c>
      <c r="GS80" s="35">
        <v>1.3468391369007E-3</v>
      </c>
      <c r="GT80" s="35">
        <v>2.43786252697054E-3</v>
      </c>
      <c r="GU80" s="35">
        <v>-3.17735413056042E-3</v>
      </c>
      <c r="GV80" s="35">
        <v>1.0001776016302E-2</v>
      </c>
      <c r="GW80" s="35">
        <v>5.3585806702389797E-3</v>
      </c>
      <c r="GX80" s="35">
        <v>1.6008469115345699E-2</v>
      </c>
      <c r="GY80" s="35">
        <v>2.3312705560438102E-2</v>
      </c>
      <c r="GZ80" s="35">
        <v>2.0559225088983699E-2</v>
      </c>
      <c r="HA80" s="35">
        <v>2.54546085508052E-2</v>
      </c>
      <c r="HB80" s="35">
        <v>2.59902874837139E-2</v>
      </c>
      <c r="HC80">
        <v>2.9331244330832E-2</v>
      </c>
      <c r="HD80">
        <v>1.88901439592397E-2</v>
      </c>
      <c r="HE80">
        <v>9.9382788850887992E-3</v>
      </c>
      <c r="HF80">
        <v>1.2744357682815699E-2</v>
      </c>
      <c r="HG80">
        <v>8.9171778669494604E-4</v>
      </c>
      <c r="HH80">
        <v>2.8033363542803199E-3</v>
      </c>
      <c r="HI80">
        <v>2.4968024079590201E-3</v>
      </c>
      <c r="HJ80">
        <v>5.61527354403957E-3</v>
      </c>
    </row>
    <row r="81" spans="1:218" x14ac:dyDescent="0.25">
      <c r="A81" s="35" t="s">
        <v>2244</v>
      </c>
      <c r="B81" s="35">
        <v>545.1</v>
      </c>
      <c r="C81" s="35">
        <v>549</v>
      </c>
      <c r="D81" s="35">
        <v>555.70000000000005</v>
      </c>
      <c r="E81" s="35">
        <v>556.29999999999995</v>
      </c>
      <c r="F81" s="35">
        <v>570.5</v>
      </c>
      <c r="G81" s="35">
        <v>580.4</v>
      </c>
      <c r="H81" s="35">
        <v>588.79999999999995</v>
      </c>
      <c r="I81" s="35">
        <v>598.4</v>
      </c>
      <c r="J81" s="35">
        <v>618.5</v>
      </c>
      <c r="K81" s="35">
        <v>630.4</v>
      </c>
      <c r="L81" s="35">
        <v>642.29999999999995</v>
      </c>
      <c r="M81" s="35">
        <v>664</v>
      </c>
      <c r="N81" s="35">
        <v>683.4</v>
      </c>
      <c r="O81" s="35">
        <v>700.2</v>
      </c>
      <c r="P81" s="35">
        <v>716.2</v>
      </c>
      <c r="Q81" s="35">
        <v>735.4</v>
      </c>
      <c r="R81" s="35">
        <v>748.2</v>
      </c>
      <c r="S81" s="35">
        <v>765.3</v>
      </c>
      <c r="T81" s="35">
        <v>783.2</v>
      </c>
      <c r="U81" s="35">
        <v>792.5</v>
      </c>
      <c r="V81" s="35">
        <v>792</v>
      </c>
      <c r="W81" s="35">
        <v>800.4</v>
      </c>
      <c r="X81" s="35">
        <v>821.3</v>
      </c>
      <c r="Y81" s="35">
        <v>845.8</v>
      </c>
      <c r="Z81" s="35">
        <v>871.3</v>
      </c>
      <c r="AA81" s="35">
        <v>889.4</v>
      </c>
      <c r="AB81" s="35">
        <v>908.5</v>
      </c>
      <c r="AC81" s="35">
        <v>930</v>
      </c>
      <c r="AD81" s="35">
        <v>950.1</v>
      </c>
      <c r="AE81" s="35">
        <v>981</v>
      </c>
      <c r="AF81" s="35">
        <v>1007.6</v>
      </c>
      <c r="AG81" s="35">
        <v>1038.2</v>
      </c>
      <c r="AH81" s="35">
        <v>1063.9000000000001</v>
      </c>
      <c r="AI81" s="35">
        <v>1106.0999999999999</v>
      </c>
      <c r="AJ81" s="35">
        <v>1138.0999999999999</v>
      </c>
      <c r="AK81" s="35">
        <v>1174.5</v>
      </c>
      <c r="AL81" s="35">
        <v>1208.5999999999999</v>
      </c>
      <c r="AM81" s="35">
        <v>1234.5</v>
      </c>
      <c r="AN81" s="35">
        <v>1269.5</v>
      </c>
      <c r="AO81" s="35">
        <v>1301</v>
      </c>
      <c r="AP81" s="35">
        <v>1333.9</v>
      </c>
      <c r="AQ81" s="35">
        <v>1354</v>
      </c>
      <c r="AR81" s="35">
        <v>1377.4</v>
      </c>
      <c r="AS81" s="35">
        <v>1428.8</v>
      </c>
      <c r="AT81" s="35">
        <v>1467.8</v>
      </c>
      <c r="AU81" s="35">
        <v>1496.8</v>
      </c>
      <c r="AV81" s="35">
        <v>1530.7</v>
      </c>
      <c r="AW81" s="35">
        <v>1550.7</v>
      </c>
      <c r="AX81" s="35">
        <v>1567.7</v>
      </c>
      <c r="AY81" s="35">
        <v>1581.9</v>
      </c>
      <c r="AZ81" s="35">
        <v>1596.6</v>
      </c>
      <c r="BA81" s="35">
        <v>1604.5</v>
      </c>
      <c r="BB81" s="35">
        <v>1622.6</v>
      </c>
      <c r="BC81" s="35">
        <v>1654.8</v>
      </c>
      <c r="BD81" s="35">
        <v>1691.6</v>
      </c>
      <c r="BE81" s="35">
        <v>1741.7</v>
      </c>
      <c r="BF81" s="35">
        <v>1784.2</v>
      </c>
      <c r="BG81" s="35">
        <v>1828.4</v>
      </c>
      <c r="BH81" s="35">
        <v>1867.3</v>
      </c>
      <c r="BI81" s="35">
        <v>1900.7</v>
      </c>
      <c r="BJ81" s="35">
        <v>1932.4</v>
      </c>
      <c r="BK81" s="35">
        <v>1963.8</v>
      </c>
      <c r="BL81" s="35">
        <v>1997.6</v>
      </c>
      <c r="BM81" s="35">
        <v>2037.2</v>
      </c>
      <c r="BN81" s="35">
        <v>2065.5</v>
      </c>
      <c r="BO81" s="35">
        <v>2083.6</v>
      </c>
      <c r="BP81" s="35">
        <v>2113.1</v>
      </c>
      <c r="BQ81" s="35">
        <v>2154.1999999999998</v>
      </c>
      <c r="BR81" s="35">
        <v>2194.3000000000002</v>
      </c>
      <c r="BS81" s="35">
        <v>2231.4</v>
      </c>
      <c r="BT81" s="35">
        <v>2272</v>
      </c>
      <c r="BU81" s="35">
        <v>2332.8000000000002</v>
      </c>
      <c r="BV81" s="35">
        <v>2367.1</v>
      </c>
      <c r="BW81" s="35">
        <v>2422.5</v>
      </c>
      <c r="BX81" s="35">
        <v>2463.6</v>
      </c>
      <c r="BY81" s="35">
        <v>2509.5</v>
      </c>
      <c r="BZ81" s="35">
        <v>2541.9</v>
      </c>
      <c r="CA81" s="35">
        <v>2564.6999999999998</v>
      </c>
      <c r="CB81" s="35">
        <v>2593.5</v>
      </c>
      <c r="CC81" s="35">
        <v>2637.3</v>
      </c>
      <c r="CD81" s="35">
        <v>2686.6</v>
      </c>
      <c r="CE81" s="35">
        <v>2741</v>
      </c>
      <c r="CF81" s="35">
        <v>2771.6</v>
      </c>
      <c r="CG81" s="35">
        <v>2774.8</v>
      </c>
      <c r="CH81" s="35">
        <v>2774.1</v>
      </c>
      <c r="CI81" s="35">
        <v>2802.8</v>
      </c>
      <c r="CJ81" s="35">
        <v>2830.9</v>
      </c>
      <c r="CK81" s="35">
        <v>2861.2</v>
      </c>
      <c r="CL81" s="35">
        <v>2915.9</v>
      </c>
      <c r="CM81" s="35">
        <v>2955</v>
      </c>
      <c r="CN81" s="35">
        <v>2979.4</v>
      </c>
      <c r="CO81" s="35">
        <v>3023.8</v>
      </c>
      <c r="CP81" s="35">
        <v>3019</v>
      </c>
      <c r="CQ81" s="35">
        <v>3069.8</v>
      </c>
      <c r="CR81" s="35">
        <v>3096.9</v>
      </c>
      <c r="CS81" s="35">
        <v>3144.9</v>
      </c>
      <c r="CT81" s="35">
        <v>3156.6</v>
      </c>
      <c r="CU81" s="35">
        <v>3227.4</v>
      </c>
      <c r="CV81" s="35">
        <v>3262.7</v>
      </c>
      <c r="CW81" s="35">
        <v>3315.7</v>
      </c>
      <c r="CX81" s="35">
        <v>3362.1</v>
      </c>
      <c r="CY81" s="35">
        <v>3399.3</v>
      </c>
      <c r="CZ81" s="35">
        <v>3443</v>
      </c>
      <c r="DA81" s="35">
        <v>3484.1</v>
      </c>
      <c r="DB81" s="35">
        <v>3528.3</v>
      </c>
      <c r="DC81" s="35">
        <v>3594</v>
      </c>
      <c r="DD81" s="35">
        <v>3651.3</v>
      </c>
      <c r="DE81" s="35">
        <v>3708.7</v>
      </c>
      <c r="DF81" s="35">
        <v>3780.5</v>
      </c>
      <c r="DG81" s="35">
        <v>3840</v>
      </c>
      <c r="DH81" s="35">
        <v>3907.4</v>
      </c>
      <c r="DI81" s="35">
        <v>3997.1</v>
      </c>
      <c r="DJ81" s="35">
        <v>4079.3</v>
      </c>
      <c r="DK81" s="35">
        <v>4149.8999999999996</v>
      </c>
      <c r="DL81" s="35">
        <v>4222</v>
      </c>
      <c r="DM81" s="35">
        <v>4293.5</v>
      </c>
      <c r="DN81" s="35">
        <v>4372.7</v>
      </c>
      <c r="DO81" s="35">
        <v>4416.8999999999996</v>
      </c>
      <c r="DP81" s="35">
        <v>4480.2</v>
      </c>
      <c r="DQ81" s="35">
        <v>4591</v>
      </c>
      <c r="DR81" s="35">
        <v>4758.7</v>
      </c>
      <c r="DS81" s="35">
        <v>4786.6000000000004</v>
      </c>
      <c r="DT81" s="35">
        <v>4878.8</v>
      </c>
      <c r="DU81" s="35">
        <v>4905.7</v>
      </c>
      <c r="DV81" s="35">
        <v>4987.2</v>
      </c>
      <c r="DW81" s="35">
        <v>4969.3</v>
      </c>
      <c r="DX81" s="35">
        <v>4944.1000000000004</v>
      </c>
      <c r="DY81" s="35">
        <v>4946</v>
      </c>
      <c r="DZ81" s="35">
        <v>4953.8999999999996</v>
      </c>
      <c r="EA81" s="35">
        <v>5006.3999999999996</v>
      </c>
      <c r="EB81" s="35">
        <v>5020.5</v>
      </c>
      <c r="EC81" s="35">
        <v>5035.5</v>
      </c>
      <c r="ED81" s="35">
        <v>5035.7</v>
      </c>
      <c r="EE81" s="35">
        <v>5109.8</v>
      </c>
      <c r="EF81" s="35">
        <v>5177.3999999999996</v>
      </c>
      <c r="EG81" s="35">
        <v>5264.9</v>
      </c>
      <c r="EH81" s="35">
        <v>5284</v>
      </c>
      <c r="EI81" s="35">
        <v>5390.8</v>
      </c>
      <c r="EJ81" s="35">
        <v>5502.5</v>
      </c>
      <c r="EK81" s="35">
        <v>5546.1</v>
      </c>
      <c r="EL81" s="35">
        <v>5586.1</v>
      </c>
      <c r="EM81" s="35">
        <v>5649.4</v>
      </c>
      <c r="EN81" s="35">
        <v>5749.8</v>
      </c>
      <c r="EO81" s="35">
        <v>5826.7</v>
      </c>
      <c r="EP81" s="35">
        <v>5983.1</v>
      </c>
      <c r="EQ81" s="35">
        <v>6024.2</v>
      </c>
      <c r="ER81" s="35">
        <v>6073</v>
      </c>
      <c r="ES81" s="35">
        <v>6193</v>
      </c>
      <c r="ET81" s="35">
        <v>6354.7</v>
      </c>
      <c r="EU81" s="35">
        <v>6381.4</v>
      </c>
      <c r="EV81" s="35">
        <v>6407.7</v>
      </c>
      <c r="EW81" s="35">
        <v>6485.3</v>
      </c>
      <c r="EX81" s="35">
        <v>6552.3</v>
      </c>
      <c r="EY81" s="35">
        <v>6544.1</v>
      </c>
      <c r="EZ81" s="35">
        <v>6558</v>
      </c>
      <c r="FA81" s="35">
        <v>6529.4</v>
      </c>
      <c r="FB81" s="35">
        <v>6234.6</v>
      </c>
      <c r="FC81" s="35">
        <v>6262.8</v>
      </c>
      <c r="FD81" s="35">
        <v>6245.2</v>
      </c>
      <c r="FE81" s="35">
        <v>6286.6</v>
      </c>
      <c r="FF81" s="35">
        <v>6240.2</v>
      </c>
      <c r="FG81" s="35">
        <v>6368.2</v>
      </c>
      <c r="FH81" s="35">
        <v>6430.5</v>
      </c>
      <c r="FI81" s="35">
        <v>6481.4</v>
      </c>
      <c r="FJ81" s="35">
        <v>6584.9</v>
      </c>
      <c r="FK81" s="35">
        <v>6615.9</v>
      </c>
      <c r="FL81" s="35">
        <v>6689.7</v>
      </c>
      <c r="FM81" s="35">
        <v>6645.7</v>
      </c>
      <c r="FN81" s="35">
        <v>6844.2</v>
      </c>
      <c r="FO81" s="35">
        <v>6884.3</v>
      </c>
      <c r="FP81" s="35">
        <v>6914.2</v>
      </c>
      <c r="FQ81" s="35">
        <v>7101.8</v>
      </c>
      <c r="FR81" s="35">
        <v>7052.2</v>
      </c>
      <c r="FS81" s="35">
        <v>7111.5</v>
      </c>
      <c r="FT81" s="35">
        <v>7121.5</v>
      </c>
      <c r="FU81" s="35">
        <v>7205.1</v>
      </c>
      <c r="FV81" s="35">
        <v>7367.7</v>
      </c>
      <c r="FW81" s="35">
        <v>7418.9</v>
      </c>
      <c r="FX81" s="35">
        <v>7512.6</v>
      </c>
      <c r="FY81" s="35">
        <v>7643.9</v>
      </c>
      <c r="FZ81" s="35">
        <v>7755.9</v>
      </c>
      <c r="GA81" s="35">
        <v>7840.7</v>
      </c>
      <c r="GB81" s="35">
        <v>7913.3</v>
      </c>
      <c r="GC81" s="35">
        <v>7968.5</v>
      </c>
      <c r="GD81" s="35">
        <v>8003.5</v>
      </c>
      <c r="GE81" s="35">
        <v>8050.2</v>
      </c>
      <c r="GF81" s="35">
        <v>8130.4</v>
      </c>
      <c r="GG81" s="35">
        <v>8224.9</v>
      </c>
      <c r="GH81" s="35">
        <v>8321.2999999999993</v>
      </c>
      <c r="GI81" s="35">
        <v>8412.7999999999993</v>
      </c>
      <c r="GJ81" s="35">
        <v>8529.1</v>
      </c>
      <c r="GK81" s="35">
        <v>8676.9</v>
      </c>
      <c r="GL81" s="35">
        <v>8772.7000000000007</v>
      </c>
      <c r="GM81" s="35">
        <v>8853.5</v>
      </c>
      <c r="GN81" s="35">
        <v>8979.5</v>
      </c>
      <c r="GO81" s="35">
        <v>9034.7000000000007</v>
      </c>
      <c r="GP81" s="35">
        <v>9233.2000000000007</v>
      </c>
      <c r="GQ81" s="35">
        <v>9284.9</v>
      </c>
      <c r="GR81" s="35">
        <v>9340.9</v>
      </c>
      <c r="GS81" s="35">
        <v>9488.2000000000007</v>
      </c>
      <c r="GT81" s="35">
        <v>9635.9</v>
      </c>
      <c r="GU81" s="35">
        <v>9004.6</v>
      </c>
      <c r="GV81" s="35">
        <v>9440.7000000000007</v>
      </c>
      <c r="GW81" s="35">
        <v>9807.7999999999993</v>
      </c>
      <c r="GX81" s="35">
        <v>9888.4</v>
      </c>
      <c r="GY81" s="35">
        <v>10180</v>
      </c>
      <c r="GZ81" s="35">
        <v>10459.1</v>
      </c>
      <c r="HA81" s="35">
        <v>10766</v>
      </c>
      <c r="HB81" s="35">
        <v>10902.1</v>
      </c>
      <c r="HC81">
        <v>11004.6</v>
      </c>
      <c r="HD81">
        <v>11287.6</v>
      </c>
      <c r="HE81">
        <v>11334.1</v>
      </c>
      <c r="HF81">
        <v>11581.9</v>
      </c>
      <c r="HG81">
        <v>11750.8</v>
      </c>
      <c r="HH81">
        <v>11935</v>
      </c>
      <c r="HI81">
        <v>11994.3</v>
      </c>
      <c r="HJ81">
        <v>12160.1</v>
      </c>
    </row>
    <row r="82" spans="1:218" x14ac:dyDescent="0.25">
      <c r="A82" s="35" t="s">
        <v>2245</v>
      </c>
      <c r="B82" s="35">
        <v>77.099999999999994</v>
      </c>
      <c r="C82" s="35">
        <v>76.7</v>
      </c>
      <c r="D82" s="35">
        <v>78.5</v>
      </c>
      <c r="E82" s="35">
        <v>78.900000000000006</v>
      </c>
      <c r="F82" s="35">
        <v>80.3</v>
      </c>
      <c r="G82" s="35">
        <v>82.8</v>
      </c>
      <c r="H82" s="35">
        <v>84.6</v>
      </c>
      <c r="I82" s="35">
        <v>87.9</v>
      </c>
      <c r="J82" s="35">
        <v>87.9</v>
      </c>
      <c r="K82" s="35">
        <v>91.3</v>
      </c>
      <c r="L82" s="35">
        <v>95.5</v>
      </c>
      <c r="M82" s="35">
        <v>105.6</v>
      </c>
      <c r="N82" s="35">
        <v>104.1</v>
      </c>
      <c r="O82" s="35">
        <v>109.9</v>
      </c>
      <c r="P82" s="35">
        <v>113.8</v>
      </c>
      <c r="Q82" s="35">
        <v>122.2</v>
      </c>
      <c r="R82" s="35">
        <v>115.7</v>
      </c>
      <c r="S82" s="35">
        <v>108.6</v>
      </c>
      <c r="T82" s="35">
        <v>111</v>
      </c>
      <c r="U82" s="35">
        <v>113.5</v>
      </c>
      <c r="V82" s="35">
        <v>112.7</v>
      </c>
      <c r="W82" s="35">
        <v>114.3</v>
      </c>
      <c r="X82" s="35">
        <v>120.7</v>
      </c>
      <c r="Y82" s="35">
        <v>125.2</v>
      </c>
      <c r="Z82" s="35">
        <v>126.4</v>
      </c>
      <c r="AA82" s="35">
        <v>128.6</v>
      </c>
      <c r="AB82" s="35">
        <v>132.69999999999999</v>
      </c>
      <c r="AC82" s="35">
        <v>136.19999999999999</v>
      </c>
      <c r="AD82" s="35">
        <v>138.6</v>
      </c>
      <c r="AE82" s="35">
        <v>140.5</v>
      </c>
      <c r="AF82" s="35">
        <v>142.4</v>
      </c>
      <c r="AG82" s="35">
        <v>156.5</v>
      </c>
      <c r="AH82" s="35">
        <v>158.5</v>
      </c>
      <c r="AI82" s="35">
        <v>166.1</v>
      </c>
      <c r="AJ82" s="35">
        <v>168.3</v>
      </c>
      <c r="AK82" s="35">
        <v>170.9</v>
      </c>
      <c r="AL82" s="35">
        <v>180.1</v>
      </c>
      <c r="AM82" s="35">
        <v>179.2</v>
      </c>
      <c r="AN82" s="35">
        <v>180.7</v>
      </c>
      <c r="AO82" s="35">
        <v>177.8</v>
      </c>
      <c r="AP82" s="35">
        <v>167.6</v>
      </c>
      <c r="AQ82" s="35">
        <v>160.30000000000001</v>
      </c>
      <c r="AR82" s="35">
        <v>173.4</v>
      </c>
      <c r="AS82" s="35">
        <v>185</v>
      </c>
      <c r="AT82" s="35">
        <v>188.2</v>
      </c>
      <c r="AU82" s="35">
        <v>176.4</v>
      </c>
      <c r="AV82" s="35">
        <v>182.3</v>
      </c>
      <c r="AW82" s="35">
        <v>171.8</v>
      </c>
      <c r="AX82" s="35">
        <v>165.2</v>
      </c>
      <c r="AY82" s="35">
        <v>169.4</v>
      </c>
      <c r="AZ82" s="35">
        <v>170.7</v>
      </c>
      <c r="BA82" s="35">
        <v>179.5</v>
      </c>
      <c r="BB82" s="35">
        <v>183.3</v>
      </c>
      <c r="BC82" s="35">
        <v>182.6</v>
      </c>
      <c r="BD82" s="35">
        <v>183.8</v>
      </c>
      <c r="BE82" s="35">
        <v>195.3</v>
      </c>
      <c r="BF82" s="35">
        <v>221.9</v>
      </c>
      <c r="BG82" s="35">
        <v>231.8</v>
      </c>
      <c r="BH82" s="35">
        <v>232.4</v>
      </c>
      <c r="BI82" s="35">
        <v>226.9</v>
      </c>
      <c r="BJ82" s="35">
        <v>240.7</v>
      </c>
      <c r="BK82" s="35">
        <v>238.5</v>
      </c>
      <c r="BL82" s="35">
        <v>240.7</v>
      </c>
      <c r="BM82" s="35">
        <v>244.3</v>
      </c>
      <c r="BN82" s="35">
        <v>245.6</v>
      </c>
      <c r="BO82" s="35">
        <v>251.6</v>
      </c>
      <c r="BP82" s="35">
        <v>264.39999999999998</v>
      </c>
      <c r="BQ82" s="35">
        <v>264.2</v>
      </c>
      <c r="BR82" s="35">
        <v>275.39999999999998</v>
      </c>
      <c r="BS82" s="35">
        <v>282.3</v>
      </c>
      <c r="BT82" s="35">
        <v>289.5</v>
      </c>
      <c r="BU82" s="35">
        <v>298.60000000000002</v>
      </c>
      <c r="BV82" s="35">
        <v>319.2</v>
      </c>
      <c r="BW82" s="35">
        <v>322.5</v>
      </c>
      <c r="BX82" s="35">
        <v>333.6</v>
      </c>
      <c r="BY82" s="35">
        <v>326.8</v>
      </c>
      <c r="BZ82" s="35">
        <v>348.1</v>
      </c>
      <c r="CA82" s="35">
        <v>339.5</v>
      </c>
      <c r="CB82" s="35">
        <v>337.2</v>
      </c>
      <c r="CC82" s="35">
        <v>339.7</v>
      </c>
      <c r="CD82" s="35">
        <v>345.6</v>
      </c>
      <c r="CE82" s="35">
        <v>351.1</v>
      </c>
      <c r="CF82" s="35">
        <v>358.9</v>
      </c>
      <c r="CG82" s="35">
        <v>357</v>
      </c>
      <c r="CH82" s="35">
        <v>347.5</v>
      </c>
      <c r="CI82" s="35">
        <v>353</v>
      </c>
      <c r="CJ82" s="35">
        <v>353.6</v>
      </c>
      <c r="CK82" s="35">
        <v>362.6</v>
      </c>
      <c r="CL82" s="35">
        <v>378.7</v>
      </c>
      <c r="CM82" s="35">
        <v>395.2</v>
      </c>
      <c r="CN82" s="35">
        <v>407.9</v>
      </c>
      <c r="CO82" s="35">
        <v>418.8</v>
      </c>
      <c r="CP82" s="35">
        <v>418.9</v>
      </c>
      <c r="CQ82" s="35">
        <v>429.6</v>
      </c>
      <c r="CR82" s="35">
        <v>423.4</v>
      </c>
      <c r="CS82" s="35">
        <v>440</v>
      </c>
      <c r="CT82" s="35">
        <v>450.2</v>
      </c>
      <c r="CU82" s="35">
        <v>454.1</v>
      </c>
      <c r="CV82" s="35">
        <v>456.8</v>
      </c>
      <c r="CW82" s="35">
        <v>465.5</v>
      </c>
      <c r="CX82" s="35">
        <v>467.4</v>
      </c>
      <c r="CY82" s="35">
        <v>472</v>
      </c>
      <c r="CZ82" s="35">
        <v>484.5</v>
      </c>
      <c r="DA82" s="35">
        <v>501</v>
      </c>
      <c r="DB82" s="35">
        <v>523.29999999999995</v>
      </c>
      <c r="DC82" s="35">
        <v>547.5</v>
      </c>
      <c r="DD82" s="35">
        <v>547.5</v>
      </c>
      <c r="DE82" s="35">
        <v>556.79999999999995</v>
      </c>
      <c r="DF82" s="35">
        <v>575.6</v>
      </c>
      <c r="DG82" s="35">
        <v>575.1</v>
      </c>
      <c r="DH82" s="35">
        <v>588.5</v>
      </c>
      <c r="DI82" s="35">
        <v>596.6</v>
      </c>
      <c r="DJ82" s="35">
        <v>617.4</v>
      </c>
      <c r="DK82" s="35">
        <v>630.20000000000005</v>
      </c>
      <c r="DL82" s="35">
        <v>645.4</v>
      </c>
      <c r="DM82" s="35">
        <v>668.1</v>
      </c>
      <c r="DN82" s="35">
        <v>682.4</v>
      </c>
      <c r="DO82" s="35">
        <v>690.2</v>
      </c>
      <c r="DP82" s="35">
        <v>699.5</v>
      </c>
      <c r="DQ82" s="35">
        <v>713.3</v>
      </c>
      <c r="DR82" s="35">
        <v>720.6</v>
      </c>
      <c r="DS82" s="35">
        <v>750.7</v>
      </c>
      <c r="DT82" s="35">
        <v>760.3</v>
      </c>
      <c r="DU82" s="35">
        <v>782.7</v>
      </c>
      <c r="DV82" s="35">
        <v>810</v>
      </c>
      <c r="DW82" s="35">
        <v>827.8</v>
      </c>
      <c r="DX82" s="35">
        <v>845.6</v>
      </c>
      <c r="DY82" s="35">
        <v>840.9</v>
      </c>
      <c r="DZ82" s="35">
        <v>859.7</v>
      </c>
      <c r="EA82" s="35">
        <v>864.4</v>
      </c>
      <c r="EB82" s="35">
        <v>873</v>
      </c>
      <c r="EC82" s="35">
        <v>883.4</v>
      </c>
      <c r="ED82" s="35">
        <v>876.3</v>
      </c>
      <c r="EE82" s="35">
        <v>892.4</v>
      </c>
      <c r="EF82" s="35">
        <v>905.3</v>
      </c>
      <c r="EG82" s="35">
        <v>916.1</v>
      </c>
      <c r="EH82" s="35">
        <v>946.6</v>
      </c>
      <c r="EI82" s="35">
        <v>963</v>
      </c>
      <c r="EJ82" s="35">
        <v>964.2</v>
      </c>
      <c r="EK82" s="35">
        <v>977.8</v>
      </c>
      <c r="EL82" s="35">
        <v>957.1</v>
      </c>
      <c r="EM82" s="35">
        <v>963.9</v>
      </c>
      <c r="EN82" s="35">
        <v>988</v>
      </c>
      <c r="EO82" s="35">
        <v>1007.5</v>
      </c>
      <c r="EP82" s="35">
        <v>1049.5</v>
      </c>
      <c r="EQ82" s="35">
        <v>1052</v>
      </c>
      <c r="ER82" s="35">
        <v>1048.8</v>
      </c>
      <c r="ES82" s="35">
        <v>1053.2</v>
      </c>
      <c r="ET82" s="35">
        <v>1017.2</v>
      </c>
      <c r="EU82" s="35">
        <v>998.5</v>
      </c>
      <c r="EV82" s="35">
        <v>987.1</v>
      </c>
      <c r="EW82" s="35">
        <v>978.8</v>
      </c>
      <c r="EX82" s="35">
        <v>965</v>
      </c>
      <c r="EY82" s="35">
        <v>967.5</v>
      </c>
      <c r="EZ82" s="35">
        <v>957.2</v>
      </c>
      <c r="FA82" s="35">
        <v>951.5</v>
      </c>
      <c r="FB82" s="35">
        <v>913.8</v>
      </c>
      <c r="FC82" s="35">
        <v>902</v>
      </c>
      <c r="FD82" s="35">
        <v>935</v>
      </c>
      <c r="FE82" s="35">
        <v>1001.7</v>
      </c>
      <c r="FF82" s="35">
        <v>1057.0999999999999</v>
      </c>
      <c r="FG82" s="35">
        <v>1103.5</v>
      </c>
      <c r="FH82" s="35">
        <v>1129</v>
      </c>
      <c r="FI82" s="35">
        <v>1144.4000000000001</v>
      </c>
      <c r="FJ82" s="35">
        <v>1181.2</v>
      </c>
      <c r="FK82" s="35">
        <v>1211.9000000000001</v>
      </c>
      <c r="FL82" s="35">
        <v>1252.0999999999999</v>
      </c>
      <c r="FM82" s="35">
        <v>1268.2</v>
      </c>
      <c r="FN82" s="35">
        <v>1297.7</v>
      </c>
      <c r="FO82" s="35">
        <v>1308.7</v>
      </c>
      <c r="FP82" s="35">
        <v>1286.8</v>
      </c>
      <c r="FQ82" s="35">
        <v>1306.5999999999999</v>
      </c>
      <c r="FR82" s="35">
        <v>1339.6</v>
      </c>
      <c r="FS82" s="35">
        <v>1364.1</v>
      </c>
      <c r="FT82" s="35">
        <v>1363.1</v>
      </c>
      <c r="FU82" s="35">
        <v>1340.1</v>
      </c>
      <c r="FV82" s="35">
        <v>1349.4</v>
      </c>
      <c r="FW82" s="35">
        <v>1376.7</v>
      </c>
      <c r="FX82" s="35">
        <v>1381.9</v>
      </c>
      <c r="FY82" s="35">
        <v>1371.7</v>
      </c>
      <c r="FZ82" s="35">
        <v>1356.1</v>
      </c>
      <c r="GA82" s="35">
        <v>1339.9</v>
      </c>
      <c r="GB82" s="35">
        <v>1352.3</v>
      </c>
      <c r="GC82" s="35">
        <v>1342.5</v>
      </c>
      <c r="GD82" s="35">
        <v>1335.9</v>
      </c>
      <c r="GE82" s="35">
        <v>1334</v>
      </c>
      <c r="GF82" s="35">
        <v>1355.9</v>
      </c>
      <c r="GG82" s="35">
        <v>1371.1</v>
      </c>
      <c r="GH82" s="35">
        <v>1409.4</v>
      </c>
      <c r="GI82" s="35">
        <v>1419.7</v>
      </c>
      <c r="GJ82" s="35">
        <v>1423.9</v>
      </c>
      <c r="GK82" s="35">
        <v>1461.5</v>
      </c>
      <c r="GL82" s="35">
        <v>1472.2</v>
      </c>
      <c r="GM82" s="35">
        <v>1479.6</v>
      </c>
      <c r="GN82" s="35">
        <v>1499.9</v>
      </c>
      <c r="GO82" s="35">
        <v>1529.7</v>
      </c>
      <c r="GP82" s="35">
        <v>1531.8</v>
      </c>
      <c r="GQ82" s="35">
        <v>1533.5</v>
      </c>
      <c r="GR82" s="35">
        <v>1570.1</v>
      </c>
      <c r="GS82" s="35">
        <v>1581.1</v>
      </c>
      <c r="GT82" s="35">
        <v>1577.7</v>
      </c>
      <c r="GU82" s="35">
        <v>1411.5</v>
      </c>
      <c r="GV82" s="35">
        <v>1691.6</v>
      </c>
      <c r="GW82" s="35">
        <v>1654.4</v>
      </c>
      <c r="GX82" s="35">
        <v>1650.2</v>
      </c>
      <c r="GY82" s="35">
        <v>1784.1</v>
      </c>
      <c r="GZ82" s="35">
        <v>1792.8</v>
      </c>
      <c r="HA82" s="35">
        <v>1769.2</v>
      </c>
      <c r="HB82" s="35">
        <v>1756.4</v>
      </c>
      <c r="HC82">
        <v>1774.4</v>
      </c>
      <c r="HD82">
        <v>1807.4</v>
      </c>
      <c r="HE82">
        <v>1825.3</v>
      </c>
      <c r="HF82">
        <v>1827.4</v>
      </c>
      <c r="HG82">
        <v>1824.1</v>
      </c>
      <c r="HH82">
        <v>1859.6</v>
      </c>
      <c r="HI82">
        <v>1882.6</v>
      </c>
      <c r="HJ82">
        <v>1890.4</v>
      </c>
    </row>
    <row r="83" spans="1:218" x14ac:dyDescent="0.25">
      <c r="A83" s="35" t="s">
        <v>2246</v>
      </c>
      <c r="B83" s="35">
        <v>20.399999999999999</v>
      </c>
      <c r="C83" s="35">
        <v>20.2</v>
      </c>
      <c r="D83" s="35">
        <v>20.9</v>
      </c>
      <c r="E83" s="35">
        <v>21.2</v>
      </c>
      <c r="F83" s="35">
        <v>21.1</v>
      </c>
      <c r="G83" s="35">
        <v>21.7</v>
      </c>
      <c r="H83" s="35">
        <v>22</v>
      </c>
      <c r="I83" s="35">
        <v>22.5</v>
      </c>
      <c r="J83" s="35">
        <v>23.1</v>
      </c>
      <c r="K83" s="35">
        <v>20.2</v>
      </c>
      <c r="L83" s="35">
        <v>23.9</v>
      </c>
      <c r="M83" s="35">
        <v>23.8</v>
      </c>
      <c r="N83" s="35">
        <v>23.5</v>
      </c>
      <c r="O83" s="35">
        <v>23.3</v>
      </c>
      <c r="P83" s="35">
        <v>22.3</v>
      </c>
      <c r="Q83" s="35">
        <v>23.3</v>
      </c>
      <c r="R83" s="35">
        <v>23.5</v>
      </c>
      <c r="S83" s="35">
        <v>22.9</v>
      </c>
      <c r="T83" s="35">
        <v>23.3</v>
      </c>
      <c r="U83" s="35">
        <v>23</v>
      </c>
      <c r="V83" s="35">
        <v>22.7</v>
      </c>
      <c r="W83" s="35">
        <v>22.4</v>
      </c>
      <c r="X83" s="35">
        <v>22.2</v>
      </c>
      <c r="Y83" s="35">
        <v>21.9</v>
      </c>
      <c r="Z83" s="35">
        <v>21.6</v>
      </c>
      <c r="AA83" s="35">
        <v>20.5</v>
      </c>
      <c r="AB83" s="35">
        <v>20</v>
      </c>
      <c r="AC83" s="35">
        <v>19.100000000000001</v>
      </c>
      <c r="AD83" s="35">
        <v>16.399999999999999</v>
      </c>
      <c r="AE83" s="35">
        <v>16.3</v>
      </c>
      <c r="AF83" s="35">
        <v>15.6</v>
      </c>
      <c r="AG83" s="35">
        <v>15.1</v>
      </c>
      <c r="AH83" s="35">
        <v>15.9</v>
      </c>
      <c r="AI83" s="35">
        <v>15.6</v>
      </c>
      <c r="AJ83" s="35">
        <v>17.100000000000001</v>
      </c>
      <c r="AK83" s="35">
        <v>17.5</v>
      </c>
      <c r="AL83" s="35">
        <v>17.3</v>
      </c>
      <c r="AM83" s="35">
        <v>15.6</v>
      </c>
      <c r="AN83" s="35">
        <v>15.4</v>
      </c>
      <c r="AO83" s="35">
        <v>16.100000000000001</v>
      </c>
      <c r="AP83" s="35">
        <v>15.8</v>
      </c>
      <c r="AQ83" s="35">
        <v>17.100000000000001</v>
      </c>
      <c r="AR83" s="35">
        <v>19.899999999999999</v>
      </c>
      <c r="AS83" s="35">
        <v>23.2</v>
      </c>
      <c r="AT83" s="35">
        <v>24</v>
      </c>
      <c r="AU83" s="35">
        <v>23.3</v>
      </c>
      <c r="AV83" s="35">
        <v>23.1</v>
      </c>
      <c r="AW83" s="35">
        <v>24.7</v>
      </c>
      <c r="AX83" s="35">
        <v>23.5</v>
      </c>
      <c r="AY83" s="35">
        <v>21.1</v>
      </c>
      <c r="AZ83" s="35">
        <v>24.4</v>
      </c>
      <c r="BA83" s="35">
        <v>26.3</v>
      </c>
      <c r="BB83" s="35">
        <v>25.8</v>
      </c>
      <c r="BC83" s="35">
        <v>24.7</v>
      </c>
      <c r="BD83" s="35">
        <v>23.7</v>
      </c>
      <c r="BE83" s="35">
        <v>23.5</v>
      </c>
      <c r="BF83" s="35">
        <v>23.2</v>
      </c>
      <c r="BG83" s="35">
        <v>21.7</v>
      </c>
      <c r="BH83" s="35">
        <v>24.4</v>
      </c>
      <c r="BI83" s="35">
        <v>29.3</v>
      </c>
      <c r="BJ83" s="35">
        <v>26.9</v>
      </c>
      <c r="BK83" s="35">
        <v>25.3</v>
      </c>
      <c r="BL83" s="35">
        <v>27.1</v>
      </c>
      <c r="BM83" s="35">
        <v>25.6</v>
      </c>
      <c r="BN83" s="35">
        <v>22</v>
      </c>
      <c r="BO83" s="35">
        <v>21.1</v>
      </c>
      <c r="BP83" s="35">
        <v>16.600000000000001</v>
      </c>
      <c r="BQ83" s="35">
        <v>13.4</v>
      </c>
      <c r="BR83" s="35">
        <v>14.5</v>
      </c>
      <c r="BS83" s="35">
        <v>14.1</v>
      </c>
      <c r="BT83" s="35">
        <v>17.5</v>
      </c>
      <c r="BU83" s="35">
        <v>20.3</v>
      </c>
      <c r="BV83" s="35">
        <v>21.1</v>
      </c>
      <c r="BW83" s="35">
        <v>20.3</v>
      </c>
      <c r="BX83" s="35">
        <v>21.2</v>
      </c>
      <c r="BY83" s="35">
        <v>27.4</v>
      </c>
      <c r="BZ83" s="35">
        <v>23.1</v>
      </c>
      <c r="CA83" s="35">
        <v>21.2</v>
      </c>
      <c r="CB83" s="35">
        <v>20</v>
      </c>
      <c r="CC83" s="35">
        <v>21.8</v>
      </c>
      <c r="CD83" s="35">
        <v>23.1</v>
      </c>
      <c r="CE83" s="35">
        <v>26.7</v>
      </c>
      <c r="CF83" s="35">
        <v>31.6</v>
      </c>
      <c r="CG83" s="35">
        <v>31.3</v>
      </c>
      <c r="CH83" s="35">
        <v>33</v>
      </c>
      <c r="CI83" s="35">
        <v>35.5</v>
      </c>
      <c r="CJ83" s="35">
        <v>39.4</v>
      </c>
      <c r="CK83" s="35">
        <v>46.4</v>
      </c>
      <c r="CL83" s="35">
        <v>50</v>
      </c>
      <c r="CM83" s="35">
        <v>57.3</v>
      </c>
      <c r="CN83" s="35">
        <v>64.3</v>
      </c>
      <c r="CO83" s="35">
        <v>70.7</v>
      </c>
      <c r="CP83" s="35">
        <v>80.7</v>
      </c>
      <c r="CQ83" s="35">
        <v>86.9</v>
      </c>
      <c r="CR83" s="35">
        <v>92.5</v>
      </c>
      <c r="CS83" s="35">
        <v>100.2</v>
      </c>
      <c r="CT83" s="35">
        <v>109</v>
      </c>
      <c r="CU83" s="35">
        <v>113.5</v>
      </c>
      <c r="CV83" s="35">
        <v>116.3</v>
      </c>
      <c r="CW83" s="35">
        <v>115.9</v>
      </c>
      <c r="CX83" s="35">
        <v>118.3</v>
      </c>
      <c r="CY83" s="35">
        <v>121.6</v>
      </c>
      <c r="CZ83" s="35">
        <v>125.7</v>
      </c>
      <c r="DA83" s="35">
        <v>134</v>
      </c>
      <c r="DB83" s="35">
        <v>139.5</v>
      </c>
      <c r="DC83" s="35">
        <v>141.6</v>
      </c>
      <c r="DD83" s="35">
        <v>143.69999999999999</v>
      </c>
      <c r="DE83" s="35">
        <v>145.30000000000001</v>
      </c>
      <c r="DF83" s="35">
        <v>144.19999999999999</v>
      </c>
      <c r="DG83" s="35">
        <v>144.6</v>
      </c>
      <c r="DH83" s="35">
        <v>147.4</v>
      </c>
      <c r="DI83" s="35">
        <v>152.1</v>
      </c>
      <c r="DJ83" s="35">
        <v>156.80000000000001</v>
      </c>
      <c r="DK83" s="35">
        <v>162.6</v>
      </c>
      <c r="DL83" s="35">
        <v>168</v>
      </c>
      <c r="DM83" s="35">
        <v>173.4</v>
      </c>
      <c r="DN83" s="35">
        <v>176.1</v>
      </c>
      <c r="DO83" s="35">
        <v>179.6</v>
      </c>
      <c r="DP83" s="35">
        <v>179.4</v>
      </c>
      <c r="DQ83" s="35">
        <v>178.9</v>
      </c>
      <c r="DR83" s="35">
        <v>179.8</v>
      </c>
      <c r="DS83" s="35">
        <v>180.2</v>
      </c>
      <c r="DT83" s="35">
        <v>182.9</v>
      </c>
      <c r="DU83" s="35">
        <v>191</v>
      </c>
      <c r="DV83" s="35">
        <v>197.1</v>
      </c>
      <c r="DW83" s="35">
        <v>202.6</v>
      </c>
      <c r="DX83" s="35">
        <v>204.8</v>
      </c>
      <c r="DY83" s="35">
        <v>205.1</v>
      </c>
      <c r="DZ83" s="35">
        <v>207.3</v>
      </c>
      <c r="EA83" s="35">
        <v>208.9</v>
      </c>
      <c r="EB83" s="35">
        <v>207.7</v>
      </c>
      <c r="EC83" s="35">
        <v>209.9</v>
      </c>
      <c r="ED83" s="35">
        <v>218.7</v>
      </c>
      <c r="EE83" s="35">
        <v>223.2</v>
      </c>
      <c r="EF83" s="35">
        <v>227.5</v>
      </c>
      <c r="EG83" s="35">
        <v>239</v>
      </c>
      <c r="EH83" s="35">
        <v>243</v>
      </c>
      <c r="EI83" s="35">
        <v>243.4</v>
      </c>
      <c r="EJ83" s="35">
        <v>241.8</v>
      </c>
      <c r="EK83" s="35">
        <v>242.9</v>
      </c>
      <c r="EL83" s="35">
        <v>233.7</v>
      </c>
      <c r="EM83" s="35">
        <v>231.2</v>
      </c>
      <c r="EN83" s="35">
        <v>213.6</v>
      </c>
      <c r="EO83" s="35">
        <v>206</v>
      </c>
      <c r="EP83" s="35">
        <v>194.5</v>
      </c>
      <c r="EQ83" s="35">
        <v>183.4</v>
      </c>
      <c r="ER83" s="35">
        <v>177.8</v>
      </c>
      <c r="ES83" s="35">
        <v>168.7</v>
      </c>
      <c r="ET83" s="35">
        <v>162.5</v>
      </c>
      <c r="EU83" s="35">
        <v>180.3</v>
      </c>
      <c r="EV83" s="35">
        <v>193.6</v>
      </c>
      <c r="EW83" s="35">
        <v>208.7</v>
      </c>
      <c r="EX83" s="35">
        <v>249.2</v>
      </c>
      <c r="EY83" s="35">
        <v>281</v>
      </c>
      <c r="EZ83" s="35">
        <v>305.2</v>
      </c>
      <c r="FA83" s="35">
        <v>325.60000000000002</v>
      </c>
      <c r="FB83" s="35">
        <v>326.5</v>
      </c>
      <c r="FC83" s="35">
        <v>335.9</v>
      </c>
      <c r="FD83" s="35">
        <v>355.9</v>
      </c>
      <c r="FE83" s="35">
        <v>372</v>
      </c>
      <c r="FF83" s="35">
        <v>404.9</v>
      </c>
      <c r="FG83" s="35">
        <v>428.9</v>
      </c>
      <c r="FH83" s="35">
        <v>442.6</v>
      </c>
      <c r="FI83" s="35">
        <v>458.3</v>
      </c>
      <c r="FJ83" s="35">
        <v>489.1</v>
      </c>
      <c r="FK83" s="35">
        <v>501.4</v>
      </c>
      <c r="FL83" s="35">
        <v>510.1</v>
      </c>
      <c r="FM83" s="35">
        <v>525.6</v>
      </c>
      <c r="FN83" s="35">
        <v>526.79999999999995</v>
      </c>
      <c r="FO83" s="35">
        <v>532.5</v>
      </c>
      <c r="FP83" s="35">
        <v>536.1</v>
      </c>
      <c r="FQ83" s="35">
        <v>542.6</v>
      </c>
      <c r="FR83" s="35">
        <v>562.29999999999995</v>
      </c>
      <c r="FS83" s="35">
        <v>576.29999999999995</v>
      </c>
      <c r="FT83" s="35">
        <v>588.6</v>
      </c>
      <c r="FU83" s="35">
        <v>587.6</v>
      </c>
      <c r="FV83" s="35">
        <v>595</v>
      </c>
      <c r="FW83" s="35">
        <v>599.1</v>
      </c>
      <c r="FX83" s="35">
        <v>600.29999999999995</v>
      </c>
      <c r="FY83" s="35">
        <v>599.70000000000005</v>
      </c>
      <c r="FZ83" s="35">
        <v>588.79999999999995</v>
      </c>
      <c r="GA83" s="35">
        <v>603.1</v>
      </c>
      <c r="GB83" s="35">
        <v>606.4</v>
      </c>
      <c r="GC83" s="35">
        <v>607.20000000000005</v>
      </c>
      <c r="GD83" s="35">
        <v>612</v>
      </c>
      <c r="GE83" s="35">
        <v>619.1</v>
      </c>
      <c r="GF83" s="35">
        <v>619.9</v>
      </c>
      <c r="GG83" s="35">
        <v>623.9</v>
      </c>
      <c r="GH83" s="35">
        <v>633.9</v>
      </c>
      <c r="GI83" s="35">
        <v>634.29999999999995</v>
      </c>
      <c r="GJ83" s="35">
        <v>643.79999999999995</v>
      </c>
      <c r="GK83" s="35">
        <v>656.2</v>
      </c>
      <c r="GL83" s="35">
        <v>663.5</v>
      </c>
      <c r="GM83" s="35">
        <v>669</v>
      </c>
      <c r="GN83" s="35">
        <v>679.8</v>
      </c>
      <c r="GO83" s="35">
        <v>673.6</v>
      </c>
      <c r="GP83" s="35">
        <v>667.8</v>
      </c>
      <c r="GQ83" s="35">
        <v>674.7</v>
      </c>
      <c r="GR83" s="35">
        <v>685.7</v>
      </c>
      <c r="GS83" s="35">
        <v>709.8</v>
      </c>
      <c r="GT83" s="35">
        <v>740.9</v>
      </c>
      <c r="GU83" s="35">
        <v>738.2</v>
      </c>
      <c r="GV83" s="35">
        <v>765.2</v>
      </c>
      <c r="GW83" s="35">
        <v>780.3</v>
      </c>
      <c r="GX83" s="35">
        <v>791.6</v>
      </c>
      <c r="GY83" s="35">
        <v>807.2</v>
      </c>
      <c r="GZ83" s="35">
        <v>822.4</v>
      </c>
      <c r="HA83" s="35">
        <v>835.5</v>
      </c>
      <c r="HB83" s="35">
        <v>837.2</v>
      </c>
      <c r="HC83">
        <v>875.3</v>
      </c>
      <c r="HD83">
        <v>893.1</v>
      </c>
      <c r="HE83">
        <v>907.5</v>
      </c>
      <c r="HF83">
        <v>945.8</v>
      </c>
      <c r="HG83">
        <v>961.1</v>
      </c>
      <c r="HH83">
        <v>974.4</v>
      </c>
      <c r="HI83">
        <v>988.1</v>
      </c>
      <c r="HJ83">
        <v>1023.2</v>
      </c>
    </row>
    <row r="84" spans="1:218" x14ac:dyDescent="0.25">
      <c r="A84" s="35" t="s">
        <v>2247</v>
      </c>
      <c r="B84" s="35">
        <v>109.2</v>
      </c>
      <c r="C84" s="35">
        <v>113.1</v>
      </c>
      <c r="D84" s="35">
        <v>117.5</v>
      </c>
      <c r="E84" s="35">
        <v>120</v>
      </c>
      <c r="F84" s="35">
        <v>122.8</v>
      </c>
      <c r="G84" s="35">
        <v>124.2</v>
      </c>
      <c r="H84" s="35">
        <v>126.1</v>
      </c>
      <c r="I84" s="35">
        <v>127.4</v>
      </c>
      <c r="J84" s="35">
        <v>131</v>
      </c>
      <c r="K84" s="35">
        <v>134.1</v>
      </c>
      <c r="L84" s="35">
        <v>138.4</v>
      </c>
      <c r="M84" s="35">
        <v>142.80000000000001</v>
      </c>
      <c r="N84" s="35">
        <v>146.6</v>
      </c>
      <c r="O84" s="35">
        <v>151.6</v>
      </c>
      <c r="P84" s="35">
        <v>158.80000000000001</v>
      </c>
      <c r="Q84" s="35">
        <v>164.6</v>
      </c>
      <c r="R84" s="35">
        <v>170.5</v>
      </c>
      <c r="S84" s="35">
        <v>177.6</v>
      </c>
      <c r="T84" s="35">
        <v>183.9</v>
      </c>
      <c r="U84" s="35">
        <v>190.4</v>
      </c>
      <c r="V84" s="35">
        <v>196.4</v>
      </c>
      <c r="W84" s="35">
        <v>198.5</v>
      </c>
      <c r="X84" s="35">
        <v>202.5</v>
      </c>
      <c r="Y84" s="35">
        <v>206.5</v>
      </c>
      <c r="Z84" s="35">
        <v>210.5</v>
      </c>
      <c r="AA84" s="35">
        <v>217.1</v>
      </c>
      <c r="AB84" s="35">
        <v>222.8</v>
      </c>
      <c r="AC84" s="35">
        <v>229.7</v>
      </c>
      <c r="AD84" s="35">
        <v>238.8</v>
      </c>
      <c r="AE84" s="35">
        <v>246.6</v>
      </c>
      <c r="AF84" s="35">
        <v>255.4</v>
      </c>
      <c r="AG84" s="35">
        <v>265.5</v>
      </c>
      <c r="AH84" s="35">
        <v>273.3</v>
      </c>
      <c r="AI84" s="35">
        <v>281.3</v>
      </c>
      <c r="AJ84" s="35">
        <v>289.8</v>
      </c>
      <c r="AK84" s="35">
        <v>298.89999999999998</v>
      </c>
      <c r="AL84" s="35">
        <v>308.60000000000002</v>
      </c>
      <c r="AM84" s="35">
        <v>318.60000000000002</v>
      </c>
      <c r="AN84" s="35">
        <v>330.4</v>
      </c>
      <c r="AO84" s="35">
        <v>351</v>
      </c>
      <c r="AP84" s="35">
        <v>378.8</v>
      </c>
      <c r="AQ84" s="35">
        <v>392.5</v>
      </c>
      <c r="AR84" s="35">
        <v>397.7</v>
      </c>
      <c r="AS84" s="35">
        <v>421.8</v>
      </c>
      <c r="AT84" s="35">
        <v>439.6</v>
      </c>
      <c r="AU84" s="35">
        <v>467.3</v>
      </c>
      <c r="AV84" s="35">
        <v>506.4</v>
      </c>
      <c r="AW84" s="35">
        <v>522.4</v>
      </c>
      <c r="AX84" s="35">
        <v>541</v>
      </c>
      <c r="AY84" s="35">
        <v>557.20000000000005</v>
      </c>
      <c r="AZ84" s="35">
        <v>558.79999999999995</v>
      </c>
      <c r="BA84" s="35">
        <v>562.5</v>
      </c>
      <c r="BB84" s="35">
        <v>575.1</v>
      </c>
      <c r="BC84" s="35">
        <v>585.79999999999995</v>
      </c>
      <c r="BD84" s="35">
        <v>610.20000000000005</v>
      </c>
      <c r="BE84" s="35">
        <v>629.79999999999995</v>
      </c>
      <c r="BF84" s="35">
        <v>642.79999999999995</v>
      </c>
      <c r="BG84" s="35">
        <v>667.2</v>
      </c>
      <c r="BH84" s="35">
        <v>693.7</v>
      </c>
      <c r="BI84" s="35">
        <v>703.2</v>
      </c>
      <c r="BJ84" s="35">
        <v>714.7</v>
      </c>
      <c r="BK84" s="35">
        <v>721.2</v>
      </c>
      <c r="BL84" s="35">
        <v>722.7</v>
      </c>
      <c r="BM84" s="35">
        <v>738.6</v>
      </c>
      <c r="BN84" s="35">
        <v>763.4</v>
      </c>
      <c r="BO84" s="35">
        <v>770.6</v>
      </c>
      <c r="BP84" s="35">
        <v>768.1</v>
      </c>
      <c r="BQ84" s="35">
        <v>763</v>
      </c>
      <c r="BR84" s="35">
        <v>758.1</v>
      </c>
      <c r="BS84" s="35">
        <v>764.7</v>
      </c>
      <c r="BT84" s="35">
        <v>780.5</v>
      </c>
      <c r="BU84" s="35">
        <v>801.9</v>
      </c>
      <c r="BV84" s="35">
        <v>816.5</v>
      </c>
      <c r="BW84" s="35">
        <v>830.3</v>
      </c>
      <c r="BX84" s="35">
        <v>859</v>
      </c>
      <c r="BY84" s="35">
        <v>886.3</v>
      </c>
      <c r="BZ84" s="35">
        <v>930.1</v>
      </c>
      <c r="CA84" s="35">
        <v>956.6</v>
      </c>
      <c r="CB84" s="35">
        <v>970.4</v>
      </c>
      <c r="CC84" s="35">
        <v>981.9</v>
      </c>
      <c r="CD84" s="35">
        <v>996.1</v>
      </c>
      <c r="CE84" s="35">
        <v>1001.4</v>
      </c>
      <c r="CF84" s="35">
        <v>1010.4</v>
      </c>
      <c r="CG84" s="35">
        <v>1011.5</v>
      </c>
      <c r="CH84" s="35">
        <v>1009.2</v>
      </c>
      <c r="CI84" s="35">
        <v>1010.5</v>
      </c>
      <c r="CJ84" s="35">
        <v>1012</v>
      </c>
      <c r="CK84" s="35">
        <v>1003.1</v>
      </c>
      <c r="CL84" s="35">
        <v>996.3</v>
      </c>
      <c r="CM84" s="35">
        <v>997.3</v>
      </c>
      <c r="CN84" s="35">
        <v>992.5</v>
      </c>
      <c r="CO84" s="35">
        <v>995.7</v>
      </c>
      <c r="CP84" s="35">
        <v>1002.7</v>
      </c>
      <c r="CQ84" s="35">
        <v>1002.4</v>
      </c>
      <c r="CR84" s="35">
        <v>1001.2</v>
      </c>
      <c r="CS84" s="35">
        <v>1001.5</v>
      </c>
      <c r="CT84" s="35">
        <v>1009.5</v>
      </c>
      <c r="CU84" s="35">
        <v>1029.5</v>
      </c>
      <c r="CV84" s="35">
        <v>1051.5999999999999</v>
      </c>
      <c r="CW84" s="35">
        <v>1084</v>
      </c>
      <c r="CX84" s="35">
        <v>1105.5999999999999</v>
      </c>
      <c r="CY84" s="35">
        <v>1123.3</v>
      </c>
      <c r="CZ84" s="35">
        <v>1136.0999999999999</v>
      </c>
      <c r="DA84" s="35">
        <v>1149.2</v>
      </c>
      <c r="DB84" s="35">
        <v>1160.5</v>
      </c>
      <c r="DC84" s="35">
        <v>1177.3</v>
      </c>
      <c r="DD84" s="35">
        <v>1197.7</v>
      </c>
      <c r="DE84" s="35">
        <v>1219.9000000000001</v>
      </c>
      <c r="DF84" s="35">
        <v>1234.2</v>
      </c>
      <c r="DG84" s="35">
        <v>1255.5</v>
      </c>
      <c r="DH84" s="35">
        <v>1276</v>
      </c>
      <c r="DI84" s="35">
        <v>1300.4000000000001</v>
      </c>
      <c r="DJ84" s="35">
        <v>1335.9</v>
      </c>
      <c r="DK84" s="35">
        <v>1361.9</v>
      </c>
      <c r="DL84" s="35">
        <v>1367.1</v>
      </c>
      <c r="DM84" s="35">
        <v>1345.1</v>
      </c>
      <c r="DN84" s="35">
        <v>1326.7</v>
      </c>
      <c r="DO84" s="35">
        <v>1321</v>
      </c>
      <c r="DP84" s="35">
        <v>1337.2</v>
      </c>
      <c r="DQ84" s="35">
        <v>1359.8</v>
      </c>
      <c r="DR84" s="35">
        <v>1398.1</v>
      </c>
      <c r="DS84" s="35">
        <v>1441.8</v>
      </c>
      <c r="DT84" s="35">
        <v>1478.2</v>
      </c>
      <c r="DU84" s="35">
        <v>1504.5</v>
      </c>
      <c r="DV84" s="35">
        <v>1494.8</v>
      </c>
      <c r="DW84" s="35">
        <v>1486.8</v>
      </c>
      <c r="DX84" s="35">
        <v>1462.4</v>
      </c>
      <c r="DY84" s="35">
        <v>1403.7</v>
      </c>
      <c r="DZ84" s="35">
        <v>1388</v>
      </c>
      <c r="EA84" s="35">
        <v>1398.7</v>
      </c>
      <c r="EB84" s="35">
        <v>1401.3</v>
      </c>
      <c r="EC84" s="35">
        <v>1422.5</v>
      </c>
      <c r="ED84" s="35">
        <v>1437.6</v>
      </c>
      <c r="EE84" s="35">
        <v>1419.2</v>
      </c>
      <c r="EF84" s="35">
        <v>1434</v>
      </c>
      <c r="EG84" s="35">
        <v>1451.5</v>
      </c>
      <c r="EH84" s="35">
        <v>1452.2</v>
      </c>
      <c r="EI84" s="35">
        <v>1467.5</v>
      </c>
      <c r="EJ84" s="35">
        <v>1477.8</v>
      </c>
      <c r="EK84" s="35">
        <v>1597.3</v>
      </c>
      <c r="EL84" s="35">
        <v>1545.5</v>
      </c>
      <c r="EM84" s="35">
        <v>1611.1</v>
      </c>
      <c r="EN84" s="35">
        <v>1648.9</v>
      </c>
      <c r="EO84" s="35">
        <v>1740</v>
      </c>
      <c r="EP84" s="35">
        <v>1805.5</v>
      </c>
      <c r="EQ84" s="35">
        <v>1909.5</v>
      </c>
      <c r="ER84" s="35">
        <v>1931.4</v>
      </c>
      <c r="ES84" s="35">
        <v>1949.7</v>
      </c>
      <c r="ET84" s="35">
        <v>1997.6</v>
      </c>
      <c r="EU84" s="35">
        <v>2125</v>
      </c>
      <c r="EV84" s="35">
        <v>2143.4</v>
      </c>
      <c r="EW84" s="35">
        <v>2155.3000000000002</v>
      </c>
      <c r="EX84" s="35">
        <v>2181.1</v>
      </c>
      <c r="EY84" s="35">
        <v>2148.6999999999998</v>
      </c>
      <c r="EZ84" s="35">
        <v>2175.1999999999998</v>
      </c>
      <c r="FA84" s="35">
        <v>2101</v>
      </c>
      <c r="FB84" s="35">
        <v>1982.2</v>
      </c>
      <c r="FC84" s="35">
        <v>1865.1</v>
      </c>
      <c r="FD84" s="35">
        <v>1773.6</v>
      </c>
      <c r="FE84" s="35">
        <v>1733</v>
      </c>
      <c r="FF84" s="35">
        <v>1729.5</v>
      </c>
      <c r="FG84" s="35">
        <v>1742.5</v>
      </c>
      <c r="FH84" s="35">
        <v>1735.7</v>
      </c>
      <c r="FI84" s="35">
        <v>1783</v>
      </c>
      <c r="FJ84" s="35">
        <v>1847.8</v>
      </c>
      <c r="FK84" s="35">
        <v>1882.4</v>
      </c>
      <c r="FL84" s="35">
        <v>1913.9</v>
      </c>
      <c r="FM84" s="35">
        <v>1981.8</v>
      </c>
      <c r="FN84" s="35">
        <v>2039.5</v>
      </c>
      <c r="FO84" s="35">
        <v>2088.9</v>
      </c>
      <c r="FP84" s="35">
        <v>2025.8</v>
      </c>
      <c r="FQ84" s="35">
        <v>2260</v>
      </c>
      <c r="FR84" s="35">
        <v>1957.5</v>
      </c>
      <c r="FS84" s="35">
        <v>1963.9</v>
      </c>
      <c r="FT84" s="35">
        <v>1998.1</v>
      </c>
      <c r="FU84" s="35">
        <v>2013.4</v>
      </c>
      <c r="FV84" s="35">
        <v>2067.1999999999998</v>
      </c>
      <c r="FW84" s="35">
        <v>2160.8000000000002</v>
      </c>
      <c r="FX84" s="35">
        <v>2214</v>
      </c>
      <c r="FY84" s="35">
        <v>2267.6</v>
      </c>
      <c r="FZ84" s="35">
        <v>2322.1999999999998</v>
      </c>
      <c r="GA84" s="35">
        <v>2341.1999999999998</v>
      </c>
      <c r="GB84" s="35">
        <v>2347.8000000000002</v>
      </c>
      <c r="GC84" s="35">
        <v>2367.1999999999998</v>
      </c>
      <c r="GD84" s="35">
        <v>2388.1</v>
      </c>
      <c r="GE84" s="35">
        <v>2391.1999999999998</v>
      </c>
      <c r="GF84" s="35">
        <v>2421.8000000000002</v>
      </c>
      <c r="GG84" s="35">
        <v>2460.5</v>
      </c>
      <c r="GH84" s="35">
        <v>2535.6</v>
      </c>
      <c r="GI84" s="35">
        <v>2612.6999999999998</v>
      </c>
      <c r="GJ84" s="35">
        <v>2636.3</v>
      </c>
      <c r="GK84" s="35">
        <v>2659.4</v>
      </c>
      <c r="GL84" s="35">
        <v>2690.3</v>
      </c>
      <c r="GM84" s="35">
        <v>2755.1</v>
      </c>
      <c r="GN84" s="35">
        <v>2808</v>
      </c>
      <c r="GO84" s="35">
        <v>2904.2</v>
      </c>
      <c r="GP84" s="35">
        <v>2921.6</v>
      </c>
      <c r="GQ84" s="35">
        <v>2963.1</v>
      </c>
      <c r="GR84" s="35">
        <v>2962.3</v>
      </c>
      <c r="GS84" s="35">
        <v>2952.8</v>
      </c>
      <c r="GT84" s="35">
        <v>2926.1</v>
      </c>
      <c r="GU84" s="35">
        <v>2869.8</v>
      </c>
      <c r="GV84" s="35">
        <v>2865</v>
      </c>
      <c r="GW84" s="35">
        <v>2994</v>
      </c>
      <c r="GX84" s="35">
        <v>3079.2</v>
      </c>
      <c r="GY84" s="35">
        <v>3198.3</v>
      </c>
      <c r="GZ84" s="35">
        <v>3262.6</v>
      </c>
      <c r="HA84" s="35">
        <v>3318.6</v>
      </c>
      <c r="HB84" s="35">
        <v>3342.2</v>
      </c>
      <c r="HC84">
        <v>3407</v>
      </c>
      <c r="HD84">
        <v>3453.4</v>
      </c>
      <c r="HE84">
        <v>3525.4</v>
      </c>
      <c r="HF84">
        <v>3577</v>
      </c>
      <c r="HG84">
        <v>3602.6</v>
      </c>
      <c r="HH84">
        <v>3606.5</v>
      </c>
      <c r="HI84">
        <v>3667.3</v>
      </c>
      <c r="HJ84">
        <v>3698.9</v>
      </c>
    </row>
    <row r="85" spans="1:218" x14ac:dyDescent="0.25">
      <c r="A85" s="35" t="s">
        <v>2248</v>
      </c>
      <c r="B85" s="35">
        <v>77.5</v>
      </c>
      <c r="C85" s="35">
        <v>81.099999999999994</v>
      </c>
      <c r="D85" s="35">
        <v>81.099999999999994</v>
      </c>
      <c r="E85" s="35">
        <v>76.900000000000006</v>
      </c>
      <c r="F85" s="35">
        <v>89.1</v>
      </c>
      <c r="G85" s="35">
        <v>90.8</v>
      </c>
      <c r="H85" s="35">
        <v>93.7</v>
      </c>
      <c r="I85" s="35">
        <v>97.6</v>
      </c>
      <c r="J85" s="35">
        <v>102.7</v>
      </c>
      <c r="K85" s="35">
        <v>104.3</v>
      </c>
      <c r="L85" s="35">
        <v>108.2</v>
      </c>
      <c r="M85" s="35">
        <v>115.5</v>
      </c>
      <c r="N85" s="35">
        <v>121</v>
      </c>
      <c r="O85" s="35">
        <v>117.2</v>
      </c>
      <c r="P85" s="35">
        <v>116.6</v>
      </c>
      <c r="Q85" s="35">
        <v>119.1</v>
      </c>
      <c r="R85" s="35">
        <v>111.1</v>
      </c>
      <c r="S85" s="35">
        <v>110.8</v>
      </c>
      <c r="T85" s="35">
        <v>107.3</v>
      </c>
      <c r="U85" s="35">
        <v>103.8</v>
      </c>
      <c r="V85" s="35">
        <v>103.9</v>
      </c>
      <c r="W85" s="35">
        <v>115.6</v>
      </c>
      <c r="X85" s="35">
        <v>135.4</v>
      </c>
      <c r="Y85" s="35">
        <v>142</v>
      </c>
      <c r="Z85" s="35">
        <v>159.1</v>
      </c>
      <c r="AA85" s="35">
        <v>156.6</v>
      </c>
      <c r="AB85" s="35">
        <v>158.4</v>
      </c>
      <c r="AC85" s="35">
        <v>157.1</v>
      </c>
      <c r="AD85" s="35">
        <v>165</v>
      </c>
      <c r="AE85" s="35">
        <v>185.7</v>
      </c>
      <c r="AF85" s="35">
        <v>199.9</v>
      </c>
      <c r="AG85" s="35">
        <v>196.1</v>
      </c>
      <c r="AH85" s="35">
        <v>187.5</v>
      </c>
      <c r="AI85" s="35">
        <v>220</v>
      </c>
      <c r="AJ85" s="35">
        <v>223.8</v>
      </c>
      <c r="AK85" s="35">
        <v>231.5</v>
      </c>
      <c r="AL85" s="35">
        <v>222.3</v>
      </c>
      <c r="AM85" s="35">
        <v>219.7</v>
      </c>
      <c r="AN85" s="35">
        <v>211.3</v>
      </c>
      <c r="AO85" s="35">
        <v>205.2</v>
      </c>
      <c r="AP85" s="35">
        <v>197.2</v>
      </c>
      <c r="AQ85" s="35">
        <v>169.9</v>
      </c>
      <c r="AR85" s="35">
        <v>179.2</v>
      </c>
      <c r="AS85" s="35">
        <v>204.4</v>
      </c>
      <c r="AT85" s="35">
        <v>213</v>
      </c>
      <c r="AU85" s="35">
        <v>211.8</v>
      </c>
      <c r="AV85" s="35">
        <v>228.6</v>
      </c>
      <c r="AW85" s="35">
        <v>211.4</v>
      </c>
      <c r="AX85" s="35">
        <v>188.2</v>
      </c>
      <c r="AY85" s="35">
        <v>200.5</v>
      </c>
      <c r="AZ85" s="35">
        <v>200.4</v>
      </c>
      <c r="BA85" s="35">
        <v>191.5</v>
      </c>
      <c r="BB85" s="35">
        <v>209.5</v>
      </c>
      <c r="BC85" s="35">
        <v>238.3</v>
      </c>
      <c r="BD85" s="35">
        <v>254.4</v>
      </c>
      <c r="BE85" s="35">
        <v>269.2</v>
      </c>
      <c r="BF85" s="35">
        <v>301.10000000000002</v>
      </c>
      <c r="BG85" s="35">
        <v>301.2</v>
      </c>
      <c r="BH85" s="35">
        <v>295.3</v>
      </c>
      <c r="BI85" s="35">
        <v>305.2</v>
      </c>
      <c r="BJ85" s="35">
        <v>311.39999999999998</v>
      </c>
      <c r="BK85" s="35">
        <v>310.3</v>
      </c>
      <c r="BL85" s="35">
        <v>331.5</v>
      </c>
      <c r="BM85" s="35">
        <v>306.60000000000002</v>
      </c>
      <c r="BN85" s="35">
        <v>296.7</v>
      </c>
      <c r="BO85" s="35">
        <v>286.39999999999998</v>
      </c>
      <c r="BP85" s="35">
        <v>275.60000000000002</v>
      </c>
      <c r="BQ85" s="35">
        <v>277.7</v>
      </c>
      <c r="BR85" s="35">
        <v>288.39999999999998</v>
      </c>
      <c r="BS85" s="35">
        <v>319.7</v>
      </c>
      <c r="BT85" s="35">
        <v>344.2</v>
      </c>
      <c r="BU85" s="35">
        <v>338.9</v>
      </c>
      <c r="BV85" s="35">
        <v>344.1</v>
      </c>
      <c r="BW85" s="35">
        <v>352.3</v>
      </c>
      <c r="BX85" s="35">
        <v>359.3</v>
      </c>
      <c r="BY85" s="35">
        <v>381.4</v>
      </c>
      <c r="BZ85" s="35">
        <v>363.2</v>
      </c>
      <c r="CA85" s="35">
        <v>356.4</v>
      </c>
      <c r="CB85" s="35">
        <v>355</v>
      </c>
      <c r="CC85" s="35">
        <v>331.8</v>
      </c>
      <c r="CD85" s="35">
        <v>344.4</v>
      </c>
      <c r="CE85" s="35">
        <v>361.4</v>
      </c>
      <c r="CF85" s="35">
        <v>337.8</v>
      </c>
      <c r="CG85" s="35">
        <v>329.4</v>
      </c>
      <c r="CH85" s="35">
        <v>367</v>
      </c>
      <c r="CI85" s="35">
        <v>373.1</v>
      </c>
      <c r="CJ85" s="35">
        <v>376.3</v>
      </c>
      <c r="CK85" s="35">
        <v>372.6</v>
      </c>
      <c r="CL85" s="35">
        <v>400.9</v>
      </c>
      <c r="CM85" s="35">
        <v>407.8</v>
      </c>
      <c r="CN85" s="35">
        <v>399.3</v>
      </c>
      <c r="CO85" s="35">
        <v>424.7</v>
      </c>
      <c r="CP85" s="35">
        <v>406.5</v>
      </c>
      <c r="CQ85" s="35">
        <v>444.7</v>
      </c>
      <c r="CR85" s="35">
        <v>452.4</v>
      </c>
      <c r="CS85" s="35">
        <v>511.6</v>
      </c>
      <c r="CT85" s="35">
        <v>517.5</v>
      </c>
      <c r="CU85" s="35">
        <v>539.20000000000005</v>
      </c>
      <c r="CV85" s="35">
        <v>571.9</v>
      </c>
      <c r="CW85" s="35">
        <v>595.79999999999995</v>
      </c>
      <c r="CX85" s="35">
        <v>588.9</v>
      </c>
      <c r="CY85" s="35">
        <v>605.79999999999995</v>
      </c>
      <c r="CZ85" s="35">
        <v>649.9</v>
      </c>
      <c r="DA85" s="35">
        <v>650.29999999999995</v>
      </c>
      <c r="DB85" s="35">
        <v>683.8</v>
      </c>
      <c r="DC85" s="35">
        <v>700.2</v>
      </c>
      <c r="DD85" s="35">
        <v>706</v>
      </c>
      <c r="DE85" s="35">
        <v>716.3</v>
      </c>
      <c r="DF85" s="35">
        <v>753.3</v>
      </c>
      <c r="DG85" s="35">
        <v>767.9</v>
      </c>
      <c r="DH85" s="35">
        <v>808.1</v>
      </c>
      <c r="DI85" s="35">
        <v>799.9</v>
      </c>
      <c r="DJ85" s="35">
        <v>728.6</v>
      </c>
      <c r="DK85" s="35">
        <v>729.6</v>
      </c>
      <c r="DL85" s="35">
        <v>749.1</v>
      </c>
      <c r="DM85" s="35">
        <v>722.4</v>
      </c>
      <c r="DN85" s="35">
        <v>761.9</v>
      </c>
      <c r="DO85" s="35">
        <v>754.1</v>
      </c>
      <c r="DP85" s="35">
        <v>737.7</v>
      </c>
      <c r="DQ85" s="35">
        <v>726.5</v>
      </c>
      <c r="DR85" s="35">
        <v>714.8</v>
      </c>
      <c r="DS85" s="35">
        <v>699.1</v>
      </c>
      <c r="DT85" s="35">
        <v>677.6</v>
      </c>
      <c r="DU85" s="35">
        <v>631.5</v>
      </c>
      <c r="DV85" s="35">
        <v>622.6</v>
      </c>
      <c r="DW85" s="35">
        <v>638</v>
      </c>
      <c r="DX85" s="35">
        <v>627.70000000000005</v>
      </c>
      <c r="DY85" s="35">
        <v>585.20000000000005</v>
      </c>
      <c r="DZ85" s="35">
        <v>711.7</v>
      </c>
      <c r="EA85" s="35">
        <v>756</v>
      </c>
      <c r="EB85" s="35">
        <v>778.5</v>
      </c>
      <c r="EC85" s="35">
        <v>848.2</v>
      </c>
      <c r="ED85" s="35">
        <v>862.8</v>
      </c>
      <c r="EE85" s="35">
        <v>891.4</v>
      </c>
      <c r="EF85" s="35">
        <v>941.8</v>
      </c>
      <c r="EG85" s="35">
        <v>976.6</v>
      </c>
      <c r="EH85" s="35">
        <v>1064.5999999999999</v>
      </c>
      <c r="EI85" s="35">
        <v>1113.5</v>
      </c>
      <c r="EJ85" s="35">
        <v>1158.9000000000001</v>
      </c>
      <c r="EK85" s="35">
        <v>1164.7</v>
      </c>
      <c r="EL85" s="35">
        <v>1257.9000000000001</v>
      </c>
      <c r="EM85" s="35">
        <v>1276.9000000000001</v>
      </c>
      <c r="EN85" s="35">
        <v>1287.2</v>
      </c>
      <c r="EO85" s="35">
        <v>1395.3</v>
      </c>
      <c r="EP85" s="35">
        <v>1445.4</v>
      </c>
      <c r="EQ85" s="35">
        <v>1453.1</v>
      </c>
      <c r="ER85" s="35">
        <v>1505.8</v>
      </c>
      <c r="ES85" s="35">
        <v>1421.3</v>
      </c>
      <c r="ET85" s="35">
        <v>1316.3</v>
      </c>
      <c r="EU85" s="35">
        <v>1347.7</v>
      </c>
      <c r="EV85" s="35">
        <v>1229.2</v>
      </c>
      <c r="EW85" s="35">
        <v>1138.9000000000001</v>
      </c>
      <c r="EX85" s="35">
        <v>1053.8</v>
      </c>
      <c r="EY85" s="35">
        <v>1027</v>
      </c>
      <c r="EZ85" s="35">
        <v>1008.2</v>
      </c>
      <c r="FA85" s="35">
        <v>732.8</v>
      </c>
      <c r="FB85" s="35">
        <v>953.5</v>
      </c>
      <c r="FC85" s="35">
        <v>1003.3</v>
      </c>
      <c r="FD85" s="35">
        <v>1123.2</v>
      </c>
      <c r="FE85" s="35">
        <v>1227.5</v>
      </c>
      <c r="FF85" s="35">
        <v>1295.5</v>
      </c>
      <c r="FG85" s="35">
        <v>1300</v>
      </c>
      <c r="FH85" s="35">
        <v>1475.5</v>
      </c>
      <c r="FI85" s="35">
        <v>1483.8</v>
      </c>
      <c r="FJ85" s="35">
        <v>1323.4</v>
      </c>
      <c r="FK85" s="35">
        <v>1443.9</v>
      </c>
      <c r="FL85" s="35">
        <v>1447.1</v>
      </c>
      <c r="FM85" s="35">
        <v>1585</v>
      </c>
      <c r="FN85" s="35">
        <v>1660</v>
      </c>
      <c r="FO85" s="35">
        <v>1662.6</v>
      </c>
      <c r="FP85" s="35">
        <v>1644.6</v>
      </c>
      <c r="FQ85" s="35">
        <v>1642.3</v>
      </c>
      <c r="FR85" s="35">
        <v>1672.8</v>
      </c>
      <c r="FS85" s="35">
        <v>1665.6</v>
      </c>
      <c r="FT85" s="35">
        <v>1676.1</v>
      </c>
      <c r="FU85" s="35">
        <v>1714.8</v>
      </c>
      <c r="FV85" s="35">
        <v>1650.3</v>
      </c>
      <c r="FW85" s="35">
        <v>1832.1</v>
      </c>
      <c r="FX85" s="35">
        <v>1864.9</v>
      </c>
      <c r="FY85" s="35">
        <v>1884.5</v>
      </c>
      <c r="FZ85" s="35">
        <v>1847.9</v>
      </c>
      <c r="GA85" s="35">
        <v>1831.7</v>
      </c>
      <c r="GB85" s="35">
        <v>1779</v>
      </c>
      <c r="GC85" s="35">
        <v>1653</v>
      </c>
      <c r="GD85" s="35">
        <v>1757.8</v>
      </c>
      <c r="GE85" s="35">
        <v>1708.7</v>
      </c>
      <c r="GF85" s="35">
        <v>1731</v>
      </c>
      <c r="GG85" s="35">
        <v>1700.1</v>
      </c>
      <c r="GH85" s="35">
        <v>1721.1</v>
      </c>
      <c r="GI85" s="35">
        <v>1723.6</v>
      </c>
      <c r="GJ85" s="35">
        <v>1718</v>
      </c>
      <c r="GK85" s="35">
        <v>1742.7</v>
      </c>
      <c r="GL85" s="35">
        <v>1772.4</v>
      </c>
      <c r="GM85" s="35">
        <v>1846</v>
      </c>
      <c r="GN85" s="35">
        <v>1868.8</v>
      </c>
      <c r="GO85" s="35">
        <v>1891.1</v>
      </c>
      <c r="GP85" s="35">
        <v>1871</v>
      </c>
      <c r="GQ85" s="35">
        <v>1896.6</v>
      </c>
      <c r="GR85" s="35">
        <v>1975</v>
      </c>
      <c r="GS85" s="35">
        <v>2006.6</v>
      </c>
      <c r="GT85" s="35">
        <v>1751.4</v>
      </c>
      <c r="GU85" s="35">
        <v>1644.9</v>
      </c>
      <c r="GV85" s="35">
        <v>2284</v>
      </c>
      <c r="GW85" s="35">
        <v>2059.6</v>
      </c>
      <c r="GX85" s="35">
        <v>2280.4</v>
      </c>
      <c r="GY85" s="35">
        <v>2580</v>
      </c>
      <c r="GZ85" s="35">
        <v>2541.1</v>
      </c>
      <c r="HA85" s="35">
        <v>2555</v>
      </c>
      <c r="HB85">
        <v>2604.4</v>
      </c>
      <c r="HC85">
        <v>2781.5</v>
      </c>
      <c r="HD85">
        <v>2809</v>
      </c>
      <c r="HE85">
        <v>2748.4</v>
      </c>
      <c r="HF85">
        <v>2673.1</v>
      </c>
      <c r="HG85">
        <v>2658</v>
      </c>
      <c r="HH85">
        <v>2757.8</v>
      </c>
      <c r="HI85">
        <v>2900.3</v>
      </c>
      <c r="HJ85">
        <v>2859.9</v>
      </c>
    </row>
    <row r="86" spans="1:218" x14ac:dyDescent="0.25">
      <c r="A86" s="35" t="s">
        <v>2249</v>
      </c>
      <c r="B86" s="35"/>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c r="AH86" s="35"/>
      <c r="AI86" s="35"/>
      <c r="AJ86" s="35"/>
      <c r="AK86" s="35"/>
      <c r="AL86" s="35"/>
      <c r="AM86" s="35"/>
      <c r="AN86" s="35"/>
      <c r="AO86" s="35"/>
      <c r="AP86" s="35"/>
      <c r="AQ86" s="35"/>
      <c r="AR86" s="35"/>
      <c r="AS86" s="35"/>
      <c r="AT86" s="35"/>
      <c r="AU86" s="35"/>
      <c r="AV86" s="35"/>
      <c r="AW86" s="35"/>
      <c r="AX86" s="35"/>
      <c r="AY86" s="35"/>
      <c r="AZ86" s="35"/>
      <c r="BA86" s="35"/>
      <c r="BB86" s="35"/>
      <c r="BC86" s="35"/>
      <c r="BD86" s="35"/>
      <c r="BE86" s="35"/>
      <c r="BF86" s="35"/>
      <c r="BG86" s="35"/>
      <c r="BH86" s="35"/>
      <c r="BI86" s="35"/>
      <c r="BJ86" s="35"/>
      <c r="BK86" s="35"/>
      <c r="BL86" s="35"/>
      <c r="BM86" s="35"/>
      <c r="BN86" s="35"/>
      <c r="BO86" s="35"/>
      <c r="BP86" s="35"/>
      <c r="BQ86" s="35"/>
      <c r="BR86" s="35"/>
      <c r="BS86" s="35"/>
      <c r="BT86" s="35"/>
      <c r="BU86" s="35"/>
      <c r="BV86" s="35"/>
      <c r="BW86" s="35"/>
      <c r="BX86" s="35"/>
      <c r="BY86" s="35"/>
      <c r="BZ86" s="35"/>
      <c r="CA86" s="35"/>
      <c r="CB86" s="35"/>
      <c r="CC86" s="35"/>
      <c r="CD86" s="35"/>
      <c r="CE86" s="35"/>
      <c r="CF86" s="35"/>
      <c r="CG86" s="35"/>
      <c r="CH86" s="35"/>
      <c r="CI86" s="35"/>
      <c r="CJ86" s="35"/>
      <c r="CK86" s="35"/>
      <c r="CL86" s="35"/>
      <c r="CM86" s="35"/>
      <c r="CN86" s="35"/>
      <c r="CO86" s="35"/>
      <c r="CP86" s="35"/>
      <c r="CQ86" s="35"/>
      <c r="CR86" s="35"/>
      <c r="CS86" s="35"/>
      <c r="CT86" s="35"/>
      <c r="CU86" s="35"/>
      <c r="CV86" s="35"/>
      <c r="CW86" s="35"/>
      <c r="CX86" s="35"/>
      <c r="CY86" s="35"/>
      <c r="CZ86" s="35"/>
      <c r="DA86" s="35"/>
      <c r="DB86" s="35"/>
      <c r="DC86" s="35"/>
      <c r="DD86" s="35"/>
      <c r="DE86" s="35"/>
      <c r="DF86" s="35"/>
      <c r="DG86" s="35"/>
      <c r="DH86" s="35"/>
      <c r="DI86" s="35"/>
      <c r="DJ86" s="35"/>
      <c r="DK86" s="35"/>
      <c r="DL86" s="35"/>
      <c r="DM86" s="35"/>
      <c r="DN86" s="35"/>
      <c r="DO86" s="35"/>
      <c r="DP86" s="35"/>
      <c r="DQ86" s="35"/>
      <c r="DR86" s="35"/>
      <c r="DS86" s="35"/>
      <c r="DT86" s="35"/>
      <c r="DU86" s="35"/>
      <c r="DV86" s="35"/>
      <c r="DW86" s="35"/>
      <c r="DX86" s="35"/>
      <c r="DY86" s="35"/>
      <c r="DZ86" s="35"/>
      <c r="EA86" s="35"/>
      <c r="EB86" s="35"/>
      <c r="EC86" s="35"/>
      <c r="ED86" s="35"/>
      <c r="EE86" s="35"/>
      <c r="EF86" s="35"/>
      <c r="EG86" s="35"/>
      <c r="EH86" s="35"/>
      <c r="EI86" s="35"/>
      <c r="EJ86" s="35"/>
      <c r="EK86" s="35"/>
      <c r="EL86" s="35"/>
      <c r="EM86" s="35"/>
      <c r="EN86" s="35"/>
      <c r="EO86" s="35"/>
      <c r="EP86" s="35"/>
      <c r="EQ86" s="35"/>
      <c r="ER86" s="35"/>
      <c r="ES86" s="35"/>
      <c r="ET86" s="35"/>
      <c r="EU86" s="35"/>
      <c r="EV86" s="35"/>
      <c r="EW86" s="35"/>
      <c r="EX86" s="35"/>
      <c r="EY86" s="35"/>
      <c r="EZ86" s="35"/>
      <c r="FA86" s="35"/>
      <c r="FB86" s="35"/>
      <c r="FC86" s="35"/>
      <c r="FD86" s="35"/>
      <c r="FE86" s="35"/>
      <c r="FF86" s="35"/>
      <c r="FG86" s="35"/>
      <c r="FH86" s="35"/>
      <c r="FI86" s="35"/>
      <c r="FJ86" s="35"/>
      <c r="FK86" s="35"/>
      <c r="FL86" s="35"/>
      <c r="FM86" s="35"/>
      <c r="FN86" s="35"/>
      <c r="FO86" s="35"/>
      <c r="FP86" s="35"/>
      <c r="FQ86" s="35"/>
      <c r="FR86" s="35"/>
      <c r="FS86" s="35"/>
      <c r="FT86" s="35"/>
      <c r="FU86" s="35"/>
      <c r="FV86" s="35"/>
      <c r="FW86" s="35"/>
      <c r="FX86" s="35"/>
      <c r="FY86" s="35"/>
      <c r="FZ86" s="35"/>
      <c r="GA86" s="35"/>
      <c r="GB86" s="35"/>
      <c r="GC86" s="35"/>
      <c r="GD86" s="35"/>
      <c r="GE86" s="35"/>
      <c r="GF86" s="35"/>
      <c r="GG86" s="35"/>
      <c r="GH86" s="35"/>
      <c r="GI86" s="35"/>
      <c r="GJ86" s="35"/>
      <c r="GK86" s="35"/>
      <c r="GL86" s="35"/>
      <c r="GM86" s="35"/>
      <c r="GN86" s="35"/>
      <c r="GO86" s="35"/>
      <c r="GP86" s="35"/>
      <c r="GQ86" s="35"/>
      <c r="GR86" s="35"/>
      <c r="GS86" s="35"/>
      <c r="GT86" s="35"/>
      <c r="GU86" s="35"/>
      <c r="GV86" s="35"/>
      <c r="GW86" s="35"/>
      <c r="GX86" s="35">
        <v>0</v>
      </c>
      <c r="GY86" s="35">
        <v>21.4</v>
      </c>
      <c r="GZ86" s="35">
        <v>57</v>
      </c>
      <c r="HA86" s="35">
        <v>35.5</v>
      </c>
      <c r="HB86" s="35">
        <v>0</v>
      </c>
      <c r="HC86">
        <v>0</v>
      </c>
      <c r="HD86">
        <v>0</v>
      </c>
      <c r="HE86">
        <v>0</v>
      </c>
    </row>
    <row r="87" spans="1:218" x14ac:dyDescent="0.25">
      <c r="A87" s="35" t="s">
        <v>2250</v>
      </c>
      <c r="B87" s="35"/>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c r="AH87" s="35"/>
      <c r="AI87" s="35"/>
      <c r="AJ87" s="35"/>
      <c r="AK87" s="35"/>
      <c r="AL87" s="35"/>
      <c r="AM87" s="35"/>
      <c r="AN87" s="35"/>
      <c r="AO87" s="35"/>
      <c r="AP87" s="35"/>
      <c r="AQ87" s="35"/>
      <c r="AR87" s="35"/>
      <c r="AS87" s="35"/>
      <c r="AT87" s="35"/>
      <c r="AU87" s="35"/>
      <c r="AV87" s="35"/>
      <c r="AW87" s="35"/>
      <c r="AX87" s="35"/>
      <c r="AY87" s="35"/>
      <c r="AZ87" s="35"/>
      <c r="BA87" s="35"/>
      <c r="BB87" s="35"/>
      <c r="BC87" s="35"/>
      <c r="BD87" s="35"/>
      <c r="BE87" s="35"/>
      <c r="BF87" s="35"/>
      <c r="BG87" s="35"/>
      <c r="BH87" s="35"/>
      <c r="BI87" s="35"/>
      <c r="BJ87" s="35"/>
      <c r="BK87" s="35"/>
      <c r="BL87" s="35"/>
      <c r="BM87" s="35"/>
      <c r="BN87" s="35"/>
      <c r="BO87" s="35"/>
      <c r="BP87" s="35"/>
      <c r="BQ87" s="35"/>
      <c r="BR87" s="35"/>
      <c r="BS87" s="35"/>
      <c r="BT87" s="35"/>
      <c r="BU87" s="35"/>
      <c r="BV87" s="35"/>
      <c r="BW87" s="35"/>
      <c r="BX87" s="35"/>
      <c r="BY87" s="35"/>
      <c r="BZ87" s="35"/>
      <c r="CA87" s="35"/>
      <c r="CB87" s="35"/>
      <c r="CC87" s="35"/>
      <c r="CD87" s="35"/>
      <c r="CE87" s="35"/>
      <c r="CF87" s="35"/>
      <c r="CG87" s="35"/>
      <c r="CH87" s="35"/>
      <c r="CI87" s="35"/>
      <c r="CJ87" s="35"/>
      <c r="CK87" s="35"/>
      <c r="CL87" s="35"/>
      <c r="CM87" s="35"/>
      <c r="CN87" s="35"/>
      <c r="CO87" s="35"/>
      <c r="CP87" s="35"/>
      <c r="CQ87" s="35"/>
      <c r="CR87" s="35"/>
      <c r="CS87" s="35"/>
      <c r="CT87" s="35"/>
      <c r="CU87" s="35"/>
      <c r="CV87" s="35"/>
      <c r="CW87" s="35"/>
      <c r="CX87" s="35"/>
      <c r="CY87" s="35"/>
      <c r="CZ87" s="35"/>
      <c r="DA87" s="35"/>
      <c r="DB87" s="35"/>
      <c r="DC87" s="35"/>
      <c r="DD87" s="35"/>
      <c r="DE87" s="35"/>
      <c r="DF87" s="35"/>
      <c r="DG87" s="35"/>
      <c r="DH87" s="35"/>
      <c r="DI87" s="35"/>
      <c r="DJ87" s="35"/>
      <c r="DK87" s="35"/>
      <c r="DL87" s="35"/>
      <c r="DM87" s="35"/>
      <c r="DN87" s="35"/>
      <c r="DO87" s="35"/>
      <c r="DP87" s="35"/>
      <c r="DQ87" s="35"/>
      <c r="DR87" s="35"/>
      <c r="DS87" s="35"/>
      <c r="DT87" s="35"/>
      <c r="DU87" s="35"/>
      <c r="DV87" s="35"/>
      <c r="DW87" s="35"/>
      <c r="DX87" s="35"/>
      <c r="DY87" s="35"/>
      <c r="DZ87" s="35"/>
      <c r="EA87" s="35"/>
      <c r="EB87" s="35"/>
      <c r="EC87" s="35"/>
      <c r="ED87" s="35"/>
      <c r="EE87" s="35"/>
      <c r="EF87" s="35"/>
      <c r="EG87" s="35"/>
      <c r="EH87" s="35"/>
      <c r="EI87" s="35"/>
      <c r="EJ87" s="35"/>
      <c r="EK87" s="35"/>
      <c r="EL87" s="35"/>
      <c r="EM87" s="35"/>
      <c r="EN87" s="35"/>
      <c r="EO87" s="35"/>
      <c r="EP87" s="35"/>
      <c r="EQ87" s="35"/>
      <c r="ER87" s="35"/>
      <c r="ES87" s="35"/>
      <c r="ET87" s="35"/>
      <c r="EU87" s="35"/>
      <c r="EV87" s="35"/>
      <c r="EW87" s="35"/>
      <c r="EX87" s="35"/>
      <c r="EY87" s="35"/>
      <c r="EZ87" s="35"/>
      <c r="FA87" s="35"/>
      <c r="FB87" s="35"/>
      <c r="FC87" s="35"/>
      <c r="FD87" s="35"/>
      <c r="FE87" s="35"/>
      <c r="FF87" s="35"/>
      <c r="FG87" s="35"/>
      <c r="FH87" s="35"/>
      <c r="FI87" s="35"/>
      <c r="FJ87" s="35"/>
      <c r="FK87" s="35"/>
      <c r="FL87" s="35"/>
      <c r="FM87" s="35"/>
      <c r="FN87" s="35"/>
      <c r="FO87" s="35"/>
      <c r="FP87" s="35"/>
      <c r="FQ87" s="35"/>
      <c r="FR87" s="35"/>
      <c r="FS87" s="35"/>
      <c r="FT87" s="35"/>
      <c r="FU87" s="35"/>
      <c r="FV87" s="35"/>
      <c r="FW87" s="35"/>
      <c r="FX87" s="35"/>
      <c r="FY87" s="35"/>
      <c r="FZ87" s="35"/>
      <c r="GA87" s="35"/>
      <c r="GB87" s="35"/>
      <c r="GC87" s="35"/>
      <c r="GD87" s="35"/>
      <c r="GE87" s="35"/>
      <c r="GF87" s="35"/>
      <c r="GG87" s="35"/>
      <c r="GH87" s="35"/>
      <c r="GI87" s="35"/>
      <c r="GJ87" s="35"/>
      <c r="GK87" s="35"/>
      <c r="GL87" s="35"/>
      <c r="GM87" s="35"/>
      <c r="GN87" s="35"/>
      <c r="GO87" s="35"/>
      <c r="GP87" s="35"/>
      <c r="GQ87" s="35"/>
      <c r="GR87" s="35"/>
      <c r="GS87" s="35"/>
      <c r="GT87" s="35"/>
      <c r="GU87" s="35">
        <v>60.3</v>
      </c>
      <c r="GV87" s="35">
        <v>18.5</v>
      </c>
      <c r="GW87" s="35">
        <v>0</v>
      </c>
      <c r="GX87" s="35">
        <v>0.3</v>
      </c>
      <c r="GY87" s="35">
        <v>11.3</v>
      </c>
      <c r="GZ87" s="35">
        <v>10.4</v>
      </c>
      <c r="HA87" s="35">
        <v>5.3</v>
      </c>
      <c r="HB87" s="35">
        <v>2.4</v>
      </c>
      <c r="HC87">
        <v>0.3</v>
      </c>
      <c r="HD87">
        <v>0</v>
      </c>
      <c r="HE87">
        <v>0</v>
      </c>
    </row>
    <row r="88" spans="1:218" ht="19.350000000000001" customHeight="1" x14ac:dyDescent="0.25">
      <c r="A88" s="35" t="s">
        <v>2251</v>
      </c>
      <c r="B88" s="35">
        <v>27088</v>
      </c>
      <c r="C88" s="35">
        <v>34148</v>
      </c>
      <c r="D88" s="35">
        <v>31952</v>
      </c>
      <c r="E88" s="35">
        <v>32332</v>
      </c>
      <c r="F88" s="35">
        <v>32820</v>
      </c>
      <c r="G88" s="35">
        <v>38700</v>
      </c>
      <c r="H88" s="35">
        <v>37216</v>
      </c>
      <c r="I88" s="35">
        <v>37732</v>
      </c>
      <c r="J88" s="35">
        <v>38284</v>
      </c>
      <c r="K88" s="35">
        <v>38748</v>
      </c>
      <c r="L88" s="35">
        <v>39284</v>
      </c>
      <c r="M88" s="35">
        <v>47476</v>
      </c>
      <c r="N88" s="35">
        <v>49096</v>
      </c>
      <c r="O88" s="35">
        <v>50332</v>
      </c>
      <c r="P88" s="35">
        <v>51216</v>
      </c>
      <c r="Q88" s="35">
        <v>52016</v>
      </c>
      <c r="R88" s="35">
        <v>52464</v>
      </c>
      <c r="S88" s="35">
        <v>56916</v>
      </c>
      <c r="T88" s="35">
        <v>59804</v>
      </c>
      <c r="U88" s="35">
        <v>61244</v>
      </c>
      <c r="V88" s="35">
        <v>62000</v>
      </c>
      <c r="W88" s="35">
        <v>62888</v>
      </c>
      <c r="X88" s="35">
        <v>69012</v>
      </c>
      <c r="Y88" s="35">
        <v>69680</v>
      </c>
      <c r="Z88" s="35">
        <v>70960</v>
      </c>
      <c r="AA88" s="35">
        <v>71416</v>
      </c>
      <c r="AB88" s="35">
        <v>76996</v>
      </c>
      <c r="AC88" s="35">
        <v>78632</v>
      </c>
      <c r="AD88" s="35">
        <v>79228</v>
      </c>
      <c r="AE88" s="35">
        <v>80364</v>
      </c>
      <c r="AF88" s="35">
        <v>86256</v>
      </c>
      <c r="AG88" s="35">
        <v>87108</v>
      </c>
      <c r="AH88" s="35">
        <v>87776</v>
      </c>
      <c r="AI88" s="35">
        <v>87912</v>
      </c>
      <c r="AJ88" s="35">
        <v>94276</v>
      </c>
      <c r="AK88" s="35">
        <v>95556</v>
      </c>
      <c r="AL88" s="35">
        <v>96528</v>
      </c>
      <c r="AM88" s="35">
        <v>97848</v>
      </c>
      <c r="AN88" s="35">
        <v>107624</v>
      </c>
      <c r="AO88" s="35">
        <v>108324</v>
      </c>
      <c r="AP88" s="35">
        <v>109348</v>
      </c>
      <c r="AQ88" s="35">
        <v>109988</v>
      </c>
      <c r="AR88" s="35">
        <v>126932</v>
      </c>
      <c r="AS88" s="35">
        <v>128076</v>
      </c>
      <c r="AT88" s="35">
        <v>130716</v>
      </c>
      <c r="AU88" s="35">
        <v>131096</v>
      </c>
      <c r="AV88" s="35">
        <v>146284</v>
      </c>
      <c r="AW88" s="35">
        <v>146480</v>
      </c>
      <c r="AX88" s="35">
        <v>146772</v>
      </c>
      <c r="AY88" s="35">
        <v>147528</v>
      </c>
      <c r="AZ88" s="35">
        <v>157636</v>
      </c>
      <c r="BA88" s="35">
        <v>162896</v>
      </c>
      <c r="BB88" s="35">
        <v>162144</v>
      </c>
      <c r="BC88" s="35">
        <v>164008</v>
      </c>
      <c r="BD88" s="35">
        <v>163980</v>
      </c>
      <c r="BE88" s="35">
        <v>167572</v>
      </c>
      <c r="BF88" s="35">
        <v>170936</v>
      </c>
      <c r="BG88" s="35">
        <v>172680</v>
      </c>
      <c r="BH88" s="35">
        <v>172444</v>
      </c>
      <c r="BI88" s="35">
        <v>176048</v>
      </c>
      <c r="BJ88" s="35">
        <v>181540</v>
      </c>
      <c r="BK88" s="35">
        <v>181976</v>
      </c>
      <c r="BL88" s="35">
        <v>185252</v>
      </c>
      <c r="BM88" s="35">
        <v>184332</v>
      </c>
      <c r="BN88" s="35">
        <v>191100</v>
      </c>
      <c r="BO88" s="35">
        <v>192104</v>
      </c>
      <c r="BP88" s="35">
        <v>195880</v>
      </c>
      <c r="BQ88" s="35">
        <v>195440</v>
      </c>
      <c r="BR88" s="35">
        <v>198912</v>
      </c>
      <c r="BS88" s="35">
        <v>201652</v>
      </c>
      <c r="BT88" s="35">
        <v>201436</v>
      </c>
      <c r="BU88" s="35">
        <v>201980</v>
      </c>
      <c r="BV88" s="35">
        <v>213484</v>
      </c>
      <c r="BW88" s="35">
        <v>213536</v>
      </c>
      <c r="BX88" s="35">
        <v>214156</v>
      </c>
      <c r="BY88" s="35">
        <v>214488</v>
      </c>
      <c r="BZ88" s="35">
        <v>225904</v>
      </c>
      <c r="CA88" s="35">
        <v>226768</v>
      </c>
      <c r="CB88" s="35">
        <v>227804</v>
      </c>
      <c r="CC88" s="35">
        <v>229044</v>
      </c>
      <c r="CD88" s="35">
        <v>241024</v>
      </c>
      <c r="CE88" s="35">
        <v>243792</v>
      </c>
      <c r="CF88" s="35">
        <v>244712</v>
      </c>
      <c r="CG88" s="35">
        <v>247012</v>
      </c>
      <c r="CH88" s="35">
        <v>261292</v>
      </c>
      <c r="CI88" s="35">
        <v>263620</v>
      </c>
      <c r="CJ88" s="35">
        <v>265076</v>
      </c>
      <c r="CK88" s="35">
        <v>266828</v>
      </c>
      <c r="CL88" s="35">
        <v>278568</v>
      </c>
      <c r="CM88" s="35">
        <v>281744</v>
      </c>
      <c r="CN88" s="35">
        <v>282848</v>
      </c>
      <c r="CO88" s="35">
        <v>283944</v>
      </c>
      <c r="CP88" s="35">
        <v>295568</v>
      </c>
      <c r="CQ88" s="35">
        <v>297064</v>
      </c>
      <c r="CR88" s="35">
        <v>298552</v>
      </c>
      <c r="CS88" s="35">
        <v>300556</v>
      </c>
      <c r="CT88" s="35">
        <v>308800</v>
      </c>
      <c r="CU88" s="35">
        <v>311776</v>
      </c>
      <c r="CV88" s="35">
        <v>312956</v>
      </c>
      <c r="CW88" s="35">
        <v>315112</v>
      </c>
      <c r="CX88" s="35">
        <v>324784</v>
      </c>
      <c r="CY88" s="35">
        <v>327504</v>
      </c>
      <c r="CZ88" s="35">
        <v>328632</v>
      </c>
      <c r="DA88" s="35">
        <v>329780</v>
      </c>
      <c r="DB88" s="35">
        <v>339100</v>
      </c>
      <c r="DC88" s="35">
        <v>341412</v>
      </c>
      <c r="DD88" s="35">
        <v>342632</v>
      </c>
      <c r="DE88" s="35">
        <v>344876</v>
      </c>
      <c r="DF88" s="35">
        <v>353920</v>
      </c>
      <c r="DG88" s="35">
        <v>355872</v>
      </c>
      <c r="DH88" s="35">
        <v>357524</v>
      </c>
      <c r="DI88" s="35">
        <v>359052</v>
      </c>
      <c r="DJ88" s="35">
        <v>366632</v>
      </c>
      <c r="DK88" s="35">
        <v>368208</v>
      </c>
      <c r="DL88" s="35">
        <v>370704</v>
      </c>
      <c r="DM88" s="35">
        <v>371184</v>
      </c>
      <c r="DN88" s="35">
        <v>376964</v>
      </c>
      <c r="DO88" s="35">
        <v>378944</v>
      </c>
      <c r="DP88" s="35">
        <v>380800</v>
      </c>
      <c r="DQ88" s="35">
        <v>382748</v>
      </c>
      <c r="DR88" s="35">
        <v>392512</v>
      </c>
      <c r="DS88" s="35">
        <v>404664</v>
      </c>
      <c r="DT88" s="35">
        <v>403872</v>
      </c>
      <c r="DU88" s="35">
        <v>404524</v>
      </c>
      <c r="DV88" s="35">
        <v>420812</v>
      </c>
      <c r="DW88" s="35">
        <v>422668</v>
      </c>
      <c r="DX88" s="35">
        <v>428384</v>
      </c>
      <c r="DY88" s="35">
        <v>428472</v>
      </c>
      <c r="DZ88" s="35">
        <v>442872</v>
      </c>
      <c r="EA88" s="35">
        <v>445487</v>
      </c>
      <c r="EB88" s="35">
        <v>448080</v>
      </c>
      <c r="EC88" s="35">
        <v>451196</v>
      </c>
      <c r="ED88" s="35">
        <v>458142</v>
      </c>
      <c r="EE88" s="35">
        <v>463083</v>
      </c>
      <c r="EF88" s="35">
        <v>464765</v>
      </c>
      <c r="EG88" s="35">
        <v>468133</v>
      </c>
      <c r="EH88" s="35">
        <v>479685</v>
      </c>
      <c r="EI88" s="35">
        <v>484798</v>
      </c>
      <c r="EJ88" s="35">
        <v>486184</v>
      </c>
      <c r="EK88" s="35">
        <v>491380</v>
      </c>
      <c r="EL88" s="35">
        <v>506486</v>
      </c>
      <c r="EM88" s="35">
        <v>512872</v>
      </c>
      <c r="EN88" s="35">
        <v>514043</v>
      </c>
      <c r="EO88" s="35">
        <v>517512</v>
      </c>
      <c r="EP88" s="35">
        <v>538042</v>
      </c>
      <c r="EQ88" s="35">
        <v>543660</v>
      </c>
      <c r="ER88" s="35">
        <v>546105</v>
      </c>
      <c r="ES88" s="35">
        <v>548576</v>
      </c>
      <c r="ET88" s="35">
        <v>568277</v>
      </c>
      <c r="EU88" s="35">
        <v>575021</v>
      </c>
      <c r="EV88" s="35">
        <v>578227</v>
      </c>
      <c r="EW88" s="35">
        <v>581089</v>
      </c>
      <c r="EX88" s="35">
        <v>597326</v>
      </c>
      <c r="EY88" s="35">
        <v>602859</v>
      </c>
      <c r="EZ88" s="35">
        <v>608868</v>
      </c>
      <c r="FA88" s="35">
        <v>613115</v>
      </c>
      <c r="FB88" s="35">
        <v>651871</v>
      </c>
      <c r="FC88" s="35">
        <v>662422</v>
      </c>
      <c r="FD88" s="35">
        <v>667932</v>
      </c>
      <c r="FE88" s="35">
        <v>675654</v>
      </c>
      <c r="FF88" s="35">
        <v>678854</v>
      </c>
      <c r="FG88" s="35">
        <v>689251</v>
      </c>
      <c r="FH88" s="35">
        <v>693594</v>
      </c>
      <c r="FI88" s="35">
        <v>698996</v>
      </c>
      <c r="FJ88" s="35">
        <v>703143</v>
      </c>
      <c r="FK88" s="35">
        <v>712039</v>
      </c>
      <c r="FL88" s="35">
        <v>716021</v>
      </c>
      <c r="FM88" s="35">
        <v>721840</v>
      </c>
      <c r="FN88" s="35">
        <v>753212</v>
      </c>
      <c r="FO88" s="35">
        <v>759410</v>
      </c>
      <c r="FP88" s="35">
        <v>765124</v>
      </c>
      <c r="FQ88" s="35">
        <v>770811</v>
      </c>
      <c r="FR88" s="35">
        <v>789992</v>
      </c>
      <c r="FS88" s="35">
        <v>795240</v>
      </c>
      <c r="FT88" s="35">
        <v>802336</v>
      </c>
      <c r="FU88" s="35">
        <v>808608</v>
      </c>
      <c r="FV88" s="35">
        <v>824825</v>
      </c>
      <c r="FW88" s="35">
        <v>831664</v>
      </c>
      <c r="FX88" s="35">
        <v>836478</v>
      </c>
      <c r="FY88" s="35">
        <v>845592</v>
      </c>
      <c r="FZ88" s="35">
        <v>861827</v>
      </c>
      <c r="GA88" s="35">
        <v>868501</v>
      </c>
      <c r="GB88" s="35">
        <v>873921</v>
      </c>
      <c r="GC88" s="35">
        <v>882925</v>
      </c>
      <c r="GD88" s="35">
        <v>886054</v>
      </c>
      <c r="GE88" s="35">
        <v>893200</v>
      </c>
      <c r="GF88" s="35">
        <v>899396</v>
      </c>
      <c r="GG88" s="35">
        <v>907237</v>
      </c>
      <c r="GH88" s="35">
        <v>916306</v>
      </c>
      <c r="GI88" s="35">
        <v>922033</v>
      </c>
      <c r="GJ88" s="35">
        <v>929279</v>
      </c>
      <c r="GK88" s="35">
        <v>936668</v>
      </c>
      <c r="GL88" s="35">
        <v>960613</v>
      </c>
      <c r="GM88" s="35">
        <v>968342</v>
      </c>
      <c r="GN88" s="35">
        <v>976833</v>
      </c>
      <c r="GO88" s="35">
        <v>983861</v>
      </c>
      <c r="GP88" s="35">
        <v>1019170</v>
      </c>
      <c r="GQ88" s="35">
        <v>1026740</v>
      </c>
      <c r="GR88" s="35">
        <v>1034364</v>
      </c>
      <c r="GS88" s="35">
        <v>1042697</v>
      </c>
      <c r="GT88" s="35">
        <v>1068172</v>
      </c>
      <c r="GU88" s="35">
        <v>1075081</v>
      </c>
      <c r="GV88" s="35">
        <v>1080296</v>
      </c>
      <c r="GW88" s="35">
        <v>1088164</v>
      </c>
      <c r="GX88" s="35">
        <v>1105684</v>
      </c>
      <c r="GY88" s="35">
        <v>1109622</v>
      </c>
      <c r="GZ88" s="35">
        <v>1116840</v>
      </c>
      <c r="HA88" s="35">
        <v>1126254</v>
      </c>
      <c r="HB88" s="35">
        <v>1198680</v>
      </c>
      <c r="HC88">
        <v>1207049</v>
      </c>
      <c r="HD88">
        <v>1214451</v>
      </c>
      <c r="HE88">
        <v>1225835</v>
      </c>
      <c r="HF88">
        <v>1339977</v>
      </c>
      <c r="HG88">
        <v>1353758</v>
      </c>
      <c r="HH88">
        <v>1361285</v>
      </c>
      <c r="HI88">
        <v>1374247</v>
      </c>
      <c r="HJ88">
        <v>1426916</v>
      </c>
    </row>
    <row r="89" spans="1:218" x14ac:dyDescent="0.25">
      <c r="A89" s="35" t="s">
        <v>2252</v>
      </c>
      <c r="B89" s="35"/>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c r="AH89" s="35"/>
      <c r="AI89" s="35"/>
      <c r="AJ89" s="35"/>
      <c r="AK89" s="35"/>
      <c r="AL89" s="35"/>
      <c r="AM89" s="35"/>
      <c r="AN89" s="35"/>
      <c r="AO89" s="35"/>
      <c r="AP89" s="35"/>
      <c r="AQ89" s="35"/>
      <c r="AR89" s="35"/>
      <c r="AS89" s="35"/>
      <c r="AT89" s="35"/>
      <c r="AU89" s="35"/>
      <c r="AV89" s="35"/>
      <c r="AW89" s="35"/>
      <c r="AX89" s="35"/>
      <c r="AY89" s="35"/>
      <c r="AZ89" s="35"/>
      <c r="BA89" s="35"/>
      <c r="BB89" s="35"/>
      <c r="BC89" s="35"/>
      <c r="BD89" s="35"/>
      <c r="BE89" s="35"/>
      <c r="BF89" s="35"/>
      <c r="BG89" s="35"/>
      <c r="BH89" s="35"/>
      <c r="BI89" s="35"/>
      <c r="BJ89" s="35"/>
      <c r="BK89" s="35"/>
      <c r="BL89" s="35"/>
      <c r="BM89" s="35"/>
      <c r="BN89" s="35"/>
      <c r="BO89" s="35"/>
      <c r="BP89" s="35"/>
      <c r="BQ89" s="35"/>
      <c r="BR89" s="35"/>
      <c r="BS89" s="35"/>
      <c r="BT89" s="35"/>
      <c r="BU89" s="35"/>
      <c r="BV89" s="35"/>
      <c r="BW89" s="35"/>
      <c r="BX89" s="35"/>
      <c r="BY89" s="35"/>
      <c r="BZ89" s="35"/>
      <c r="CA89" s="35"/>
      <c r="CB89" s="35"/>
      <c r="CC89" s="35"/>
      <c r="CD89" s="35"/>
      <c r="CE89" s="35"/>
      <c r="CF89" s="35"/>
      <c r="CG89" s="35"/>
      <c r="CH89" s="35"/>
      <c r="CI89" s="35"/>
      <c r="CJ89" s="35"/>
      <c r="CK89" s="35"/>
      <c r="CL89" s="35"/>
      <c r="CM89" s="35"/>
      <c r="CN89" s="35"/>
      <c r="CO89" s="35"/>
      <c r="CP89" s="35"/>
      <c r="CQ89" s="35"/>
      <c r="CR89" s="35"/>
      <c r="CS89" s="35"/>
      <c r="CT89" s="35"/>
      <c r="CU89" s="35"/>
      <c r="CV89" s="35"/>
      <c r="CW89" s="35"/>
      <c r="CX89" s="35"/>
      <c r="CY89" s="35"/>
      <c r="CZ89" s="35"/>
      <c r="DA89" s="35"/>
      <c r="DB89" s="35"/>
      <c r="DC89" s="35"/>
      <c r="DD89" s="35"/>
      <c r="DE89" s="35"/>
      <c r="DF89" s="35"/>
      <c r="DG89" s="35"/>
      <c r="DH89" s="35"/>
      <c r="DI89" s="35"/>
      <c r="DJ89" s="35"/>
      <c r="DK89" s="35"/>
      <c r="DL89" s="35"/>
      <c r="DM89" s="35"/>
      <c r="DN89" s="35"/>
      <c r="DO89" s="35"/>
      <c r="DP89" s="35"/>
      <c r="DQ89" s="35"/>
      <c r="DR89" s="35"/>
      <c r="DS89" s="35"/>
      <c r="DT89" s="35"/>
      <c r="DU89" s="35"/>
      <c r="DV89" s="35"/>
      <c r="DW89" s="35"/>
      <c r="DX89" s="35"/>
      <c r="DY89" s="35"/>
      <c r="DZ89" s="35"/>
      <c r="EA89" s="35"/>
      <c r="EB89" s="35"/>
      <c r="EC89" s="35"/>
      <c r="ED89" s="35"/>
      <c r="EE89" s="35"/>
      <c r="EF89" s="35"/>
      <c r="EG89" s="35"/>
      <c r="EH89" s="35"/>
      <c r="EI89" s="35"/>
      <c r="EJ89" s="35"/>
      <c r="EK89" s="35"/>
      <c r="EL89" s="35"/>
      <c r="EM89" s="35"/>
      <c r="EN89" s="35"/>
      <c r="EO89" s="35"/>
      <c r="EP89" s="35"/>
      <c r="EQ89" s="35"/>
      <c r="ER89" s="35"/>
      <c r="ES89" s="35"/>
      <c r="ET89" s="35"/>
      <c r="EU89" s="35"/>
      <c r="EV89" s="35"/>
      <c r="EW89" s="35"/>
      <c r="EX89" s="35"/>
      <c r="EY89" s="35"/>
      <c r="EZ89" s="35"/>
      <c r="FA89" s="35"/>
      <c r="FB89" s="35"/>
      <c r="FC89" s="35"/>
      <c r="FD89" s="35"/>
      <c r="FE89" s="35"/>
      <c r="FF89" s="35"/>
      <c r="FG89" s="35"/>
      <c r="FH89" s="35"/>
      <c r="FI89" s="35"/>
      <c r="FJ89" s="35"/>
      <c r="FK89" s="35"/>
      <c r="FL89" s="35"/>
      <c r="FM89" s="35"/>
      <c r="FN89" s="35"/>
      <c r="FO89" s="35"/>
      <c r="FP89" s="35"/>
      <c r="FQ89" s="35"/>
      <c r="FR89" s="35"/>
      <c r="FS89" s="35"/>
      <c r="FT89" s="35"/>
      <c r="FU89" s="35"/>
      <c r="FV89" s="35"/>
      <c r="FW89" s="35"/>
      <c r="FX89" s="35"/>
      <c r="FY89" s="35"/>
      <c r="FZ89" s="35"/>
      <c r="GA89" s="35"/>
      <c r="GB89" s="35"/>
      <c r="GC89" s="35"/>
      <c r="GD89" s="35"/>
      <c r="GE89" s="35"/>
      <c r="GF89" s="35"/>
      <c r="GG89" s="35"/>
      <c r="GH89" s="35"/>
      <c r="GI89" s="35"/>
      <c r="GJ89" s="35"/>
      <c r="GK89" s="35"/>
      <c r="GL89" s="35"/>
      <c r="GM89" s="35"/>
      <c r="GN89" s="35"/>
      <c r="GO89" s="35"/>
      <c r="GP89" s="35"/>
      <c r="GQ89" s="35"/>
      <c r="GR89" s="35"/>
      <c r="GS89" s="35"/>
      <c r="GT89" s="35"/>
      <c r="GU89" s="35"/>
      <c r="GV89" s="35"/>
      <c r="GW89" s="35"/>
      <c r="GX89" s="35">
        <v>34.4</v>
      </c>
      <c r="GY89" s="35">
        <v>34.4</v>
      </c>
      <c r="GZ89" s="35">
        <v>218.933333333333</v>
      </c>
      <c r="HA89" s="35">
        <v>223.13333333333301</v>
      </c>
      <c r="HB89" s="35">
        <v>94.3</v>
      </c>
      <c r="HC89">
        <v>94.3</v>
      </c>
      <c r="HD89">
        <v>94.3</v>
      </c>
      <c r="HE89">
        <v>94.3</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P128"/>
  <sheetViews>
    <sheetView zoomScaleNormal="100" workbookViewId="0">
      <selection activeCell="G14" sqref="G14"/>
    </sheetView>
  </sheetViews>
  <sheetFormatPr defaultColWidth="10.85546875" defaultRowHeight="15" x14ac:dyDescent="0.25"/>
  <cols>
    <col min="2" max="2" width="39.42578125" customWidth="1"/>
    <col min="3" max="3" width="20.140625" customWidth="1"/>
    <col min="4" max="5" width="9.42578125" customWidth="1"/>
    <col min="9" max="9" width="12.42578125" customWidth="1"/>
  </cols>
  <sheetData>
    <row r="2" spans="2:13" x14ac:dyDescent="0.25">
      <c r="B2" s="1265" t="s">
        <v>2268</v>
      </c>
      <c r="C2" s="1265"/>
      <c r="D2" s="1265"/>
      <c r="E2" s="1265"/>
      <c r="F2" s="1265"/>
      <c r="G2" s="1265"/>
      <c r="H2" s="1265"/>
      <c r="I2" s="1265"/>
      <c r="J2" s="1265"/>
      <c r="K2" s="1265"/>
      <c r="L2" s="1265"/>
      <c r="M2" s="1265"/>
    </row>
    <row r="3" spans="2:13" x14ac:dyDescent="0.25">
      <c r="B3" t="str">
        <f>forecast!A1</f>
        <v>name</v>
      </c>
      <c r="C3" t="str">
        <f>forecast!B1</f>
        <v>variable</v>
      </c>
      <c r="D3" t="str">
        <f>forecast!C1</f>
        <v>2024 Q1</v>
      </c>
      <c r="E3" t="str">
        <f>forecast!D1</f>
        <v>2024 Q2</v>
      </c>
      <c r="F3" t="s">
        <v>175</v>
      </c>
      <c r="G3" t="s">
        <v>176</v>
      </c>
      <c r="H3" t="s">
        <v>177</v>
      </c>
      <c r="I3" t="s">
        <v>765</v>
      </c>
      <c r="J3" t="s">
        <v>766</v>
      </c>
      <c r="K3" t="s">
        <v>767</v>
      </c>
      <c r="L3" t="s">
        <v>1157</v>
      </c>
      <c r="M3" t="s">
        <v>1158</v>
      </c>
    </row>
    <row r="4" spans="2:13" x14ac:dyDescent="0.25">
      <c r="B4" t="str">
        <f>forecast!A2</f>
        <v>Consumption Grants</v>
      </c>
      <c r="C4" t="str">
        <f>forecast!B2</f>
        <v>consumption_grants</v>
      </c>
      <c r="D4" s="70">
        <f>forecast!C2</f>
        <v>427.26494400000001</v>
      </c>
      <c r="E4" s="70">
        <f>forecast!D2</f>
        <v>418.03001728324807</v>
      </c>
      <c r="F4" s="70">
        <f>forecast!E2</f>
        <v>422.5102225824408</v>
      </c>
      <c r="G4" s="70">
        <f>forecast!F2</f>
        <v>427.2815256817579</v>
      </c>
      <c r="H4" s="70">
        <f>forecast!G2</f>
        <v>410.47107700000004</v>
      </c>
      <c r="I4" s="70">
        <f>forecast!H2</f>
        <v>405.8184041145779</v>
      </c>
      <c r="J4" s="70">
        <f>forecast!I2</f>
        <v>408.36749628573835</v>
      </c>
      <c r="K4" s="70">
        <f>forecast!J2</f>
        <v>407.0560067810282</v>
      </c>
      <c r="L4" s="70">
        <f>forecast!K2</f>
        <v>409.781722</v>
      </c>
      <c r="M4" s="70">
        <f>forecast!L2</f>
        <v>0</v>
      </c>
    </row>
    <row r="5" spans="2:13" x14ac:dyDescent="0.25">
      <c r="B5" t="str">
        <f>forecast!A3</f>
        <v>Investment Grants</v>
      </c>
      <c r="C5" t="str">
        <f>forecast!B3</f>
        <v>investment_grants</v>
      </c>
      <c r="D5" s="70">
        <f>forecast!C3</f>
        <v>77.707285714285717</v>
      </c>
      <c r="E5" s="70">
        <f>forecast!D3</f>
        <v>77.707285714285717</v>
      </c>
      <c r="F5" s="70">
        <f>forecast!E3</f>
        <v>77.707285714285717</v>
      </c>
      <c r="G5" s="70">
        <f>forecast!F3</f>
        <v>79.301285714285726</v>
      </c>
      <c r="H5" s="70">
        <f>forecast!G3</f>
        <v>79.301285714285726</v>
      </c>
      <c r="I5" s="70">
        <f>forecast!H3</f>
        <v>75.229285714285723</v>
      </c>
      <c r="J5" s="70">
        <f>forecast!I3</f>
        <v>75.229285714285723</v>
      </c>
      <c r="K5" s="70">
        <f>forecast!J3</f>
        <v>75.229285714285723</v>
      </c>
      <c r="L5" s="70">
        <f>forecast!K3</f>
        <v>75.229285714285723</v>
      </c>
      <c r="M5" s="70">
        <f>forecast!L3</f>
        <v>0</v>
      </c>
    </row>
    <row r="6" spans="2:13" x14ac:dyDescent="0.25">
      <c r="B6" t="str">
        <f>forecast!A4</f>
        <v>Federal Purchases (NIPA Consistent)</v>
      </c>
      <c r="C6" t="str">
        <f>forecast!B4</f>
        <v>federal_purchases</v>
      </c>
      <c r="D6" s="70">
        <f>forecast!C4</f>
        <v>1837.2</v>
      </c>
      <c r="E6" s="70">
        <f>forecast!D4</f>
        <v>1848.6395138374351</v>
      </c>
      <c r="F6" s="70">
        <f>forecast!E4</f>
        <v>1864.4764115111357</v>
      </c>
      <c r="G6" s="70">
        <f>forecast!F4</f>
        <v>1878.528717728633</v>
      </c>
      <c r="H6" s="70">
        <f>forecast!G4</f>
        <v>1890.0503769897132</v>
      </c>
      <c r="I6" s="70">
        <f>forecast!H4</f>
        <v>1902.2038020847165</v>
      </c>
      <c r="J6" s="70">
        <f>forecast!I4</f>
        <v>1915.1720115226869</v>
      </c>
      <c r="K6" s="70">
        <f>forecast!J4</f>
        <v>1929.3160985174152</v>
      </c>
      <c r="L6" s="70">
        <f>forecast!K4</f>
        <v>1943.569361563337</v>
      </c>
      <c r="M6" s="70">
        <f>forecast!L4</f>
        <v>0</v>
      </c>
    </row>
    <row r="7" spans="2:13" x14ac:dyDescent="0.25">
      <c r="B7" t="str">
        <f>forecast!A5</f>
        <v>State Purchases (NIPA Consistent)</v>
      </c>
      <c r="C7" t="str">
        <f>forecast!B5</f>
        <v>state_purchases</v>
      </c>
      <c r="D7" s="70">
        <f>forecast!C5</f>
        <v>3100.2</v>
      </c>
      <c r="E7" s="70">
        <f>forecast!D5</f>
        <v>3131.0560446291206</v>
      </c>
      <c r="F7" s="70">
        <f>forecast!E5</f>
        <v>3160.2950227752217</v>
      </c>
      <c r="G7" s="70">
        <f>forecast!F5</f>
        <v>3190.091295801712</v>
      </c>
      <c r="H7" s="70">
        <f>forecast!G5</f>
        <v>3219.6643798566629</v>
      </c>
      <c r="I7" s="70">
        <f>forecast!H5</f>
        <v>3249.7151602080339</v>
      </c>
      <c r="J7" s="70">
        <f>forecast!I5</f>
        <v>3280.5993490219689</v>
      </c>
      <c r="K7" s="70">
        <f>forecast!J5</f>
        <v>3311.3704017044197</v>
      </c>
      <c r="L7" s="70">
        <f>forecast!K5</f>
        <v>3343.733379810219</v>
      </c>
      <c r="M7" s="70">
        <f>forecast!L5</f>
        <v>0</v>
      </c>
    </row>
    <row r="8" spans="2:13" x14ac:dyDescent="0.25">
      <c r="B8" t="str">
        <f>forecast!A6</f>
        <v>Non-ARP Subsidies + ARP Provider Relief and PPP</v>
      </c>
      <c r="C8" t="str">
        <f>forecast!B6</f>
        <v>federal_subsidies</v>
      </c>
      <c r="D8" s="70">
        <f>forecast!C6</f>
        <v>95.135000000000005</v>
      </c>
      <c r="E8" s="70">
        <f>forecast!D6</f>
        <v>95.135000000000005</v>
      </c>
      <c r="F8" s="70">
        <f>forecast!E6</f>
        <v>95.135000000000005</v>
      </c>
      <c r="G8" s="70">
        <f>forecast!F6</f>
        <v>102.23399999999999</v>
      </c>
      <c r="H8" s="70">
        <f>forecast!G6</f>
        <v>102.23399999999999</v>
      </c>
      <c r="I8" s="70">
        <f>forecast!H6</f>
        <v>95.212000000000003</v>
      </c>
      <c r="J8" s="70">
        <f>forecast!I6</f>
        <v>96.212000000000003</v>
      </c>
      <c r="K8" s="70">
        <f>forecast!J6</f>
        <v>101.551</v>
      </c>
      <c r="L8" s="70">
        <f>forecast!K6</f>
        <v>100.401</v>
      </c>
      <c r="M8" s="70">
        <f>forecast!L6</f>
        <v>0</v>
      </c>
    </row>
    <row r="9" spans="2:13" x14ac:dyDescent="0.25">
      <c r="B9" t="str">
        <f>forecast!A7</f>
        <v>ARP Subsidies less Provider Relief and PPP</v>
      </c>
      <c r="C9" t="str">
        <f>forecast!B7</f>
        <v>federal_aid_to_small_businesses_arp</v>
      </c>
      <c r="D9" s="70">
        <f>forecast!C7</f>
        <v>1.365</v>
      </c>
      <c r="E9" s="70">
        <f>forecast!D7</f>
        <v>1.365</v>
      </c>
      <c r="F9" s="70">
        <f>forecast!E7</f>
        <v>1.365</v>
      </c>
      <c r="G9" s="70">
        <f>forecast!F7</f>
        <v>-0.90100000000000025</v>
      </c>
      <c r="H9" s="70">
        <f>forecast!G7</f>
        <v>-0.90100000000000025</v>
      </c>
      <c r="I9" s="70">
        <f>forecast!H7</f>
        <v>-0.90100000000000025</v>
      </c>
      <c r="J9" s="70">
        <f>forecast!I7</f>
        <v>-0.90100000000000025</v>
      </c>
      <c r="K9" s="70">
        <f>forecast!J7</f>
        <v>-2.1500000000000004</v>
      </c>
      <c r="L9" s="70">
        <f>forecast!K7</f>
        <v>0</v>
      </c>
      <c r="M9" s="70">
        <f>forecast!L7</f>
        <v>0</v>
      </c>
    </row>
    <row r="10" spans="2:13" x14ac:dyDescent="0.25">
      <c r="B10" t="str">
        <f>forecast!A8</f>
        <v>Federal UI</v>
      </c>
      <c r="C10" t="str">
        <f>forecast!B8</f>
        <v>federal_ui</v>
      </c>
      <c r="D10" s="70">
        <f>forecast!C8</f>
        <v>-0.55714285714286049</v>
      </c>
      <c r="E10" s="70">
        <f>forecast!D8</f>
        <v>0</v>
      </c>
      <c r="F10" s="70">
        <f>forecast!E8</f>
        <v>0</v>
      </c>
      <c r="G10" s="70">
        <f>forecast!F8</f>
        <v>0</v>
      </c>
      <c r="H10" s="70">
        <f>forecast!G8</f>
        <v>0</v>
      </c>
      <c r="I10" s="70">
        <f>forecast!H8</f>
        <v>0</v>
      </c>
      <c r="J10" s="70">
        <f>forecast!I8</f>
        <v>0</v>
      </c>
      <c r="K10" s="70">
        <f>forecast!J8</f>
        <v>0</v>
      </c>
      <c r="L10" s="70">
        <f>forecast!K8</f>
        <v>0</v>
      </c>
      <c r="M10" s="70">
        <f>forecast!L8</f>
        <v>0</v>
      </c>
    </row>
    <row r="11" spans="2:13" x14ac:dyDescent="0.25">
      <c r="B11" t="str">
        <f>forecast!A9</f>
        <v>State UI</v>
      </c>
      <c r="C11" t="str">
        <f>forecast!B9</f>
        <v>state_ui</v>
      </c>
      <c r="D11" s="70">
        <f>forecast!C9</f>
        <v>23.25714285714286</v>
      </c>
      <c r="E11" s="70">
        <f>forecast!D9</f>
        <v>22.5</v>
      </c>
      <c r="F11" s="70">
        <f>forecast!E9</f>
        <v>22.5</v>
      </c>
      <c r="G11" s="70">
        <f>forecast!F9</f>
        <v>22.5</v>
      </c>
      <c r="H11" s="70">
        <f>forecast!G9</f>
        <v>22.5</v>
      </c>
      <c r="I11" s="70">
        <f>forecast!H9</f>
        <v>22.5</v>
      </c>
      <c r="J11" s="70">
        <f>forecast!I9</f>
        <v>22.5</v>
      </c>
      <c r="K11" s="70">
        <f>forecast!J9</f>
        <v>22.5</v>
      </c>
      <c r="L11" s="70">
        <f>forecast!K9</f>
        <v>22.5</v>
      </c>
      <c r="M11" s="70">
        <f>forecast!L9</f>
        <v>0</v>
      </c>
    </row>
    <row r="12" spans="2:13" x14ac:dyDescent="0.25">
      <c r="B12" t="str">
        <f>forecast!A10</f>
        <v>Federal Medicaid</v>
      </c>
      <c r="C12" t="str">
        <f>forecast!B10</f>
        <v>medicaid_grants</v>
      </c>
      <c r="D12" s="70">
        <f>forecast!C10</f>
        <v>613.56899999999996</v>
      </c>
      <c r="E12" s="70">
        <f>forecast!D10</f>
        <v>652.29721181923992</v>
      </c>
      <c r="F12" s="70">
        <f>forecast!E10</f>
        <v>666.79776934155791</v>
      </c>
      <c r="G12" s="70">
        <f>forecast!F10</f>
        <v>671.78272132848042</v>
      </c>
      <c r="H12" s="70">
        <f>forecast!G10</f>
        <v>676.80494060610863</v>
      </c>
      <c r="I12" s="70">
        <f>forecast!H10</f>
        <v>681.86470578313504</v>
      </c>
      <c r="J12" s="70">
        <f>forecast!I10</f>
        <v>686.96229755111972</v>
      </c>
      <c r="K12" s="70">
        <f>forecast!J10</f>
        <v>690.92691283380407</v>
      </c>
      <c r="L12" s="70">
        <f>forecast!K10</f>
        <v>694.91440881080848</v>
      </c>
      <c r="M12" s="70">
        <f>forecast!L10</f>
        <v>0</v>
      </c>
    </row>
    <row r="13" spans="2:13" x14ac:dyDescent="0.25">
      <c r="B13" t="str">
        <f>forecast!A11</f>
        <v>Total Medicaid</v>
      </c>
      <c r="C13" t="str">
        <f>forecast!B11</f>
        <v>medicaid</v>
      </c>
      <c r="D13" s="70">
        <f>forecast!C11</f>
        <v>922.3</v>
      </c>
      <c r="E13" s="70">
        <f>forecast!D11</f>
        <v>980.51517997305109</v>
      </c>
      <c r="F13" s="70">
        <f>forecast!E11</f>
        <v>1002.3120181490897</v>
      </c>
      <c r="G13" s="70">
        <f>forecast!F11</f>
        <v>1009.8052605024984</v>
      </c>
      <c r="H13" s="70">
        <f>forecast!G11</f>
        <v>1017.354522019551</v>
      </c>
      <c r="I13" s="70">
        <f>forecast!H11</f>
        <v>1024.960221497151</v>
      </c>
      <c r="J13" s="70">
        <f>forecast!I11</f>
        <v>1032.6227808631102</v>
      </c>
      <c r="K13" s="70">
        <f>forecast!J11</f>
        <v>1038.5822812212114</v>
      </c>
      <c r="L13" s="70">
        <f>forecast!K11</f>
        <v>1044.5761752080184</v>
      </c>
      <c r="M13" s="70">
        <f>forecast!L11</f>
        <v>0</v>
      </c>
    </row>
    <row r="14" spans="2:13" x14ac:dyDescent="0.25">
      <c r="B14" t="str">
        <f>forecast!A12</f>
        <v>Medicare</v>
      </c>
      <c r="C14" t="str">
        <f>forecast!B12</f>
        <v>medicare</v>
      </c>
      <c r="D14" s="70">
        <f>forecast!C12</f>
        <v>965.3</v>
      </c>
      <c r="E14" s="70">
        <f>forecast!D12</f>
        <v>980.56003292022876</v>
      </c>
      <c r="F14" s="70">
        <f>forecast!E12</f>
        <v>996.18777418821298</v>
      </c>
      <c r="G14" s="70">
        <f>forecast!F12</f>
        <v>1008.812306797969</v>
      </c>
      <c r="H14" s="70">
        <f>forecast!G12</f>
        <v>1021.5968281445319</v>
      </c>
      <c r="I14" s="70">
        <f>forecast!H12</f>
        <v>1034.5433657402616</v>
      </c>
      <c r="J14" s="70">
        <f>forecast!I12</f>
        <v>1047.6539727918666</v>
      </c>
      <c r="K14" s="70">
        <f>forecast!J12</f>
        <v>1064.1436593437684</v>
      </c>
      <c r="L14" s="70">
        <f>forecast!K12</f>
        <v>1080.8928874710773</v>
      </c>
      <c r="M14" s="70">
        <f>forecast!L12</f>
        <v>0</v>
      </c>
    </row>
    <row r="15" spans="2:13" x14ac:dyDescent="0.25">
      <c r="B15" t="str">
        <f>forecast!A13</f>
        <v>Non-ARP Rebate Checks</v>
      </c>
      <c r="C15" t="str">
        <f>forecast!B13</f>
        <v>rebate_checks</v>
      </c>
      <c r="D15" s="70">
        <f>forecast!C13</f>
        <v>0</v>
      </c>
      <c r="E15" s="70">
        <f>forecast!D13</f>
        <v>0</v>
      </c>
      <c r="F15" s="70">
        <f>forecast!E13</f>
        <v>0</v>
      </c>
      <c r="G15" s="70">
        <f>forecast!F13</f>
        <v>0</v>
      </c>
      <c r="H15" s="70">
        <f>forecast!G13</f>
        <v>0</v>
      </c>
      <c r="I15" s="70">
        <f>forecast!H13</f>
        <v>0</v>
      </c>
      <c r="J15" s="70">
        <f>forecast!I13</f>
        <v>0</v>
      </c>
      <c r="K15" s="70">
        <f>forecast!J13</f>
        <v>0</v>
      </c>
      <c r="L15" s="70">
        <f>forecast!K13</f>
        <v>0</v>
      </c>
      <c r="M15" s="70">
        <f>forecast!L13</f>
        <v>0</v>
      </c>
    </row>
    <row r="16" spans="2:13" x14ac:dyDescent="0.25">
      <c r="B16" t="str">
        <f>forecast!A14</f>
        <v>ARP Rebate Checks</v>
      </c>
      <c r="C16" t="str">
        <f>forecast!B14</f>
        <v>rebate_checks_arp</v>
      </c>
      <c r="D16" s="70">
        <f>forecast!C14</f>
        <v>0</v>
      </c>
      <c r="E16" s="70">
        <f>forecast!D14</f>
        <v>0</v>
      </c>
      <c r="F16" s="70">
        <f>forecast!E14</f>
        <v>0</v>
      </c>
      <c r="G16" s="70">
        <f>forecast!F14</f>
        <v>0</v>
      </c>
      <c r="H16" s="70">
        <f>forecast!G14</f>
        <v>0</v>
      </c>
      <c r="I16" s="70">
        <f>forecast!H14</f>
        <v>0</v>
      </c>
      <c r="J16" s="70">
        <f>forecast!I14</f>
        <v>0</v>
      </c>
      <c r="K16" s="70">
        <f>forecast!J14</f>
        <v>0</v>
      </c>
      <c r="L16" s="70">
        <f>forecast!K14</f>
        <v>0</v>
      </c>
      <c r="M16" s="70">
        <f>forecast!L14</f>
        <v>0</v>
      </c>
    </row>
    <row r="17" spans="2:13" x14ac:dyDescent="0.25">
      <c r="B17" t="str">
        <f>forecast!A15</f>
        <v>ARP Other Vulnerable</v>
      </c>
      <c r="C17" t="str">
        <f>forecast!B15</f>
        <v>federal_other_vulnerable_arp</v>
      </c>
      <c r="D17" s="70">
        <f>forecast!C15</f>
        <v>4.2219999999999995</v>
      </c>
      <c r="E17" s="70">
        <f>forecast!D15</f>
        <v>4.2219999999999995</v>
      </c>
      <c r="F17" s="70">
        <f>forecast!E15</f>
        <v>4.2219999999999995</v>
      </c>
      <c r="G17" s="70">
        <f>forecast!F15</f>
        <v>2.3719999999999999</v>
      </c>
      <c r="H17" s="70">
        <f>forecast!G15</f>
        <v>2.3719999999999999</v>
      </c>
      <c r="I17" s="70">
        <f>forecast!H15</f>
        <v>2.3719999999999999</v>
      </c>
      <c r="J17" s="70">
        <f>forecast!I15</f>
        <v>2.3719999999999999</v>
      </c>
      <c r="K17" s="70">
        <f>forecast!J15</f>
        <v>0.49</v>
      </c>
      <c r="L17" s="70">
        <f>forecast!K15</f>
        <v>0</v>
      </c>
      <c r="M17" s="70">
        <f>forecast!L15</f>
        <v>0</v>
      </c>
    </row>
    <row r="18" spans="2:13" x14ac:dyDescent="0.25">
      <c r="B18" t="str">
        <f>forecast!A16</f>
        <v xml:space="preserve">ARP Other Direct Aid plus Provider Relief </v>
      </c>
      <c r="C18" t="str">
        <f>forecast!B16</f>
        <v>federal_other_direct_aid_arp</v>
      </c>
      <c r="D18" s="70">
        <f>forecast!C16</f>
        <v>1.4790000000000001</v>
      </c>
      <c r="E18" s="70">
        <f>forecast!D16</f>
        <v>1.4790000000000001</v>
      </c>
      <c r="F18" s="70">
        <f>forecast!E16</f>
        <v>1.4790000000000001</v>
      </c>
      <c r="G18" s="70">
        <f>forecast!F16</f>
        <v>1.63</v>
      </c>
      <c r="H18" s="70">
        <f>forecast!G16</f>
        <v>1.63</v>
      </c>
      <c r="I18" s="70">
        <f>forecast!H16</f>
        <v>1.63</v>
      </c>
      <c r="J18" s="70">
        <f>forecast!I16</f>
        <v>1.63</v>
      </c>
      <c r="K18" s="70">
        <f>forecast!J16</f>
        <v>1.671</v>
      </c>
      <c r="L18" s="70">
        <f>forecast!K16</f>
        <v>0</v>
      </c>
      <c r="M18" s="70">
        <f>forecast!L16</f>
        <v>0</v>
      </c>
    </row>
    <row r="19" spans="2:13" x14ac:dyDescent="0.25">
      <c r="B19" t="str">
        <f>forecast!A17</f>
        <v>Other Federal Social Benefits (including all SNAP)</v>
      </c>
      <c r="C19" t="str">
        <f>forecast!B17</f>
        <v>federal_social_benefits</v>
      </c>
      <c r="D19" s="70">
        <f>forecast!C17</f>
        <v>2047.499</v>
      </c>
      <c r="E19" s="70">
        <f>forecast!D17</f>
        <v>2054.4323333333332</v>
      </c>
      <c r="F19" s="70">
        <f>forecast!E17</f>
        <v>2061.3656666666666</v>
      </c>
      <c r="G19" s="70">
        <f>forecast!F17</f>
        <v>2069.8270000000002</v>
      </c>
      <c r="H19" s="70">
        <f>forecast!G17</f>
        <v>2111.6203998973333</v>
      </c>
      <c r="I19" s="70">
        <f>forecast!H17</f>
        <v>2118.5537332306667</v>
      </c>
      <c r="J19" s="70">
        <f>forecast!I17</f>
        <v>2125.4870665640001</v>
      </c>
      <c r="K19" s="70">
        <f>forecast!J17</f>
        <v>2116.1813998973334</v>
      </c>
      <c r="L19" s="70">
        <f>forecast!K17</f>
        <v>2160.1803863256391</v>
      </c>
      <c r="M19" s="70">
        <f>forecast!L17</f>
        <v>0</v>
      </c>
    </row>
    <row r="20" spans="2:13" x14ac:dyDescent="0.25">
      <c r="B20" t="str">
        <f>forecast!A18</f>
        <v>State Social Benefits ex Medicaid</v>
      </c>
      <c r="C20" t="str">
        <f>forecast!B18</f>
        <v>state_social_benefits</v>
      </c>
      <c r="D20" s="70">
        <f>forecast!C18</f>
        <v>196.29831211574134</v>
      </c>
      <c r="E20" s="70">
        <f>forecast!D18</f>
        <v>199.52477289205825</v>
      </c>
      <c r="F20" s="70">
        <f>forecast!E18</f>
        <v>202.80426544959073</v>
      </c>
      <c r="G20" s="70">
        <f>forecast!F18</f>
        <v>206.137661446175</v>
      </c>
      <c r="H20" s="70">
        <f>forecast!G18</f>
        <v>209.52584686666717</v>
      </c>
      <c r="I20" s="70">
        <f>forecast!H18</f>
        <v>212.9697222584295</v>
      </c>
      <c r="J20" s="70">
        <f>forecast!I18</f>
        <v>216.47020297068735</v>
      </c>
      <c r="K20" s="70">
        <f>forecast!J18</f>
        <v>220.02821939782032</v>
      </c>
      <c r="L20" s="70">
        <f>forecast!K18</f>
        <v>223.64471722665206</v>
      </c>
      <c r="M20" s="70">
        <f>forecast!L18</f>
        <v>0</v>
      </c>
    </row>
    <row r="21" spans="2:13" x14ac:dyDescent="0.25">
      <c r="B21" t="str">
        <f>forecast!A19</f>
        <v>Federal Non-Corporate Taxes</v>
      </c>
      <c r="C21" t="str">
        <f>forecast!B19</f>
        <v>federal_non_corporate_taxes</v>
      </c>
      <c r="D21" s="70">
        <f>forecast!C19</f>
        <v>4382.3999999999996</v>
      </c>
      <c r="E21" s="70">
        <f>forecast!D19</f>
        <v>4466.4781167791452</v>
      </c>
      <c r="F21" s="70">
        <f>forecast!E19</f>
        <v>4499.1038589525842</v>
      </c>
      <c r="G21" s="70">
        <f>forecast!F19</f>
        <v>4530.2422654829452</v>
      </c>
      <c r="H21" s="70">
        <f>forecast!G19</f>
        <v>4652.7384420817316</v>
      </c>
      <c r="I21" s="70">
        <f>forecast!H19</f>
        <v>4684.8187235322102</v>
      </c>
      <c r="J21" s="70">
        <f>forecast!I19</f>
        <v>4717.1493907346949</v>
      </c>
      <c r="K21" s="70">
        <f>forecast!J19</f>
        <v>4749.7326853364484</v>
      </c>
      <c r="L21" s="70">
        <f>forecast!K19</f>
        <v>5013.6006802781867</v>
      </c>
      <c r="M21" s="70">
        <f>forecast!L19</f>
        <v>0</v>
      </c>
    </row>
    <row r="22" spans="2:13" x14ac:dyDescent="0.25">
      <c r="B22" t="str">
        <f>forecast!A20</f>
        <v>State Non-Corporate Taxes</v>
      </c>
      <c r="C22" t="str">
        <f>forecast!B20</f>
        <v>state_non_corporate_taxes</v>
      </c>
      <c r="D22" s="70">
        <f>forecast!C20</f>
        <v>2272.8999999999996</v>
      </c>
      <c r="E22" s="70">
        <f>forecast!D20</f>
        <v>2314.8691404679494</v>
      </c>
      <c r="F22" s="70">
        <f>forecast!E20</f>
        <v>2346.2922256810743</v>
      </c>
      <c r="G22" s="70">
        <f>forecast!F20</f>
        <v>2369.8143532507133</v>
      </c>
      <c r="H22" s="70">
        <f>forecast!G20</f>
        <v>2394.0872359096611</v>
      </c>
      <c r="I22" s="70">
        <f>forecast!H20</f>
        <v>2418.3031537582128</v>
      </c>
      <c r="J22" s="70">
        <f>forecast!I20</f>
        <v>2441.567557390515</v>
      </c>
      <c r="K22" s="70">
        <f>forecast!J20</f>
        <v>2464.5145424124066</v>
      </c>
      <c r="L22" s="70">
        <f>forecast!K20</f>
        <v>2485.0275481775334</v>
      </c>
      <c r="M22" s="70">
        <f>forecast!L20</f>
        <v>0</v>
      </c>
    </row>
    <row r="23" spans="2:13" x14ac:dyDescent="0.25">
      <c r="B23" t="str">
        <f>forecast!A21</f>
        <v>Federal Corporate Taxes</v>
      </c>
      <c r="C23" t="str">
        <f>forecast!B21</f>
        <v>federal_corporate_taxes</v>
      </c>
      <c r="D23" s="70">
        <f>forecast!C21</f>
        <v>457</v>
      </c>
      <c r="E23" s="70">
        <f>forecast!D21</f>
        <v>456.1059343380187</v>
      </c>
      <c r="F23" s="70">
        <f>forecast!E21</f>
        <v>455.21361780822104</v>
      </c>
      <c r="G23" s="70">
        <f>forecast!F21</f>
        <v>470.65879510155628</v>
      </c>
      <c r="H23" s="70">
        <f>forecast!G21</f>
        <v>486.62801977021206</v>
      </c>
      <c r="I23" s="70">
        <f>forecast!H21</f>
        <v>503.13907248749268</v>
      </c>
      <c r="J23" s="70">
        <f>forecast!I21</f>
        <v>520.21033721632489</v>
      </c>
      <c r="K23" s="70">
        <f>forecast!J21</f>
        <v>537.86082167858206</v>
      </c>
      <c r="L23" s="70">
        <f>forecast!K21</f>
        <v>556.11017851892268</v>
      </c>
      <c r="M23" s="70">
        <f>forecast!L21</f>
        <v>0</v>
      </c>
    </row>
    <row r="24" spans="2:13" x14ac:dyDescent="0.25">
      <c r="B24" t="str">
        <f>forecast!A22</f>
        <v>State Corporate Taxes</v>
      </c>
      <c r="C24" s="35" t="str">
        <f>forecast!B22</f>
        <v>state_corporate_taxes</v>
      </c>
      <c r="D24" s="70">
        <f>forecast!C22</f>
        <v>164.9</v>
      </c>
      <c r="E24" s="70">
        <f>forecast!D22</f>
        <v>167.9617119479702</v>
      </c>
      <c r="F24" s="70">
        <f>forecast!E22</f>
        <v>170.5852127696773</v>
      </c>
      <c r="G24" s="70">
        <f>forecast!F22</f>
        <v>171.87101646910733</v>
      </c>
      <c r="H24" s="70">
        <f>forecast!G22</f>
        <v>173.44511696213158</v>
      </c>
      <c r="I24" s="70">
        <f>forecast!H22</f>
        <v>175.0134515192839</v>
      </c>
      <c r="J24" s="70">
        <f>forecast!I22</f>
        <v>176.01095842511978</v>
      </c>
      <c r="K24" s="70">
        <f>forecast!J22</f>
        <v>176.09744746319802</v>
      </c>
      <c r="L24" s="70">
        <f>forecast!K22</f>
        <v>175.32481205636563</v>
      </c>
      <c r="M24" s="70">
        <f>forecast!L22</f>
        <v>0</v>
      </c>
    </row>
    <row r="25" spans="2:13" x14ac:dyDescent="0.25">
      <c r="B25" s="35" t="str">
        <f>forecast!A23</f>
        <v>Federal Student Loans</v>
      </c>
      <c r="C25" s="35" t="str">
        <f>forecast!B23</f>
        <v>federal_student_loans</v>
      </c>
      <c r="D25" s="70">
        <f>forecast!C23</f>
        <v>2.5815300000000003</v>
      </c>
      <c r="E25" s="70">
        <f>forecast!D23</f>
        <v>2.6040450000000002</v>
      </c>
      <c r="F25" s="70">
        <f>forecast!E23</f>
        <v>2.626465</v>
      </c>
      <c r="G25" s="70">
        <f>forecast!F23</f>
        <v>2.6498349999999999</v>
      </c>
      <c r="H25" s="70">
        <f>forecast!G23</f>
        <v>2.6454420000000001</v>
      </c>
      <c r="I25" s="70">
        <f>forecast!H23</f>
        <v>2.6696</v>
      </c>
      <c r="J25" s="70">
        <f>forecast!I23</f>
        <v>2.693006</v>
      </c>
      <c r="K25" s="70">
        <f>forecast!J23</f>
        <v>2.7175400000000001</v>
      </c>
      <c r="L25" s="70">
        <f>forecast!K23</f>
        <v>2.7175400000000001</v>
      </c>
      <c r="M25" s="70">
        <f>forecast!L23</f>
        <v>0</v>
      </c>
    </row>
    <row r="26" spans="2:13" x14ac:dyDescent="0.25">
      <c r="B26" s="35"/>
      <c r="C26" s="35"/>
      <c r="D26" s="70"/>
      <c r="E26" s="70"/>
      <c r="F26" s="70"/>
      <c r="G26" s="70"/>
      <c r="H26" s="70"/>
      <c r="I26" s="70"/>
    </row>
    <row r="27" spans="2:13" x14ac:dyDescent="0.25">
      <c r="B27" s="76" t="s">
        <v>1921</v>
      </c>
      <c r="C27" s="35"/>
      <c r="D27" s="70"/>
      <c r="E27" s="70"/>
      <c r="F27" s="70"/>
      <c r="G27" s="70"/>
      <c r="H27" s="70"/>
      <c r="I27" s="70"/>
    </row>
    <row r="28" spans="2:13" x14ac:dyDescent="0.25">
      <c r="B28" s="35" t="s">
        <v>1710</v>
      </c>
      <c r="C28" s="35"/>
      <c r="D28" s="77">
        <f>Deflators!Y45</f>
        <v>3.3236788538757667E-2</v>
      </c>
      <c r="E28" s="77">
        <f>Deflators!Z45</f>
        <v>4.4734749927778247E-2</v>
      </c>
      <c r="F28" s="77">
        <f>Deflators!AA45</f>
        <v>2.897464547214517E-2</v>
      </c>
      <c r="G28" s="77">
        <f>Deflators!AB45</f>
        <v>2.3485836297992498E-2</v>
      </c>
      <c r="H28" s="77">
        <f>Deflators!AC45</f>
        <v>2.1796033645922641E-2</v>
      </c>
      <c r="I28" s="77">
        <f>Deflators!AD45</f>
        <v>2.1576747995004641E-2</v>
      </c>
      <c r="J28" s="77">
        <f>Deflators!AE45</f>
        <v>2.0708760783051394E-2</v>
      </c>
      <c r="K28" s="77">
        <f>Deflators!AF45</f>
        <v>2.0110814282412459E-2</v>
      </c>
      <c r="L28" s="77">
        <f>Deflators!AG45</f>
        <v>1.9760549063349009E-2</v>
      </c>
      <c r="M28" s="77">
        <f>Deflators!AH45</f>
        <v>0</v>
      </c>
    </row>
    <row r="29" spans="2:13" x14ac:dyDescent="0.25">
      <c r="B29" s="35" t="s">
        <v>1711</v>
      </c>
      <c r="C29" s="35"/>
      <c r="D29" s="77">
        <f>Deflators!Y48</f>
        <v>4.5585505578074503E-2</v>
      </c>
      <c r="E29" s="77">
        <f>Deflators!Z48</f>
        <v>4.599385238761787E-2</v>
      </c>
      <c r="F29" s="77">
        <f>Deflators!AA48</f>
        <v>3.40058716937977E-2</v>
      </c>
      <c r="G29" s="77">
        <f>Deflators!AB48</f>
        <v>2.8438723088733627E-2</v>
      </c>
      <c r="H29" s="77">
        <f>Deflators!AC48</f>
        <v>2.4377163912874478E-2</v>
      </c>
      <c r="I29" s="77">
        <f>Deflators!AD46</f>
        <v>2.1576747995004641E-2</v>
      </c>
      <c r="J29" s="77">
        <f>Deflators!AE46</f>
        <v>2.0708760783051394E-2</v>
      </c>
      <c r="K29" s="77">
        <f>Deflators!AF46</f>
        <v>2.0110814282412459E-2</v>
      </c>
      <c r="L29" s="77">
        <f>Deflators!AG46</f>
        <v>1.9760549063349009E-2</v>
      </c>
      <c r="M29" s="77">
        <f>Deflators!AH46</f>
        <v>0</v>
      </c>
    </row>
    <row r="30" spans="2:13" x14ac:dyDescent="0.25">
      <c r="B30" s="35" t="s">
        <v>1712</v>
      </c>
      <c r="C30" s="35"/>
      <c r="D30" s="77">
        <f>Deflators!Y49</f>
        <v>3.8278674784178346E-2</v>
      </c>
      <c r="E30" s="77">
        <f>Deflators!Z49</f>
        <v>5.3269034245715038E-2</v>
      </c>
      <c r="F30" s="77">
        <f>Deflators!AA49</f>
        <v>3.1224337980433163E-2</v>
      </c>
      <c r="G30" s="77">
        <f>Deflators!AB49</f>
        <v>2.6533565330379202E-2</v>
      </c>
      <c r="H30" s="77">
        <f>Deflators!AC49</f>
        <v>2.5821649071183117E-2</v>
      </c>
      <c r="I30" s="77">
        <f>Deflators!AD47</f>
        <v>0</v>
      </c>
      <c r="J30" s="77">
        <f>Deflators!AE47</f>
        <v>0</v>
      </c>
      <c r="K30" s="77">
        <f>Deflators!AF47</f>
        <v>0</v>
      </c>
      <c r="L30" s="77">
        <f>Deflators!AG47</f>
        <v>0</v>
      </c>
      <c r="M30" s="77">
        <f>Deflators!AH47</f>
        <v>0</v>
      </c>
    </row>
    <row r="31" spans="2:13" x14ac:dyDescent="0.25">
      <c r="B31" s="35" t="s">
        <v>1713</v>
      </c>
      <c r="C31" s="35"/>
      <c r="D31" s="77">
        <f>Deflators!Y51</f>
        <v>4.207521485108856E-2</v>
      </c>
      <c r="E31" s="77">
        <f>Deflators!Z51</f>
        <v>5.3269034245715038E-2</v>
      </c>
      <c r="F31" s="77">
        <f>Deflators!AA51</f>
        <v>3.1224337980433163E-2</v>
      </c>
      <c r="G31" s="77">
        <f>Deflators!AB51</f>
        <v>2.6533565330379202E-2</v>
      </c>
      <c r="H31" s="77">
        <f>Deflators!AC51</f>
        <v>2.5821649071183117E-2</v>
      </c>
      <c r="I31" s="77">
        <f>Deflators!AD48</f>
        <v>2.3708971853545924E-2</v>
      </c>
      <c r="J31" s="77">
        <f>Deflators!AE48</f>
        <v>2.3471980846518914E-2</v>
      </c>
      <c r="K31" s="77">
        <f>Deflators!AF48</f>
        <v>2.3530345294352939E-2</v>
      </c>
      <c r="L31" s="77">
        <f>Deflators!AG48</f>
        <v>1.7936865457563567E-2</v>
      </c>
      <c r="M31" s="77">
        <f>Deflators!AH48</f>
        <v>0</v>
      </c>
    </row>
    <row r="32" spans="2:13" x14ac:dyDescent="0.25">
      <c r="B32" s="35" t="s">
        <v>1714</v>
      </c>
      <c r="C32" s="35"/>
      <c r="D32" s="77">
        <f>Deflators!Y52</f>
        <v>2.2650991179657964E-2</v>
      </c>
      <c r="E32" s="77">
        <f>Deflators!Z52</f>
        <v>5.3269034245715038E-2</v>
      </c>
      <c r="F32" s="77">
        <f>Deflators!AA52</f>
        <v>3.1224337980433163E-2</v>
      </c>
      <c r="G32" s="77">
        <f>Deflators!AB52</f>
        <v>2.6533565330379202E-2</v>
      </c>
      <c r="H32" s="77">
        <f>Deflators!AC52</f>
        <v>2.5821649071183117E-2</v>
      </c>
      <c r="I32" s="77">
        <f>Deflators!AD49</f>
        <v>2.5493967451795996E-2</v>
      </c>
      <c r="J32" s="77">
        <f>Deflators!AE49</f>
        <v>2.5095343044312823E-2</v>
      </c>
      <c r="K32" s="77">
        <f>Deflators!AF49</f>
        <v>2.4877364391311607E-2</v>
      </c>
      <c r="L32" s="77">
        <f>Deflators!AG49</f>
        <v>2.492676444114772E-2</v>
      </c>
      <c r="M32" s="77">
        <f>Deflators!AH49</f>
        <v>0</v>
      </c>
    </row>
    <row r="34" spans="2:13" x14ac:dyDescent="0.25">
      <c r="B34" s="1265" t="s">
        <v>1946</v>
      </c>
      <c r="C34" s="1265"/>
      <c r="D34" s="1265"/>
      <c r="E34" s="1265"/>
      <c r="F34" s="1265"/>
      <c r="G34" s="1265"/>
      <c r="H34" s="1265"/>
      <c r="I34" s="1265"/>
      <c r="J34" s="1265"/>
      <c r="K34" s="1265"/>
      <c r="L34" s="1265"/>
      <c r="M34" s="1265"/>
    </row>
    <row r="35" spans="2:13" x14ac:dyDescent="0.25">
      <c r="B35" t="s">
        <v>178</v>
      </c>
      <c r="C35" t="s">
        <v>179</v>
      </c>
      <c r="D35" t="s">
        <v>190</v>
      </c>
      <c r="E35" t="s">
        <v>191</v>
      </c>
      <c r="F35" t="s">
        <v>175</v>
      </c>
      <c r="G35" t="s">
        <v>176</v>
      </c>
      <c r="H35" t="s">
        <v>177</v>
      </c>
      <c r="I35" t="s">
        <v>765</v>
      </c>
      <c r="J35" t="s">
        <v>766</v>
      </c>
      <c r="K35" t="s">
        <v>767</v>
      </c>
      <c r="L35" t="s">
        <v>1157</v>
      </c>
      <c r="M35" t="s">
        <v>1158</v>
      </c>
    </row>
    <row r="36" spans="2:13" x14ac:dyDescent="0.25">
      <c r="B36" t="s">
        <v>192</v>
      </c>
      <c r="C36" t="s">
        <v>193</v>
      </c>
      <c r="D36" s="70">
        <v>427.26494400000001</v>
      </c>
      <c r="E36" s="70">
        <v>418.03001728324807</v>
      </c>
      <c r="F36" s="70">
        <v>422.5102225824408</v>
      </c>
      <c r="G36" s="70">
        <v>427.2815256817579</v>
      </c>
      <c r="H36" s="70">
        <v>410.47107700000004</v>
      </c>
      <c r="I36" s="70">
        <v>405.8184041145779</v>
      </c>
      <c r="J36">
        <v>408.36749628573835</v>
      </c>
      <c r="K36">
        <v>407.0560067810282</v>
      </c>
      <c r="L36">
        <v>409.781722</v>
      </c>
      <c r="M36">
        <v>0</v>
      </c>
    </row>
    <row r="37" spans="2:13" x14ac:dyDescent="0.25">
      <c r="B37" t="s">
        <v>134</v>
      </c>
      <c r="C37" t="s">
        <v>194</v>
      </c>
      <c r="D37" s="70">
        <v>77.707285714285717</v>
      </c>
      <c r="E37" s="70">
        <v>77.707285714285717</v>
      </c>
      <c r="F37" s="70">
        <v>77.707285714285717</v>
      </c>
      <c r="G37" s="70">
        <v>79.301285714285726</v>
      </c>
      <c r="H37" s="70">
        <v>79.301285714285726</v>
      </c>
      <c r="I37" s="70">
        <v>75.229285714285723</v>
      </c>
      <c r="J37">
        <v>75.229285714285723</v>
      </c>
      <c r="K37">
        <v>75.229285714285723</v>
      </c>
      <c r="L37">
        <v>75.229285714285723</v>
      </c>
      <c r="M37">
        <v>0</v>
      </c>
    </row>
    <row r="38" spans="2:13" x14ac:dyDescent="0.25">
      <c r="B38" t="s">
        <v>195</v>
      </c>
      <c r="C38" t="s">
        <v>196</v>
      </c>
      <c r="D38" s="70">
        <v>1837.2</v>
      </c>
      <c r="E38" s="70">
        <v>1848.6395138374351</v>
      </c>
      <c r="F38" s="70">
        <v>1864.4764115111357</v>
      </c>
      <c r="G38" s="70">
        <v>1878.528717728633</v>
      </c>
      <c r="H38" s="70">
        <v>1890.0503769897132</v>
      </c>
      <c r="I38" s="70">
        <v>1902.2038020847165</v>
      </c>
      <c r="J38">
        <v>1915.1720115226869</v>
      </c>
      <c r="K38">
        <v>1929.3160985174152</v>
      </c>
      <c r="L38">
        <v>1943.569361563337</v>
      </c>
      <c r="M38">
        <v>0</v>
      </c>
    </row>
    <row r="39" spans="2:13" x14ac:dyDescent="0.25">
      <c r="B39" t="s">
        <v>197</v>
      </c>
      <c r="C39" t="s">
        <v>198</v>
      </c>
      <c r="D39" s="70">
        <v>3100.2</v>
      </c>
      <c r="E39" s="70">
        <v>3131.0560446291206</v>
      </c>
      <c r="F39" s="70">
        <v>3160.2950227752217</v>
      </c>
      <c r="G39" s="70">
        <v>3190.091295801712</v>
      </c>
      <c r="H39" s="70">
        <v>3219.6643798566629</v>
      </c>
      <c r="I39" s="70">
        <v>3249.7151602080339</v>
      </c>
      <c r="J39">
        <v>3280.5993490219689</v>
      </c>
      <c r="K39">
        <v>3311.3704017044197</v>
      </c>
      <c r="L39">
        <v>3343.733379810219</v>
      </c>
      <c r="M39">
        <v>0</v>
      </c>
    </row>
    <row r="40" spans="2:13" x14ac:dyDescent="0.25">
      <c r="B40" t="s">
        <v>199</v>
      </c>
      <c r="C40" t="s">
        <v>200</v>
      </c>
      <c r="D40" s="70">
        <v>95.135000000000005</v>
      </c>
      <c r="E40" s="70">
        <v>95.135000000000005</v>
      </c>
      <c r="F40" s="70">
        <v>95.135000000000005</v>
      </c>
      <c r="G40" s="70">
        <v>102.23399999999999</v>
      </c>
      <c r="H40" s="70">
        <v>102.23399999999999</v>
      </c>
      <c r="I40" s="70">
        <v>95.212000000000003</v>
      </c>
      <c r="J40">
        <v>96.212000000000003</v>
      </c>
      <c r="K40">
        <v>101.551</v>
      </c>
      <c r="L40">
        <v>100.401</v>
      </c>
      <c r="M40">
        <v>0</v>
      </c>
    </row>
    <row r="41" spans="2:13" x14ac:dyDescent="0.25">
      <c r="B41" t="s">
        <v>201</v>
      </c>
      <c r="C41" t="s">
        <v>202</v>
      </c>
      <c r="D41" s="70">
        <v>1.365</v>
      </c>
      <c r="E41" s="70">
        <v>1.365</v>
      </c>
      <c r="F41" s="70">
        <v>1.365</v>
      </c>
      <c r="G41" s="70">
        <v>-0.90100000000000025</v>
      </c>
      <c r="H41" s="70">
        <v>-0.90100000000000025</v>
      </c>
      <c r="I41" s="70">
        <v>-0.90100000000000025</v>
      </c>
      <c r="J41">
        <v>-0.90100000000000025</v>
      </c>
      <c r="K41">
        <v>-2.1500000000000004</v>
      </c>
      <c r="L41">
        <v>0</v>
      </c>
      <c r="M41">
        <v>0</v>
      </c>
    </row>
    <row r="42" spans="2:13" x14ac:dyDescent="0.25">
      <c r="B42" t="s">
        <v>203</v>
      </c>
      <c r="C42" t="s">
        <v>204</v>
      </c>
      <c r="D42" s="70">
        <v>-0.55714285714286049</v>
      </c>
      <c r="E42" s="70">
        <v>0</v>
      </c>
      <c r="F42" s="70">
        <v>0</v>
      </c>
      <c r="G42" s="70">
        <v>0</v>
      </c>
      <c r="H42" s="70">
        <v>0</v>
      </c>
      <c r="I42" s="70">
        <v>0</v>
      </c>
      <c r="J42">
        <v>0</v>
      </c>
      <c r="K42">
        <v>0</v>
      </c>
      <c r="L42">
        <v>0</v>
      </c>
      <c r="M42">
        <v>0</v>
      </c>
    </row>
    <row r="43" spans="2:13" x14ac:dyDescent="0.25">
      <c r="B43" t="s">
        <v>205</v>
      </c>
      <c r="C43" t="s">
        <v>206</v>
      </c>
      <c r="D43" s="70">
        <v>23.25714285714286</v>
      </c>
      <c r="E43" s="70">
        <v>22.5</v>
      </c>
      <c r="F43" s="70">
        <v>22.5</v>
      </c>
      <c r="G43" s="70">
        <v>22.5</v>
      </c>
      <c r="H43" s="70">
        <v>22.5</v>
      </c>
      <c r="I43" s="70">
        <v>22.5</v>
      </c>
      <c r="J43">
        <v>22.5</v>
      </c>
      <c r="K43">
        <v>22.5</v>
      </c>
      <c r="L43">
        <v>22.5</v>
      </c>
      <c r="M43">
        <v>0</v>
      </c>
    </row>
    <row r="44" spans="2:13" x14ac:dyDescent="0.25">
      <c r="B44" t="s">
        <v>207</v>
      </c>
      <c r="C44" t="s">
        <v>208</v>
      </c>
      <c r="D44" s="70">
        <v>613.56899999999996</v>
      </c>
      <c r="E44" s="70">
        <v>639.39351778125967</v>
      </c>
      <c r="F44" s="70">
        <v>640.31834989979336</v>
      </c>
      <c r="G44" s="70">
        <v>644.84247221765099</v>
      </c>
      <c r="H44" s="70">
        <v>649.39855938978803</v>
      </c>
      <c r="I44" s="70">
        <v>653.98683726153683</v>
      </c>
      <c r="J44">
        <v>658.60753327392365</v>
      </c>
      <c r="K44">
        <v>667.87046891938917</v>
      </c>
      <c r="L44">
        <v>677.26368241993089</v>
      </c>
      <c r="M44">
        <v>0</v>
      </c>
    </row>
    <row r="45" spans="2:13" x14ac:dyDescent="0.25">
      <c r="B45" t="s">
        <v>209</v>
      </c>
      <c r="C45" t="s">
        <v>210</v>
      </c>
      <c r="D45" s="70">
        <v>922.3</v>
      </c>
      <c r="E45" s="70">
        <v>961.11870294890355</v>
      </c>
      <c r="F45" s="70">
        <v>962.5088850847734</v>
      </c>
      <c r="G45" s="70">
        <v>969.30942098824983</v>
      </c>
      <c r="H45" s="70">
        <v>976.15800557916293</v>
      </c>
      <c r="I45" s="70">
        <v>983.05497834198832</v>
      </c>
      <c r="J45">
        <v>990.000681159804</v>
      </c>
      <c r="K45">
        <v>1003.9244705719366</v>
      </c>
      <c r="L45">
        <v>1018.0440900630609</v>
      </c>
      <c r="M45">
        <v>0</v>
      </c>
    </row>
    <row r="46" spans="2:13" x14ac:dyDescent="0.25">
      <c r="B46" t="s">
        <v>55</v>
      </c>
      <c r="C46" t="s">
        <v>211</v>
      </c>
      <c r="D46" s="70">
        <v>965.3</v>
      </c>
      <c r="E46" s="70">
        <v>979.66888154239325</v>
      </c>
      <c r="F46" s="70">
        <v>994.37073294816423</v>
      </c>
      <c r="G46" s="70">
        <v>1009.4444528643897</v>
      </c>
      <c r="H46" s="70">
        <v>1024.7466761190424</v>
      </c>
      <c r="I46" s="70">
        <v>1040.2808666066326</v>
      </c>
      <c r="J46">
        <v>1056.0505407310361</v>
      </c>
      <c r="K46">
        <v>1071.7916062569657</v>
      </c>
      <c r="L46">
        <v>1087.7673017881223</v>
      </c>
      <c r="M46">
        <v>0</v>
      </c>
    </row>
    <row r="47" spans="2:13" x14ac:dyDescent="0.25">
      <c r="B47" t="s">
        <v>212</v>
      </c>
      <c r="C47" t="s">
        <v>213</v>
      </c>
      <c r="D47" s="70">
        <v>0</v>
      </c>
      <c r="E47" s="70">
        <v>0</v>
      </c>
      <c r="F47" s="70">
        <v>0</v>
      </c>
      <c r="G47" s="70">
        <v>0</v>
      </c>
      <c r="H47" s="70">
        <v>0</v>
      </c>
      <c r="I47" s="70">
        <v>0</v>
      </c>
      <c r="J47">
        <v>0</v>
      </c>
      <c r="K47">
        <v>0</v>
      </c>
      <c r="L47">
        <v>0</v>
      </c>
      <c r="M47">
        <v>0</v>
      </c>
    </row>
    <row r="48" spans="2:13" x14ac:dyDescent="0.25">
      <c r="B48" t="s">
        <v>214</v>
      </c>
      <c r="C48" t="s">
        <v>215</v>
      </c>
      <c r="D48" s="70">
        <v>0</v>
      </c>
      <c r="E48" s="70">
        <v>0</v>
      </c>
      <c r="F48" s="70">
        <v>0</v>
      </c>
      <c r="G48" s="70">
        <v>0</v>
      </c>
      <c r="H48" s="70">
        <v>0</v>
      </c>
      <c r="I48" s="70">
        <v>0</v>
      </c>
      <c r="J48">
        <v>0</v>
      </c>
      <c r="K48">
        <v>0</v>
      </c>
      <c r="L48">
        <v>0</v>
      </c>
      <c r="M48">
        <v>0</v>
      </c>
    </row>
    <row r="49" spans="2:13" x14ac:dyDescent="0.25">
      <c r="B49" t="s">
        <v>216</v>
      </c>
      <c r="C49" t="s">
        <v>217</v>
      </c>
      <c r="D49" s="70">
        <v>4.2219999999999995</v>
      </c>
      <c r="E49" s="70">
        <v>4.2219999999999995</v>
      </c>
      <c r="F49" s="70">
        <v>4.2219999999999995</v>
      </c>
      <c r="G49" s="70">
        <v>2.3719999999999999</v>
      </c>
      <c r="H49" s="70">
        <v>2.3719999999999999</v>
      </c>
      <c r="I49" s="70">
        <v>2.3719999999999999</v>
      </c>
      <c r="J49">
        <v>2.3719999999999999</v>
      </c>
      <c r="K49">
        <v>0.49</v>
      </c>
      <c r="L49">
        <v>0</v>
      </c>
      <c r="M49">
        <v>0</v>
      </c>
    </row>
    <row r="50" spans="2:13" x14ac:dyDescent="0.25">
      <c r="B50" t="s">
        <v>797</v>
      </c>
      <c r="C50" t="s">
        <v>219</v>
      </c>
      <c r="D50" s="70">
        <v>1.4790000000000001</v>
      </c>
      <c r="E50" s="70">
        <v>1.4790000000000001</v>
      </c>
      <c r="F50" s="70">
        <v>1.4790000000000001</v>
      </c>
      <c r="G50" s="70">
        <v>1.63</v>
      </c>
      <c r="H50" s="70">
        <v>1.63</v>
      </c>
      <c r="I50" s="70">
        <v>1.63</v>
      </c>
      <c r="J50">
        <v>1.63</v>
      </c>
      <c r="K50">
        <v>1.671</v>
      </c>
      <c r="L50">
        <v>0</v>
      </c>
      <c r="M50">
        <v>0</v>
      </c>
    </row>
    <row r="51" spans="2:13" x14ac:dyDescent="0.25">
      <c r="B51" t="s">
        <v>220</v>
      </c>
      <c r="C51" t="s">
        <v>221</v>
      </c>
      <c r="D51" s="70">
        <v>2047.499</v>
      </c>
      <c r="E51" s="70">
        <v>2054.4323333333332</v>
      </c>
      <c r="F51" s="70">
        <v>2061.3656666666666</v>
      </c>
      <c r="G51" s="70">
        <v>2069.8270000000002</v>
      </c>
      <c r="H51" s="70">
        <v>2111.6203998973333</v>
      </c>
      <c r="I51" s="70">
        <v>2118.5537332306667</v>
      </c>
      <c r="J51">
        <v>2125.4870665640001</v>
      </c>
      <c r="K51">
        <v>2116.1813998973334</v>
      </c>
      <c r="L51">
        <v>2160.1803863256391</v>
      </c>
      <c r="M51">
        <v>0</v>
      </c>
    </row>
    <row r="52" spans="2:13" x14ac:dyDescent="0.25">
      <c r="B52" t="s">
        <v>222</v>
      </c>
      <c r="C52" t="s">
        <v>223</v>
      </c>
      <c r="D52" s="70">
        <v>196.29831211574134</v>
      </c>
      <c r="E52" s="70">
        <v>199.52477289205825</v>
      </c>
      <c r="F52" s="70">
        <v>202.80426544959073</v>
      </c>
      <c r="G52" s="70">
        <v>206.137661446175</v>
      </c>
      <c r="H52" s="70">
        <v>209.52584686666717</v>
      </c>
      <c r="I52" s="70">
        <v>212.9697222584295</v>
      </c>
      <c r="J52">
        <v>216.47020297068735</v>
      </c>
      <c r="K52">
        <v>220.02821939782032</v>
      </c>
      <c r="L52">
        <v>223.64471722665206</v>
      </c>
      <c r="M52">
        <v>0</v>
      </c>
    </row>
    <row r="53" spans="2:13" x14ac:dyDescent="0.25">
      <c r="B53" t="s">
        <v>224</v>
      </c>
      <c r="C53" t="s">
        <v>225</v>
      </c>
      <c r="D53" s="70">
        <v>4382.3999999999996</v>
      </c>
      <c r="E53" s="70">
        <v>4462.3001709808459</v>
      </c>
      <c r="F53" s="70">
        <v>4490.6645029194378</v>
      </c>
      <c r="G53" s="70">
        <v>4525.2277464010858</v>
      </c>
      <c r="H53" s="70">
        <v>4598.8774626319282</v>
      </c>
      <c r="I53" s="70">
        <v>4634.2563910913123</v>
      </c>
      <c r="J53">
        <v>4669.952644683166</v>
      </c>
      <c r="K53">
        <v>4705.9694415728409</v>
      </c>
      <c r="L53">
        <v>4771.218169055267</v>
      </c>
      <c r="M53">
        <v>0</v>
      </c>
    </row>
    <row r="54" spans="2:13" x14ac:dyDescent="0.25">
      <c r="B54" t="s">
        <v>226</v>
      </c>
      <c r="C54" t="s">
        <v>227</v>
      </c>
      <c r="D54" s="70">
        <v>2272.8999999999996</v>
      </c>
      <c r="E54" s="70">
        <v>2293.7958047457068</v>
      </c>
      <c r="F54" s="70">
        <v>2315.8110704566711</v>
      </c>
      <c r="G54" s="70">
        <v>2338.8219962967346</v>
      </c>
      <c r="H54" s="70">
        <v>2363.8417070875812</v>
      </c>
      <c r="I54" s="70">
        <v>2388.7744200410452</v>
      </c>
      <c r="J54">
        <v>2413.5111197873293</v>
      </c>
      <c r="K54">
        <v>2438.7729663610216</v>
      </c>
      <c r="L54">
        <v>2462.1264328714788</v>
      </c>
      <c r="M54">
        <v>0</v>
      </c>
    </row>
    <row r="55" spans="2:13" x14ac:dyDescent="0.25">
      <c r="B55" t="s">
        <v>228</v>
      </c>
      <c r="C55" t="s">
        <v>229</v>
      </c>
      <c r="D55" s="70">
        <v>457</v>
      </c>
      <c r="E55" s="70">
        <v>467.5306169996615</v>
      </c>
      <c r="F55" s="70">
        <v>478.30389022337891</v>
      </c>
      <c r="G55" s="70">
        <v>487.46045328834424</v>
      </c>
      <c r="H55" s="70">
        <v>496.7923079385892</v>
      </c>
      <c r="I55" s="70">
        <v>506.30280992448127</v>
      </c>
      <c r="J55">
        <v>515.99537923826529</v>
      </c>
      <c r="K55">
        <v>525.8735013438984</v>
      </c>
      <c r="L55">
        <v>535.94072843042852</v>
      </c>
      <c r="M55">
        <v>0</v>
      </c>
    </row>
    <row r="56" spans="2:13" x14ac:dyDescent="0.25">
      <c r="B56" t="s">
        <v>230</v>
      </c>
      <c r="C56" s="35" t="s">
        <v>231</v>
      </c>
      <c r="D56" s="70">
        <v>164.9</v>
      </c>
      <c r="E56" s="70">
        <v>159.10523444875696</v>
      </c>
      <c r="F56" s="70">
        <v>159.45119060106998</v>
      </c>
      <c r="G56" s="70">
        <v>160.83501521032207</v>
      </c>
      <c r="H56" s="70">
        <v>161.51539564320433</v>
      </c>
      <c r="I56" s="70">
        <v>162.87615650896888</v>
      </c>
      <c r="J56">
        <v>164.4790866813525</v>
      </c>
      <c r="K56">
        <v>166.4625686212805</v>
      </c>
      <c r="L56">
        <v>166.29535648099585</v>
      </c>
      <c r="M56">
        <v>0</v>
      </c>
    </row>
    <row r="57" spans="2:13" x14ac:dyDescent="0.25">
      <c r="B57" s="35" t="s">
        <v>1385</v>
      </c>
      <c r="C57" s="35" t="s">
        <v>1384</v>
      </c>
      <c r="D57" s="70">
        <v>2.5815300000000003</v>
      </c>
      <c r="E57" s="70">
        <v>2.6040450000000002</v>
      </c>
      <c r="F57" s="70">
        <v>2.626465</v>
      </c>
      <c r="G57" s="70">
        <v>2.6498349999999999</v>
      </c>
      <c r="H57" s="70">
        <v>2.6454420000000001</v>
      </c>
      <c r="I57" s="70">
        <v>2.6696</v>
      </c>
      <c r="J57">
        <v>2.693006</v>
      </c>
      <c r="K57">
        <v>2.7175400000000001</v>
      </c>
      <c r="L57">
        <v>2.7175400000000001</v>
      </c>
      <c r="M57">
        <v>0</v>
      </c>
    </row>
    <row r="58" spans="2:13" x14ac:dyDescent="0.25">
      <c r="B58" s="35"/>
      <c r="C58" s="35"/>
      <c r="D58" s="70"/>
      <c r="E58" s="70"/>
      <c r="F58" s="70"/>
      <c r="G58" s="70"/>
      <c r="H58" s="70"/>
    </row>
    <row r="59" spans="2:13" x14ac:dyDescent="0.25">
      <c r="B59" s="76" t="s">
        <v>1921</v>
      </c>
      <c r="C59" s="35"/>
    </row>
    <row r="60" spans="2:13" x14ac:dyDescent="0.25">
      <c r="B60" s="35" t="s">
        <v>1710</v>
      </c>
      <c r="C60" s="35"/>
      <c r="D60" s="77">
        <v>3.3236788538757667E-2</v>
      </c>
      <c r="E60" s="77">
        <v>3.4261380221050394E-2</v>
      </c>
      <c r="F60" s="77">
        <v>2.8642963947836768E-2</v>
      </c>
      <c r="G60" s="77">
        <v>2.5024345405476264E-2</v>
      </c>
      <c r="H60" s="77">
        <v>2.2420730666689481E-2</v>
      </c>
      <c r="I60" s="71">
        <v>2.219418453989408E-2</v>
      </c>
      <c r="J60" s="71">
        <v>2.193798465649599E-2</v>
      </c>
      <c r="K60" s="71">
        <v>2.1537819131734581E-2</v>
      </c>
      <c r="L60">
        <v>2.1204271082456483E-2</v>
      </c>
      <c r="M60">
        <v>0</v>
      </c>
    </row>
    <row r="61" spans="2:13" x14ac:dyDescent="0.25">
      <c r="B61" s="35" t="s">
        <v>1711</v>
      </c>
      <c r="C61" s="35"/>
      <c r="D61" s="77">
        <v>4.5585505578074503E-2</v>
      </c>
      <c r="E61" s="77">
        <v>3.8560753162319869E-2</v>
      </c>
      <c r="F61" s="77">
        <v>3.3323859858580822E-2</v>
      </c>
      <c r="G61" s="77">
        <v>3.1273165683778692E-2</v>
      </c>
      <c r="H61" s="77">
        <v>2.6045669819017236E-2</v>
      </c>
      <c r="I61" s="71">
        <v>2.219418453989408E-2</v>
      </c>
      <c r="J61" s="71">
        <v>2.193798465649599E-2</v>
      </c>
      <c r="K61" s="71">
        <v>2.1537819131734581E-2</v>
      </c>
      <c r="L61">
        <v>2.1204271082456483E-2</v>
      </c>
      <c r="M61">
        <v>0</v>
      </c>
    </row>
    <row r="62" spans="2:13" x14ac:dyDescent="0.25">
      <c r="B62" s="35" t="s">
        <v>1712</v>
      </c>
      <c r="C62" s="35"/>
      <c r="D62" s="77">
        <v>3.8278674784178346E-2</v>
      </c>
      <c r="E62" s="77">
        <v>3.5528728595983203E-2</v>
      </c>
      <c r="F62" s="77">
        <v>3.230685484106393E-2</v>
      </c>
      <c r="G62" s="77">
        <v>2.8253398906930346E-2</v>
      </c>
      <c r="H62" s="77">
        <v>2.6714706322067405E-2</v>
      </c>
      <c r="I62" s="71">
        <v>0</v>
      </c>
      <c r="J62" s="71">
        <v>0</v>
      </c>
      <c r="K62" s="71">
        <v>0</v>
      </c>
      <c r="L62">
        <v>0</v>
      </c>
      <c r="M62">
        <v>0</v>
      </c>
    </row>
    <row r="63" spans="2:13" x14ac:dyDescent="0.25">
      <c r="B63" s="35" t="s">
        <v>1713</v>
      </c>
      <c r="C63" s="35"/>
      <c r="D63" s="77">
        <v>4.207521485108856E-2</v>
      </c>
      <c r="E63" s="77">
        <v>3.5528728595983203E-2</v>
      </c>
      <c r="F63" s="77">
        <v>3.230685484106393E-2</v>
      </c>
      <c r="G63" s="77">
        <v>2.8253398906930346E-2</v>
      </c>
      <c r="H63" s="77">
        <v>2.6714706322067405E-2</v>
      </c>
      <c r="I63" s="71">
        <v>2.5611732233809859E-2</v>
      </c>
      <c r="J63" s="71">
        <v>2.5262944090287176E-2</v>
      </c>
      <c r="K63" s="71">
        <v>2.4650693380256383E-2</v>
      </c>
      <c r="L63">
        <v>2.1912725275913258E-2</v>
      </c>
      <c r="M63">
        <v>0</v>
      </c>
    </row>
    <row r="64" spans="2:13" x14ac:dyDescent="0.25">
      <c r="B64" s="35" t="s">
        <v>1714</v>
      </c>
      <c r="C64" s="35"/>
      <c r="D64" s="77">
        <v>2.2650991179657964E-2</v>
      </c>
      <c r="E64" s="77">
        <v>3.5528728595983203E-2</v>
      </c>
      <c r="F64" s="77">
        <v>3.230685484106393E-2</v>
      </c>
      <c r="G64" s="77">
        <v>2.8253398906930346E-2</v>
      </c>
      <c r="H64" s="77">
        <v>2.6714706322067405E-2</v>
      </c>
      <c r="I64" s="71">
        <v>2.6527569872117907E-2</v>
      </c>
      <c r="J64" s="71">
        <v>2.658836036739487E-2</v>
      </c>
      <c r="K64" s="71">
        <v>2.6600581141736246E-2</v>
      </c>
      <c r="L64">
        <v>2.7602952027603544E-2</v>
      </c>
      <c r="M64">
        <v>0</v>
      </c>
    </row>
    <row r="65" spans="2:13" x14ac:dyDescent="0.25">
      <c r="D65" s="75"/>
      <c r="E65" s="75"/>
      <c r="F65" s="75"/>
      <c r="G65" s="75"/>
      <c r="H65" s="75"/>
    </row>
    <row r="66" spans="2:13" x14ac:dyDescent="0.25">
      <c r="B66" s="1265" t="s">
        <v>232</v>
      </c>
      <c r="C66" s="1265"/>
      <c r="D66" s="1265"/>
      <c r="E66" s="1265"/>
      <c r="F66" s="1265"/>
      <c r="G66" s="1265"/>
      <c r="H66" s="1265"/>
      <c r="I66" s="1265"/>
      <c r="J66" s="1265"/>
      <c r="K66" s="1265"/>
      <c r="L66" s="1265"/>
      <c r="M66" s="1265"/>
    </row>
    <row r="67" spans="2:13" x14ac:dyDescent="0.25">
      <c r="B67" t="s">
        <v>178</v>
      </c>
      <c r="C67" t="s">
        <v>179</v>
      </c>
      <c r="D67" t="s">
        <v>190</v>
      </c>
      <c r="E67" t="s">
        <v>191</v>
      </c>
      <c r="F67" t="s">
        <v>175</v>
      </c>
      <c r="G67" t="s">
        <v>176</v>
      </c>
      <c r="H67" t="s">
        <v>177</v>
      </c>
      <c r="I67" t="s">
        <v>765</v>
      </c>
      <c r="J67" t="s">
        <v>766</v>
      </c>
      <c r="K67" t="s">
        <v>767</v>
      </c>
      <c r="L67" t="s">
        <v>1157</v>
      </c>
      <c r="M67" t="s">
        <v>1158</v>
      </c>
    </row>
    <row r="68" spans="2:13" x14ac:dyDescent="0.25">
      <c r="B68" s="35" t="s">
        <v>192</v>
      </c>
      <c r="C68" s="35" t="s">
        <v>193</v>
      </c>
      <c r="D68" s="70">
        <f t="shared" ref="D68:H68" si="0">D4-D36</f>
        <v>0</v>
      </c>
      <c r="E68" s="70">
        <f t="shared" si="0"/>
        <v>0</v>
      </c>
      <c r="F68" s="70">
        <f t="shared" si="0"/>
        <v>0</v>
      </c>
      <c r="G68" s="70">
        <f t="shared" si="0"/>
        <v>0</v>
      </c>
      <c r="H68" s="70">
        <f t="shared" si="0"/>
        <v>0</v>
      </c>
      <c r="I68" s="70">
        <f t="shared" ref="I68:K68" si="1">I4-I36</f>
        <v>0</v>
      </c>
      <c r="J68" s="70">
        <f t="shared" si="1"/>
        <v>0</v>
      </c>
      <c r="K68" s="70">
        <f t="shared" si="1"/>
        <v>0</v>
      </c>
    </row>
    <row r="69" spans="2:13" x14ac:dyDescent="0.25">
      <c r="B69" s="35" t="s">
        <v>134</v>
      </c>
      <c r="C69" s="35" t="s">
        <v>194</v>
      </c>
      <c r="D69" s="70">
        <f t="shared" ref="D69:H69" si="2">D5-D37</f>
        <v>0</v>
      </c>
      <c r="E69" s="70">
        <f t="shared" si="2"/>
        <v>0</v>
      </c>
      <c r="F69" s="70">
        <f t="shared" si="2"/>
        <v>0</v>
      </c>
      <c r="G69" s="70">
        <f t="shared" si="2"/>
        <v>0</v>
      </c>
      <c r="H69" s="70">
        <f t="shared" si="2"/>
        <v>0</v>
      </c>
      <c r="I69" s="70">
        <f t="shared" ref="I69:K69" si="3">I5-I37</f>
        <v>0</v>
      </c>
      <c r="J69" s="70">
        <f t="shared" si="3"/>
        <v>0</v>
      </c>
      <c r="K69" s="70">
        <f t="shared" si="3"/>
        <v>0</v>
      </c>
    </row>
    <row r="70" spans="2:13" x14ac:dyDescent="0.25">
      <c r="B70" s="35" t="s">
        <v>195</v>
      </c>
      <c r="C70" s="35" t="s">
        <v>196</v>
      </c>
      <c r="D70" s="70">
        <f t="shared" ref="D70:H70" si="4">D6-D38</f>
        <v>0</v>
      </c>
      <c r="E70" s="70">
        <f t="shared" si="4"/>
        <v>0</v>
      </c>
      <c r="F70" s="70">
        <f t="shared" si="4"/>
        <v>0</v>
      </c>
      <c r="G70" s="70">
        <f t="shared" si="4"/>
        <v>0</v>
      </c>
      <c r="H70" s="70">
        <f t="shared" si="4"/>
        <v>0</v>
      </c>
      <c r="I70" s="70">
        <f t="shared" ref="I70:K70" si="5">I6-I38</f>
        <v>0</v>
      </c>
      <c r="J70" s="70">
        <f t="shared" si="5"/>
        <v>0</v>
      </c>
      <c r="K70" s="70">
        <f t="shared" si="5"/>
        <v>0</v>
      </c>
    </row>
    <row r="71" spans="2:13" x14ac:dyDescent="0.25">
      <c r="B71" s="35" t="s">
        <v>197</v>
      </c>
      <c r="C71" s="35" t="s">
        <v>198</v>
      </c>
      <c r="D71" s="70">
        <f t="shared" ref="D71:H71" si="6">D7-D39</f>
        <v>0</v>
      </c>
      <c r="E71" s="70">
        <f t="shared" si="6"/>
        <v>0</v>
      </c>
      <c r="F71" s="70">
        <f t="shared" si="6"/>
        <v>0</v>
      </c>
      <c r="G71" s="70">
        <f t="shared" si="6"/>
        <v>0</v>
      </c>
      <c r="H71" s="70">
        <f t="shared" si="6"/>
        <v>0</v>
      </c>
      <c r="I71" s="70">
        <f t="shared" ref="I71:K71" si="7">I7-I39</f>
        <v>0</v>
      </c>
      <c r="J71" s="70">
        <f t="shared" si="7"/>
        <v>0</v>
      </c>
      <c r="K71" s="70">
        <f t="shared" si="7"/>
        <v>0</v>
      </c>
    </row>
    <row r="72" spans="2:13" x14ac:dyDescent="0.25">
      <c r="B72" s="35" t="s">
        <v>199</v>
      </c>
      <c r="C72" s="35" t="s">
        <v>200</v>
      </c>
      <c r="D72" s="70">
        <f t="shared" ref="D72:H72" si="8">D8-D40</f>
        <v>0</v>
      </c>
      <c r="E72" s="70">
        <f t="shared" si="8"/>
        <v>0</v>
      </c>
      <c r="F72" s="70">
        <f t="shared" si="8"/>
        <v>0</v>
      </c>
      <c r="G72" s="70">
        <f t="shared" si="8"/>
        <v>0</v>
      </c>
      <c r="H72" s="70">
        <f t="shared" si="8"/>
        <v>0</v>
      </c>
      <c r="I72" s="70">
        <f t="shared" ref="I72:K72" si="9">I8-I40</f>
        <v>0</v>
      </c>
      <c r="J72" s="70">
        <f t="shared" si="9"/>
        <v>0</v>
      </c>
      <c r="K72" s="70">
        <f t="shared" si="9"/>
        <v>0</v>
      </c>
    </row>
    <row r="73" spans="2:13" x14ac:dyDescent="0.25">
      <c r="B73" s="35" t="s">
        <v>201</v>
      </c>
      <c r="C73" s="35" t="s">
        <v>202</v>
      </c>
      <c r="D73" s="70">
        <f t="shared" ref="D73:H73" si="10">D9-D41</f>
        <v>0</v>
      </c>
      <c r="E73" s="70">
        <f t="shared" si="10"/>
        <v>0</v>
      </c>
      <c r="F73" s="70">
        <f t="shared" si="10"/>
        <v>0</v>
      </c>
      <c r="G73" s="70">
        <f t="shared" si="10"/>
        <v>0</v>
      </c>
      <c r="H73" s="70">
        <f t="shared" si="10"/>
        <v>0</v>
      </c>
      <c r="I73" s="70">
        <f t="shared" ref="I73:K73" si="11">I9-I41</f>
        <v>0</v>
      </c>
      <c r="J73" s="70">
        <f t="shared" si="11"/>
        <v>0</v>
      </c>
      <c r="K73" s="70">
        <f t="shared" si="11"/>
        <v>0</v>
      </c>
    </row>
    <row r="74" spans="2:13" x14ac:dyDescent="0.25">
      <c r="B74" s="35" t="s">
        <v>203</v>
      </c>
      <c r="C74" s="35" t="s">
        <v>204</v>
      </c>
      <c r="D74" s="70">
        <f t="shared" ref="D74:H74" si="12">D10-D42</f>
        <v>0</v>
      </c>
      <c r="E74" s="70">
        <f t="shared" si="12"/>
        <v>0</v>
      </c>
      <c r="F74" s="70">
        <f t="shared" si="12"/>
        <v>0</v>
      </c>
      <c r="G74" s="70">
        <f t="shared" si="12"/>
        <v>0</v>
      </c>
      <c r="H74" s="70">
        <f t="shared" si="12"/>
        <v>0</v>
      </c>
      <c r="I74" s="70">
        <f t="shared" ref="I74:K74" si="13">I10-I42</f>
        <v>0</v>
      </c>
      <c r="J74" s="70">
        <f t="shared" si="13"/>
        <v>0</v>
      </c>
      <c r="K74" s="70">
        <f t="shared" si="13"/>
        <v>0</v>
      </c>
    </row>
    <row r="75" spans="2:13" x14ac:dyDescent="0.25">
      <c r="B75" s="35" t="s">
        <v>205</v>
      </c>
      <c r="C75" s="35" t="s">
        <v>206</v>
      </c>
      <c r="D75" s="70">
        <f t="shared" ref="D75:H75" si="14">D11-D43</f>
        <v>0</v>
      </c>
      <c r="E75" s="70">
        <f t="shared" si="14"/>
        <v>0</v>
      </c>
      <c r="F75" s="70">
        <f t="shared" si="14"/>
        <v>0</v>
      </c>
      <c r="G75" s="70">
        <f t="shared" si="14"/>
        <v>0</v>
      </c>
      <c r="H75" s="70">
        <f t="shared" si="14"/>
        <v>0</v>
      </c>
      <c r="I75" s="70">
        <f t="shared" ref="I75:K75" si="15">I11-I43</f>
        <v>0</v>
      </c>
      <c r="J75" s="70">
        <f t="shared" si="15"/>
        <v>0</v>
      </c>
      <c r="K75" s="70">
        <f t="shared" si="15"/>
        <v>0</v>
      </c>
    </row>
    <row r="76" spans="2:13" x14ac:dyDescent="0.25">
      <c r="B76" s="35" t="s">
        <v>207</v>
      </c>
      <c r="C76" s="35" t="s">
        <v>208</v>
      </c>
      <c r="D76" s="70">
        <f t="shared" ref="D76:H76" si="16">D12-D44</f>
        <v>0</v>
      </c>
      <c r="E76" s="70">
        <f t="shared" si="16"/>
        <v>12.903694037980245</v>
      </c>
      <c r="F76" s="70">
        <f t="shared" si="16"/>
        <v>26.479419441764549</v>
      </c>
      <c r="G76" s="70">
        <f t="shared" si="16"/>
        <v>26.940249110829427</v>
      </c>
      <c r="H76" s="70">
        <f t="shared" si="16"/>
        <v>27.406381216320597</v>
      </c>
      <c r="I76" s="70">
        <f t="shared" ref="I76:K76" si="17">I12-I44</f>
        <v>27.877868521598202</v>
      </c>
      <c r="J76" s="70">
        <f t="shared" si="17"/>
        <v>28.354764277196068</v>
      </c>
      <c r="K76" s="70">
        <f t="shared" si="17"/>
        <v>23.056443914414899</v>
      </c>
    </row>
    <row r="77" spans="2:13" x14ac:dyDescent="0.25">
      <c r="B77" s="35" t="s">
        <v>209</v>
      </c>
      <c r="C77" s="35" t="s">
        <v>210</v>
      </c>
      <c r="D77" s="70">
        <f>D13-D45</f>
        <v>0</v>
      </c>
      <c r="E77" s="70">
        <f t="shared" ref="E77:H77" si="18">E13-E45</f>
        <v>19.396477024147543</v>
      </c>
      <c r="F77" s="70">
        <f t="shared" si="18"/>
        <v>39.803133064316285</v>
      </c>
      <c r="G77" s="70">
        <f t="shared" si="18"/>
        <v>40.495839514248587</v>
      </c>
      <c r="H77" s="70">
        <f t="shared" si="18"/>
        <v>41.196516440388109</v>
      </c>
      <c r="I77" s="70">
        <f t="shared" ref="I77:K77" si="19">I13-I45</f>
        <v>41.90524315516268</v>
      </c>
      <c r="J77" s="70">
        <f t="shared" si="19"/>
        <v>42.622099703306162</v>
      </c>
      <c r="K77" s="70">
        <f t="shared" si="19"/>
        <v>34.657810649274779</v>
      </c>
    </row>
    <row r="78" spans="2:13" x14ac:dyDescent="0.25">
      <c r="B78" s="35" t="s">
        <v>55</v>
      </c>
      <c r="C78" s="35" t="s">
        <v>211</v>
      </c>
      <c r="D78" s="70">
        <f t="shared" ref="D78:H78" si="20">D14-D46</f>
        <v>0</v>
      </c>
      <c r="E78" s="70">
        <f t="shared" si="20"/>
        <v>0.8911513778355129</v>
      </c>
      <c r="F78" s="70">
        <f t="shared" si="20"/>
        <v>1.8170412400487521</v>
      </c>
      <c r="G78" s="70">
        <f t="shared" si="20"/>
        <v>-0.63214606642077342</v>
      </c>
      <c r="H78" s="70">
        <f t="shared" si="20"/>
        <v>-3.1498479745105215</v>
      </c>
      <c r="I78" s="70">
        <f t="shared" ref="I78:K78" si="21">I14-I46</f>
        <v>-5.737500866370965</v>
      </c>
      <c r="J78" s="70">
        <f t="shared" si="21"/>
        <v>-8.3965679391694721</v>
      </c>
      <c r="K78" s="70">
        <f t="shared" si="21"/>
        <v>-7.6479469131973019</v>
      </c>
    </row>
    <row r="79" spans="2:13" x14ac:dyDescent="0.25">
      <c r="B79" s="35" t="s">
        <v>212</v>
      </c>
      <c r="C79" s="35" t="s">
        <v>213</v>
      </c>
      <c r="D79" s="70">
        <f t="shared" ref="D79:H79" si="22">D15-D47</f>
        <v>0</v>
      </c>
      <c r="E79" s="70">
        <f t="shared" si="22"/>
        <v>0</v>
      </c>
      <c r="F79" s="70">
        <f t="shared" si="22"/>
        <v>0</v>
      </c>
      <c r="G79" s="70">
        <f t="shared" si="22"/>
        <v>0</v>
      </c>
      <c r="H79" s="70">
        <f t="shared" si="22"/>
        <v>0</v>
      </c>
      <c r="I79" s="70">
        <f t="shared" ref="I79:K79" si="23">I15-I47</f>
        <v>0</v>
      </c>
      <c r="J79" s="70">
        <f t="shared" si="23"/>
        <v>0</v>
      </c>
      <c r="K79" s="70">
        <f t="shared" si="23"/>
        <v>0</v>
      </c>
    </row>
    <row r="80" spans="2:13" x14ac:dyDescent="0.25">
      <c r="B80" s="35" t="s">
        <v>214</v>
      </c>
      <c r="C80" s="35" t="s">
        <v>215</v>
      </c>
      <c r="D80" s="70">
        <f t="shared" ref="D80:H80" si="24">D16-D48</f>
        <v>0</v>
      </c>
      <c r="E80" s="70">
        <f t="shared" si="24"/>
        <v>0</v>
      </c>
      <c r="F80" s="70">
        <f t="shared" si="24"/>
        <v>0</v>
      </c>
      <c r="G80" s="70">
        <f t="shared" si="24"/>
        <v>0</v>
      </c>
      <c r="H80" s="70">
        <f t="shared" si="24"/>
        <v>0</v>
      </c>
      <c r="I80" s="70">
        <f t="shared" ref="I80:K80" si="25">I16-I48</f>
        <v>0</v>
      </c>
      <c r="J80" s="70">
        <f t="shared" si="25"/>
        <v>0</v>
      </c>
      <c r="K80" s="70">
        <f t="shared" si="25"/>
        <v>0</v>
      </c>
    </row>
    <row r="81" spans="2:16" x14ac:dyDescent="0.25">
      <c r="B81" s="35" t="s">
        <v>216</v>
      </c>
      <c r="C81" s="35" t="s">
        <v>217</v>
      </c>
      <c r="D81" s="70">
        <f t="shared" ref="D81:H81" si="26">D17-D49</f>
        <v>0</v>
      </c>
      <c r="E81" s="70">
        <f t="shared" si="26"/>
        <v>0</v>
      </c>
      <c r="F81" s="70">
        <f t="shared" si="26"/>
        <v>0</v>
      </c>
      <c r="G81" s="70">
        <f t="shared" si="26"/>
        <v>0</v>
      </c>
      <c r="H81" s="70">
        <f t="shared" si="26"/>
        <v>0</v>
      </c>
      <c r="I81" s="70">
        <f t="shared" ref="I81:K81" si="27">I17-I49</f>
        <v>0</v>
      </c>
      <c r="J81" s="70">
        <f t="shared" si="27"/>
        <v>0</v>
      </c>
      <c r="K81" s="70">
        <f t="shared" si="27"/>
        <v>0</v>
      </c>
    </row>
    <row r="82" spans="2:16" x14ac:dyDescent="0.25">
      <c r="B82" s="35" t="s">
        <v>822</v>
      </c>
      <c r="C82" s="35" t="s">
        <v>219</v>
      </c>
      <c r="D82" s="70">
        <f t="shared" ref="D82:H82" si="28">D18-D50</f>
        <v>0</v>
      </c>
      <c r="E82" s="70">
        <f t="shared" si="28"/>
        <v>0</v>
      </c>
      <c r="F82" s="70">
        <f t="shared" si="28"/>
        <v>0</v>
      </c>
      <c r="G82" s="70">
        <f t="shared" si="28"/>
        <v>0</v>
      </c>
      <c r="H82" s="70">
        <f t="shared" si="28"/>
        <v>0</v>
      </c>
      <c r="I82" s="70">
        <f t="shared" ref="I82:K82" si="29">I18-I50</f>
        <v>0</v>
      </c>
      <c r="J82" s="70">
        <f t="shared" si="29"/>
        <v>0</v>
      </c>
      <c r="K82" s="70">
        <f t="shared" si="29"/>
        <v>0</v>
      </c>
    </row>
    <row r="83" spans="2:16" x14ac:dyDescent="0.25">
      <c r="B83" s="35" t="s">
        <v>220</v>
      </c>
      <c r="C83" s="35" t="s">
        <v>221</v>
      </c>
      <c r="D83" s="70">
        <f t="shared" ref="D83:H83" si="30">D19-D51</f>
        <v>0</v>
      </c>
      <c r="E83" s="70">
        <f t="shared" si="30"/>
        <v>0</v>
      </c>
      <c r="F83" s="70">
        <f t="shared" si="30"/>
        <v>0</v>
      </c>
      <c r="G83" s="70">
        <f t="shared" si="30"/>
        <v>0</v>
      </c>
      <c r="H83" s="70">
        <f t="shared" si="30"/>
        <v>0</v>
      </c>
      <c r="I83" s="70">
        <f t="shared" ref="I83:K83" si="31">I19-I51</f>
        <v>0</v>
      </c>
      <c r="J83" s="70">
        <f t="shared" si="31"/>
        <v>0</v>
      </c>
      <c r="K83" s="70">
        <f t="shared" si="31"/>
        <v>0</v>
      </c>
    </row>
    <row r="84" spans="2:16" x14ac:dyDescent="0.25">
      <c r="B84" s="35" t="s">
        <v>222</v>
      </c>
      <c r="C84" s="35" t="s">
        <v>223</v>
      </c>
      <c r="D84" s="70">
        <f t="shared" ref="D84:H84" si="32">D20-D52</f>
        <v>0</v>
      </c>
      <c r="E84" s="70">
        <f t="shared" si="32"/>
        <v>0</v>
      </c>
      <c r="F84" s="70">
        <f t="shared" si="32"/>
        <v>0</v>
      </c>
      <c r="G84" s="70">
        <f t="shared" si="32"/>
        <v>0</v>
      </c>
      <c r="H84" s="70">
        <f t="shared" si="32"/>
        <v>0</v>
      </c>
      <c r="I84" s="70">
        <f t="shared" ref="I84:K84" si="33">I20-I52</f>
        <v>0</v>
      </c>
      <c r="J84" s="70">
        <f t="shared" si="33"/>
        <v>0</v>
      </c>
      <c r="K84" s="70">
        <f t="shared" si="33"/>
        <v>0</v>
      </c>
    </row>
    <row r="85" spans="2:16" x14ac:dyDescent="0.25">
      <c r="B85" s="35" t="s">
        <v>224</v>
      </c>
      <c r="C85" s="35" t="s">
        <v>225</v>
      </c>
      <c r="D85" s="70">
        <f>D21-D53</f>
        <v>0</v>
      </c>
      <c r="E85" s="70">
        <f t="shared" ref="E85:H85" si="34">E21-E53</f>
        <v>4.1779457982993335</v>
      </c>
      <c r="F85" s="70">
        <f t="shared" si="34"/>
        <v>8.4393560331463959</v>
      </c>
      <c r="G85" s="70">
        <f t="shared" si="34"/>
        <v>5.0145190818593619</v>
      </c>
      <c r="H85" s="70">
        <f t="shared" si="34"/>
        <v>53.860979449803381</v>
      </c>
      <c r="I85" s="70">
        <f t="shared" ref="I85:K85" si="35">I21-I53</f>
        <v>50.56233244089799</v>
      </c>
      <c r="J85" s="70">
        <f t="shared" si="35"/>
        <v>47.196746051528862</v>
      </c>
      <c r="K85" s="70">
        <f t="shared" si="35"/>
        <v>43.763243763607534</v>
      </c>
      <c r="N85" s="74"/>
      <c r="O85" s="74"/>
      <c r="P85" s="74"/>
    </row>
    <row r="86" spans="2:16" x14ac:dyDescent="0.25">
      <c r="B86" s="35" t="s">
        <v>226</v>
      </c>
      <c r="C86" s="35" t="s">
        <v>227</v>
      </c>
      <c r="D86" s="70">
        <f>D22-D54</f>
        <v>0</v>
      </c>
      <c r="E86" s="70">
        <f t="shared" ref="E86:H86" si="36">E22-E54</f>
        <v>21.073335722242518</v>
      </c>
      <c r="F86" s="70">
        <f t="shared" si="36"/>
        <v>30.48115522440321</v>
      </c>
      <c r="G86" s="70">
        <f t="shared" si="36"/>
        <v>30.992356953978742</v>
      </c>
      <c r="H86" s="70">
        <f t="shared" si="36"/>
        <v>30.245528822079905</v>
      </c>
      <c r="I86" s="70">
        <f t="shared" ref="I86:K86" si="37">I22-I54</f>
        <v>29.528733717167597</v>
      </c>
      <c r="J86" s="70">
        <f t="shared" si="37"/>
        <v>28.056437603185714</v>
      </c>
      <c r="K86" s="70">
        <f t="shared" si="37"/>
        <v>25.741576051384982</v>
      </c>
    </row>
    <row r="87" spans="2:16" x14ac:dyDescent="0.25">
      <c r="B87" s="35" t="s">
        <v>228</v>
      </c>
      <c r="C87" s="35" t="s">
        <v>229</v>
      </c>
      <c r="D87" s="70">
        <f t="shared" ref="D87:H87" si="38">D23-D55</f>
        <v>0</v>
      </c>
      <c r="E87" s="70">
        <f t="shared" si="38"/>
        <v>-11.424682661642805</v>
      </c>
      <c r="F87" s="70">
        <f t="shared" si="38"/>
        <v>-23.09027241515787</v>
      </c>
      <c r="G87" s="70">
        <f t="shared" si="38"/>
        <v>-16.801658186787961</v>
      </c>
      <c r="H87" s="70">
        <f t="shared" si="38"/>
        <v>-10.164288168377141</v>
      </c>
      <c r="I87" s="70">
        <f t="shared" ref="I87:K87" si="39">I23-I55</f>
        <v>-3.1637374369885833</v>
      </c>
      <c r="J87" s="70">
        <f t="shared" si="39"/>
        <v>4.2149579780596014</v>
      </c>
      <c r="K87" s="70">
        <f t="shared" si="39"/>
        <v>11.987320334683659</v>
      </c>
    </row>
    <row r="88" spans="2:16" x14ac:dyDescent="0.25">
      <c r="B88" s="35" t="s">
        <v>230</v>
      </c>
      <c r="C88" s="35" t="s">
        <v>231</v>
      </c>
      <c r="D88" s="70">
        <f t="shared" ref="D88:H88" si="40">D24-D56</f>
        <v>0</v>
      </c>
      <c r="E88" s="70">
        <f t="shared" si="40"/>
        <v>8.8564774992132413</v>
      </c>
      <c r="F88" s="70">
        <f t="shared" si="40"/>
        <v>11.134022168607316</v>
      </c>
      <c r="G88" s="70">
        <f t="shared" si="40"/>
        <v>11.036001258785262</v>
      </c>
      <c r="H88" s="70">
        <f t="shared" si="40"/>
        <v>11.92972131892725</v>
      </c>
      <c r="I88" s="70">
        <f t="shared" ref="I88:K88" si="41">I24-I56</f>
        <v>12.137295010315029</v>
      </c>
      <c r="J88" s="70">
        <f t="shared" si="41"/>
        <v>11.531871743767283</v>
      </c>
      <c r="K88" s="70">
        <f t="shared" si="41"/>
        <v>9.6348788419175264</v>
      </c>
    </row>
    <row r="89" spans="2:16" x14ac:dyDescent="0.25">
      <c r="B89" s="35" t="s">
        <v>1385</v>
      </c>
      <c r="C89" s="35" t="s">
        <v>1384</v>
      </c>
      <c r="D89" s="70">
        <f t="shared" ref="D89:H89" si="42">D25-D57</f>
        <v>0</v>
      </c>
      <c r="E89" s="70">
        <f t="shared" si="42"/>
        <v>0</v>
      </c>
      <c r="F89" s="70">
        <f t="shared" si="42"/>
        <v>0</v>
      </c>
      <c r="G89" s="70">
        <f t="shared" si="42"/>
        <v>0</v>
      </c>
      <c r="H89" s="70">
        <f t="shared" si="42"/>
        <v>0</v>
      </c>
      <c r="I89" s="70">
        <f t="shared" ref="I89:K89" si="43">I25-I57</f>
        <v>0</v>
      </c>
      <c r="J89" s="70">
        <f t="shared" si="43"/>
        <v>0</v>
      </c>
      <c r="K89" s="70">
        <f t="shared" si="43"/>
        <v>0</v>
      </c>
    </row>
    <row r="90" spans="2:16" x14ac:dyDescent="0.25">
      <c r="B90" s="35"/>
      <c r="C90" s="35"/>
      <c r="D90" s="70"/>
      <c r="E90" s="70"/>
      <c r="F90" s="70"/>
      <c r="G90" s="70"/>
      <c r="H90" s="70"/>
      <c r="I90" s="70"/>
      <c r="J90" s="70"/>
      <c r="K90" s="70"/>
      <c r="L90" s="70"/>
      <c r="M90" s="70"/>
    </row>
    <row r="91" spans="2:16" x14ac:dyDescent="0.25">
      <c r="B91" s="76" t="s">
        <v>1921</v>
      </c>
      <c r="C91" s="35"/>
      <c r="D91" s="70"/>
      <c r="E91" s="70"/>
      <c r="F91" s="70"/>
      <c r="G91" s="70"/>
      <c r="H91" s="70"/>
      <c r="I91" s="70"/>
      <c r="J91" s="70"/>
      <c r="K91" s="70"/>
      <c r="L91" s="70"/>
      <c r="M91" s="70"/>
    </row>
    <row r="92" spans="2:16" x14ac:dyDescent="0.25">
      <c r="B92" s="35" t="s">
        <v>1710</v>
      </c>
      <c r="C92" s="35" t="s">
        <v>1922</v>
      </c>
      <c r="D92" s="72">
        <f>D28-D60</f>
        <v>0</v>
      </c>
      <c r="E92" s="72">
        <f t="shared" ref="E92:I92" si="44">E28-E60</f>
        <v>1.0473369706727853E-2</v>
      </c>
      <c r="F92" s="72">
        <f t="shared" si="44"/>
        <v>3.3168152430840259E-4</v>
      </c>
      <c r="G92" s="72">
        <f t="shared" si="44"/>
        <v>-1.5385091074837653E-3</v>
      </c>
      <c r="H92" s="72">
        <f t="shared" si="44"/>
        <v>-6.2469702076684008E-4</v>
      </c>
      <c r="I92" s="72">
        <f t="shared" si="44"/>
        <v>-6.1743654488943811E-4</v>
      </c>
      <c r="J92" s="72">
        <f t="shared" ref="J92:K92" si="45">J28-J60</f>
        <v>-1.2292238734445959E-3</v>
      </c>
      <c r="K92" s="72">
        <f t="shared" si="45"/>
        <v>-1.4270048493221221E-3</v>
      </c>
    </row>
    <row r="93" spans="2:16" x14ac:dyDescent="0.25">
      <c r="B93" s="35" t="s">
        <v>1711</v>
      </c>
      <c r="C93" s="35"/>
      <c r="D93" s="72">
        <f t="shared" ref="D93:I96" si="46">D29-D61</f>
        <v>0</v>
      </c>
      <c r="E93" s="72">
        <f t="shared" si="46"/>
        <v>7.433099225298001E-3</v>
      </c>
      <c r="F93" s="72">
        <f t="shared" si="46"/>
        <v>6.8201183521687803E-4</v>
      </c>
      <c r="G93" s="72">
        <f t="shared" si="46"/>
        <v>-2.8344425950450648E-3</v>
      </c>
      <c r="H93" s="72">
        <f t="shared" si="46"/>
        <v>-1.6685059061427587E-3</v>
      </c>
      <c r="I93" s="72">
        <f t="shared" si="46"/>
        <v>-6.1743654488943811E-4</v>
      </c>
      <c r="J93" s="72">
        <f t="shared" ref="J93:K93" si="47">J29-J61</f>
        <v>-1.2292238734445959E-3</v>
      </c>
      <c r="K93" s="72">
        <f t="shared" si="47"/>
        <v>-1.4270048493221221E-3</v>
      </c>
    </row>
    <row r="94" spans="2:16" x14ac:dyDescent="0.25">
      <c r="B94" s="35" t="s">
        <v>1712</v>
      </c>
      <c r="C94" s="35"/>
      <c r="D94" s="72">
        <f t="shared" si="46"/>
        <v>0</v>
      </c>
      <c r="E94" s="72">
        <f t="shared" si="46"/>
        <v>1.7740305649731836E-2</v>
      </c>
      <c r="F94" s="72">
        <f t="shared" si="46"/>
        <v>-1.0825168606307667E-3</v>
      </c>
      <c r="G94" s="72">
        <f t="shared" si="46"/>
        <v>-1.7198335765511441E-3</v>
      </c>
      <c r="H94" s="72">
        <f t="shared" si="46"/>
        <v>-8.9305725088428822E-4</v>
      </c>
      <c r="I94" s="72">
        <f t="shared" si="46"/>
        <v>0</v>
      </c>
      <c r="J94" s="72">
        <f t="shared" ref="J94:K94" si="48">J30-J62</f>
        <v>0</v>
      </c>
      <c r="K94" s="72">
        <f t="shared" si="48"/>
        <v>0</v>
      </c>
    </row>
    <row r="95" spans="2:16" x14ac:dyDescent="0.25">
      <c r="B95" s="35" t="s">
        <v>1713</v>
      </c>
      <c r="C95" s="35"/>
      <c r="D95" s="72">
        <f t="shared" si="46"/>
        <v>0</v>
      </c>
      <c r="E95" s="72">
        <f t="shared" si="46"/>
        <v>1.7740305649731836E-2</v>
      </c>
      <c r="F95" s="72">
        <f t="shared" si="46"/>
        <v>-1.0825168606307667E-3</v>
      </c>
      <c r="G95" s="72">
        <f t="shared" si="46"/>
        <v>-1.7198335765511441E-3</v>
      </c>
      <c r="H95" s="72">
        <f t="shared" si="46"/>
        <v>-8.9305725088428822E-4</v>
      </c>
      <c r="I95" s="72">
        <f t="shared" si="46"/>
        <v>-1.9027603802639348E-3</v>
      </c>
      <c r="J95" s="72">
        <f t="shared" ref="J95:K95" si="49">J31-J63</f>
        <v>-1.7909632437682621E-3</v>
      </c>
      <c r="K95" s="72">
        <f t="shared" si="49"/>
        <v>-1.1203480859034443E-3</v>
      </c>
    </row>
    <row r="96" spans="2:16" x14ac:dyDescent="0.25">
      <c r="B96" s="35" t="s">
        <v>1714</v>
      </c>
      <c r="C96" s="35"/>
      <c r="D96" s="72">
        <f t="shared" si="46"/>
        <v>0</v>
      </c>
      <c r="E96" s="72">
        <f t="shared" si="46"/>
        <v>1.7740305649731836E-2</v>
      </c>
      <c r="F96" s="72">
        <f t="shared" si="46"/>
        <v>-1.0825168606307667E-3</v>
      </c>
      <c r="G96" s="72">
        <f t="shared" si="46"/>
        <v>-1.7198335765511441E-3</v>
      </c>
      <c r="H96" s="72">
        <f t="shared" si="46"/>
        <v>-8.9305725088428822E-4</v>
      </c>
      <c r="I96" s="72">
        <f t="shared" si="46"/>
        <v>-1.0336024203219107E-3</v>
      </c>
      <c r="J96" s="72">
        <f t="shared" ref="J96:K96" si="50">J32-J64</f>
        <v>-1.4930173230820465E-3</v>
      </c>
      <c r="K96" s="72">
        <f t="shared" si="50"/>
        <v>-1.7232167504246387E-3</v>
      </c>
    </row>
    <row r="98" spans="2:13" x14ac:dyDescent="0.25">
      <c r="B98" s="1265" t="s">
        <v>233</v>
      </c>
      <c r="C98" s="1265"/>
      <c r="D98" s="1265"/>
      <c r="E98" s="1265"/>
      <c r="F98" s="1265"/>
      <c r="G98" s="1265"/>
      <c r="H98" s="1265"/>
      <c r="I98" s="1265"/>
      <c r="J98" s="1265"/>
      <c r="K98" s="1265"/>
      <c r="L98" s="1265"/>
      <c r="M98" s="1265"/>
    </row>
    <row r="99" spans="2:13" x14ac:dyDescent="0.25">
      <c r="B99" t="s">
        <v>178</v>
      </c>
      <c r="C99" t="s">
        <v>179</v>
      </c>
      <c r="D99" t="s">
        <v>190</v>
      </c>
      <c r="E99" t="s">
        <v>191</v>
      </c>
      <c r="F99" t="s">
        <v>175</v>
      </c>
      <c r="G99" t="s">
        <v>176</v>
      </c>
      <c r="H99" t="s">
        <v>177</v>
      </c>
      <c r="I99" t="s">
        <v>765</v>
      </c>
      <c r="J99" t="s">
        <v>766</v>
      </c>
      <c r="K99" t="s">
        <v>767</v>
      </c>
      <c r="L99" t="s">
        <v>1157</v>
      </c>
      <c r="M99" t="s">
        <v>1158</v>
      </c>
    </row>
    <row r="100" spans="2:13" x14ac:dyDescent="0.25">
      <c r="B100" t="s">
        <v>192</v>
      </c>
      <c r="C100" t="s">
        <v>193</v>
      </c>
      <c r="D100" s="75">
        <f t="shared" ref="D100:H100" si="51">(D4/D36-1)</f>
        <v>0</v>
      </c>
      <c r="E100" s="75">
        <f t="shared" si="51"/>
        <v>0</v>
      </c>
      <c r="F100" s="75">
        <f t="shared" si="51"/>
        <v>0</v>
      </c>
      <c r="G100" s="75">
        <f t="shared" si="51"/>
        <v>0</v>
      </c>
      <c r="H100" s="75">
        <f t="shared" si="51"/>
        <v>0</v>
      </c>
      <c r="I100" s="75">
        <f t="shared" ref="I100:M100" si="52">(I4/I36-1)</f>
        <v>0</v>
      </c>
      <c r="J100" s="75">
        <f t="shared" si="52"/>
        <v>0</v>
      </c>
      <c r="K100" s="75">
        <f t="shared" si="52"/>
        <v>0</v>
      </c>
      <c r="L100" s="75">
        <f t="shared" si="52"/>
        <v>0</v>
      </c>
      <c r="M100" s="75" t="e">
        <f t="shared" si="52"/>
        <v>#DIV/0!</v>
      </c>
    </row>
    <row r="101" spans="2:13" x14ac:dyDescent="0.25">
      <c r="B101" t="s">
        <v>134</v>
      </c>
      <c r="C101" t="s">
        <v>194</v>
      </c>
      <c r="D101" s="75">
        <f t="shared" ref="D101:H101" si="53">(D5/D37-1)</f>
        <v>0</v>
      </c>
      <c r="E101" s="75">
        <f t="shared" si="53"/>
        <v>0</v>
      </c>
      <c r="F101" s="75">
        <f t="shared" si="53"/>
        <v>0</v>
      </c>
      <c r="G101" s="75">
        <f t="shared" si="53"/>
        <v>0</v>
      </c>
      <c r="H101" s="75">
        <f t="shared" si="53"/>
        <v>0</v>
      </c>
      <c r="I101" s="75">
        <f t="shared" ref="I101:M101" si="54">(I5/I37-1)</f>
        <v>0</v>
      </c>
      <c r="J101" s="75">
        <f t="shared" si="54"/>
        <v>0</v>
      </c>
      <c r="K101" s="75">
        <f t="shared" si="54"/>
        <v>0</v>
      </c>
      <c r="L101" s="75">
        <f t="shared" si="54"/>
        <v>0</v>
      </c>
      <c r="M101" s="75" t="e">
        <f t="shared" si="54"/>
        <v>#DIV/0!</v>
      </c>
    </row>
    <row r="102" spans="2:13" x14ac:dyDescent="0.25">
      <c r="B102" t="s">
        <v>195</v>
      </c>
      <c r="C102" t="s">
        <v>196</v>
      </c>
      <c r="D102" s="75">
        <f t="shared" ref="D102:H102" si="55">(D6/D38-1)</f>
        <v>0</v>
      </c>
      <c r="E102" s="75">
        <f t="shared" si="55"/>
        <v>0</v>
      </c>
      <c r="F102" s="75">
        <f t="shared" si="55"/>
        <v>0</v>
      </c>
      <c r="G102" s="75">
        <f t="shared" si="55"/>
        <v>0</v>
      </c>
      <c r="H102" s="75">
        <f t="shared" si="55"/>
        <v>0</v>
      </c>
      <c r="I102" s="75">
        <f t="shared" ref="I102:M102" si="56">(I6/I38-1)</f>
        <v>0</v>
      </c>
      <c r="J102" s="75">
        <f t="shared" si="56"/>
        <v>0</v>
      </c>
      <c r="K102" s="75">
        <f t="shared" si="56"/>
        <v>0</v>
      </c>
      <c r="L102" s="75">
        <f t="shared" si="56"/>
        <v>0</v>
      </c>
      <c r="M102" s="75" t="e">
        <f t="shared" si="56"/>
        <v>#DIV/0!</v>
      </c>
    </row>
    <row r="103" spans="2:13" x14ac:dyDescent="0.25">
      <c r="B103" t="s">
        <v>197</v>
      </c>
      <c r="C103" t="s">
        <v>198</v>
      </c>
      <c r="D103" s="75">
        <f t="shared" ref="D103:H103" si="57">(D7/D39-1)</f>
        <v>0</v>
      </c>
      <c r="E103" s="75">
        <f t="shared" si="57"/>
        <v>0</v>
      </c>
      <c r="F103" s="75">
        <f t="shared" si="57"/>
        <v>0</v>
      </c>
      <c r="G103" s="75">
        <f t="shared" si="57"/>
        <v>0</v>
      </c>
      <c r="H103" s="75">
        <f t="shared" si="57"/>
        <v>0</v>
      </c>
      <c r="I103" s="75">
        <f t="shared" ref="I103:M103" si="58">(I7/I39-1)</f>
        <v>0</v>
      </c>
      <c r="J103" s="75">
        <f t="shared" si="58"/>
        <v>0</v>
      </c>
      <c r="K103" s="75">
        <f t="shared" si="58"/>
        <v>0</v>
      </c>
      <c r="L103" s="75">
        <f t="shared" si="58"/>
        <v>0</v>
      </c>
      <c r="M103" s="75" t="e">
        <f t="shared" si="58"/>
        <v>#DIV/0!</v>
      </c>
    </row>
    <row r="104" spans="2:13" x14ac:dyDescent="0.25">
      <c r="B104" t="s">
        <v>199</v>
      </c>
      <c r="C104" t="s">
        <v>200</v>
      </c>
      <c r="D104" s="75">
        <f t="shared" ref="D104:H104" si="59">(D8/D40-1)</f>
        <v>0</v>
      </c>
      <c r="E104" s="75">
        <f t="shared" si="59"/>
        <v>0</v>
      </c>
      <c r="F104" s="75">
        <f t="shared" si="59"/>
        <v>0</v>
      </c>
      <c r="G104" s="75">
        <f t="shared" si="59"/>
        <v>0</v>
      </c>
      <c r="H104" s="75">
        <f t="shared" si="59"/>
        <v>0</v>
      </c>
      <c r="I104" s="75">
        <f t="shared" ref="I104:M104" si="60">(I8/I40-1)</f>
        <v>0</v>
      </c>
      <c r="J104" s="75">
        <f t="shared" si="60"/>
        <v>0</v>
      </c>
      <c r="K104" s="75">
        <f t="shared" si="60"/>
        <v>0</v>
      </c>
      <c r="L104" s="75">
        <f t="shared" si="60"/>
        <v>0</v>
      </c>
      <c r="M104" s="75" t="e">
        <f t="shared" si="60"/>
        <v>#DIV/0!</v>
      </c>
    </row>
    <row r="105" spans="2:13" x14ac:dyDescent="0.25">
      <c r="B105" t="s">
        <v>201</v>
      </c>
      <c r="C105" t="s">
        <v>202</v>
      </c>
      <c r="D105" s="75">
        <f t="shared" ref="D105:H105" si="61">(D9/D41-1)</f>
        <v>0</v>
      </c>
      <c r="E105" s="75">
        <f t="shared" si="61"/>
        <v>0</v>
      </c>
      <c r="F105" s="75">
        <f t="shared" si="61"/>
        <v>0</v>
      </c>
      <c r="G105" s="75">
        <f t="shared" si="61"/>
        <v>0</v>
      </c>
      <c r="H105" s="75">
        <f t="shared" si="61"/>
        <v>0</v>
      </c>
      <c r="I105" s="75">
        <f t="shared" ref="I105:M105" si="62">(I9/I41-1)</f>
        <v>0</v>
      </c>
      <c r="J105" s="75">
        <f t="shared" si="62"/>
        <v>0</v>
      </c>
      <c r="K105" s="75">
        <f t="shared" si="62"/>
        <v>0</v>
      </c>
      <c r="L105" s="75" t="e">
        <f t="shared" si="62"/>
        <v>#DIV/0!</v>
      </c>
      <c r="M105" s="75" t="e">
        <f t="shared" si="62"/>
        <v>#DIV/0!</v>
      </c>
    </row>
    <row r="106" spans="2:13" x14ac:dyDescent="0.25">
      <c r="B106" t="s">
        <v>203</v>
      </c>
      <c r="C106" t="s">
        <v>204</v>
      </c>
      <c r="D106" s="75">
        <f t="shared" ref="D106:H106" si="63">(D10/D42-1)</f>
        <v>0</v>
      </c>
      <c r="E106" s="75" t="e">
        <f t="shared" si="63"/>
        <v>#DIV/0!</v>
      </c>
      <c r="F106" s="75" t="e">
        <f t="shared" si="63"/>
        <v>#DIV/0!</v>
      </c>
      <c r="G106" s="75" t="e">
        <f t="shared" si="63"/>
        <v>#DIV/0!</v>
      </c>
      <c r="H106" s="75" t="e">
        <f t="shared" si="63"/>
        <v>#DIV/0!</v>
      </c>
      <c r="I106" s="75" t="e">
        <f t="shared" ref="I106:M106" si="64">(I10/I42-1)</f>
        <v>#DIV/0!</v>
      </c>
      <c r="J106" s="75" t="e">
        <f t="shared" si="64"/>
        <v>#DIV/0!</v>
      </c>
      <c r="K106" s="75" t="e">
        <f t="shared" si="64"/>
        <v>#DIV/0!</v>
      </c>
      <c r="L106" s="75" t="e">
        <f t="shared" si="64"/>
        <v>#DIV/0!</v>
      </c>
      <c r="M106" s="75" t="e">
        <f t="shared" si="64"/>
        <v>#DIV/0!</v>
      </c>
    </row>
    <row r="107" spans="2:13" x14ac:dyDescent="0.25">
      <c r="B107" t="s">
        <v>205</v>
      </c>
      <c r="C107" t="s">
        <v>206</v>
      </c>
      <c r="D107" s="75">
        <f t="shared" ref="D107:H107" si="65">(D11/D43-1)</f>
        <v>0</v>
      </c>
      <c r="E107" s="75">
        <f t="shared" si="65"/>
        <v>0</v>
      </c>
      <c r="F107" s="75">
        <f t="shared" si="65"/>
        <v>0</v>
      </c>
      <c r="G107" s="75">
        <f t="shared" si="65"/>
        <v>0</v>
      </c>
      <c r="H107" s="75">
        <f t="shared" si="65"/>
        <v>0</v>
      </c>
      <c r="I107" s="75">
        <f t="shared" ref="I107:M107" si="66">(I11/I43-1)</f>
        <v>0</v>
      </c>
      <c r="J107" s="75">
        <f t="shared" si="66"/>
        <v>0</v>
      </c>
      <c r="K107" s="75">
        <f t="shared" si="66"/>
        <v>0</v>
      </c>
      <c r="L107" s="75">
        <f t="shared" si="66"/>
        <v>0</v>
      </c>
      <c r="M107" s="75" t="e">
        <f t="shared" si="66"/>
        <v>#DIV/0!</v>
      </c>
    </row>
    <row r="108" spans="2:13" x14ac:dyDescent="0.25">
      <c r="B108" t="s">
        <v>207</v>
      </c>
      <c r="C108" t="s">
        <v>208</v>
      </c>
      <c r="D108" s="75">
        <f t="shared" ref="D108:H108" si="67">(D12/D44-1)</f>
        <v>0</v>
      </c>
      <c r="E108" s="75">
        <f t="shared" si="67"/>
        <v>2.0181146162940422E-2</v>
      </c>
      <c r="F108" s="75">
        <f t="shared" si="67"/>
        <v>4.1353522737413995E-2</v>
      </c>
      <c r="G108" s="75">
        <f t="shared" si="67"/>
        <v>4.1778031490668388E-2</v>
      </c>
      <c r="H108" s="75">
        <f t="shared" si="67"/>
        <v>4.2202713295319327E-2</v>
      </c>
      <c r="I108" s="75">
        <f t="shared" ref="I108:M108" si="68">(I12/I44-1)</f>
        <v>4.2627568221911272E-2</v>
      </c>
      <c r="J108" s="75">
        <f t="shared" si="68"/>
        <v>4.3052596341018434E-2</v>
      </c>
      <c r="K108" s="75">
        <f t="shared" si="68"/>
        <v>3.4522328785879797E-2</v>
      </c>
      <c r="L108" s="75">
        <f t="shared" si="68"/>
        <v>2.6061823258866967E-2</v>
      </c>
      <c r="M108" s="75" t="e">
        <f t="shared" si="68"/>
        <v>#DIV/0!</v>
      </c>
    </row>
    <row r="109" spans="2:13" x14ac:dyDescent="0.25">
      <c r="B109" t="s">
        <v>209</v>
      </c>
      <c r="C109" t="s">
        <v>210</v>
      </c>
      <c r="D109" s="75">
        <f t="shared" ref="D109:H109" si="69">(D13/D45-1)</f>
        <v>0</v>
      </c>
      <c r="E109" s="75">
        <f t="shared" si="69"/>
        <v>2.0181146162940422E-2</v>
      </c>
      <c r="F109" s="75">
        <f t="shared" si="69"/>
        <v>4.1353522737414217E-2</v>
      </c>
      <c r="G109" s="75">
        <f t="shared" si="69"/>
        <v>4.1778031490668388E-2</v>
      </c>
      <c r="H109" s="75">
        <f t="shared" si="69"/>
        <v>4.2202713295319327E-2</v>
      </c>
      <c r="I109" s="75">
        <f t="shared" ref="I109:M109" si="70">(I13/I45-1)</f>
        <v>4.2627568221911272E-2</v>
      </c>
      <c r="J109" s="75">
        <f t="shared" si="70"/>
        <v>4.3052596341018212E-2</v>
      </c>
      <c r="K109" s="75">
        <f t="shared" si="70"/>
        <v>3.4522328785879797E-2</v>
      </c>
      <c r="L109" s="75">
        <f t="shared" si="70"/>
        <v>2.6061823258866967E-2</v>
      </c>
      <c r="M109" s="75" t="e">
        <f t="shared" si="70"/>
        <v>#DIV/0!</v>
      </c>
    </row>
    <row r="110" spans="2:13" x14ac:dyDescent="0.25">
      <c r="B110" t="s">
        <v>55</v>
      </c>
      <c r="C110" t="s">
        <v>211</v>
      </c>
      <c r="D110" s="75">
        <f t="shared" ref="D110:H110" si="71">(D14/D46-1)</f>
        <v>0</v>
      </c>
      <c r="E110" s="75">
        <f t="shared" si="71"/>
        <v>9.0964548800664957E-4</v>
      </c>
      <c r="F110" s="75">
        <f t="shared" si="71"/>
        <v>1.8273277559783807E-3</v>
      </c>
      <c r="G110" s="75">
        <f t="shared" si="71"/>
        <v>-6.2623165110964329E-4</v>
      </c>
      <c r="H110" s="75">
        <f t="shared" si="71"/>
        <v>-3.0737820847974717E-3</v>
      </c>
      <c r="I110" s="75">
        <f t="shared" ref="I110:M110" si="72">(I14/I46-1)</f>
        <v>-5.5153382615663604E-3</v>
      </c>
      <c r="J110" s="75">
        <f t="shared" si="72"/>
        <v>-7.9509148618560621E-3</v>
      </c>
      <c r="K110" s="75">
        <f t="shared" si="72"/>
        <v>-7.1356659900578823E-3</v>
      </c>
      <c r="L110" s="75">
        <f t="shared" si="72"/>
        <v>-6.3197471607617794E-3</v>
      </c>
      <c r="M110" s="75" t="e">
        <f t="shared" si="72"/>
        <v>#DIV/0!</v>
      </c>
    </row>
    <row r="111" spans="2:13" x14ac:dyDescent="0.25">
      <c r="B111" t="s">
        <v>212</v>
      </c>
      <c r="C111" t="s">
        <v>213</v>
      </c>
      <c r="D111" s="75" t="e">
        <f t="shared" ref="D111:H111" si="73">(D15/D47-1)</f>
        <v>#DIV/0!</v>
      </c>
      <c r="E111" s="75" t="e">
        <f t="shared" si="73"/>
        <v>#DIV/0!</v>
      </c>
      <c r="F111" s="75" t="e">
        <f t="shared" si="73"/>
        <v>#DIV/0!</v>
      </c>
      <c r="G111" s="75" t="e">
        <f t="shared" si="73"/>
        <v>#DIV/0!</v>
      </c>
      <c r="H111" s="75" t="e">
        <f t="shared" si="73"/>
        <v>#DIV/0!</v>
      </c>
      <c r="I111" s="75" t="e">
        <f t="shared" ref="I111:M111" si="74">(I15/I47-1)</f>
        <v>#DIV/0!</v>
      </c>
      <c r="J111" s="75" t="e">
        <f t="shared" si="74"/>
        <v>#DIV/0!</v>
      </c>
      <c r="K111" s="75" t="e">
        <f t="shared" si="74"/>
        <v>#DIV/0!</v>
      </c>
      <c r="L111" s="75" t="e">
        <f t="shared" si="74"/>
        <v>#DIV/0!</v>
      </c>
      <c r="M111" s="75" t="e">
        <f t="shared" si="74"/>
        <v>#DIV/0!</v>
      </c>
    </row>
    <row r="112" spans="2:13" x14ac:dyDescent="0.25">
      <c r="B112" t="s">
        <v>214</v>
      </c>
      <c r="C112" t="s">
        <v>215</v>
      </c>
      <c r="D112" s="75" t="e">
        <f t="shared" ref="D112:H112" si="75">(D16/D48-1)</f>
        <v>#DIV/0!</v>
      </c>
      <c r="E112" s="75" t="e">
        <f t="shared" si="75"/>
        <v>#DIV/0!</v>
      </c>
      <c r="F112" s="75" t="e">
        <f t="shared" si="75"/>
        <v>#DIV/0!</v>
      </c>
      <c r="G112" s="75" t="e">
        <f t="shared" si="75"/>
        <v>#DIV/0!</v>
      </c>
      <c r="H112" s="75" t="e">
        <f t="shared" si="75"/>
        <v>#DIV/0!</v>
      </c>
      <c r="I112" s="75" t="e">
        <f t="shared" ref="I112:M112" si="76">(I16/I48-1)</f>
        <v>#DIV/0!</v>
      </c>
      <c r="J112" s="75" t="e">
        <f t="shared" si="76"/>
        <v>#DIV/0!</v>
      </c>
      <c r="K112" s="75" t="e">
        <f t="shared" si="76"/>
        <v>#DIV/0!</v>
      </c>
      <c r="L112" s="75" t="e">
        <f t="shared" si="76"/>
        <v>#DIV/0!</v>
      </c>
      <c r="M112" s="75" t="e">
        <f t="shared" si="76"/>
        <v>#DIV/0!</v>
      </c>
    </row>
    <row r="113" spans="2:13" x14ac:dyDescent="0.25">
      <c r="B113" t="s">
        <v>216</v>
      </c>
      <c r="C113" t="s">
        <v>217</v>
      </c>
      <c r="D113" s="75">
        <f t="shared" ref="D113:H113" si="77">(D17/D49-1)</f>
        <v>0</v>
      </c>
      <c r="E113" s="75">
        <f t="shared" si="77"/>
        <v>0</v>
      </c>
      <c r="F113" s="75">
        <f t="shared" si="77"/>
        <v>0</v>
      </c>
      <c r="G113" s="75">
        <f t="shared" si="77"/>
        <v>0</v>
      </c>
      <c r="H113" s="75">
        <f t="shared" si="77"/>
        <v>0</v>
      </c>
      <c r="I113" s="75">
        <f t="shared" ref="I113:M113" si="78">(I17/I49-1)</f>
        <v>0</v>
      </c>
      <c r="J113" s="75">
        <f t="shared" si="78"/>
        <v>0</v>
      </c>
      <c r="K113" s="75">
        <f t="shared" si="78"/>
        <v>0</v>
      </c>
      <c r="L113" s="75" t="e">
        <f t="shared" si="78"/>
        <v>#DIV/0!</v>
      </c>
      <c r="M113" s="75" t="e">
        <f t="shared" si="78"/>
        <v>#DIV/0!</v>
      </c>
    </row>
    <row r="114" spans="2:13" x14ac:dyDescent="0.25">
      <c r="B114" t="s">
        <v>218</v>
      </c>
      <c r="C114" t="s">
        <v>219</v>
      </c>
      <c r="D114" s="75">
        <f t="shared" ref="D114:H114" si="79">(D18/D50-1)</f>
        <v>0</v>
      </c>
      <c r="E114" s="75">
        <f t="shared" si="79"/>
        <v>0</v>
      </c>
      <c r="F114" s="75">
        <f t="shared" si="79"/>
        <v>0</v>
      </c>
      <c r="G114" s="75">
        <f t="shared" si="79"/>
        <v>0</v>
      </c>
      <c r="H114" s="75">
        <f t="shared" si="79"/>
        <v>0</v>
      </c>
      <c r="I114" s="75">
        <f t="shared" ref="I114:M114" si="80">(I18/I50-1)</f>
        <v>0</v>
      </c>
      <c r="J114" s="75">
        <f t="shared" si="80"/>
        <v>0</v>
      </c>
      <c r="K114" s="75">
        <f t="shared" si="80"/>
        <v>0</v>
      </c>
      <c r="L114" s="75" t="e">
        <f t="shared" si="80"/>
        <v>#DIV/0!</v>
      </c>
      <c r="M114" s="75" t="e">
        <f t="shared" si="80"/>
        <v>#DIV/0!</v>
      </c>
    </row>
    <row r="115" spans="2:13" x14ac:dyDescent="0.25">
      <c r="B115" t="s">
        <v>220</v>
      </c>
      <c r="C115" t="s">
        <v>221</v>
      </c>
      <c r="D115" s="75">
        <f t="shared" ref="D115:H115" si="81">(D19/D51-1)</f>
        <v>0</v>
      </c>
      <c r="E115" s="75">
        <f t="shared" si="81"/>
        <v>0</v>
      </c>
      <c r="F115" s="75">
        <f t="shared" si="81"/>
        <v>0</v>
      </c>
      <c r="G115" s="75">
        <f t="shared" si="81"/>
        <v>0</v>
      </c>
      <c r="H115" s="75">
        <f t="shared" si="81"/>
        <v>0</v>
      </c>
      <c r="I115" s="75">
        <f t="shared" ref="I115:M115" si="82">(I19/I51-1)</f>
        <v>0</v>
      </c>
      <c r="J115" s="75">
        <f t="shared" si="82"/>
        <v>0</v>
      </c>
      <c r="K115" s="75">
        <f t="shared" si="82"/>
        <v>0</v>
      </c>
      <c r="L115" s="75">
        <f t="shared" si="82"/>
        <v>0</v>
      </c>
      <c r="M115" s="75" t="e">
        <f t="shared" si="82"/>
        <v>#DIV/0!</v>
      </c>
    </row>
    <row r="116" spans="2:13" x14ac:dyDescent="0.25">
      <c r="B116" t="s">
        <v>222</v>
      </c>
      <c r="C116" t="s">
        <v>223</v>
      </c>
      <c r="D116" s="75">
        <f t="shared" ref="D116:H116" si="83">(D20/D52-1)</f>
        <v>0</v>
      </c>
      <c r="E116" s="75">
        <f t="shared" si="83"/>
        <v>0</v>
      </c>
      <c r="F116" s="75">
        <f t="shared" si="83"/>
        <v>0</v>
      </c>
      <c r="G116" s="75">
        <f t="shared" si="83"/>
        <v>0</v>
      </c>
      <c r="H116" s="75">
        <f t="shared" si="83"/>
        <v>0</v>
      </c>
      <c r="I116" s="75">
        <f t="shared" ref="I116:M116" si="84">(I20/I52-1)</f>
        <v>0</v>
      </c>
      <c r="J116" s="75">
        <f t="shared" si="84"/>
        <v>0</v>
      </c>
      <c r="K116" s="75">
        <f t="shared" si="84"/>
        <v>0</v>
      </c>
      <c r="L116" s="75">
        <f t="shared" si="84"/>
        <v>0</v>
      </c>
      <c r="M116" s="75" t="e">
        <f t="shared" si="84"/>
        <v>#DIV/0!</v>
      </c>
    </row>
    <row r="117" spans="2:13" x14ac:dyDescent="0.25">
      <c r="B117" t="s">
        <v>224</v>
      </c>
      <c r="C117" t="s">
        <v>225</v>
      </c>
      <c r="D117" s="75">
        <f t="shared" ref="D117:H117" si="85">(D21/D53-1)</f>
        <v>0</v>
      </c>
      <c r="E117" s="75">
        <f t="shared" si="85"/>
        <v>9.3627627864867335E-4</v>
      </c>
      <c r="F117" s="75">
        <f t="shared" si="85"/>
        <v>1.8793111860526679E-3</v>
      </c>
      <c r="G117" s="75">
        <f t="shared" si="85"/>
        <v>1.1081252398505992E-3</v>
      </c>
      <c r="H117" s="75">
        <f t="shared" si="85"/>
        <v>1.1711766596838036E-2</v>
      </c>
      <c r="I117" s="75">
        <f t="shared" ref="I117:M117" si="86">(I21/I53-1)</f>
        <v>1.0910560006584191E-2</v>
      </c>
      <c r="J117" s="75">
        <f t="shared" si="86"/>
        <v>1.0106472087091367E-2</v>
      </c>
      <c r="K117" s="75">
        <f t="shared" si="86"/>
        <v>9.2995171997931614E-3</v>
      </c>
      <c r="L117" s="75">
        <f t="shared" si="86"/>
        <v>5.080097003212769E-2</v>
      </c>
      <c r="M117" s="75" t="e">
        <f t="shared" si="86"/>
        <v>#DIV/0!</v>
      </c>
    </row>
    <row r="118" spans="2:13" x14ac:dyDescent="0.25">
      <c r="B118" t="s">
        <v>226</v>
      </c>
      <c r="C118" t="s">
        <v>227</v>
      </c>
      <c r="D118" s="75">
        <f t="shared" ref="D118:H118" si="87">(D22/D54-1)</f>
        <v>0</v>
      </c>
      <c r="E118" s="75">
        <f t="shared" si="87"/>
        <v>9.1871018678486571E-3</v>
      </c>
      <c r="F118" s="75">
        <f t="shared" si="87"/>
        <v>1.3162194279688011E-2</v>
      </c>
      <c r="G118" s="75">
        <f t="shared" si="87"/>
        <v>1.3251267947304912E-2</v>
      </c>
      <c r="H118" s="75">
        <f t="shared" si="87"/>
        <v>1.2795073685092362E-2</v>
      </c>
      <c r="I118" s="75">
        <f t="shared" ref="I118:M118" si="88">(I22/I54-1)</f>
        <v>1.2361457603292658E-2</v>
      </c>
      <c r="J118" s="75">
        <f t="shared" si="88"/>
        <v>1.162473931574759E-2</v>
      </c>
      <c r="K118" s="75">
        <f t="shared" si="88"/>
        <v>1.0555134244330633E-2</v>
      </c>
      <c r="L118" s="75">
        <f t="shared" si="88"/>
        <v>9.3013563399122479E-3</v>
      </c>
      <c r="M118" s="75" t="e">
        <f t="shared" si="88"/>
        <v>#DIV/0!</v>
      </c>
    </row>
    <row r="119" spans="2:13" x14ac:dyDescent="0.25">
      <c r="B119" t="s">
        <v>228</v>
      </c>
      <c r="C119" t="s">
        <v>229</v>
      </c>
      <c r="D119" s="75">
        <f t="shared" ref="D119:H119" si="89">(D23/D55-1)</f>
        <v>0</v>
      </c>
      <c r="E119" s="75">
        <f t="shared" si="89"/>
        <v>-2.4436223524696099E-2</v>
      </c>
      <c r="F119" s="75">
        <f t="shared" si="89"/>
        <v>-4.827531802924323E-2</v>
      </c>
      <c r="G119" s="75">
        <f t="shared" si="89"/>
        <v>-3.4467735943390254E-2</v>
      </c>
      <c r="H119" s="75">
        <f t="shared" si="89"/>
        <v>-2.0459834031153257E-2</v>
      </c>
      <c r="I119" s="75">
        <f t="shared" ref="I119:M119" si="90">(I23/I55-1)</f>
        <v>-6.2487060608265033E-3</v>
      </c>
      <c r="J119" s="75">
        <f t="shared" si="90"/>
        <v>8.1685963627851077E-3</v>
      </c>
      <c r="K119" s="75">
        <f t="shared" si="90"/>
        <v>2.2795064410070953E-2</v>
      </c>
      <c r="L119" s="75">
        <f t="shared" si="90"/>
        <v>3.7633732647195828E-2</v>
      </c>
      <c r="M119" s="75" t="e">
        <f t="shared" si="90"/>
        <v>#DIV/0!</v>
      </c>
    </row>
    <row r="120" spans="2:13" x14ac:dyDescent="0.25">
      <c r="B120" t="s">
        <v>230</v>
      </c>
      <c r="C120" t="s">
        <v>231</v>
      </c>
      <c r="D120" s="75">
        <f t="shared" ref="D120:H120" si="91">(D24/D56-1)</f>
        <v>0</v>
      </c>
      <c r="E120" s="75">
        <f t="shared" si="91"/>
        <v>5.5664274842356809E-2</v>
      </c>
      <c r="F120" s="75">
        <f t="shared" si="91"/>
        <v>6.9827149779417175E-2</v>
      </c>
      <c r="G120" s="75">
        <f t="shared" si="91"/>
        <v>6.8616906861690641E-2</v>
      </c>
      <c r="H120" s="75">
        <f t="shared" si="91"/>
        <v>7.3861202341853671E-2</v>
      </c>
      <c r="I120" s="75">
        <f t="shared" ref="I120:M120" si="92">(I24/I56-1)</f>
        <v>7.4518549985839622E-2</v>
      </c>
      <c r="J120" s="75">
        <f t="shared" si="92"/>
        <v>7.0111477248825826E-2</v>
      </c>
      <c r="K120" s="75">
        <f t="shared" si="92"/>
        <v>5.7880152407343122E-2</v>
      </c>
      <c r="L120" s="75">
        <f t="shared" si="92"/>
        <v>5.4297701189279124E-2</v>
      </c>
      <c r="M120" s="75" t="e">
        <f t="shared" si="92"/>
        <v>#DIV/0!</v>
      </c>
    </row>
    <row r="121" spans="2:13" x14ac:dyDescent="0.25">
      <c r="B121" s="35" t="s">
        <v>1385</v>
      </c>
      <c r="C121" s="35" t="s">
        <v>1384</v>
      </c>
      <c r="D121" s="75">
        <f t="shared" ref="D121:H121" si="93">(D25/D57-1)</f>
        <v>0</v>
      </c>
      <c r="E121" s="75">
        <f t="shared" si="93"/>
        <v>0</v>
      </c>
      <c r="F121" s="75">
        <f t="shared" si="93"/>
        <v>0</v>
      </c>
      <c r="G121" s="75">
        <f t="shared" si="93"/>
        <v>0</v>
      </c>
      <c r="H121" s="75">
        <f t="shared" si="93"/>
        <v>0</v>
      </c>
      <c r="I121" s="75">
        <f t="shared" ref="I121:M121" si="94">(I25/I57-1)</f>
        <v>0</v>
      </c>
      <c r="J121" s="75">
        <f t="shared" si="94"/>
        <v>0</v>
      </c>
      <c r="K121" s="75">
        <f t="shared" si="94"/>
        <v>0</v>
      </c>
      <c r="L121" s="75">
        <f t="shared" si="94"/>
        <v>0</v>
      </c>
      <c r="M121" s="75" t="e">
        <f t="shared" si="94"/>
        <v>#DIV/0!</v>
      </c>
    </row>
    <row r="122" spans="2:13" x14ac:dyDescent="0.25">
      <c r="B122" s="35"/>
      <c r="D122" s="75"/>
      <c r="E122" s="75"/>
      <c r="F122" s="75"/>
      <c r="G122" s="75"/>
      <c r="H122" s="75"/>
    </row>
    <row r="123" spans="2:13" x14ac:dyDescent="0.25">
      <c r="B123" s="76" t="s">
        <v>1921</v>
      </c>
      <c r="D123" s="75"/>
      <c r="E123" s="75"/>
      <c r="F123" s="75"/>
      <c r="G123" s="75"/>
      <c r="H123" s="75"/>
    </row>
    <row r="124" spans="2:13" x14ac:dyDescent="0.25">
      <c r="B124" s="35" t="s">
        <v>1710</v>
      </c>
      <c r="D124" s="75">
        <f t="shared" ref="D124" si="95">(D28/D60-1)</f>
        <v>0</v>
      </c>
      <c r="E124" s="75">
        <f>(E28/E60-1)</f>
        <v>0.30569024479326012</v>
      </c>
      <c r="F124" s="75">
        <f t="shared" ref="F124:I124" si="96">(F28/F60-1)</f>
        <v>1.1579860412227028E-2</v>
      </c>
      <c r="G124" s="75">
        <f t="shared" si="96"/>
        <v>-6.1480493597530161E-2</v>
      </c>
      <c r="H124" s="75">
        <f t="shared" si="96"/>
        <v>-2.7862473799524889E-2</v>
      </c>
      <c r="I124" s="75">
        <f t="shared" si="96"/>
        <v>-2.781974457225922E-2</v>
      </c>
      <c r="J124" s="75">
        <f t="shared" ref="J124:M124" si="97">(J28/J60-1)</f>
        <v>-5.6031759192639141E-2</v>
      </c>
      <c r="K124" s="75">
        <f t="shared" si="97"/>
        <v>-6.625577272211014E-2</v>
      </c>
      <c r="L124" s="75">
        <f t="shared" si="97"/>
        <v>-6.8086378140201576E-2</v>
      </c>
      <c r="M124" s="75" t="e">
        <f t="shared" si="97"/>
        <v>#DIV/0!</v>
      </c>
    </row>
    <row r="125" spans="2:13" x14ac:dyDescent="0.25">
      <c r="B125" s="35" t="s">
        <v>1711</v>
      </c>
      <c r="D125" s="75">
        <f t="shared" ref="D125" si="98">(D29/D61-1)</f>
        <v>0</v>
      </c>
      <c r="E125" s="75">
        <f t="shared" ref="E125:I125" si="99">(E29/E61-1)</f>
        <v>0.19276333099638077</v>
      </c>
      <c r="F125" s="75">
        <f t="shared" si="99"/>
        <v>2.0466171629312635E-2</v>
      </c>
      <c r="G125" s="75">
        <f t="shared" si="99"/>
        <v>-9.0634975163876086E-2</v>
      </c>
      <c r="H125" s="75">
        <f t="shared" si="99"/>
        <v>-6.4060779305606497E-2</v>
      </c>
      <c r="I125" s="75">
        <f t="shared" si="99"/>
        <v>-2.781974457225922E-2</v>
      </c>
      <c r="J125" s="75">
        <f t="shared" ref="J125:M125" si="100">(J29/J61-1)</f>
        <v>-5.6031759192639141E-2</v>
      </c>
      <c r="K125" s="75">
        <f t="shared" si="100"/>
        <v>-6.625577272211014E-2</v>
      </c>
      <c r="L125" s="75">
        <f t="shared" si="100"/>
        <v>-6.8086378140201576E-2</v>
      </c>
      <c r="M125" s="75" t="e">
        <f t="shared" si="100"/>
        <v>#DIV/0!</v>
      </c>
    </row>
    <row r="126" spans="2:13" x14ac:dyDescent="0.25">
      <c r="B126" s="35" t="s">
        <v>1712</v>
      </c>
      <c r="D126" s="75">
        <f t="shared" ref="D126" si="101">(D30/D62-1)</f>
        <v>0</v>
      </c>
      <c r="E126" s="75">
        <f t="shared" ref="E126:I126" si="102">(E30/E62-1)</f>
        <v>0.49932283959458967</v>
      </c>
      <c r="F126" s="75">
        <f t="shared" si="102"/>
        <v>-3.3507342821091468E-2</v>
      </c>
      <c r="G126" s="75">
        <f t="shared" si="102"/>
        <v>-6.0871740855550027E-2</v>
      </c>
      <c r="H126" s="75">
        <f t="shared" si="102"/>
        <v>-3.342942423239692E-2</v>
      </c>
      <c r="I126" s="75" t="e">
        <f t="shared" si="102"/>
        <v>#DIV/0!</v>
      </c>
      <c r="J126" s="75" t="e">
        <f t="shared" ref="J126:M126" si="103">(J30/J62-1)</f>
        <v>#DIV/0!</v>
      </c>
      <c r="K126" s="75" t="e">
        <f t="shared" si="103"/>
        <v>#DIV/0!</v>
      </c>
      <c r="L126" s="75" t="e">
        <f t="shared" si="103"/>
        <v>#DIV/0!</v>
      </c>
      <c r="M126" s="75" t="e">
        <f t="shared" si="103"/>
        <v>#DIV/0!</v>
      </c>
    </row>
    <row r="127" spans="2:13" x14ac:dyDescent="0.25">
      <c r="B127" s="35" t="s">
        <v>1713</v>
      </c>
      <c r="D127" s="75">
        <f t="shared" ref="D127" si="104">(D31/D63-1)</f>
        <v>0</v>
      </c>
      <c r="E127" s="75">
        <f t="shared" ref="E127:I127" si="105">(E31/E63-1)</f>
        <v>0.49932283959458967</v>
      </c>
      <c r="F127" s="75">
        <f t="shared" si="105"/>
        <v>-3.3507342821091468E-2</v>
      </c>
      <c r="G127" s="75">
        <f t="shared" si="105"/>
        <v>-6.0871740855550027E-2</v>
      </c>
      <c r="H127" s="75">
        <f t="shared" si="105"/>
        <v>-3.342942423239692E-2</v>
      </c>
      <c r="I127" s="75">
        <f t="shared" si="105"/>
        <v>-7.4292529802108209E-2</v>
      </c>
      <c r="J127" s="75">
        <f t="shared" ref="J127:M127" si="106">(J31/J63-1)</f>
        <v>-7.0892895038976556E-2</v>
      </c>
      <c r="K127" s="75">
        <f t="shared" si="106"/>
        <v>-4.5448948174446557E-2</v>
      </c>
      <c r="L127" s="75">
        <f t="shared" si="106"/>
        <v>-0.1814406819912997</v>
      </c>
      <c r="M127" s="75" t="e">
        <f t="shared" si="106"/>
        <v>#DIV/0!</v>
      </c>
    </row>
    <row r="128" spans="2:13" x14ac:dyDescent="0.25">
      <c r="B128" s="35" t="s">
        <v>1714</v>
      </c>
      <c r="D128" s="75">
        <f t="shared" ref="D128" si="107">(D32/D64-1)</f>
        <v>0</v>
      </c>
      <c r="E128" s="75">
        <f t="shared" ref="E128:I128" si="108">(E32/E64-1)</f>
        <v>0.49932283959458967</v>
      </c>
      <c r="F128" s="75">
        <f t="shared" si="108"/>
        <v>-3.3507342821091468E-2</v>
      </c>
      <c r="G128" s="75">
        <f t="shared" si="108"/>
        <v>-6.0871740855550027E-2</v>
      </c>
      <c r="H128" s="75">
        <f t="shared" si="108"/>
        <v>-3.342942423239692E-2</v>
      </c>
      <c r="I128" s="75">
        <f t="shared" si="108"/>
        <v>-3.8963328541009368E-2</v>
      </c>
      <c r="J128" s="75">
        <f t="shared" ref="J128:M128" si="109">(J32/J64-1)</f>
        <v>-5.6153042250507657E-2</v>
      </c>
      <c r="K128" s="75">
        <f t="shared" si="109"/>
        <v>-6.4781169300129116E-2</v>
      </c>
      <c r="L128" s="75">
        <f t="shared" si="109"/>
        <v>-9.6952948502739167E-2</v>
      </c>
      <c r="M128" s="75" t="e">
        <f t="shared" si="109"/>
        <v>#DIV/0!</v>
      </c>
    </row>
  </sheetData>
  <mergeCells count="4">
    <mergeCell ref="B2:M2"/>
    <mergeCell ref="B34:M34"/>
    <mergeCell ref="B66:M66"/>
    <mergeCell ref="B98:M98"/>
  </mergeCells>
  <phoneticPr fontId="71" type="noConversion"/>
  <conditionalFormatting sqref="D68:K89 D90:M91 D92:K96 I100:M121 D100:H123 D124:M128">
    <cfRule type="cellIs" dxfId="1" priority="3" operator="lessThan">
      <formula>0</formula>
    </cfRule>
    <cfRule type="cellIs" dxfId="0" priority="4" operator="greaterThan">
      <formula>0</formula>
    </cfRule>
  </conditionalFormatting>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28"/>
  <sheetViews>
    <sheetView zoomScaleNormal="100" workbookViewId="0">
      <selection activeCell="B29" sqref="B29"/>
    </sheetView>
  </sheetViews>
  <sheetFormatPr defaultColWidth="10.85546875" defaultRowHeight="15" x14ac:dyDescent="0.25"/>
  <cols>
    <col min="1" max="1" width="41.140625" customWidth="1"/>
    <col min="2" max="2" width="23.42578125" customWidth="1"/>
    <col min="3" max="3" width="10.42578125" customWidth="1"/>
  </cols>
  <sheetData>
    <row r="1" spans="1:12" x14ac:dyDescent="0.25">
      <c r="A1" s="76" t="s">
        <v>178</v>
      </c>
      <c r="B1" s="76" t="s">
        <v>179</v>
      </c>
      <c r="C1" s="79" t="s">
        <v>190</v>
      </c>
      <c r="D1" s="79" t="s">
        <v>191</v>
      </c>
      <c r="E1" s="79" t="s">
        <v>175</v>
      </c>
      <c r="F1" s="79" t="s">
        <v>176</v>
      </c>
      <c r="G1" s="79" t="s">
        <v>177</v>
      </c>
      <c r="H1" s="79" t="s">
        <v>765</v>
      </c>
      <c r="I1" s="79" t="s">
        <v>766</v>
      </c>
      <c r="J1" s="79" t="s">
        <v>767</v>
      </c>
      <c r="K1" s="79" t="s">
        <v>1157</v>
      </c>
    </row>
    <row r="2" spans="1:12" x14ac:dyDescent="0.25">
      <c r="A2" t="s">
        <v>192</v>
      </c>
      <c r="B2" t="s">
        <v>193</v>
      </c>
      <c r="C2" s="70">
        <f>Grants!Y75</f>
        <v>427.26494400000001</v>
      </c>
      <c r="D2" s="70">
        <f>Grants!Z75</f>
        <v>418.03001728324807</v>
      </c>
      <c r="E2" s="70">
        <f>Grants!AA75</f>
        <v>422.5102225824408</v>
      </c>
      <c r="F2" s="70">
        <f>Grants!AB75</f>
        <v>427.2815256817579</v>
      </c>
      <c r="G2" s="70">
        <f>Grants!AC75</f>
        <v>410.47107700000004</v>
      </c>
      <c r="H2" s="70">
        <f>Grants!AD75</f>
        <v>405.8184041145779</v>
      </c>
      <c r="I2" s="70">
        <f>Grants!AE75</f>
        <v>408.36749628573835</v>
      </c>
      <c r="J2" s="70">
        <f>Grants!AF75</f>
        <v>407.0560067810282</v>
      </c>
      <c r="K2" s="70">
        <f>Grants!AG75</f>
        <v>409.781722</v>
      </c>
      <c r="L2" s="70"/>
    </row>
    <row r="3" spans="1:12" x14ac:dyDescent="0.25">
      <c r="A3" t="s">
        <v>134</v>
      </c>
      <c r="B3" t="s">
        <v>194</v>
      </c>
      <c r="C3" s="70">
        <f>Grants!Y96</f>
        <v>77.707285714285717</v>
      </c>
      <c r="D3" s="70">
        <f>Grants!Z96</f>
        <v>77.707285714285717</v>
      </c>
      <c r="E3" s="70">
        <f>Grants!AA96</f>
        <v>77.707285714285717</v>
      </c>
      <c r="F3" s="70">
        <f>Grants!AB96</f>
        <v>79.301285714285726</v>
      </c>
      <c r="G3" s="70">
        <f>Grants!AC96</f>
        <v>79.301285714285726</v>
      </c>
      <c r="H3" s="70">
        <f>Grants!AD96</f>
        <v>75.229285714285723</v>
      </c>
      <c r="I3" s="70">
        <f>Grants!AE96</f>
        <v>75.229285714285723</v>
      </c>
      <c r="J3" s="70">
        <f>Grants!AF96</f>
        <v>75.229285714285723</v>
      </c>
      <c r="K3" s="70">
        <f>Grants!AG96</f>
        <v>75.229285714285723</v>
      </c>
      <c r="L3" s="70"/>
    </row>
    <row r="4" spans="1:12" x14ac:dyDescent="0.25">
      <c r="A4" t="s">
        <v>195</v>
      </c>
      <c r="B4" t="s">
        <v>196</v>
      </c>
      <c r="C4" s="70">
        <f>'Federal and State Purchases'!Y11</f>
        <v>1837.2</v>
      </c>
      <c r="D4" s="70">
        <f>'Federal and State Purchases'!Z11</f>
        <v>1848.6395138374351</v>
      </c>
      <c r="E4" s="70">
        <f>'Federal and State Purchases'!AA11</f>
        <v>1864.4764115111357</v>
      </c>
      <c r="F4" s="70">
        <f>'Federal and State Purchases'!AB11</f>
        <v>1878.528717728633</v>
      </c>
      <c r="G4" s="70">
        <f>'Federal and State Purchases'!AC11</f>
        <v>1890.0503769897132</v>
      </c>
      <c r="H4" s="70">
        <f>'Federal and State Purchases'!AD11</f>
        <v>1902.2038020847165</v>
      </c>
      <c r="I4" s="70">
        <f>'Federal and State Purchases'!AE11</f>
        <v>1915.1720115226869</v>
      </c>
      <c r="J4" s="70">
        <f>'Federal and State Purchases'!AF11</f>
        <v>1929.3160985174152</v>
      </c>
      <c r="K4" s="70">
        <f>'Federal and State Purchases'!AG11</f>
        <v>1943.569361563337</v>
      </c>
      <c r="L4" s="70"/>
    </row>
    <row r="5" spans="1:12" x14ac:dyDescent="0.25">
      <c r="A5" t="s">
        <v>197</v>
      </c>
      <c r="B5" t="s">
        <v>198</v>
      </c>
      <c r="C5" s="70">
        <f>'Federal and State Purchases'!Y27</f>
        <v>3100.2</v>
      </c>
      <c r="D5" s="70">
        <f>'Federal and State Purchases'!Z27</f>
        <v>3131.0560446291206</v>
      </c>
      <c r="E5" s="70">
        <f>'Federal and State Purchases'!AA27</f>
        <v>3160.2950227752217</v>
      </c>
      <c r="F5" s="70">
        <f>'Federal and State Purchases'!AB27</f>
        <v>3190.091295801712</v>
      </c>
      <c r="G5" s="70">
        <f>'Federal and State Purchases'!AC27</f>
        <v>3219.6643798566629</v>
      </c>
      <c r="H5" s="70">
        <f>'Federal and State Purchases'!AD27</f>
        <v>3249.7151602080339</v>
      </c>
      <c r="I5" s="70">
        <f>'Federal and State Purchases'!AE27</f>
        <v>3280.5993490219689</v>
      </c>
      <c r="J5" s="70">
        <f>'Federal and State Purchases'!AF27</f>
        <v>3311.3704017044197</v>
      </c>
      <c r="K5" s="70">
        <f>'Federal and State Purchases'!AG27</f>
        <v>3343.733379810219</v>
      </c>
      <c r="L5" s="70"/>
    </row>
    <row r="6" spans="1:12" x14ac:dyDescent="0.25">
      <c r="A6" t="s">
        <v>199</v>
      </c>
      <c r="B6" t="s">
        <v>200</v>
      </c>
      <c r="C6" s="70">
        <f>Subsidies!Y46</f>
        <v>95.135000000000005</v>
      </c>
      <c r="D6" s="70">
        <f>Subsidies!Z46</f>
        <v>95.135000000000005</v>
      </c>
      <c r="E6" s="70">
        <f>Subsidies!AA46</f>
        <v>95.135000000000005</v>
      </c>
      <c r="F6" s="70">
        <f>Subsidies!AB46</f>
        <v>102.23399999999999</v>
      </c>
      <c r="G6" s="70">
        <f>Subsidies!AC46</f>
        <v>102.23399999999999</v>
      </c>
      <c r="H6" s="70">
        <f>Subsidies!AD46</f>
        <v>95.212000000000003</v>
      </c>
      <c r="I6" s="70">
        <f>Subsidies!AE46</f>
        <v>96.212000000000003</v>
      </c>
      <c r="J6" s="70">
        <f>Subsidies!AF46</f>
        <v>101.551</v>
      </c>
      <c r="K6" s="70">
        <f>Subsidies!AG46</f>
        <v>100.401</v>
      </c>
      <c r="L6" s="70"/>
    </row>
    <row r="7" spans="1:12" x14ac:dyDescent="0.25">
      <c r="A7" t="s">
        <v>201</v>
      </c>
      <c r="B7" t="s">
        <v>202</v>
      </c>
      <c r="C7" s="70">
        <f>Subsidies!Y45</f>
        <v>1.365</v>
      </c>
      <c r="D7" s="70">
        <f>Subsidies!Z45</f>
        <v>1.365</v>
      </c>
      <c r="E7" s="70">
        <f>Subsidies!AA45</f>
        <v>1.365</v>
      </c>
      <c r="F7" s="70">
        <f>Subsidies!AB45</f>
        <v>-0.90100000000000025</v>
      </c>
      <c r="G7" s="70">
        <f>Subsidies!AC45</f>
        <v>-0.90100000000000025</v>
      </c>
      <c r="H7" s="70">
        <f>Subsidies!AD45</f>
        <v>-0.90100000000000025</v>
      </c>
      <c r="I7" s="70">
        <f>Subsidies!AE45</f>
        <v>-0.90100000000000025</v>
      </c>
      <c r="J7" s="70">
        <f>Subsidies!AF45</f>
        <v>-2.1500000000000004</v>
      </c>
      <c r="K7" s="70">
        <f>Subsidies!AG45</f>
        <v>0</v>
      </c>
      <c r="L7" s="70"/>
    </row>
    <row r="8" spans="1:12" x14ac:dyDescent="0.25">
      <c r="A8" t="s">
        <v>203</v>
      </c>
      <c r="B8" t="s">
        <v>204</v>
      </c>
      <c r="C8" s="70">
        <f>'Unemployment Insurance'!Y19</f>
        <v>-0.55714285714286049</v>
      </c>
      <c r="D8" s="70">
        <f>'Unemployment Insurance'!Z19</f>
        <v>0</v>
      </c>
      <c r="E8" s="70">
        <f>'Unemployment Insurance'!AA19</f>
        <v>0</v>
      </c>
      <c r="F8" s="70">
        <f>'Unemployment Insurance'!AB19</f>
        <v>0</v>
      </c>
      <c r="G8" s="70">
        <f>'Unemployment Insurance'!AC19</f>
        <v>0</v>
      </c>
      <c r="H8" s="70">
        <f>'Unemployment Insurance'!AD19</f>
        <v>0</v>
      </c>
      <c r="I8" s="70">
        <f>'Unemployment Insurance'!AE19</f>
        <v>0</v>
      </c>
      <c r="J8" s="70">
        <f>'Unemployment Insurance'!AF19</f>
        <v>0</v>
      </c>
      <c r="K8" s="70">
        <f>'Unemployment Insurance'!AG19</f>
        <v>0</v>
      </c>
      <c r="L8" s="70"/>
    </row>
    <row r="9" spans="1:12" x14ac:dyDescent="0.25">
      <c r="A9" t="s">
        <v>205</v>
      </c>
      <c r="B9" t="s">
        <v>206</v>
      </c>
      <c r="C9" s="70">
        <f>'Unemployment Insurance'!Y20</f>
        <v>23.25714285714286</v>
      </c>
      <c r="D9" s="70">
        <f>'Unemployment Insurance'!Z20</f>
        <v>22.5</v>
      </c>
      <c r="E9" s="70">
        <f>'Unemployment Insurance'!AA20</f>
        <v>22.5</v>
      </c>
      <c r="F9" s="70">
        <f>'Unemployment Insurance'!AB20</f>
        <v>22.5</v>
      </c>
      <c r="G9" s="70">
        <f>'Unemployment Insurance'!AC20</f>
        <v>22.5</v>
      </c>
      <c r="H9" s="70">
        <f>'Unemployment Insurance'!AD20</f>
        <v>22.5</v>
      </c>
      <c r="I9" s="70">
        <f>'Unemployment Insurance'!AE20</f>
        <v>22.5</v>
      </c>
      <c r="J9" s="70">
        <f>'Unemployment Insurance'!AF20</f>
        <v>22.5</v>
      </c>
      <c r="K9" s="70">
        <f>'Unemployment Insurance'!AG20</f>
        <v>22.5</v>
      </c>
      <c r="L9" s="70"/>
    </row>
    <row r="10" spans="1:12" x14ac:dyDescent="0.25">
      <c r="A10" s="35" t="s">
        <v>207</v>
      </c>
      <c r="B10" s="35" t="s">
        <v>208</v>
      </c>
      <c r="C10" s="70">
        <f>Medicaid!Y29</f>
        <v>613.56899999999996</v>
      </c>
      <c r="D10" s="70">
        <f>Medicaid!Z29</f>
        <v>652.29721181923992</v>
      </c>
      <c r="E10" s="70">
        <f>Medicaid!AA29</f>
        <v>666.79776934155791</v>
      </c>
      <c r="F10" s="70">
        <f>Medicaid!AB29</f>
        <v>671.78272132848042</v>
      </c>
      <c r="G10" s="70">
        <f>Medicaid!AC29</f>
        <v>676.80494060610863</v>
      </c>
      <c r="H10" s="70">
        <f>Medicaid!AD29</f>
        <v>681.86470578313504</v>
      </c>
      <c r="I10" s="70">
        <f>Medicaid!AE29</f>
        <v>686.96229755111972</v>
      </c>
      <c r="J10" s="70">
        <f>Medicaid!AF29</f>
        <v>690.92691283380407</v>
      </c>
      <c r="K10" s="70">
        <f>Medicaid!AG29</f>
        <v>694.91440881080848</v>
      </c>
      <c r="L10" s="70"/>
    </row>
    <row r="11" spans="1:12" x14ac:dyDescent="0.25">
      <c r="A11" s="35" t="s">
        <v>209</v>
      </c>
      <c r="B11" s="35" t="s">
        <v>210</v>
      </c>
      <c r="C11" s="70">
        <f>Medicaid!Y27</f>
        <v>922.3</v>
      </c>
      <c r="D11" s="70">
        <f>Medicaid!Z27</f>
        <v>980.51517997305109</v>
      </c>
      <c r="E11" s="70">
        <f>Medicaid!AA27</f>
        <v>1002.3120181490897</v>
      </c>
      <c r="F11" s="70">
        <f>Medicaid!AB27</f>
        <v>1009.8052605024984</v>
      </c>
      <c r="G11" s="70">
        <f>Medicaid!AC27</f>
        <v>1017.354522019551</v>
      </c>
      <c r="H11" s="70">
        <f>Medicaid!AD27</f>
        <v>1024.960221497151</v>
      </c>
      <c r="I11" s="70">
        <f>Medicaid!AE27</f>
        <v>1032.6227808631102</v>
      </c>
      <c r="J11" s="70">
        <f>Medicaid!AF27</f>
        <v>1038.5822812212114</v>
      </c>
      <c r="K11" s="70">
        <f>Medicaid!AG27</f>
        <v>1044.5761752080184</v>
      </c>
      <c r="L11" s="70"/>
    </row>
    <row r="12" spans="1:12" x14ac:dyDescent="0.25">
      <c r="A12" t="s">
        <v>55</v>
      </c>
      <c r="B12" t="s">
        <v>211</v>
      </c>
      <c r="C12" s="70">
        <f>Medicare!Y10</f>
        <v>965.3</v>
      </c>
      <c r="D12" s="70">
        <f>Medicare!Z10</f>
        <v>980.56003292022876</v>
      </c>
      <c r="E12" s="70">
        <f>Medicare!AA10</f>
        <v>996.18777418821298</v>
      </c>
      <c r="F12" s="70">
        <f>Medicare!AB10</f>
        <v>1008.812306797969</v>
      </c>
      <c r="G12" s="70">
        <f>Medicare!AC10</f>
        <v>1021.5968281445319</v>
      </c>
      <c r="H12" s="70">
        <f>Medicare!AD10</f>
        <v>1034.5433657402616</v>
      </c>
      <c r="I12" s="70">
        <f>Medicare!AE10</f>
        <v>1047.6539727918666</v>
      </c>
      <c r="J12" s="70">
        <f>Medicare!AF10</f>
        <v>1064.1436593437684</v>
      </c>
      <c r="K12" s="70">
        <f>Medicare!AG10</f>
        <v>1080.8928874710773</v>
      </c>
      <c r="L12" s="70"/>
    </row>
    <row r="13" spans="1:12" x14ac:dyDescent="0.25">
      <c r="A13" t="s">
        <v>212</v>
      </c>
      <c r="B13" t="s">
        <v>213</v>
      </c>
      <c r="C13" s="70">
        <f>'Rebate Checks (expired)'!Y11</f>
        <v>0</v>
      </c>
      <c r="D13" s="70">
        <f>'Rebate Checks (expired)'!Z11</f>
        <v>0</v>
      </c>
      <c r="E13" s="70">
        <f>'Rebate Checks (expired)'!AA11</f>
        <v>0</v>
      </c>
      <c r="F13" s="70">
        <f>'Rebate Checks (expired)'!AB11</f>
        <v>0</v>
      </c>
      <c r="G13" s="70">
        <f>'Rebate Checks (expired)'!AC11</f>
        <v>0</v>
      </c>
      <c r="H13" s="70">
        <f>'Rebate Checks (expired)'!AD11</f>
        <v>0</v>
      </c>
      <c r="I13" s="70">
        <f>'Rebate Checks (expired)'!AE11</f>
        <v>0</v>
      </c>
      <c r="J13" s="70">
        <f>'Rebate Checks (expired)'!AF11</f>
        <v>0</v>
      </c>
      <c r="K13" s="70">
        <f>'Rebate Checks (expired)'!AG11</f>
        <v>0</v>
      </c>
      <c r="L13" s="70"/>
    </row>
    <row r="14" spans="1:12" x14ac:dyDescent="0.25">
      <c r="A14" t="s">
        <v>214</v>
      </c>
      <c r="B14" t="s">
        <v>215</v>
      </c>
      <c r="C14" s="70">
        <f>'Rebate Checks (expired)'!Y10</f>
        <v>0</v>
      </c>
      <c r="D14" s="70">
        <f>'Rebate Checks (expired)'!Z10</f>
        <v>0</v>
      </c>
      <c r="E14" s="70">
        <f>'Rebate Checks (expired)'!AA10</f>
        <v>0</v>
      </c>
      <c r="F14" s="70">
        <f>'Rebate Checks (expired)'!AB10</f>
        <v>0</v>
      </c>
      <c r="G14" s="70">
        <f>'Rebate Checks (expired)'!AC10</f>
        <v>0</v>
      </c>
      <c r="H14" s="70">
        <f>'Rebate Checks (expired)'!AD10</f>
        <v>0</v>
      </c>
      <c r="I14" s="70">
        <f>'Rebate Checks (expired)'!AE10</f>
        <v>0</v>
      </c>
      <c r="J14" s="70">
        <f>'Rebate Checks (expired)'!AF10</f>
        <v>0</v>
      </c>
      <c r="K14" s="70">
        <f>'Rebate Checks (expired)'!AG10</f>
        <v>0</v>
      </c>
      <c r="L14" s="70"/>
    </row>
    <row r="15" spans="1:12" x14ac:dyDescent="0.25">
      <c r="A15" t="s">
        <v>216</v>
      </c>
      <c r="B15" t="s">
        <v>217</v>
      </c>
      <c r="C15" s="70">
        <f>'Social Benefits'!Y24</f>
        <v>4.2219999999999995</v>
      </c>
      <c r="D15" s="70">
        <f>'Social Benefits'!Z24</f>
        <v>4.2219999999999995</v>
      </c>
      <c r="E15" s="70">
        <f>'Social Benefits'!AA24</f>
        <v>4.2219999999999995</v>
      </c>
      <c r="F15" s="70">
        <f>'Social Benefits'!AB24</f>
        <v>2.3719999999999999</v>
      </c>
      <c r="G15" s="70">
        <f>'Social Benefits'!AC24</f>
        <v>2.3719999999999999</v>
      </c>
      <c r="H15" s="70">
        <f>'Social Benefits'!AD24</f>
        <v>2.3719999999999999</v>
      </c>
      <c r="I15" s="70">
        <f>'Social Benefits'!AE24</f>
        <v>2.3719999999999999</v>
      </c>
      <c r="J15" s="70">
        <f>'Social Benefits'!AF24</f>
        <v>0.49</v>
      </c>
      <c r="K15" s="70">
        <f>'Social Benefits'!AG24</f>
        <v>0</v>
      </c>
      <c r="L15" s="70"/>
    </row>
    <row r="16" spans="1:12" x14ac:dyDescent="0.25">
      <c r="A16" t="s">
        <v>797</v>
      </c>
      <c r="B16" t="s">
        <v>219</v>
      </c>
      <c r="C16" s="70">
        <f>'Social Benefits'!Y30</f>
        <v>1.4790000000000001</v>
      </c>
      <c r="D16" s="70">
        <f>'Social Benefits'!Z30</f>
        <v>1.4790000000000001</v>
      </c>
      <c r="E16" s="70">
        <f>'Social Benefits'!AA30</f>
        <v>1.4790000000000001</v>
      </c>
      <c r="F16" s="70">
        <f>'Social Benefits'!AB30</f>
        <v>1.63</v>
      </c>
      <c r="G16" s="70">
        <f>'Social Benefits'!AC30</f>
        <v>1.63</v>
      </c>
      <c r="H16" s="70">
        <f>'Social Benefits'!AD30</f>
        <v>1.63</v>
      </c>
      <c r="I16" s="70">
        <f>'Social Benefits'!AE30</f>
        <v>1.63</v>
      </c>
      <c r="J16" s="70">
        <f>'Social Benefits'!AF30</f>
        <v>1.671</v>
      </c>
      <c r="K16" s="70">
        <f>'Social Benefits'!AG30</f>
        <v>0</v>
      </c>
      <c r="L16" s="70"/>
    </row>
    <row r="17" spans="1:12" x14ac:dyDescent="0.25">
      <c r="A17" t="s">
        <v>220</v>
      </c>
      <c r="B17" t="s">
        <v>221</v>
      </c>
      <c r="C17" s="70">
        <f>'Social Benefits'!Y33</f>
        <v>2047.499</v>
      </c>
      <c r="D17" s="70">
        <f>'Social Benefits'!Z33</f>
        <v>2054.4323333333332</v>
      </c>
      <c r="E17" s="70">
        <f>'Social Benefits'!AA33</f>
        <v>2061.3656666666666</v>
      </c>
      <c r="F17" s="70">
        <f>'Social Benefits'!AB33</f>
        <v>2069.8270000000002</v>
      </c>
      <c r="G17" s="70">
        <f>'Social Benefits'!AC33</f>
        <v>2111.6203998973333</v>
      </c>
      <c r="H17" s="70">
        <f>'Social Benefits'!AD33</f>
        <v>2118.5537332306667</v>
      </c>
      <c r="I17" s="70">
        <f>'Social Benefits'!AE33</f>
        <v>2125.4870665640001</v>
      </c>
      <c r="J17" s="70">
        <f>'Social Benefits'!AF33</f>
        <v>2116.1813998973334</v>
      </c>
      <c r="K17" s="70">
        <f>'Social Benefits'!AG33</f>
        <v>2160.1803863256391</v>
      </c>
      <c r="L17" s="70"/>
    </row>
    <row r="18" spans="1:12" x14ac:dyDescent="0.25">
      <c r="A18" t="s">
        <v>222</v>
      </c>
      <c r="B18" t="s">
        <v>223</v>
      </c>
      <c r="C18" s="70">
        <f>'Social Benefits'!Y38</f>
        <v>196.29831211574134</v>
      </c>
      <c r="D18" s="70">
        <f>'Social Benefits'!Z38</f>
        <v>199.52477289205825</v>
      </c>
      <c r="E18" s="70">
        <f>'Social Benefits'!AA38</f>
        <v>202.80426544959073</v>
      </c>
      <c r="F18" s="70">
        <f>'Social Benefits'!AB38</f>
        <v>206.137661446175</v>
      </c>
      <c r="G18" s="70">
        <f>'Social Benefits'!AC38</f>
        <v>209.52584686666717</v>
      </c>
      <c r="H18" s="70">
        <f>'Social Benefits'!AD38</f>
        <v>212.9697222584295</v>
      </c>
      <c r="I18" s="70">
        <f>'Social Benefits'!AE38</f>
        <v>216.47020297068735</v>
      </c>
      <c r="J18" s="70">
        <f>'Social Benefits'!AF38</f>
        <v>220.02821939782032</v>
      </c>
      <c r="K18" s="70">
        <f>'Social Benefits'!AG38</f>
        <v>223.64471722665206</v>
      </c>
      <c r="L18" s="70"/>
    </row>
    <row r="19" spans="1:12" x14ac:dyDescent="0.25">
      <c r="A19" t="s">
        <v>224</v>
      </c>
      <c r="B19" t="s">
        <v>225</v>
      </c>
      <c r="C19" s="70">
        <f>Taxes!Y9</f>
        <v>4382.3999999999996</v>
      </c>
      <c r="D19" s="70">
        <f>Taxes!Z9</f>
        <v>4466.4781167791452</v>
      </c>
      <c r="E19" s="70">
        <f>Taxes!AA9</f>
        <v>4499.1038589525842</v>
      </c>
      <c r="F19" s="70">
        <f>Taxes!AB9</f>
        <v>4530.2422654829452</v>
      </c>
      <c r="G19" s="70">
        <f>Taxes!AC9</f>
        <v>4652.7384420817316</v>
      </c>
      <c r="H19" s="70">
        <f>Taxes!AD9</f>
        <v>4684.8187235322102</v>
      </c>
      <c r="I19" s="70">
        <f>Taxes!AE9</f>
        <v>4717.1493907346949</v>
      </c>
      <c r="J19" s="70">
        <f>Taxes!AF9</f>
        <v>4749.7326853364484</v>
      </c>
      <c r="K19" s="70">
        <f>Taxes!AG9</f>
        <v>5013.6006802781867</v>
      </c>
      <c r="L19" s="70"/>
    </row>
    <row r="20" spans="1:12" x14ac:dyDescent="0.25">
      <c r="A20" t="s">
        <v>226</v>
      </c>
      <c r="B20" t="s">
        <v>227</v>
      </c>
      <c r="C20" s="70">
        <f>Taxes!Y19</f>
        <v>2272.8999999999996</v>
      </c>
      <c r="D20" s="70">
        <f>Taxes!Z19</f>
        <v>2314.8691404679494</v>
      </c>
      <c r="E20" s="70">
        <f>Taxes!AA19</f>
        <v>2346.2922256810743</v>
      </c>
      <c r="F20" s="70">
        <f>Taxes!AB19</f>
        <v>2369.8143532507133</v>
      </c>
      <c r="G20" s="70">
        <f>Taxes!AC19</f>
        <v>2394.0872359096611</v>
      </c>
      <c r="H20" s="70">
        <f>Taxes!AD19</f>
        <v>2418.3031537582128</v>
      </c>
      <c r="I20" s="70">
        <f>Taxes!AE19</f>
        <v>2441.567557390515</v>
      </c>
      <c r="J20" s="70">
        <f>Taxes!AF19</f>
        <v>2464.5145424124066</v>
      </c>
      <c r="K20" s="70">
        <f>Taxes!AG19</f>
        <v>2485.0275481775334</v>
      </c>
      <c r="L20" s="70"/>
    </row>
    <row r="21" spans="1:12" x14ac:dyDescent="0.25">
      <c r="A21" t="s">
        <v>228</v>
      </c>
      <c r="B21" t="s">
        <v>229</v>
      </c>
      <c r="C21" s="70">
        <f>Taxes!Y16</f>
        <v>457</v>
      </c>
      <c r="D21" s="70">
        <f>Taxes!Z16</f>
        <v>456.1059343380187</v>
      </c>
      <c r="E21" s="70">
        <f>Taxes!AA16</f>
        <v>455.21361780822104</v>
      </c>
      <c r="F21" s="70">
        <f>Taxes!AB16</f>
        <v>470.65879510155628</v>
      </c>
      <c r="G21" s="70">
        <f>Taxes!AC16</f>
        <v>486.62801977021206</v>
      </c>
      <c r="H21" s="70">
        <f>Taxes!AD16</f>
        <v>503.13907248749268</v>
      </c>
      <c r="I21" s="70">
        <f>Taxes!AE16</f>
        <v>520.21033721632489</v>
      </c>
      <c r="J21" s="70">
        <f>Taxes!AF16</f>
        <v>537.86082167858206</v>
      </c>
      <c r="K21" s="70">
        <f>Taxes!AG16</f>
        <v>556.11017851892268</v>
      </c>
      <c r="L21" s="70"/>
    </row>
    <row r="22" spans="1:12" x14ac:dyDescent="0.25">
      <c r="A22" t="s">
        <v>230</v>
      </c>
      <c r="B22" t="s">
        <v>231</v>
      </c>
      <c r="C22" s="70">
        <f>Taxes!Y25</f>
        <v>164.9</v>
      </c>
      <c r="D22" s="70">
        <f>Taxes!Z25</f>
        <v>167.9617119479702</v>
      </c>
      <c r="E22" s="70">
        <f>Taxes!AA25</f>
        <v>170.5852127696773</v>
      </c>
      <c r="F22" s="70">
        <f>Taxes!AB25</f>
        <v>171.87101646910733</v>
      </c>
      <c r="G22" s="70">
        <f>Taxes!AC25</f>
        <v>173.44511696213158</v>
      </c>
      <c r="H22" s="70">
        <f>Taxes!AD25</f>
        <v>175.0134515192839</v>
      </c>
      <c r="I22" s="70">
        <f>Taxes!AE25</f>
        <v>176.01095842511978</v>
      </c>
      <c r="J22" s="70">
        <f>Taxes!AF25</f>
        <v>176.09744746319802</v>
      </c>
      <c r="K22" s="70">
        <f>Taxes!AG25</f>
        <v>175.32481205636563</v>
      </c>
      <c r="L22" s="70"/>
    </row>
    <row r="23" spans="1:12" x14ac:dyDescent="0.25">
      <c r="A23" s="35" t="s">
        <v>1385</v>
      </c>
      <c r="B23" t="s">
        <v>1384</v>
      </c>
      <c r="C23" s="70">
        <f>'Student loans'!Y11</f>
        <v>2.5815300000000003</v>
      </c>
      <c r="D23" s="70">
        <f>'Student loans'!Z11</f>
        <v>2.6040450000000002</v>
      </c>
      <c r="E23" s="70">
        <f>'Student loans'!AA11</f>
        <v>2.626465</v>
      </c>
      <c r="F23" s="70">
        <f>'Student loans'!AB11</f>
        <v>2.6498349999999999</v>
      </c>
      <c r="G23" s="70">
        <f>'Student loans'!AC11</f>
        <v>2.6454420000000001</v>
      </c>
      <c r="H23" s="70">
        <f>'Student loans'!AD11</f>
        <v>2.6696</v>
      </c>
      <c r="I23" s="70">
        <f>'Student loans'!AE11</f>
        <v>2.693006</v>
      </c>
      <c r="J23" s="70">
        <f>'Student loans'!AF11</f>
        <v>2.7175400000000001</v>
      </c>
      <c r="K23" s="70">
        <f>'Student loans'!AG11</f>
        <v>2.7175400000000001</v>
      </c>
      <c r="L23" s="70"/>
    </row>
    <row r="24" spans="1:12" x14ac:dyDescent="0.25">
      <c r="A24" s="78"/>
      <c r="B24" t="s">
        <v>1907</v>
      </c>
      <c r="C24" s="70">
        <f>'Supply Side IRA'!Y14</f>
        <v>123.69179914307749</v>
      </c>
      <c r="D24" s="70">
        <f>'Supply Side IRA'!Z14</f>
        <v>127.72437784850848</v>
      </c>
      <c r="E24" s="70">
        <f>'Supply Side IRA'!AA14</f>
        <v>131.46353647701008</v>
      </c>
      <c r="F24" s="70">
        <f>'Supply Side IRA'!AB14</f>
        <v>135.1017576210221</v>
      </c>
      <c r="G24" s="70">
        <f>'Supply Side IRA'!AC14</f>
        <v>138.71843725919896</v>
      </c>
      <c r="H24" s="70">
        <f>'Supply Side IRA'!AD14</f>
        <v>142.30543339016739</v>
      </c>
      <c r="I24" s="70">
        <f>'Supply Side IRA'!AE14</f>
        <v>145.84032049073122</v>
      </c>
      <c r="J24" s="70">
        <f>'Supply Side IRA'!AF14</f>
        <v>149.34489919786131</v>
      </c>
      <c r="K24" s="70">
        <f>'Supply Side IRA'!AG14</f>
        <v>151.58482045676931</v>
      </c>
    </row>
    <row r="25" spans="1:12" x14ac:dyDescent="0.25">
      <c r="A25" s="47"/>
      <c r="C25" s="72"/>
      <c r="D25" s="72"/>
      <c r="E25" s="72"/>
      <c r="F25" s="72"/>
      <c r="G25" s="72"/>
    </row>
    <row r="26" spans="1:12" x14ac:dyDescent="0.25">
      <c r="A26" s="47"/>
      <c r="C26" s="72"/>
      <c r="D26" s="72"/>
      <c r="E26" s="72"/>
      <c r="F26" s="72"/>
      <c r="G26" s="72"/>
    </row>
    <row r="27" spans="1:12" x14ac:dyDescent="0.25">
      <c r="A27" s="47"/>
      <c r="C27" s="72"/>
      <c r="D27" s="72"/>
      <c r="E27" s="72"/>
      <c r="F27" s="72"/>
      <c r="G27" s="72"/>
    </row>
    <row r="28" spans="1:12" x14ac:dyDescent="0.25">
      <c r="A28" s="35"/>
      <c r="C28" s="72"/>
      <c r="D28" s="72"/>
      <c r="E28" s="72"/>
      <c r="F28" s="72"/>
      <c r="G28" s="72"/>
    </row>
  </sheetData>
  <pageMargins left="0.7" right="0.7" top="0.75" bottom="0.75" header="0.3" footer="0.3"/>
  <pageSetup paperSize="9" orientation="portrait" horizontalDpi="300" verticalDpi="30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AB94"/>
  <sheetViews>
    <sheetView zoomScale="120" zoomScaleNormal="120" workbookViewId="0">
      <pane xSplit="2" ySplit="7" topLeftCell="L25" activePane="bottomRight" state="frozen"/>
      <selection pane="topRight" activeCell="C1" sqref="C1"/>
      <selection pane="bottomLeft" activeCell="A8" sqref="A8"/>
      <selection pane="bottomRight" activeCell="Y38" sqref="Y38"/>
    </sheetView>
  </sheetViews>
  <sheetFormatPr defaultColWidth="10.85546875" defaultRowHeight="15" x14ac:dyDescent="0.25"/>
  <cols>
    <col min="1" max="1" width="6.5703125" customWidth="1"/>
    <col min="2" max="2" width="65" customWidth="1"/>
    <col min="3" max="24" width="11.5703125" customWidth="1"/>
  </cols>
  <sheetData>
    <row r="2" spans="1:28" ht="21" customHeight="1" x14ac:dyDescent="0.35">
      <c r="A2" s="1267" t="s">
        <v>1812</v>
      </c>
      <c r="B2" s="1267"/>
      <c r="C2" s="1267"/>
      <c r="D2" s="1267"/>
      <c r="E2" s="1267"/>
      <c r="F2" s="1267"/>
      <c r="G2" s="1267"/>
      <c r="H2" s="1267"/>
      <c r="I2" s="1267"/>
      <c r="J2" s="1267"/>
      <c r="K2" s="86"/>
      <c r="L2" s="146"/>
      <c r="M2" s="158"/>
      <c r="N2" s="133"/>
      <c r="O2" s="146"/>
      <c r="P2" s="158"/>
      <c r="Q2" s="133"/>
      <c r="R2" s="146"/>
      <c r="S2" s="158"/>
      <c r="T2" s="133"/>
      <c r="U2" s="146"/>
      <c r="V2" s="158"/>
      <c r="W2" s="133"/>
      <c r="X2" s="146"/>
      <c r="Y2" s="76"/>
      <c r="Z2" s="76"/>
      <c r="AA2" s="76"/>
      <c r="AB2" s="76"/>
    </row>
    <row r="3" spans="1:28" x14ac:dyDescent="0.25">
      <c r="A3" s="76" t="s">
        <v>884</v>
      </c>
      <c r="B3" s="76"/>
      <c r="C3" s="76"/>
      <c r="D3" s="76"/>
      <c r="E3" s="76"/>
      <c r="F3" s="76"/>
      <c r="G3" s="76"/>
      <c r="H3" s="76"/>
      <c r="I3" s="76"/>
      <c r="J3" s="76"/>
      <c r="K3" s="76"/>
      <c r="L3" s="147"/>
      <c r="M3" s="159"/>
      <c r="N3" s="134"/>
      <c r="O3" s="147"/>
      <c r="P3" s="159"/>
      <c r="Q3" s="134"/>
      <c r="R3" s="147"/>
      <c r="S3" s="159"/>
      <c r="T3" s="134"/>
      <c r="U3" s="147"/>
      <c r="V3" s="159"/>
      <c r="W3" s="134"/>
      <c r="X3" s="147"/>
      <c r="Y3" s="76"/>
      <c r="Z3" s="76"/>
      <c r="AA3" s="76"/>
      <c r="AB3" s="76"/>
    </row>
    <row r="4" spans="1:28" ht="15" customHeight="1" x14ac:dyDescent="0.25">
      <c r="A4" s="1268"/>
      <c r="B4" s="1268"/>
      <c r="C4" s="1268"/>
      <c r="D4" s="101"/>
      <c r="E4" s="101"/>
      <c r="F4" s="101"/>
      <c r="G4" s="101"/>
      <c r="H4" s="101"/>
      <c r="I4" s="101"/>
      <c r="J4" s="101"/>
      <c r="K4" s="101"/>
      <c r="L4" s="148"/>
      <c r="M4" s="160"/>
      <c r="N4" s="136"/>
      <c r="O4" s="148"/>
      <c r="P4" s="160"/>
      <c r="Q4" s="136"/>
      <c r="R4" s="148"/>
      <c r="S4" s="160"/>
      <c r="T4" s="136"/>
      <c r="U4" s="148"/>
      <c r="V4" s="160"/>
      <c r="W4" s="136"/>
      <c r="X4" s="148"/>
    </row>
    <row r="5" spans="1:28" x14ac:dyDescent="0.25">
      <c r="A5" s="1269" t="s">
        <v>815</v>
      </c>
      <c r="B5" s="1272"/>
      <c r="C5" s="1275" t="s">
        <v>896</v>
      </c>
      <c r="D5" s="1275" t="s">
        <v>896</v>
      </c>
      <c r="E5" s="1275" t="s">
        <v>896</v>
      </c>
      <c r="F5" s="1275" t="s">
        <v>896</v>
      </c>
      <c r="G5" s="1275" t="s">
        <v>896</v>
      </c>
      <c r="H5" s="1275" t="s">
        <v>896</v>
      </c>
      <c r="I5" s="1275" t="s">
        <v>896</v>
      </c>
      <c r="J5" s="1276" t="s">
        <v>896</v>
      </c>
      <c r="K5" s="81"/>
      <c r="L5" s="149"/>
      <c r="M5" s="162"/>
      <c r="N5" s="137"/>
      <c r="O5" s="149"/>
      <c r="P5" s="162"/>
      <c r="Q5" s="137"/>
      <c r="R5" s="149"/>
      <c r="S5" s="162"/>
      <c r="T5" s="137"/>
      <c r="U5" s="149"/>
      <c r="V5" s="162"/>
      <c r="W5" s="137"/>
      <c r="X5" s="149"/>
    </row>
    <row r="6" spans="1:28" x14ac:dyDescent="0.25">
      <c r="A6" s="1270" t="s">
        <v>815</v>
      </c>
      <c r="B6" s="1273"/>
      <c r="C6" s="1277">
        <v>2022</v>
      </c>
      <c r="D6" s="1278"/>
      <c r="E6" s="1278"/>
      <c r="F6" s="1278"/>
      <c r="G6" s="1278"/>
      <c r="H6" s="1279"/>
      <c r="I6" s="1277">
        <v>2023</v>
      </c>
      <c r="J6" s="1278">
        <v>2023</v>
      </c>
      <c r="K6" s="1279">
        <v>2023</v>
      </c>
      <c r="L6" s="150"/>
      <c r="M6" s="163"/>
      <c r="N6" s="138"/>
      <c r="O6" s="150"/>
      <c r="P6" s="163"/>
      <c r="Q6" s="138"/>
      <c r="R6" s="150"/>
      <c r="S6" s="163"/>
      <c r="T6" s="138"/>
      <c r="U6" s="150"/>
      <c r="V6" s="163"/>
      <c r="W6" s="138"/>
      <c r="X6" s="150"/>
    </row>
    <row r="7" spans="1:28" ht="32.450000000000003" customHeight="1" x14ac:dyDescent="0.25">
      <c r="A7" s="1271" t="s">
        <v>815</v>
      </c>
      <c r="B7" s="1274"/>
      <c r="C7" s="90" t="s">
        <v>1754</v>
      </c>
      <c r="D7" s="90" t="s">
        <v>1832</v>
      </c>
      <c r="E7" s="90" t="s">
        <v>1833</v>
      </c>
      <c r="F7" s="90" t="s">
        <v>1837</v>
      </c>
      <c r="G7" s="90" t="s">
        <v>1838</v>
      </c>
      <c r="H7" s="90" t="s">
        <v>1839</v>
      </c>
      <c r="I7" s="90" t="s">
        <v>234</v>
      </c>
      <c r="J7" s="90" t="s">
        <v>235</v>
      </c>
      <c r="K7" s="90" t="s">
        <v>1910</v>
      </c>
      <c r="L7" s="103" t="s">
        <v>1919</v>
      </c>
      <c r="M7" s="109" t="s">
        <v>1920</v>
      </c>
      <c r="N7" s="102" t="s">
        <v>1929</v>
      </c>
      <c r="O7" s="103" t="s">
        <v>1930</v>
      </c>
      <c r="P7" s="109" t="s">
        <v>1832</v>
      </c>
      <c r="Q7" s="1208" t="s">
        <v>1833</v>
      </c>
      <c r="R7" s="1219" t="s">
        <v>1837</v>
      </c>
      <c r="S7" s="1230" t="s">
        <v>1838</v>
      </c>
      <c r="T7" s="1208" t="s">
        <v>1839</v>
      </c>
      <c r="U7" s="1219" t="s">
        <v>897</v>
      </c>
      <c r="V7" s="1230" t="s">
        <v>898</v>
      </c>
      <c r="W7" s="1208" t="s">
        <v>899</v>
      </c>
      <c r="X7" s="1219" t="s">
        <v>900</v>
      </c>
      <c r="Y7" s="128" t="s">
        <v>1938</v>
      </c>
    </row>
    <row r="8" spans="1:28" x14ac:dyDescent="0.25">
      <c r="A8" s="176">
        <v>1</v>
      </c>
      <c r="B8" s="60" t="s">
        <v>239</v>
      </c>
      <c r="C8" s="91">
        <v>21852.3</v>
      </c>
      <c r="D8" s="91">
        <v>21975.8</v>
      </c>
      <c r="E8" s="92">
        <v>22080.400000000001</v>
      </c>
      <c r="F8" s="92">
        <v>22201.9</v>
      </c>
      <c r="G8" s="92">
        <v>22240.1</v>
      </c>
      <c r="H8" s="92">
        <v>22281.9</v>
      </c>
      <c r="I8" s="91">
        <v>22525.3</v>
      </c>
      <c r="J8" s="92">
        <v>22648.400000000001</v>
      </c>
      <c r="K8" s="91">
        <v>22757.9</v>
      </c>
      <c r="L8" s="104">
        <v>22806.1</v>
      </c>
      <c r="M8" s="111">
        <v>22876.6</v>
      </c>
      <c r="N8" s="164">
        <v>22921.4</v>
      </c>
      <c r="O8" s="180">
        <v>22986.400000000001</v>
      </c>
      <c r="P8" s="111">
        <v>23094.5</v>
      </c>
      <c r="Q8" s="1209">
        <v>23176.2</v>
      </c>
      <c r="R8" s="1220">
        <v>23189.4</v>
      </c>
      <c r="S8" s="1231">
        <v>23241.5</v>
      </c>
      <c r="T8" s="1214">
        <v>23311.599999999999</v>
      </c>
      <c r="U8" s="1220">
        <v>23565.1</v>
      </c>
      <c r="V8" s="1231">
        <v>23632.3</v>
      </c>
      <c r="W8" s="1214">
        <v>23758.5</v>
      </c>
      <c r="X8" s="1225">
        <v>23823.7</v>
      </c>
    </row>
    <row r="9" spans="1:28" x14ac:dyDescent="0.25">
      <c r="A9" s="177">
        <v>2</v>
      </c>
      <c r="B9" s="129" t="s">
        <v>1755</v>
      </c>
      <c r="C9" s="93">
        <v>13654.1</v>
      </c>
      <c r="D9" s="93">
        <v>13754.9</v>
      </c>
      <c r="E9" s="94">
        <v>13856.1</v>
      </c>
      <c r="F9" s="94">
        <v>13828.8</v>
      </c>
      <c r="G9" s="94">
        <v>13822.8</v>
      </c>
      <c r="H9" s="94">
        <v>13832.7</v>
      </c>
      <c r="I9" s="93">
        <v>13885.2</v>
      </c>
      <c r="J9" s="94">
        <v>13968.7</v>
      </c>
      <c r="K9" s="93">
        <v>14041.7</v>
      </c>
      <c r="L9" s="105">
        <v>14092.7</v>
      </c>
      <c r="M9" s="110">
        <v>14151.1</v>
      </c>
      <c r="N9" s="165">
        <v>14218.6</v>
      </c>
      <c r="O9" s="181">
        <v>14296.4</v>
      </c>
      <c r="P9" s="110">
        <v>14372.7</v>
      </c>
      <c r="Q9" s="1210">
        <v>14437.1</v>
      </c>
      <c r="R9" s="1221">
        <v>14416.2</v>
      </c>
      <c r="S9" s="1232">
        <v>14436.6</v>
      </c>
      <c r="T9" s="1215">
        <v>14491.6</v>
      </c>
      <c r="U9" s="1221">
        <v>14555.9</v>
      </c>
      <c r="V9" s="1232">
        <v>14651.5</v>
      </c>
      <c r="W9" s="1215">
        <v>14736.3</v>
      </c>
      <c r="X9" s="1226">
        <v>14772.7</v>
      </c>
    </row>
    <row r="10" spans="1:28" x14ac:dyDescent="0.25">
      <c r="A10" s="177">
        <v>3</v>
      </c>
      <c r="B10" s="130" t="s">
        <v>1756</v>
      </c>
      <c r="C10" s="93">
        <v>11271.8</v>
      </c>
      <c r="D10" s="93">
        <v>11360.7</v>
      </c>
      <c r="E10" s="94">
        <v>11450.6</v>
      </c>
      <c r="F10" s="94">
        <v>11420.4</v>
      </c>
      <c r="G10" s="94">
        <v>11408.7</v>
      </c>
      <c r="H10" s="94">
        <v>11412.7</v>
      </c>
      <c r="I10" s="93">
        <v>11494.7</v>
      </c>
      <c r="J10" s="94">
        <v>11568.5</v>
      </c>
      <c r="K10" s="93">
        <v>11633.1</v>
      </c>
      <c r="L10" s="105">
        <v>11680.1</v>
      </c>
      <c r="M10" s="110">
        <v>11730.8</v>
      </c>
      <c r="N10" s="165">
        <v>11788.9</v>
      </c>
      <c r="O10" s="181">
        <v>11855.6</v>
      </c>
      <c r="P10" s="110">
        <v>11921.2</v>
      </c>
      <c r="Q10" s="1210">
        <v>11975.7</v>
      </c>
      <c r="R10" s="1221">
        <v>11950.9</v>
      </c>
      <c r="S10" s="1232">
        <v>11965.4</v>
      </c>
      <c r="T10" s="1215">
        <v>12011.8</v>
      </c>
      <c r="U10" s="1221">
        <v>12060.4</v>
      </c>
      <c r="V10" s="1232">
        <v>12145.1</v>
      </c>
      <c r="W10" s="1215">
        <v>12219.7</v>
      </c>
      <c r="X10" s="1226">
        <v>12249.5</v>
      </c>
    </row>
    <row r="11" spans="1:28" x14ac:dyDescent="0.25">
      <c r="A11" s="177">
        <v>4</v>
      </c>
      <c r="B11" s="135" t="s">
        <v>1757</v>
      </c>
      <c r="C11" s="95">
        <v>9656.4</v>
      </c>
      <c r="D11" s="95">
        <v>9735.9</v>
      </c>
      <c r="E11" s="96">
        <v>9819.5</v>
      </c>
      <c r="F11" s="96">
        <v>9785.7999999999993</v>
      </c>
      <c r="G11" s="96">
        <v>9763.9</v>
      </c>
      <c r="H11" s="96">
        <v>9762.2999999999993</v>
      </c>
      <c r="I11" s="95">
        <v>9818.2999999999993</v>
      </c>
      <c r="J11" s="96">
        <v>9882.7999999999993</v>
      </c>
      <c r="K11" s="95">
        <v>9937.7000000000007</v>
      </c>
      <c r="L11" s="106">
        <v>9976.9</v>
      </c>
      <c r="M11" s="112">
        <v>10019.799999999999</v>
      </c>
      <c r="N11" s="166">
        <v>10070.4</v>
      </c>
      <c r="O11" s="182">
        <v>10117.4</v>
      </c>
      <c r="P11" s="112">
        <v>10167.9</v>
      </c>
      <c r="Q11" s="1211">
        <v>10207.1</v>
      </c>
      <c r="R11" s="1222">
        <v>10171.700000000001</v>
      </c>
      <c r="S11" s="1233">
        <v>10179.4</v>
      </c>
      <c r="T11" s="1216">
        <v>10214.799999999999</v>
      </c>
      <c r="U11" s="1222">
        <v>10247.5</v>
      </c>
      <c r="V11" s="1233">
        <v>10317.799999999999</v>
      </c>
      <c r="W11" s="1216">
        <v>10377.700000000001</v>
      </c>
      <c r="X11" s="1227">
        <v>10399.299999999999</v>
      </c>
    </row>
    <row r="12" spans="1:28" x14ac:dyDescent="0.25">
      <c r="A12" s="177">
        <v>5</v>
      </c>
      <c r="B12" s="131" t="s">
        <v>1758</v>
      </c>
      <c r="C12" s="95">
        <v>1767.7</v>
      </c>
      <c r="D12" s="95">
        <v>1780.1</v>
      </c>
      <c r="E12" s="96">
        <v>1797.4</v>
      </c>
      <c r="F12" s="96">
        <v>1795.8</v>
      </c>
      <c r="G12" s="96">
        <v>1793.7</v>
      </c>
      <c r="H12" s="96">
        <v>1789.6</v>
      </c>
      <c r="I12" s="95">
        <v>1804.5</v>
      </c>
      <c r="J12" s="96">
        <v>1806.7</v>
      </c>
      <c r="K12" s="95">
        <v>1818.5</v>
      </c>
      <c r="L12" s="106">
        <v>1828.4</v>
      </c>
      <c r="M12" s="112">
        <v>1836.7</v>
      </c>
      <c r="N12" s="166">
        <v>1847.2</v>
      </c>
      <c r="O12" s="182">
        <v>1859</v>
      </c>
      <c r="P12" s="112">
        <v>1867.1</v>
      </c>
      <c r="Q12" s="1211">
        <v>1876.1</v>
      </c>
      <c r="R12" s="1222">
        <v>1875.9</v>
      </c>
      <c r="S12" s="1233">
        <v>1879.8</v>
      </c>
      <c r="T12" s="1216">
        <v>1881.1</v>
      </c>
      <c r="U12" s="1222">
        <v>1887.9</v>
      </c>
      <c r="V12" s="1233">
        <v>1903.8</v>
      </c>
      <c r="W12" s="1216">
        <v>1920.7</v>
      </c>
      <c r="X12" s="1227">
        <v>1926.3</v>
      </c>
    </row>
    <row r="13" spans="1:28" x14ac:dyDescent="0.25">
      <c r="A13" s="177">
        <v>6</v>
      </c>
      <c r="B13" s="145" t="s">
        <v>1759</v>
      </c>
      <c r="C13" s="95">
        <v>1046.3</v>
      </c>
      <c r="D13" s="95">
        <v>1054.4000000000001</v>
      </c>
      <c r="E13" s="96">
        <v>1064.8</v>
      </c>
      <c r="F13" s="96">
        <v>1061.4000000000001</v>
      </c>
      <c r="G13" s="96">
        <v>1055.5</v>
      </c>
      <c r="H13" s="96">
        <v>1046.9000000000001</v>
      </c>
      <c r="I13" s="95">
        <v>1066</v>
      </c>
      <c r="J13" s="96">
        <v>1064.3</v>
      </c>
      <c r="K13" s="95">
        <v>1071.2</v>
      </c>
      <c r="L13" s="106">
        <v>1077.3</v>
      </c>
      <c r="M13" s="112">
        <v>1079.5</v>
      </c>
      <c r="N13" s="166">
        <v>1088.5999999999999</v>
      </c>
      <c r="O13" s="182">
        <v>1096.9000000000001</v>
      </c>
      <c r="P13" s="112">
        <v>1102.2</v>
      </c>
      <c r="Q13" s="1211">
        <v>1108.5999999999999</v>
      </c>
      <c r="R13" s="1222">
        <v>1103.3</v>
      </c>
      <c r="S13" s="1233">
        <v>1103.3</v>
      </c>
      <c r="T13" s="1216">
        <v>1101</v>
      </c>
      <c r="U13" s="1222">
        <v>1103.5999999999999</v>
      </c>
      <c r="V13" s="1233">
        <v>1114.8</v>
      </c>
      <c r="W13" s="1216">
        <v>1124.2</v>
      </c>
      <c r="X13" s="1227">
        <v>1125</v>
      </c>
    </row>
    <row r="14" spans="1:28" x14ac:dyDescent="0.25">
      <c r="A14" s="177">
        <v>7</v>
      </c>
      <c r="B14" s="131" t="s">
        <v>1760</v>
      </c>
      <c r="C14" s="95">
        <v>7888.7</v>
      </c>
      <c r="D14" s="95">
        <v>7955.8</v>
      </c>
      <c r="E14" s="96">
        <v>8022.1</v>
      </c>
      <c r="F14" s="96">
        <v>7990</v>
      </c>
      <c r="G14" s="96">
        <v>7970.1</v>
      </c>
      <c r="H14" s="96">
        <v>7972.7</v>
      </c>
      <c r="I14" s="95">
        <v>8013.8</v>
      </c>
      <c r="J14" s="96">
        <v>8076.2</v>
      </c>
      <c r="K14" s="95">
        <v>8119.2</v>
      </c>
      <c r="L14" s="106">
        <v>8148.5</v>
      </c>
      <c r="M14" s="112">
        <v>8183.1</v>
      </c>
      <c r="N14" s="166">
        <v>8223.2000000000007</v>
      </c>
      <c r="O14" s="182">
        <v>8258.4</v>
      </c>
      <c r="P14" s="112">
        <v>8300.7999999999993</v>
      </c>
      <c r="Q14" s="1211">
        <v>8331</v>
      </c>
      <c r="R14" s="1222">
        <v>8295.7000000000007</v>
      </c>
      <c r="S14" s="1233">
        <v>8299.6</v>
      </c>
      <c r="T14" s="1216">
        <v>8333.7000000000007</v>
      </c>
      <c r="U14" s="1222">
        <v>8359.7000000000007</v>
      </c>
      <c r="V14" s="1233">
        <v>8414</v>
      </c>
      <c r="W14" s="1216">
        <v>8457</v>
      </c>
      <c r="X14" s="1227">
        <v>8472.9</v>
      </c>
    </row>
    <row r="15" spans="1:28" x14ac:dyDescent="0.25">
      <c r="A15" s="177">
        <v>8</v>
      </c>
      <c r="B15" s="151" t="s">
        <v>1761</v>
      </c>
      <c r="C15" s="95">
        <v>1734</v>
      </c>
      <c r="D15" s="95">
        <v>1748.4</v>
      </c>
      <c r="E15" s="96">
        <v>1762.3</v>
      </c>
      <c r="F15" s="96">
        <v>1757.7</v>
      </c>
      <c r="G15" s="96">
        <v>1749.7</v>
      </c>
      <c r="H15" s="96">
        <v>1745.6</v>
      </c>
      <c r="I15" s="95">
        <v>1778.8</v>
      </c>
      <c r="J15" s="96">
        <v>1795.8</v>
      </c>
      <c r="K15" s="95">
        <v>1796</v>
      </c>
      <c r="L15" s="106">
        <v>1797.8</v>
      </c>
      <c r="M15" s="112">
        <v>1793.1</v>
      </c>
      <c r="N15" s="166">
        <v>1804.5</v>
      </c>
      <c r="O15" s="182">
        <v>1816.7</v>
      </c>
      <c r="P15" s="112">
        <v>1828</v>
      </c>
      <c r="Q15" s="1211">
        <v>1837.3</v>
      </c>
      <c r="R15" s="1222">
        <v>1825.7</v>
      </c>
      <c r="S15" s="1233">
        <v>1822.5</v>
      </c>
      <c r="T15" s="1216">
        <v>1833.5</v>
      </c>
      <c r="U15" s="1222">
        <v>1833.8</v>
      </c>
      <c r="V15" s="1233">
        <v>1851</v>
      </c>
      <c r="W15" s="1216">
        <v>1851.7</v>
      </c>
      <c r="X15" s="1227">
        <v>1852</v>
      </c>
    </row>
    <row r="16" spans="1:28" x14ac:dyDescent="0.25">
      <c r="A16" s="177">
        <v>9</v>
      </c>
      <c r="B16" s="151" t="s">
        <v>1762</v>
      </c>
      <c r="C16" s="95">
        <v>6154.8</v>
      </c>
      <c r="D16" s="95">
        <v>6207.4</v>
      </c>
      <c r="E16" s="96">
        <v>6259.8</v>
      </c>
      <c r="F16" s="96">
        <v>6232.2</v>
      </c>
      <c r="G16" s="96">
        <v>6220.4</v>
      </c>
      <c r="H16" s="96">
        <v>6227.2</v>
      </c>
      <c r="I16" s="95">
        <v>6235</v>
      </c>
      <c r="J16" s="96">
        <v>6280.4</v>
      </c>
      <c r="K16" s="95">
        <v>6323.1</v>
      </c>
      <c r="L16" s="106">
        <v>6350.7</v>
      </c>
      <c r="M16" s="112">
        <v>6390</v>
      </c>
      <c r="N16" s="166">
        <v>6418.7</v>
      </c>
      <c r="O16" s="182">
        <v>6441.7</v>
      </c>
      <c r="P16" s="112">
        <v>6472.8</v>
      </c>
      <c r="Q16" s="1211">
        <v>6493.8</v>
      </c>
      <c r="R16" s="1222">
        <v>6470.1</v>
      </c>
      <c r="S16" s="1233">
        <v>6477.1</v>
      </c>
      <c r="T16" s="1216">
        <v>6500.2</v>
      </c>
      <c r="U16" s="1222">
        <v>6525.8</v>
      </c>
      <c r="V16" s="1233">
        <v>6563</v>
      </c>
      <c r="W16" s="1216">
        <v>6605.4</v>
      </c>
      <c r="X16" s="1227">
        <v>6620.9</v>
      </c>
    </row>
    <row r="17" spans="1:26" ht="16.350000000000001" customHeight="1" x14ac:dyDescent="0.25">
      <c r="A17" s="177">
        <v>10</v>
      </c>
      <c r="B17" s="135" t="s">
        <v>1763</v>
      </c>
      <c r="C17" s="95">
        <v>1615.4</v>
      </c>
      <c r="D17" s="95">
        <v>1624.8</v>
      </c>
      <c r="E17" s="96">
        <v>1631.1</v>
      </c>
      <c r="F17" s="96">
        <v>1634.6</v>
      </c>
      <c r="G17" s="96">
        <v>1644.8</v>
      </c>
      <c r="H17" s="96">
        <v>1650.4</v>
      </c>
      <c r="I17" s="95">
        <v>1676.4</v>
      </c>
      <c r="J17" s="96">
        <v>1685.7</v>
      </c>
      <c r="K17" s="95">
        <v>1695.5</v>
      </c>
      <c r="L17" s="106">
        <v>1703.2</v>
      </c>
      <c r="M17" s="112">
        <v>1711</v>
      </c>
      <c r="N17" s="166">
        <v>1718.6</v>
      </c>
      <c r="O17" s="182">
        <v>1738.2</v>
      </c>
      <c r="P17" s="112">
        <v>1753.3</v>
      </c>
      <c r="Q17" s="1211">
        <v>1768.6</v>
      </c>
      <c r="R17" s="1222">
        <v>1779.3</v>
      </c>
      <c r="S17" s="1233">
        <v>1786</v>
      </c>
      <c r="T17" s="1216">
        <v>1797</v>
      </c>
      <c r="U17" s="1222">
        <v>1812.9</v>
      </c>
      <c r="V17" s="1233">
        <v>1827.3</v>
      </c>
      <c r="W17" s="1216">
        <v>1842</v>
      </c>
      <c r="X17" s="1227">
        <v>1850.3</v>
      </c>
    </row>
    <row r="18" spans="1:26" ht="16.350000000000001" customHeight="1" x14ac:dyDescent="0.25">
      <c r="A18" s="177">
        <v>11</v>
      </c>
      <c r="B18" s="130" t="s">
        <v>1764</v>
      </c>
      <c r="C18" s="93">
        <v>2382.3000000000002</v>
      </c>
      <c r="D18" s="93">
        <v>2394.1</v>
      </c>
      <c r="E18" s="94">
        <v>2405.5</v>
      </c>
      <c r="F18" s="94">
        <v>2408.5</v>
      </c>
      <c r="G18" s="94">
        <v>2414.1</v>
      </c>
      <c r="H18" s="94">
        <v>2420</v>
      </c>
      <c r="I18" s="93">
        <v>2390.6</v>
      </c>
      <c r="J18" s="94">
        <v>2400.1999999999998</v>
      </c>
      <c r="K18" s="93">
        <v>2408.6</v>
      </c>
      <c r="L18" s="105">
        <v>2412.6</v>
      </c>
      <c r="M18" s="110">
        <v>2420.3000000000002</v>
      </c>
      <c r="N18" s="165">
        <v>2429.6</v>
      </c>
      <c r="O18" s="181">
        <v>2440.8000000000002</v>
      </c>
      <c r="P18" s="110">
        <v>2451.5</v>
      </c>
      <c r="Q18" s="1210">
        <v>2461.4</v>
      </c>
      <c r="R18" s="1221">
        <v>2465.3000000000002</v>
      </c>
      <c r="S18" s="1232">
        <v>2471.1999999999998</v>
      </c>
      <c r="T18" s="1215">
        <v>2479.8000000000002</v>
      </c>
      <c r="U18" s="1221">
        <v>2495.6</v>
      </c>
      <c r="V18" s="1232">
        <v>2506.3000000000002</v>
      </c>
      <c r="W18" s="1215">
        <v>2516.6</v>
      </c>
      <c r="X18" s="1226">
        <v>2523.1999999999998</v>
      </c>
    </row>
    <row r="19" spans="1:26" ht="16.5" customHeight="1" x14ac:dyDescent="0.25">
      <c r="A19" s="178">
        <v>12</v>
      </c>
      <c r="B19" s="171" t="s">
        <v>1765</v>
      </c>
      <c r="C19" s="95">
        <v>1614.2</v>
      </c>
      <c r="D19" s="95">
        <v>1620.2</v>
      </c>
      <c r="E19" s="96">
        <v>1625.6</v>
      </c>
      <c r="F19" s="96">
        <v>1630.6</v>
      </c>
      <c r="G19" s="96">
        <v>1637.1</v>
      </c>
      <c r="H19" s="96">
        <v>1642.9</v>
      </c>
      <c r="I19" s="95">
        <v>1594</v>
      </c>
      <c r="J19" s="96">
        <v>1599</v>
      </c>
      <c r="K19" s="95">
        <v>1603.5</v>
      </c>
      <c r="L19" s="106">
        <v>1604.7</v>
      </c>
      <c r="M19" s="112">
        <v>1609.4</v>
      </c>
      <c r="N19" s="166">
        <v>1615</v>
      </c>
      <c r="O19" s="182">
        <v>1622</v>
      </c>
      <c r="P19" s="112">
        <v>1628.6</v>
      </c>
      <c r="Q19" s="1211">
        <v>1635</v>
      </c>
      <c r="R19" s="1222">
        <v>1640.6</v>
      </c>
      <c r="S19" s="1233">
        <v>1645.5</v>
      </c>
      <c r="T19" s="1216">
        <v>1650.9</v>
      </c>
      <c r="U19" s="1222">
        <v>1659.5</v>
      </c>
      <c r="V19" s="1233">
        <v>1664.5</v>
      </c>
      <c r="W19" s="1216">
        <v>1669.7</v>
      </c>
      <c r="X19" s="1227">
        <v>1674.2</v>
      </c>
    </row>
    <row r="20" spans="1:26" x14ac:dyDescent="0.25">
      <c r="A20" s="178">
        <v>13</v>
      </c>
      <c r="B20" s="171" t="s">
        <v>1766</v>
      </c>
      <c r="C20" s="95">
        <v>768.1</v>
      </c>
      <c r="D20" s="95">
        <v>774</v>
      </c>
      <c r="E20" s="96">
        <v>779.9</v>
      </c>
      <c r="F20" s="96">
        <v>777.9</v>
      </c>
      <c r="G20" s="96">
        <v>777</v>
      </c>
      <c r="H20" s="96">
        <v>777.1</v>
      </c>
      <c r="I20" s="95">
        <v>796.6</v>
      </c>
      <c r="J20" s="96">
        <v>801.1</v>
      </c>
      <c r="K20" s="95">
        <v>805.1</v>
      </c>
      <c r="L20" s="106">
        <v>807.9</v>
      </c>
      <c r="M20" s="112">
        <v>811</v>
      </c>
      <c r="N20" s="166">
        <v>814.6</v>
      </c>
      <c r="O20" s="182">
        <v>818.7</v>
      </c>
      <c r="P20" s="112">
        <v>822.9</v>
      </c>
      <c r="Q20" s="1211">
        <v>826.4</v>
      </c>
      <c r="R20" s="1222">
        <v>824.7</v>
      </c>
      <c r="S20" s="1233">
        <v>825.7</v>
      </c>
      <c r="T20" s="1216">
        <v>828.9</v>
      </c>
      <c r="U20" s="1222">
        <v>836</v>
      </c>
      <c r="V20" s="1233">
        <v>841.9</v>
      </c>
      <c r="W20" s="1216">
        <v>846.9</v>
      </c>
      <c r="X20" s="1227">
        <v>849</v>
      </c>
    </row>
    <row r="21" spans="1:26" ht="16.350000000000001" customHeight="1" x14ac:dyDescent="0.25">
      <c r="A21" s="178">
        <v>14</v>
      </c>
      <c r="B21" s="161" t="s">
        <v>1767</v>
      </c>
      <c r="C21" s="93">
        <v>1846.5</v>
      </c>
      <c r="D21" s="93">
        <v>1869.7</v>
      </c>
      <c r="E21" s="94">
        <v>1874.4</v>
      </c>
      <c r="F21" s="94">
        <v>1877.2</v>
      </c>
      <c r="G21" s="94">
        <v>1882.7</v>
      </c>
      <c r="H21" s="94">
        <v>1888.6</v>
      </c>
      <c r="I21" s="93">
        <v>1832.2</v>
      </c>
      <c r="J21" s="94">
        <v>1828.6</v>
      </c>
      <c r="K21" s="93">
        <v>1821.5</v>
      </c>
      <c r="L21" s="105">
        <v>1821.1</v>
      </c>
      <c r="M21" s="110">
        <v>1821.3</v>
      </c>
      <c r="N21" s="165">
        <v>1829.9</v>
      </c>
      <c r="O21" s="181">
        <v>1839.7</v>
      </c>
      <c r="P21" s="110">
        <v>1861.1</v>
      </c>
      <c r="Q21" s="1210">
        <v>1877.8</v>
      </c>
      <c r="R21" s="1221">
        <v>1880.2</v>
      </c>
      <c r="S21" s="1232">
        <v>1886.2</v>
      </c>
      <c r="T21" s="1215">
        <v>1881.5</v>
      </c>
      <c r="U21" s="1221">
        <v>1887.1</v>
      </c>
      <c r="V21" s="1232">
        <v>1890.4</v>
      </c>
      <c r="W21" s="1215">
        <v>1893.8</v>
      </c>
      <c r="X21" s="1226">
        <v>1894.1</v>
      </c>
    </row>
    <row r="22" spans="1:26" x14ac:dyDescent="0.25">
      <c r="A22" s="177">
        <v>15</v>
      </c>
      <c r="B22" s="58" t="s">
        <v>1768</v>
      </c>
      <c r="C22" s="95">
        <v>94.8</v>
      </c>
      <c r="D22" s="95">
        <v>95.9</v>
      </c>
      <c r="E22" s="96">
        <v>97.1</v>
      </c>
      <c r="F22" s="96">
        <v>99</v>
      </c>
      <c r="G22" s="96">
        <v>100.9</v>
      </c>
      <c r="H22" s="96">
        <v>102.8</v>
      </c>
      <c r="I22" s="95">
        <v>78.7</v>
      </c>
      <c r="J22" s="96">
        <v>71.2</v>
      </c>
      <c r="K22" s="95">
        <v>63.8</v>
      </c>
      <c r="L22" s="106">
        <v>61</v>
      </c>
      <c r="M22" s="112">
        <v>58.2</v>
      </c>
      <c r="N22" s="166">
        <v>55.5</v>
      </c>
      <c r="O22" s="182">
        <v>52.7</v>
      </c>
      <c r="P22" s="112">
        <v>49.9</v>
      </c>
      <c r="Q22" s="1211">
        <v>47.2</v>
      </c>
      <c r="R22" s="1222">
        <v>42.6</v>
      </c>
      <c r="S22" s="1233">
        <v>38</v>
      </c>
      <c r="T22" s="1216">
        <v>33.4</v>
      </c>
      <c r="U22" s="1222">
        <v>35</v>
      </c>
      <c r="V22" s="1233">
        <v>36.6</v>
      </c>
      <c r="W22" s="1216">
        <v>38.299999999999997</v>
      </c>
      <c r="X22" s="1227">
        <v>35.1</v>
      </c>
    </row>
    <row r="23" spans="1:26" x14ac:dyDescent="0.25">
      <c r="A23" s="177">
        <v>16</v>
      </c>
      <c r="B23" s="58" t="s">
        <v>1769</v>
      </c>
      <c r="C23" s="95">
        <v>1751.7</v>
      </c>
      <c r="D23" s="95">
        <v>1773.7</v>
      </c>
      <c r="E23" s="96">
        <v>1777.4</v>
      </c>
      <c r="F23" s="96">
        <v>1778.3</v>
      </c>
      <c r="G23" s="96">
        <v>1781.9</v>
      </c>
      <c r="H23" s="96">
        <v>1785.8</v>
      </c>
      <c r="I23" s="95">
        <v>1753.5</v>
      </c>
      <c r="J23" s="96">
        <v>1757.4</v>
      </c>
      <c r="K23" s="95">
        <v>1757.7</v>
      </c>
      <c r="L23" s="106">
        <v>1760.1</v>
      </c>
      <c r="M23" s="112">
        <v>1763.1</v>
      </c>
      <c r="N23" s="166">
        <v>1774.4</v>
      </c>
      <c r="O23" s="182">
        <v>1787</v>
      </c>
      <c r="P23" s="112">
        <v>1811.2</v>
      </c>
      <c r="Q23" s="1211">
        <v>1830.6</v>
      </c>
      <c r="R23" s="1222">
        <v>1837.6</v>
      </c>
      <c r="S23" s="1233">
        <v>1848.2</v>
      </c>
      <c r="T23" s="1216">
        <v>1848.1</v>
      </c>
      <c r="U23" s="1222">
        <v>1852</v>
      </c>
      <c r="V23" s="1233">
        <v>1853.7</v>
      </c>
      <c r="W23" s="1216">
        <v>1855.5</v>
      </c>
      <c r="X23" s="1227">
        <v>1859</v>
      </c>
    </row>
    <row r="24" spans="1:26" x14ac:dyDescent="0.25">
      <c r="A24" s="178">
        <v>17</v>
      </c>
      <c r="B24" s="161" t="s">
        <v>1770</v>
      </c>
      <c r="C24" s="93">
        <v>792.9</v>
      </c>
      <c r="D24" s="93">
        <v>794.9</v>
      </c>
      <c r="E24" s="94">
        <v>797</v>
      </c>
      <c r="F24" s="94">
        <v>804.7</v>
      </c>
      <c r="G24" s="94">
        <v>810.6</v>
      </c>
      <c r="H24" s="94">
        <v>820</v>
      </c>
      <c r="I24" s="93">
        <v>930.9</v>
      </c>
      <c r="J24" s="94">
        <v>945.7</v>
      </c>
      <c r="K24" s="93">
        <v>960.7</v>
      </c>
      <c r="L24" s="105">
        <v>960.6</v>
      </c>
      <c r="M24" s="110">
        <v>960.8</v>
      </c>
      <c r="N24" s="165">
        <v>961.8</v>
      </c>
      <c r="O24" s="181">
        <v>967.2</v>
      </c>
      <c r="P24" s="110">
        <v>974.5</v>
      </c>
      <c r="Q24" s="1210">
        <v>981.5</v>
      </c>
      <c r="R24" s="1221">
        <v>985.3</v>
      </c>
      <c r="S24" s="1232">
        <v>988.1</v>
      </c>
      <c r="T24" s="1215">
        <v>991</v>
      </c>
      <c r="U24" s="1221">
        <v>1007.1</v>
      </c>
      <c r="V24" s="1232">
        <v>1023.4</v>
      </c>
      <c r="W24" s="1215">
        <v>1039</v>
      </c>
      <c r="X24" s="1226">
        <v>1040.2</v>
      </c>
    </row>
    <row r="25" spans="1:26" x14ac:dyDescent="0.25">
      <c r="A25" s="177">
        <v>18</v>
      </c>
      <c r="B25" s="129" t="s">
        <v>1771</v>
      </c>
      <c r="C25" s="93">
        <v>3350.6</v>
      </c>
      <c r="D25" s="93">
        <v>3358.1</v>
      </c>
      <c r="E25" s="94">
        <v>3367.7</v>
      </c>
      <c r="F25" s="94">
        <v>3413.8</v>
      </c>
      <c r="G25" s="94">
        <v>3424.7</v>
      </c>
      <c r="H25" s="94">
        <v>3433.5</v>
      </c>
      <c r="I25" s="93">
        <v>3559.3</v>
      </c>
      <c r="J25" s="94">
        <v>3570.9</v>
      </c>
      <c r="K25" s="93">
        <v>3600.9</v>
      </c>
      <c r="L25" s="105">
        <v>3606.8</v>
      </c>
      <c r="M25" s="110">
        <v>3610.2</v>
      </c>
      <c r="N25" s="165">
        <v>3590.7</v>
      </c>
      <c r="O25" s="181">
        <v>3594.4</v>
      </c>
      <c r="P25" s="110">
        <v>3607.3</v>
      </c>
      <c r="Q25" s="1210">
        <v>3617.9</v>
      </c>
      <c r="R25" s="1221">
        <v>3645.6</v>
      </c>
      <c r="S25" s="1232">
        <v>3672.7</v>
      </c>
      <c r="T25" s="1215">
        <v>3683.6</v>
      </c>
      <c r="U25" s="1221">
        <v>3750.7</v>
      </c>
      <c r="V25" s="1232">
        <v>3672.9</v>
      </c>
      <c r="W25" s="1215">
        <v>3673</v>
      </c>
      <c r="X25" s="1226">
        <v>3690.1</v>
      </c>
    </row>
    <row r="26" spans="1:26" x14ac:dyDescent="0.25">
      <c r="A26" s="177">
        <v>19</v>
      </c>
      <c r="B26" s="58" t="s">
        <v>1772</v>
      </c>
      <c r="C26" s="95">
        <v>1731.1</v>
      </c>
      <c r="D26" s="95">
        <v>1738</v>
      </c>
      <c r="E26" s="96">
        <v>1745.2</v>
      </c>
      <c r="F26" s="96">
        <v>1766.6</v>
      </c>
      <c r="G26" s="96">
        <v>1788.7</v>
      </c>
      <c r="H26" s="96">
        <v>1811.6</v>
      </c>
      <c r="I26" s="95">
        <v>1736.2</v>
      </c>
      <c r="J26" s="96">
        <v>1744.3</v>
      </c>
      <c r="K26" s="95">
        <v>1752.6</v>
      </c>
      <c r="L26" s="106">
        <v>1753.6</v>
      </c>
      <c r="M26" s="112">
        <v>1754.7</v>
      </c>
      <c r="N26" s="166">
        <v>1756.1</v>
      </c>
      <c r="O26" s="182">
        <v>1766.1</v>
      </c>
      <c r="P26" s="112">
        <v>1776.3</v>
      </c>
      <c r="Q26" s="1211">
        <v>1786.7</v>
      </c>
      <c r="R26" s="1222">
        <v>1801</v>
      </c>
      <c r="S26" s="1233">
        <v>1815.5</v>
      </c>
      <c r="T26" s="1216">
        <v>1830.2</v>
      </c>
      <c r="U26" s="1222">
        <v>1821.4</v>
      </c>
      <c r="V26" s="1233">
        <v>1812.8</v>
      </c>
      <c r="W26" s="1216">
        <v>1805.2</v>
      </c>
      <c r="X26" s="1227">
        <v>1812.1</v>
      </c>
    </row>
    <row r="27" spans="1:26" x14ac:dyDescent="0.25">
      <c r="A27" s="177">
        <v>20</v>
      </c>
      <c r="B27" s="58" t="s">
        <v>1773</v>
      </c>
      <c r="C27" s="95">
        <v>1619.5</v>
      </c>
      <c r="D27" s="95">
        <v>1620.1</v>
      </c>
      <c r="E27" s="96">
        <v>1622.6</v>
      </c>
      <c r="F27" s="96">
        <v>1647.2</v>
      </c>
      <c r="G27" s="96">
        <v>1636</v>
      </c>
      <c r="H27" s="96">
        <v>1622</v>
      </c>
      <c r="I27" s="95">
        <v>1823.1</v>
      </c>
      <c r="J27" s="96">
        <v>1826.6</v>
      </c>
      <c r="K27" s="95">
        <v>1848.3</v>
      </c>
      <c r="L27" s="106">
        <v>1853.3</v>
      </c>
      <c r="M27" s="112">
        <v>1855.5</v>
      </c>
      <c r="N27" s="166">
        <v>1834.7</v>
      </c>
      <c r="O27" s="182">
        <v>1828.3</v>
      </c>
      <c r="P27" s="112">
        <v>1831</v>
      </c>
      <c r="Q27" s="1211">
        <v>1831.2</v>
      </c>
      <c r="R27" s="1222">
        <v>1844.6</v>
      </c>
      <c r="S27" s="1233">
        <v>1857.2</v>
      </c>
      <c r="T27" s="1216">
        <v>1853.4</v>
      </c>
      <c r="U27" s="1222">
        <v>1929.3</v>
      </c>
      <c r="V27" s="1233">
        <v>1860.1</v>
      </c>
      <c r="W27" s="1216">
        <v>1867.8</v>
      </c>
      <c r="X27" s="1227">
        <v>1878</v>
      </c>
    </row>
    <row r="28" spans="1:26" x14ac:dyDescent="0.25">
      <c r="A28" s="177">
        <v>21</v>
      </c>
      <c r="B28" s="129" t="s">
        <v>1774</v>
      </c>
      <c r="C28" s="93">
        <v>3891.7</v>
      </c>
      <c r="D28" s="93">
        <v>3893.9</v>
      </c>
      <c r="E28" s="94">
        <v>3892.9</v>
      </c>
      <c r="F28" s="94">
        <v>3981.6</v>
      </c>
      <c r="G28" s="94">
        <v>4002.2</v>
      </c>
      <c r="H28" s="94">
        <v>4010.8</v>
      </c>
      <c r="I28" s="93">
        <v>4083.3</v>
      </c>
      <c r="J28" s="94">
        <v>4108.8</v>
      </c>
      <c r="K28" s="93">
        <v>4115.1000000000004</v>
      </c>
      <c r="L28" s="105">
        <v>4112.3</v>
      </c>
      <c r="M28" s="110">
        <v>4126.8</v>
      </c>
      <c r="N28" s="165">
        <v>4121.3</v>
      </c>
      <c r="O28" s="181">
        <v>4097.8999999999996</v>
      </c>
      <c r="P28" s="110">
        <v>4096.5</v>
      </c>
      <c r="Q28" s="1210">
        <v>4086.6</v>
      </c>
      <c r="R28" s="1221">
        <v>4083.8</v>
      </c>
      <c r="S28" s="1232">
        <v>4082</v>
      </c>
      <c r="T28" s="1215">
        <v>4094.6</v>
      </c>
      <c r="U28" s="1221">
        <v>4216.7</v>
      </c>
      <c r="V28" s="1232">
        <v>4258.3999999999996</v>
      </c>
      <c r="W28" s="1215">
        <v>4290.8</v>
      </c>
      <c r="X28" s="1226">
        <v>4305.5</v>
      </c>
    </row>
    <row r="29" spans="1:26" x14ac:dyDescent="0.25">
      <c r="A29" s="177">
        <v>22</v>
      </c>
      <c r="B29" s="58" t="s">
        <v>1775</v>
      </c>
      <c r="C29" s="95">
        <v>3821.1</v>
      </c>
      <c r="D29" s="95">
        <v>3824.5</v>
      </c>
      <c r="E29" s="96">
        <v>3823.5</v>
      </c>
      <c r="F29" s="96">
        <v>3912.2</v>
      </c>
      <c r="G29" s="96">
        <v>3932.8</v>
      </c>
      <c r="H29" s="96">
        <v>3941.2</v>
      </c>
      <c r="I29" s="95">
        <v>3983.1</v>
      </c>
      <c r="J29" s="96">
        <v>4007.9</v>
      </c>
      <c r="K29" s="95">
        <v>4013.6</v>
      </c>
      <c r="L29" s="106">
        <v>4010.1</v>
      </c>
      <c r="M29" s="112">
        <v>4024</v>
      </c>
      <c r="N29" s="166">
        <v>4017.8</v>
      </c>
      <c r="O29" s="182">
        <v>3993.8</v>
      </c>
      <c r="P29" s="112">
        <v>3991.8</v>
      </c>
      <c r="Q29" s="1211">
        <v>3977.7</v>
      </c>
      <c r="R29" s="1222">
        <v>3977.9</v>
      </c>
      <c r="S29" s="1233">
        <v>3972.1</v>
      </c>
      <c r="T29" s="1216">
        <v>3987.7</v>
      </c>
      <c r="U29" s="1222">
        <v>4094.5</v>
      </c>
      <c r="V29" s="1233">
        <v>4149</v>
      </c>
      <c r="W29" s="1216">
        <v>4180.8999999999996</v>
      </c>
      <c r="X29" s="1227">
        <v>4195.1000000000004</v>
      </c>
      <c r="Y29" s="115"/>
      <c r="Z29" s="185"/>
    </row>
    <row r="30" spans="1:26" ht="16.5" customHeight="1" x14ac:dyDescent="0.25">
      <c r="A30" s="108">
        <v>23</v>
      </c>
      <c r="B30" s="117" t="s">
        <v>1776</v>
      </c>
      <c r="C30" s="118">
        <v>1211.0999999999999</v>
      </c>
      <c r="D30" s="118">
        <v>1215.9000000000001</v>
      </c>
      <c r="E30" s="119">
        <v>1216.9000000000001</v>
      </c>
      <c r="F30" s="96">
        <v>1229.0999999999999</v>
      </c>
      <c r="G30" s="96">
        <v>1224.3</v>
      </c>
      <c r="H30" s="96">
        <v>1223.5999999999999</v>
      </c>
      <c r="I30" s="95">
        <v>1335.4</v>
      </c>
      <c r="J30" s="96">
        <v>1340.1</v>
      </c>
      <c r="K30" s="95">
        <v>1344.5</v>
      </c>
      <c r="L30" s="106">
        <v>1349.9</v>
      </c>
      <c r="M30" s="112">
        <v>1354.7</v>
      </c>
      <c r="N30" s="166">
        <v>1356.7</v>
      </c>
      <c r="O30" s="182">
        <v>1358.3</v>
      </c>
      <c r="P30" s="112">
        <v>1362.1</v>
      </c>
      <c r="Q30" s="1211">
        <v>1363.4</v>
      </c>
      <c r="R30" s="1222">
        <v>1378.6</v>
      </c>
      <c r="S30" s="1233">
        <v>1370.3</v>
      </c>
      <c r="T30" s="1216">
        <v>1373.8</v>
      </c>
      <c r="U30" s="1222">
        <v>1421.9</v>
      </c>
      <c r="V30" s="1233">
        <v>1425.6</v>
      </c>
      <c r="W30" s="1216">
        <v>1433.2</v>
      </c>
      <c r="X30" s="1227">
        <v>1434.2</v>
      </c>
      <c r="Y30" s="120">
        <f>'Social Benefits'!Z70</f>
        <v>1439.9159999999999</v>
      </c>
    </row>
    <row r="31" spans="1:26" ht="16.350000000000001" customHeight="1" x14ac:dyDescent="0.25">
      <c r="A31" s="108">
        <v>24</v>
      </c>
      <c r="B31" s="117" t="s">
        <v>1777</v>
      </c>
      <c r="C31" s="118">
        <v>914.1</v>
      </c>
      <c r="D31" s="118">
        <v>920.1</v>
      </c>
      <c r="E31" s="119">
        <v>926.7</v>
      </c>
      <c r="F31" s="96">
        <v>933.8</v>
      </c>
      <c r="G31" s="96">
        <v>941.5</v>
      </c>
      <c r="H31" s="96">
        <v>949.7</v>
      </c>
      <c r="I31" s="95">
        <v>936.9</v>
      </c>
      <c r="J31" s="96">
        <v>938.1</v>
      </c>
      <c r="K31" s="95">
        <v>939.3</v>
      </c>
      <c r="L31" s="106">
        <v>940.6</v>
      </c>
      <c r="M31" s="112">
        <v>941.9</v>
      </c>
      <c r="N31" s="166">
        <v>943.3</v>
      </c>
      <c r="O31" s="182">
        <v>944.8</v>
      </c>
      <c r="P31" s="112">
        <v>946.3</v>
      </c>
      <c r="Q31" s="1211">
        <v>947.9</v>
      </c>
      <c r="R31" s="1222">
        <v>949.6</v>
      </c>
      <c r="S31" s="1233">
        <v>951.3</v>
      </c>
      <c r="T31" s="1216">
        <v>953.1</v>
      </c>
      <c r="U31" s="1222">
        <v>960.2</v>
      </c>
      <c r="V31" s="1233">
        <v>965.1</v>
      </c>
      <c r="W31" s="1216">
        <v>970.5</v>
      </c>
      <c r="X31" s="1227">
        <v>976.5</v>
      </c>
      <c r="Y31" s="121">
        <f>Medicare!Z10</f>
        <v>980.56003292022876</v>
      </c>
      <c r="Z31" t="s">
        <v>2258</v>
      </c>
    </row>
    <row r="32" spans="1:26" x14ac:dyDescent="0.25">
      <c r="A32" s="108">
        <v>25</v>
      </c>
      <c r="B32" s="117" t="s">
        <v>54</v>
      </c>
      <c r="C32" s="118">
        <v>790.3</v>
      </c>
      <c r="D32" s="118">
        <v>785.3</v>
      </c>
      <c r="E32" s="119">
        <v>782.8</v>
      </c>
      <c r="F32" s="96">
        <v>791.2</v>
      </c>
      <c r="G32" s="96">
        <v>796.9</v>
      </c>
      <c r="H32" s="96">
        <v>800.6</v>
      </c>
      <c r="I32" s="95">
        <v>856.7</v>
      </c>
      <c r="J32" s="96">
        <v>871.5</v>
      </c>
      <c r="K32" s="95">
        <v>886.1</v>
      </c>
      <c r="L32" s="106">
        <v>908.2</v>
      </c>
      <c r="M32" s="112">
        <v>916.2</v>
      </c>
      <c r="N32" s="166">
        <v>909.8</v>
      </c>
      <c r="O32" s="182">
        <v>893.4</v>
      </c>
      <c r="P32" s="112">
        <v>879.5</v>
      </c>
      <c r="Q32" s="1211">
        <v>868.8</v>
      </c>
      <c r="R32" s="1222">
        <v>863.5</v>
      </c>
      <c r="S32" s="1233">
        <v>865.8</v>
      </c>
      <c r="T32" s="1216">
        <v>875.6</v>
      </c>
      <c r="U32" s="1222">
        <v>903.2</v>
      </c>
      <c r="V32" s="1233">
        <v>924.1</v>
      </c>
      <c r="W32" s="1216">
        <v>939.8</v>
      </c>
      <c r="X32" s="1227">
        <v>950.2</v>
      </c>
      <c r="Y32" s="121">
        <f>forecast!D11</f>
        <v>980.51517997305109</v>
      </c>
      <c r="Z32" t="s">
        <v>2259</v>
      </c>
    </row>
    <row r="33" spans="1:26" x14ac:dyDescent="0.25">
      <c r="A33" s="108">
        <v>26</v>
      </c>
      <c r="B33" s="117" t="s">
        <v>263</v>
      </c>
      <c r="C33" s="118">
        <v>18.7</v>
      </c>
      <c r="D33" s="118">
        <v>18.899999999999999</v>
      </c>
      <c r="E33" s="119">
        <v>18</v>
      </c>
      <c r="F33" s="96">
        <v>18.899999999999999</v>
      </c>
      <c r="G33" s="96">
        <v>20.6</v>
      </c>
      <c r="H33" s="96">
        <v>21.6</v>
      </c>
      <c r="I33" s="95">
        <v>21.1</v>
      </c>
      <c r="J33" s="96">
        <v>22</v>
      </c>
      <c r="K33" s="95">
        <v>22.8</v>
      </c>
      <c r="L33" s="106">
        <v>22.8</v>
      </c>
      <c r="M33" s="112">
        <v>22.3</v>
      </c>
      <c r="N33" s="166">
        <v>21.6</v>
      </c>
      <c r="O33" s="182">
        <v>21.1</v>
      </c>
      <c r="P33" s="112">
        <v>21.1</v>
      </c>
      <c r="Q33" s="1211">
        <v>20.8</v>
      </c>
      <c r="R33" s="1222">
        <v>22.1</v>
      </c>
      <c r="S33" s="1233">
        <v>23.1</v>
      </c>
      <c r="T33" s="1216">
        <v>22.9</v>
      </c>
      <c r="U33" s="1222">
        <v>22.6</v>
      </c>
      <c r="V33" s="1233">
        <v>22.8</v>
      </c>
      <c r="W33" s="1216">
        <v>22.8</v>
      </c>
      <c r="X33" s="1227">
        <v>22.5</v>
      </c>
      <c r="Y33" s="121">
        <f>forecast!D9+forecast!D8</f>
        <v>22.5</v>
      </c>
      <c r="Z33">
        <v>22</v>
      </c>
    </row>
    <row r="34" spans="1:26" ht="16.350000000000001" customHeight="1" x14ac:dyDescent="0.25">
      <c r="A34" s="177">
        <v>27</v>
      </c>
      <c r="B34" s="135" t="s">
        <v>1778</v>
      </c>
      <c r="C34" s="95">
        <v>161.1</v>
      </c>
      <c r="D34" s="95">
        <v>161.6</v>
      </c>
      <c r="E34" s="96">
        <v>162.5</v>
      </c>
      <c r="F34" s="96">
        <v>163.19999999999999</v>
      </c>
      <c r="G34" s="96">
        <v>164</v>
      </c>
      <c r="H34" s="96">
        <v>164.8</v>
      </c>
      <c r="I34" s="95">
        <v>173.1</v>
      </c>
      <c r="J34" s="96">
        <v>172.9</v>
      </c>
      <c r="K34" s="95">
        <v>172.7</v>
      </c>
      <c r="L34" s="106">
        <v>172.7</v>
      </c>
      <c r="M34" s="112">
        <v>172.4</v>
      </c>
      <c r="N34" s="166">
        <v>172.5</v>
      </c>
      <c r="O34" s="182">
        <v>172.7</v>
      </c>
      <c r="P34" s="112">
        <v>172.9</v>
      </c>
      <c r="Q34" s="1211">
        <v>173</v>
      </c>
      <c r="R34" s="1222">
        <v>173.3</v>
      </c>
      <c r="S34" s="1233">
        <v>173.6</v>
      </c>
      <c r="T34" s="1216">
        <v>173.9</v>
      </c>
      <c r="U34" s="1222">
        <v>174.3</v>
      </c>
      <c r="V34" s="1233">
        <v>174.7</v>
      </c>
      <c r="W34" s="1216">
        <v>175</v>
      </c>
      <c r="X34" s="1227">
        <v>175.3</v>
      </c>
    </row>
    <row r="35" spans="1:26" x14ac:dyDescent="0.25">
      <c r="A35" s="177">
        <v>28</v>
      </c>
      <c r="B35" s="135" t="s">
        <v>532</v>
      </c>
      <c r="C35" s="95">
        <v>725.8</v>
      </c>
      <c r="D35" s="95">
        <v>722.7</v>
      </c>
      <c r="E35" s="96">
        <v>716.6</v>
      </c>
      <c r="F35" s="96">
        <v>776</v>
      </c>
      <c r="G35" s="96">
        <v>785.4</v>
      </c>
      <c r="H35" s="96">
        <v>780.9</v>
      </c>
      <c r="I35" s="95">
        <v>659.8</v>
      </c>
      <c r="J35" s="96">
        <v>663.3</v>
      </c>
      <c r="K35" s="95">
        <v>648.20000000000005</v>
      </c>
      <c r="L35" s="106">
        <v>615.9</v>
      </c>
      <c r="M35" s="112">
        <v>616.4</v>
      </c>
      <c r="N35" s="166">
        <v>613.79999999999995</v>
      </c>
      <c r="O35" s="182">
        <v>603.5</v>
      </c>
      <c r="P35" s="112">
        <v>610</v>
      </c>
      <c r="Q35" s="1211">
        <v>603.79999999999995</v>
      </c>
      <c r="R35" s="1222">
        <v>590.79999999999995</v>
      </c>
      <c r="S35" s="1233">
        <v>588.1</v>
      </c>
      <c r="T35" s="1216">
        <v>588.29999999999995</v>
      </c>
      <c r="U35" s="1222">
        <v>612.29999999999995</v>
      </c>
      <c r="V35" s="1233">
        <v>636.79999999999995</v>
      </c>
      <c r="W35" s="1216">
        <v>639.6</v>
      </c>
      <c r="X35" s="1227">
        <v>636.5</v>
      </c>
    </row>
    <row r="36" spans="1:26" x14ac:dyDescent="0.25">
      <c r="A36" s="177">
        <v>29</v>
      </c>
      <c r="B36" s="132" t="s">
        <v>1779</v>
      </c>
      <c r="C36" s="95">
        <v>70.7</v>
      </c>
      <c r="D36" s="95">
        <v>69.400000000000006</v>
      </c>
      <c r="E36" s="96">
        <v>69.400000000000006</v>
      </c>
      <c r="F36" s="96">
        <v>69.400000000000006</v>
      </c>
      <c r="G36" s="96">
        <v>69.5</v>
      </c>
      <c r="H36" s="96">
        <v>69.599999999999994</v>
      </c>
      <c r="I36" s="95">
        <v>100.2</v>
      </c>
      <c r="J36" s="96">
        <v>100.9</v>
      </c>
      <c r="K36" s="95">
        <v>101.6</v>
      </c>
      <c r="L36" s="106">
        <v>102.2</v>
      </c>
      <c r="M36" s="112">
        <v>102.8</v>
      </c>
      <c r="N36" s="166">
        <v>103.5</v>
      </c>
      <c r="O36" s="182">
        <v>104.1</v>
      </c>
      <c r="P36" s="112">
        <v>104.7</v>
      </c>
      <c r="Q36" s="1211">
        <v>108.9</v>
      </c>
      <c r="R36" s="1222">
        <v>105.8</v>
      </c>
      <c r="S36" s="1233">
        <v>109.9</v>
      </c>
      <c r="T36" s="1216">
        <v>106.9</v>
      </c>
      <c r="U36" s="1222">
        <v>122.2</v>
      </c>
      <c r="V36" s="1233">
        <v>109.4</v>
      </c>
      <c r="W36" s="1216">
        <v>109.9</v>
      </c>
      <c r="X36" s="1227">
        <v>110.4</v>
      </c>
    </row>
    <row r="37" spans="1:26" x14ac:dyDescent="0.25">
      <c r="A37" s="108">
        <v>30</v>
      </c>
      <c r="B37" s="123" t="s">
        <v>1780</v>
      </c>
      <c r="C37" s="124">
        <v>1683.6</v>
      </c>
      <c r="D37" s="124">
        <v>1695.6</v>
      </c>
      <c r="E37" s="125">
        <v>1707.7</v>
      </c>
      <c r="F37" s="94">
        <v>1704.3</v>
      </c>
      <c r="G37" s="94">
        <v>1703.1</v>
      </c>
      <c r="H37" s="94">
        <v>1703.8</v>
      </c>
      <c r="I37" s="93">
        <v>1765.5</v>
      </c>
      <c r="J37" s="94">
        <v>1774.3</v>
      </c>
      <c r="K37" s="93">
        <v>1782</v>
      </c>
      <c r="L37" s="105">
        <v>1787.4</v>
      </c>
      <c r="M37" s="110">
        <v>1793.6</v>
      </c>
      <c r="N37" s="165">
        <v>1800.9</v>
      </c>
      <c r="O37" s="181">
        <v>1809.2</v>
      </c>
      <c r="P37" s="110">
        <v>1817.6</v>
      </c>
      <c r="Q37" s="1210">
        <v>1824.6</v>
      </c>
      <c r="R37" s="1221">
        <v>1821.7</v>
      </c>
      <c r="S37" s="1232">
        <v>1824.1</v>
      </c>
      <c r="T37" s="1215">
        <v>1830.7</v>
      </c>
      <c r="U37" s="1221">
        <v>1852.5</v>
      </c>
      <c r="V37" s="1232">
        <v>1864.2</v>
      </c>
      <c r="W37" s="1215">
        <v>1874.4</v>
      </c>
      <c r="X37" s="1226">
        <v>1878.8</v>
      </c>
      <c r="Y37" s="120">
        <f>Taxes!Z12+Taxes!Z23</f>
        <v>1893.3668230826183</v>
      </c>
      <c r="Z37" t="s">
        <v>2260</v>
      </c>
    </row>
    <row r="38" spans="1:26" x14ac:dyDescent="0.25">
      <c r="A38" s="108">
        <v>31</v>
      </c>
      <c r="B38" s="126" t="s">
        <v>242</v>
      </c>
      <c r="C38" s="124">
        <v>3224.2</v>
      </c>
      <c r="D38" s="124">
        <v>3236.7</v>
      </c>
      <c r="E38" s="125">
        <v>3248.6</v>
      </c>
      <c r="F38" s="94">
        <v>3232.7</v>
      </c>
      <c r="G38" s="94">
        <v>3213.6</v>
      </c>
      <c r="H38" s="94">
        <v>3202.1</v>
      </c>
      <c r="I38" s="93">
        <v>2767.2</v>
      </c>
      <c r="J38" s="94">
        <v>2763.4</v>
      </c>
      <c r="K38" s="93">
        <v>2760.4</v>
      </c>
      <c r="L38" s="105">
        <v>2707.4</v>
      </c>
      <c r="M38" s="110">
        <v>2691.2</v>
      </c>
      <c r="N38" s="165">
        <v>2712.9</v>
      </c>
      <c r="O38" s="181">
        <v>2744.1</v>
      </c>
      <c r="P38" s="110">
        <v>2768.2</v>
      </c>
      <c r="Q38" s="1210">
        <v>2783.7</v>
      </c>
      <c r="R38" s="1221">
        <v>2785.6</v>
      </c>
      <c r="S38" s="1232">
        <v>2791.7</v>
      </c>
      <c r="T38" s="1215">
        <v>2800.1</v>
      </c>
      <c r="U38" s="1221">
        <v>2912.3</v>
      </c>
      <c r="V38" s="1232">
        <v>2926.2</v>
      </c>
      <c r="W38" s="1215">
        <v>2952</v>
      </c>
      <c r="X38" s="1226">
        <v>2977.1</v>
      </c>
      <c r="Y38" s="120">
        <f>Taxes!Z10+Taxes!Z21</f>
        <v>3002.8293082385298</v>
      </c>
      <c r="Z38" t="s">
        <v>2261</v>
      </c>
    </row>
    <row r="39" spans="1:26" x14ac:dyDescent="0.25">
      <c r="A39" s="177">
        <v>32</v>
      </c>
      <c r="B39" s="60" t="s">
        <v>1781</v>
      </c>
      <c r="C39" s="93">
        <v>18628.099999999999</v>
      </c>
      <c r="D39" s="93">
        <v>18739.099999999999</v>
      </c>
      <c r="E39" s="94">
        <v>18831.7</v>
      </c>
      <c r="F39" s="94">
        <v>18969.2</v>
      </c>
      <c r="G39" s="94">
        <v>19026.5</v>
      </c>
      <c r="H39" s="94">
        <v>19079.7</v>
      </c>
      <c r="I39" s="93">
        <v>19758.099999999999</v>
      </c>
      <c r="J39" s="94">
        <v>19885</v>
      </c>
      <c r="K39" s="93">
        <v>19997.5</v>
      </c>
      <c r="L39" s="105">
        <v>20098.7</v>
      </c>
      <c r="M39" s="110">
        <v>20185.400000000001</v>
      </c>
      <c r="N39" s="165">
        <v>20208.400000000001</v>
      </c>
      <c r="O39" s="181">
        <v>20242.2</v>
      </c>
      <c r="P39" s="110">
        <v>20326.400000000001</v>
      </c>
      <c r="Q39" s="1210">
        <v>20392.5</v>
      </c>
      <c r="R39" s="1221">
        <v>20403.8</v>
      </c>
      <c r="S39" s="1232">
        <v>20449.8</v>
      </c>
      <c r="T39" s="1215">
        <v>20511.5</v>
      </c>
      <c r="U39" s="1221">
        <v>20652.8</v>
      </c>
      <c r="V39" s="1232">
        <v>20706.099999999999</v>
      </c>
      <c r="W39" s="1215">
        <v>20806.5</v>
      </c>
      <c r="X39" s="1226">
        <v>20846.599999999999</v>
      </c>
    </row>
    <row r="40" spans="1:26" x14ac:dyDescent="0.25">
      <c r="A40" s="177">
        <v>33</v>
      </c>
      <c r="B40" s="60" t="s">
        <v>243</v>
      </c>
      <c r="C40" s="93">
        <v>17983.400000000001</v>
      </c>
      <c r="D40" s="93">
        <v>18132.7</v>
      </c>
      <c r="E40" s="94">
        <v>18257.400000000001</v>
      </c>
      <c r="F40" s="94">
        <v>18391.8</v>
      </c>
      <c r="G40" s="94">
        <v>18362.3</v>
      </c>
      <c r="H40" s="94">
        <v>18377.400000000001</v>
      </c>
      <c r="I40" s="93">
        <v>18887</v>
      </c>
      <c r="J40" s="94">
        <v>18959</v>
      </c>
      <c r="K40" s="93">
        <v>18950</v>
      </c>
      <c r="L40" s="105">
        <v>19056.2</v>
      </c>
      <c r="M40" s="110">
        <v>19125.400000000001</v>
      </c>
      <c r="N40" s="165">
        <v>19228.3</v>
      </c>
      <c r="O40" s="181">
        <v>19351.5</v>
      </c>
      <c r="P40" s="110">
        <v>19417</v>
      </c>
      <c r="Q40" s="1210">
        <v>19600.900000000001</v>
      </c>
      <c r="R40" s="1221">
        <v>19622.8</v>
      </c>
      <c r="S40" s="1232">
        <v>19683.8</v>
      </c>
      <c r="T40" s="1215">
        <v>19779.3</v>
      </c>
      <c r="U40" s="1221">
        <v>19796.7</v>
      </c>
      <c r="V40" s="1232">
        <v>19919.400000000001</v>
      </c>
      <c r="W40" s="1215">
        <v>20059.400000000001</v>
      </c>
      <c r="X40" s="1226">
        <v>20102.2</v>
      </c>
    </row>
    <row r="41" spans="1:26" x14ac:dyDescent="0.25">
      <c r="A41" s="177">
        <v>34</v>
      </c>
      <c r="B41" s="85" t="s">
        <v>1715</v>
      </c>
      <c r="C41" s="95">
        <v>17420.3</v>
      </c>
      <c r="D41" s="95">
        <v>17550.900000000001</v>
      </c>
      <c r="E41" s="96">
        <v>17656.8</v>
      </c>
      <c r="F41" s="96">
        <v>17778.2</v>
      </c>
      <c r="G41" s="96">
        <v>17735</v>
      </c>
      <c r="H41" s="96">
        <v>17736.5</v>
      </c>
      <c r="I41" s="95">
        <v>18229.599999999999</v>
      </c>
      <c r="J41" s="96">
        <v>18296.5</v>
      </c>
      <c r="K41" s="95">
        <v>18282.599999999999</v>
      </c>
      <c r="L41" s="106">
        <v>18363.8</v>
      </c>
      <c r="M41" s="112">
        <v>18407.8</v>
      </c>
      <c r="N41" s="166">
        <v>18485.400000000001</v>
      </c>
      <c r="O41" s="182">
        <v>18595.400000000001</v>
      </c>
      <c r="P41" s="112">
        <v>18651.599999999999</v>
      </c>
      <c r="Q41" s="1211">
        <v>18791.5</v>
      </c>
      <c r="R41" s="1222">
        <v>18826.8</v>
      </c>
      <c r="S41" s="1233">
        <v>18903</v>
      </c>
      <c r="T41" s="1216">
        <v>19013.7</v>
      </c>
      <c r="U41" s="1222">
        <v>19032.7</v>
      </c>
      <c r="V41" s="1233">
        <v>19158.400000000001</v>
      </c>
      <c r="W41" s="1216">
        <v>19301.5</v>
      </c>
      <c r="X41" s="1227">
        <v>19340.599999999999</v>
      </c>
    </row>
    <row r="42" spans="1:26" ht="16.350000000000001" customHeight="1" x14ac:dyDescent="0.25">
      <c r="A42" s="177">
        <v>35</v>
      </c>
      <c r="B42" s="58" t="s">
        <v>1738</v>
      </c>
      <c r="C42" s="95">
        <v>5988.2</v>
      </c>
      <c r="D42" s="95">
        <v>5981.9</v>
      </c>
      <c r="E42" s="96">
        <v>5995.6</v>
      </c>
      <c r="F42" s="96">
        <v>6064.4</v>
      </c>
      <c r="G42" s="96">
        <v>5974.1</v>
      </c>
      <c r="H42" s="96">
        <v>5901.5</v>
      </c>
      <c r="I42" s="95">
        <v>6148.2</v>
      </c>
      <c r="J42" s="96">
        <v>6164.2</v>
      </c>
      <c r="K42" s="95">
        <v>6089.2</v>
      </c>
      <c r="L42" s="106">
        <v>6139.1</v>
      </c>
      <c r="M42" s="112">
        <v>6144.7</v>
      </c>
      <c r="N42" s="166">
        <v>6150.1</v>
      </c>
      <c r="O42" s="182">
        <v>6188.2</v>
      </c>
      <c r="P42" s="112">
        <v>6228.7</v>
      </c>
      <c r="Q42" s="1211">
        <v>6278.4</v>
      </c>
      <c r="R42" s="1222">
        <v>6250.7</v>
      </c>
      <c r="S42" s="1233">
        <v>6242.4</v>
      </c>
      <c r="T42" s="1216">
        <v>6273.8</v>
      </c>
      <c r="U42" s="1222">
        <v>6179.8</v>
      </c>
      <c r="V42" s="1233">
        <v>6203.5</v>
      </c>
      <c r="W42" s="1216">
        <v>6271.1</v>
      </c>
      <c r="X42" s="1227">
        <v>6261.1</v>
      </c>
      <c r="Y42" s="115"/>
    </row>
    <row r="43" spans="1:26" ht="16.350000000000001" customHeight="1" x14ac:dyDescent="0.25">
      <c r="A43" s="177">
        <v>36</v>
      </c>
      <c r="B43" s="135" t="s">
        <v>1782</v>
      </c>
      <c r="C43" s="95">
        <v>2189.5</v>
      </c>
      <c r="D43" s="95">
        <v>2197.8000000000002</v>
      </c>
      <c r="E43" s="96">
        <v>2200.1999999999998</v>
      </c>
      <c r="F43" s="96">
        <v>2238.9</v>
      </c>
      <c r="G43" s="96">
        <v>2167.3000000000002</v>
      </c>
      <c r="H43" s="96">
        <v>2134.9</v>
      </c>
      <c r="I43" s="95">
        <v>2213.6999999999998</v>
      </c>
      <c r="J43" s="96">
        <v>2203.6</v>
      </c>
      <c r="K43" s="95">
        <v>2167.3000000000002</v>
      </c>
      <c r="L43" s="106">
        <v>2183.6999999999998</v>
      </c>
      <c r="M43" s="112">
        <v>2202.8000000000002</v>
      </c>
      <c r="N43" s="166">
        <v>2194.1999999999998</v>
      </c>
      <c r="O43" s="182">
        <v>2206.9</v>
      </c>
      <c r="P43" s="112">
        <v>2193.1</v>
      </c>
      <c r="Q43" s="1211">
        <v>2213.4</v>
      </c>
      <c r="R43" s="1222">
        <v>2191.1</v>
      </c>
      <c r="S43" s="1233">
        <v>2195.6999999999998</v>
      </c>
      <c r="T43" s="1216">
        <v>2219.8000000000002</v>
      </c>
      <c r="U43" s="1222">
        <v>2160.8000000000002</v>
      </c>
      <c r="V43" s="1233">
        <v>2181.4</v>
      </c>
      <c r="W43" s="1216">
        <v>2187.6</v>
      </c>
      <c r="X43" s="1227">
        <v>2180.6999999999998</v>
      </c>
      <c r="Y43" s="115"/>
    </row>
    <row r="44" spans="1:26" ht="16.350000000000001" customHeight="1" x14ac:dyDescent="0.25">
      <c r="A44" s="177">
        <v>37</v>
      </c>
      <c r="B44" s="135" t="s">
        <v>1783</v>
      </c>
      <c r="C44" s="95">
        <v>3798.7</v>
      </c>
      <c r="D44" s="95">
        <v>3784.1</v>
      </c>
      <c r="E44" s="96">
        <v>3795.4</v>
      </c>
      <c r="F44" s="96">
        <v>3825.6</v>
      </c>
      <c r="G44" s="96">
        <v>3806.8</v>
      </c>
      <c r="H44" s="96">
        <v>3766.5</v>
      </c>
      <c r="I44" s="95">
        <v>3934.5</v>
      </c>
      <c r="J44" s="96">
        <v>3960.6</v>
      </c>
      <c r="K44" s="95">
        <v>3921.9</v>
      </c>
      <c r="L44" s="106">
        <v>3955.4</v>
      </c>
      <c r="M44" s="112">
        <v>3941.9</v>
      </c>
      <c r="N44" s="166">
        <v>3955.9</v>
      </c>
      <c r="O44" s="182">
        <v>3981.3</v>
      </c>
      <c r="P44" s="112">
        <v>4035.5</v>
      </c>
      <c r="Q44" s="1211">
        <v>4065</v>
      </c>
      <c r="R44" s="1222">
        <v>4059.7</v>
      </c>
      <c r="S44" s="1233">
        <v>4046.7</v>
      </c>
      <c r="T44" s="1216">
        <v>4054</v>
      </c>
      <c r="U44" s="1222">
        <v>4019</v>
      </c>
      <c r="V44" s="1233">
        <v>4022.1</v>
      </c>
      <c r="W44" s="1216">
        <v>4083.5</v>
      </c>
      <c r="X44" s="1227">
        <v>4080.4</v>
      </c>
      <c r="Y44" s="115"/>
      <c r="Z44" s="185"/>
    </row>
    <row r="45" spans="1:26" ht="16.350000000000001" customHeight="1" x14ac:dyDescent="0.25">
      <c r="A45" s="177">
        <v>38</v>
      </c>
      <c r="B45" s="58" t="s">
        <v>1739</v>
      </c>
      <c r="C45" s="95">
        <v>11432.1</v>
      </c>
      <c r="D45" s="95">
        <v>11568.9</v>
      </c>
      <c r="E45" s="96">
        <v>11661.2</v>
      </c>
      <c r="F45" s="96">
        <v>11713.7</v>
      </c>
      <c r="G45" s="96">
        <v>11760.9</v>
      </c>
      <c r="H45" s="96">
        <v>11835</v>
      </c>
      <c r="I45" s="95">
        <v>12081.4</v>
      </c>
      <c r="J45" s="96">
        <v>12132.4</v>
      </c>
      <c r="K45" s="95">
        <v>12193.4</v>
      </c>
      <c r="L45" s="106">
        <v>12224.7</v>
      </c>
      <c r="M45" s="112">
        <v>12263</v>
      </c>
      <c r="N45" s="166">
        <v>12335.3</v>
      </c>
      <c r="O45" s="182">
        <v>12407.2</v>
      </c>
      <c r="P45" s="112">
        <v>12422.9</v>
      </c>
      <c r="Q45" s="1211">
        <v>12513</v>
      </c>
      <c r="R45" s="1222">
        <v>12576.1</v>
      </c>
      <c r="S45" s="1233">
        <v>12660.5</v>
      </c>
      <c r="T45" s="1216">
        <v>12739.9</v>
      </c>
      <c r="U45" s="1222">
        <v>12852.9</v>
      </c>
      <c r="V45" s="1233">
        <v>12954.9</v>
      </c>
      <c r="W45" s="1216">
        <v>13030.5</v>
      </c>
      <c r="X45" s="1227">
        <v>13079.6</v>
      </c>
      <c r="Y45" s="115"/>
      <c r="Z45" s="185"/>
    </row>
    <row r="46" spans="1:26" ht="16.350000000000001" customHeight="1" x14ac:dyDescent="0.25">
      <c r="A46" s="177">
        <v>39</v>
      </c>
      <c r="B46" s="85" t="s">
        <v>1784</v>
      </c>
      <c r="C46" s="95">
        <v>338.7</v>
      </c>
      <c r="D46" s="95">
        <v>357.1</v>
      </c>
      <c r="E46" s="96">
        <v>375.6</v>
      </c>
      <c r="F46" s="96">
        <v>389.1</v>
      </c>
      <c r="G46" s="96">
        <v>402.6</v>
      </c>
      <c r="H46" s="96">
        <v>416.1</v>
      </c>
      <c r="I46" s="95">
        <v>415</v>
      </c>
      <c r="J46" s="96">
        <v>419.8</v>
      </c>
      <c r="K46" s="95">
        <v>424.7</v>
      </c>
      <c r="L46" s="106">
        <v>449.7</v>
      </c>
      <c r="M46" s="112">
        <v>474.7</v>
      </c>
      <c r="N46" s="166">
        <v>499.8</v>
      </c>
      <c r="O46" s="182">
        <v>510</v>
      </c>
      <c r="P46" s="112">
        <v>519</v>
      </c>
      <c r="Q46" s="1211">
        <v>562.79999999999995</v>
      </c>
      <c r="R46" s="1222">
        <v>547.29999999999995</v>
      </c>
      <c r="S46" s="1233">
        <v>531.70000000000005</v>
      </c>
      <c r="T46" s="1216">
        <v>516.1</v>
      </c>
      <c r="U46" s="1222">
        <v>512.70000000000005</v>
      </c>
      <c r="V46" s="1233">
        <v>509.3</v>
      </c>
      <c r="W46" s="1216">
        <v>505.9</v>
      </c>
      <c r="X46" s="1227">
        <v>509.3</v>
      </c>
      <c r="Y46" s="115"/>
      <c r="Z46" s="185"/>
    </row>
    <row r="47" spans="1:26" x14ac:dyDescent="0.25">
      <c r="A47" s="177">
        <v>40</v>
      </c>
      <c r="B47" s="85" t="s">
        <v>1785</v>
      </c>
      <c r="C47" s="95">
        <v>224.4</v>
      </c>
      <c r="D47" s="95">
        <v>224.7</v>
      </c>
      <c r="E47" s="96">
        <v>225</v>
      </c>
      <c r="F47" s="96">
        <v>224.5</v>
      </c>
      <c r="G47" s="96">
        <v>224.7</v>
      </c>
      <c r="H47" s="96">
        <v>224.8</v>
      </c>
      <c r="I47" s="95">
        <v>242.4</v>
      </c>
      <c r="J47" s="96">
        <v>242.6</v>
      </c>
      <c r="K47" s="95">
        <v>242.8</v>
      </c>
      <c r="L47" s="106">
        <v>242.6</v>
      </c>
      <c r="M47" s="112">
        <v>242.9</v>
      </c>
      <c r="N47" s="166">
        <v>243.1</v>
      </c>
      <c r="O47" s="182">
        <v>246.1</v>
      </c>
      <c r="P47" s="112">
        <v>246.4</v>
      </c>
      <c r="Q47" s="1211">
        <v>246.7</v>
      </c>
      <c r="R47" s="1222">
        <v>248.8</v>
      </c>
      <c r="S47" s="1233">
        <v>249.1</v>
      </c>
      <c r="T47" s="1216">
        <v>249.5</v>
      </c>
      <c r="U47" s="1222">
        <v>251.3</v>
      </c>
      <c r="V47" s="1233">
        <v>251.6</v>
      </c>
      <c r="W47" s="1216">
        <v>252</v>
      </c>
      <c r="X47" s="1227">
        <v>252.2</v>
      </c>
      <c r="Y47" s="115"/>
      <c r="Z47" s="185"/>
    </row>
    <row r="48" spans="1:26" x14ac:dyDescent="0.25">
      <c r="A48" s="177">
        <v>41</v>
      </c>
      <c r="B48" s="58" t="s">
        <v>1786</v>
      </c>
      <c r="C48" s="95">
        <v>116.1</v>
      </c>
      <c r="D48" s="95">
        <v>116.4</v>
      </c>
      <c r="E48" s="96">
        <v>116.7</v>
      </c>
      <c r="F48" s="96">
        <v>116.9</v>
      </c>
      <c r="G48" s="96">
        <v>117.1</v>
      </c>
      <c r="H48" s="96">
        <v>117.2</v>
      </c>
      <c r="I48" s="95">
        <v>129.5</v>
      </c>
      <c r="J48" s="96">
        <v>129.69999999999999</v>
      </c>
      <c r="K48" s="95">
        <v>129.9</v>
      </c>
      <c r="L48" s="106">
        <v>130.1</v>
      </c>
      <c r="M48" s="112">
        <v>130.4</v>
      </c>
      <c r="N48" s="166">
        <v>130.6</v>
      </c>
      <c r="O48" s="182">
        <v>130.9</v>
      </c>
      <c r="P48" s="112">
        <v>131.19999999999999</v>
      </c>
      <c r="Q48" s="1211">
        <v>131.5</v>
      </c>
      <c r="R48" s="1222">
        <v>131.80000000000001</v>
      </c>
      <c r="S48" s="1233">
        <v>132.1</v>
      </c>
      <c r="T48" s="1216">
        <v>132.5</v>
      </c>
      <c r="U48" s="1222">
        <v>132.9</v>
      </c>
      <c r="V48" s="1233">
        <v>133.30000000000001</v>
      </c>
      <c r="W48" s="1216">
        <v>133.6</v>
      </c>
      <c r="X48" s="1227">
        <v>133.9</v>
      </c>
      <c r="Y48" s="115"/>
      <c r="Z48" s="185"/>
    </row>
    <row r="49" spans="1:26" x14ac:dyDescent="0.25">
      <c r="A49" s="177">
        <v>42</v>
      </c>
      <c r="B49" s="58" t="s">
        <v>1787</v>
      </c>
      <c r="C49" s="95">
        <v>108.3</v>
      </c>
      <c r="D49" s="95">
        <v>108.3</v>
      </c>
      <c r="E49" s="96">
        <v>108.3</v>
      </c>
      <c r="F49" s="96">
        <v>107.6</v>
      </c>
      <c r="G49" s="96">
        <v>107.6</v>
      </c>
      <c r="H49" s="96">
        <v>107.6</v>
      </c>
      <c r="I49" s="95">
        <v>112.9</v>
      </c>
      <c r="J49" s="96">
        <v>112.9</v>
      </c>
      <c r="K49" s="95">
        <v>112.9</v>
      </c>
      <c r="L49" s="106">
        <v>112.5</v>
      </c>
      <c r="M49" s="112">
        <v>112.5</v>
      </c>
      <c r="N49" s="166">
        <v>112.5</v>
      </c>
      <c r="O49" s="182">
        <v>115.2</v>
      </c>
      <c r="P49" s="112">
        <v>115.2</v>
      </c>
      <c r="Q49" s="1211">
        <v>115.2</v>
      </c>
      <c r="R49" s="1222">
        <v>117</v>
      </c>
      <c r="S49" s="1233">
        <v>117</v>
      </c>
      <c r="T49" s="1216">
        <v>117</v>
      </c>
      <c r="U49" s="1222">
        <v>118.4</v>
      </c>
      <c r="V49" s="1233">
        <v>118.4</v>
      </c>
      <c r="W49" s="1216">
        <v>118.4</v>
      </c>
      <c r="X49" s="1227">
        <v>118.4</v>
      </c>
      <c r="Y49" s="115"/>
      <c r="Z49" s="185"/>
    </row>
    <row r="50" spans="1:26" x14ac:dyDescent="0.25">
      <c r="A50" s="177">
        <v>43</v>
      </c>
      <c r="B50" s="60" t="s">
        <v>244</v>
      </c>
      <c r="C50" s="93">
        <v>644.70000000000005</v>
      </c>
      <c r="D50" s="93">
        <v>606.4</v>
      </c>
      <c r="E50" s="94">
        <v>574.4</v>
      </c>
      <c r="F50" s="94">
        <v>577.4</v>
      </c>
      <c r="G50" s="94">
        <v>664.1</v>
      </c>
      <c r="H50" s="94">
        <v>702.3</v>
      </c>
      <c r="I50" s="93">
        <v>871.1</v>
      </c>
      <c r="J50" s="94">
        <v>926</v>
      </c>
      <c r="K50" s="93">
        <v>1047.5</v>
      </c>
      <c r="L50" s="105">
        <v>1042.5</v>
      </c>
      <c r="M50" s="110">
        <v>1060</v>
      </c>
      <c r="N50" s="165">
        <v>980.1</v>
      </c>
      <c r="O50" s="181">
        <v>890.7</v>
      </c>
      <c r="P50" s="110">
        <v>909.4</v>
      </c>
      <c r="Q50" s="1210">
        <v>791.6</v>
      </c>
      <c r="R50" s="1221">
        <v>781</v>
      </c>
      <c r="S50" s="1232">
        <v>766</v>
      </c>
      <c r="T50" s="1215">
        <v>732.3</v>
      </c>
      <c r="U50" s="1221">
        <v>856.1</v>
      </c>
      <c r="V50" s="1232">
        <v>786.7</v>
      </c>
      <c r="W50" s="1215">
        <v>747.1</v>
      </c>
      <c r="X50" s="1226">
        <v>744.5</v>
      </c>
      <c r="Y50" s="75"/>
    </row>
    <row r="51" spans="1:26" x14ac:dyDescent="0.25">
      <c r="A51" s="178">
        <v>44</v>
      </c>
      <c r="B51" s="161" t="s">
        <v>1788</v>
      </c>
      <c r="C51" s="93">
        <v>3.5</v>
      </c>
      <c r="D51" s="93">
        <v>3.2</v>
      </c>
      <c r="E51" s="94">
        <v>3</v>
      </c>
      <c r="F51" s="94">
        <v>3</v>
      </c>
      <c r="G51" s="94">
        <v>3.5</v>
      </c>
      <c r="H51" s="94">
        <v>3.7</v>
      </c>
      <c r="I51" s="93">
        <v>4.4000000000000004</v>
      </c>
      <c r="J51" s="94">
        <v>4.7</v>
      </c>
      <c r="K51" s="93">
        <v>5.2</v>
      </c>
      <c r="L51" s="105">
        <v>5.2</v>
      </c>
      <c r="M51" s="110">
        <v>5.3</v>
      </c>
      <c r="N51" s="165">
        <v>4.8</v>
      </c>
      <c r="O51" s="181">
        <v>4.4000000000000004</v>
      </c>
      <c r="P51" s="110">
        <v>4.5</v>
      </c>
      <c r="Q51" s="1210">
        <v>3.9</v>
      </c>
      <c r="R51" s="1221">
        <v>3.8</v>
      </c>
      <c r="S51" s="1232">
        <v>3.7</v>
      </c>
      <c r="T51" s="1215">
        <v>3.6</v>
      </c>
      <c r="U51" s="1221">
        <v>4.0999999999999996</v>
      </c>
      <c r="V51" s="1232">
        <v>3.8</v>
      </c>
      <c r="W51" s="1215">
        <v>3.6</v>
      </c>
      <c r="X51" s="1226">
        <v>3.6</v>
      </c>
      <c r="Y51" s="75"/>
    </row>
    <row r="52" spans="1:26" x14ac:dyDescent="0.25">
      <c r="A52" s="177"/>
      <c r="B52" s="60" t="s">
        <v>1740</v>
      </c>
      <c r="C52" s="93"/>
      <c r="D52" s="93"/>
      <c r="E52" s="94"/>
      <c r="F52" s="94"/>
      <c r="G52" s="94"/>
      <c r="H52" s="94"/>
      <c r="I52" s="93"/>
      <c r="J52" s="94"/>
      <c r="K52" s="93"/>
      <c r="L52" s="105"/>
      <c r="M52" s="110"/>
      <c r="N52" s="165"/>
      <c r="O52" s="181"/>
      <c r="P52" s="110"/>
      <c r="Q52" s="1210"/>
      <c r="R52" s="1221"/>
      <c r="S52" s="1232"/>
      <c r="T52" s="1215"/>
      <c r="U52" s="1221"/>
      <c r="V52" s="1232"/>
      <c r="W52" s="1215"/>
      <c r="X52" s="1226"/>
    </row>
    <row r="53" spans="1:26" ht="30.95" customHeight="1" x14ac:dyDescent="0.25">
      <c r="A53" s="178">
        <v>45</v>
      </c>
      <c r="B53" s="161" t="s">
        <v>1789</v>
      </c>
      <c r="C53" s="93">
        <v>14559.1</v>
      </c>
      <c r="D53" s="93">
        <v>14618.2</v>
      </c>
      <c r="E53" s="94">
        <v>14653.2</v>
      </c>
      <c r="F53" s="94">
        <v>14618.1</v>
      </c>
      <c r="G53" s="94">
        <v>14607</v>
      </c>
      <c r="H53" s="94">
        <v>14604.2</v>
      </c>
      <c r="I53" s="93">
        <v>15496.1</v>
      </c>
      <c r="J53" s="94">
        <v>15529.2</v>
      </c>
      <c r="K53" s="93">
        <v>15596.8</v>
      </c>
      <c r="L53" s="105">
        <v>15592.2</v>
      </c>
      <c r="M53" s="110">
        <v>15622.4</v>
      </c>
      <c r="N53" s="165">
        <v>15638</v>
      </c>
      <c r="O53" s="181">
        <v>15691.7</v>
      </c>
      <c r="P53" s="110">
        <v>15726.6</v>
      </c>
      <c r="Q53" s="1210">
        <v>15741.9</v>
      </c>
      <c r="R53" s="1221">
        <v>15749.7</v>
      </c>
      <c r="S53" s="1232">
        <v>15795.9</v>
      </c>
      <c r="T53" s="1215">
        <v>15823.3</v>
      </c>
      <c r="U53" s="1221">
        <v>15868</v>
      </c>
      <c r="V53" s="1232">
        <v>15835.4</v>
      </c>
      <c r="W53" s="1215">
        <v>15858.4</v>
      </c>
      <c r="X53" s="1226">
        <v>15858.9</v>
      </c>
    </row>
    <row r="54" spans="1:26" x14ac:dyDescent="0.25">
      <c r="A54" s="177"/>
      <c r="B54" s="129" t="s">
        <v>1790</v>
      </c>
      <c r="C54" s="93"/>
      <c r="D54" s="93"/>
      <c r="E54" s="94"/>
      <c r="F54" s="94"/>
      <c r="G54" s="94"/>
      <c r="H54" s="94"/>
      <c r="I54" s="93"/>
      <c r="J54" s="94"/>
      <c r="K54" s="93"/>
      <c r="L54" s="105"/>
      <c r="M54" s="110"/>
      <c r="N54" s="165"/>
      <c r="O54" s="181"/>
      <c r="P54" s="110"/>
      <c r="Q54" s="1210"/>
      <c r="R54" s="1221"/>
      <c r="S54" s="1232"/>
      <c r="T54" s="1215"/>
      <c r="U54" s="1221"/>
      <c r="V54" s="1232"/>
      <c r="W54" s="1215"/>
      <c r="X54" s="1226"/>
    </row>
    <row r="55" spans="1:26" ht="16.350000000000001" customHeight="1" x14ac:dyDescent="0.25">
      <c r="A55" s="177">
        <v>46</v>
      </c>
      <c r="B55" s="132" t="s">
        <v>1791</v>
      </c>
      <c r="C55" s="95">
        <v>15100.2</v>
      </c>
      <c r="D55" s="95">
        <v>15149.6</v>
      </c>
      <c r="E55" s="96">
        <v>15172.2</v>
      </c>
      <c r="F55" s="96">
        <v>15218.9</v>
      </c>
      <c r="G55" s="96">
        <v>15238.7</v>
      </c>
      <c r="H55" s="96">
        <v>15250.6</v>
      </c>
      <c r="I55" s="95">
        <v>16601.900000000001</v>
      </c>
      <c r="J55" s="96">
        <v>16656.099999999999</v>
      </c>
      <c r="K55" s="95">
        <v>16730.2</v>
      </c>
      <c r="L55" s="106">
        <v>16763.900000000001</v>
      </c>
      <c r="M55" s="112">
        <v>16818.5</v>
      </c>
      <c r="N55" s="166">
        <v>16809.5</v>
      </c>
      <c r="O55" s="182">
        <v>16816.400000000001</v>
      </c>
      <c r="P55" s="112">
        <v>16826.2</v>
      </c>
      <c r="Q55" s="1211">
        <v>16816.3</v>
      </c>
      <c r="R55" s="1222">
        <v>16819.900000000001</v>
      </c>
      <c r="S55" s="1233">
        <v>16859.599999999999</v>
      </c>
      <c r="T55" s="1216">
        <v>16889.2</v>
      </c>
      <c r="U55" s="1222">
        <v>16937.8</v>
      </c>
      <c r="V55" s="1233">
        <v>16924.3</v>
      </c>
      <c r="W55" s="1216">
        <v>16949</v>
      </c>
      <c r="X55" s="1227">
        <v>16938.2</v>
      </c>
    </row>
    <row r="56" spans="1:26" x14ac:dyDescent="0.25">
      <c r="A56" s="177"/>
      <c r="B56" s="58" t="s">
        <v>1792</v>
      </c>
      <c r="C56" s="95"/>
      <c r="D56" s="95"/>
      <c r="E56" s="96"/>
      <c r="F56" s="96"/>
      <c r="G56" s="96"/>
      <c r="H56" s="96"/>
      <c r="I56" s="95"/>
      <c r="J56" s="96"/>
      <c r="K56" s="95"/>
      <c r="L56" s="106"/>
      <c r="M56" s="112"/>
      <c r="N56" s="166"/>
      <c r="O56" s="182"/>
      <c r="P56" s="112"/>
      <c r="Q56" s="1211"/>
      <c r="R56" s="1222"/>
      <c r="S56" s="1233"/>
      <c r="T56" s="1216"/>
      <c r="U56" s="1222"/>
      <c r="V56" s="1233"/>
      <c r="W56" s="1216"/>
      <c r="X56" s="1227"/>
    </row>
    <row r="57" spans="1:26" x14ac:dyDescent="0.25">
      <c r="A57" s="177">
        <v>47</v>
      </c>
      <c r="B57" s="135" t="s">
        <v>1793</v>
      </c>
      <c r="C57" s="97">
        <v>55836</v>
      </c>
      <c r="D57" s="97">
        <v>56139</v>
      </c>
      <c r="E57" s="98">
        <v>56387</v>
      </c>
      <c r="F57" s="98">
        <v>56770</v>
      </c>
      <c r="G57" s="98">
        <v>56917</v>
      </c>
      <c r="H57" s="98">
        <v>57053</v>
      </c>
      <c r="I57" s="97">
        <v>59062</v>
      </c>
      <c r="J57" s="98">
        <v>59423</v>
      </c>
      <c r="K57" s="97">
        <v>59738</v>
      </c>
      <c r="L57" s="107">
        <v>60018</v>
      </c>
      <c r="M57" s="113">
        <v>60253</v>
      </c>
      <c r="N57" s="167">
        <v>60309</v>
      </c>
      <c r="O57" s="183">
        <v>60380</v>
      </c>
      <c r="P57" s="113">
        <v>60598</v>
      </c>
      <c r="Q57" s="1212">
        <v>60762</v>
      </c>
      <c r="R57" s="1223">
        <v>60767</v>
      </c>
      <c r="S57" s="1234">
        <v>60876</v>
      </c>
      <c r="T57" s="1217">
        <v>61033</v>
      </c>
      <c r="U57" s="1223">
        <v>61431</v>
      </c>
      <c r="V57" s="1234">
        <v>61569</v>
      </c>
      <c r="W57" s="1217">
        <v>61846</v>
      </c>
      <c r="X57" s="1228">
        <v>61942</v>
      </c>
    </row>
    <row r="58" spans="1:26" x14ac:dyDescent="0.25">
      <c r="A58" s="177">
        <v>48</v>
      </c>
      <c r="B58" s="135" t="s">
        <v>1794</v>
      </c>
      <c r="C58" s="97">
        <v>45261</v>
      </c>
      <c r="D58" s="97">
        <v>45385</v>
      </c>
      <c r="E58" s="98">
        <v>45429</v>
      </c>
      <c r="F58" s="98">
        <v>45546</v>
      </c>
      <c r="G58" s="98">
        <v>45586</v>
      </c>
      <c r="H58" s="98">
        <v>45603</v>
      </c>
      <c r="I58" s="97">
        <v>49627</v>
      </c>
      <c r="J58" s="98">
        <v>49774</v>
      </c>
      <c r="K58" s="97">
        <v>49978</v>
      </c>
      <c r="L58" s="107">
        <v>50060</v>
      </c>
      <c r="M58" s="113">
        <v>50203</v>
      </c>
      <c r="N58" s="167">
        <v>50166</v>
      </c>
      <c r="O58" s="183">
        <v>50161</v>
      </c>
      <c r="P58" s="113">
        <v>50163</v>
      </c>
      <c r="Q58" s="1212">
        <v>50106</v>
      </c>
      <c r="R58" s="1223">
        <v>50093</v>
      </c>
      <c r="S58" s="1234">
        <v>50188</v>
      </c>
      <c r="T58" s="1217">
        <v>50255</v>
      </c>
      <c r="U58" s="1223">
        <v>50381</v>
      </c>
      <c r="V58" s="1234">
        <v>50324</v>
      </c>
      <c r="W58" s="1217">
        <v>50380</v>
      </c>
      <c r="X58" s="1228">
        <v>50329</v>
      </c>
    </row>
    <row r="59" spans="1:26" ht="15" customHeight="1" x14ac:dyDescent="0.25">
      <c r="A59" s="179">
        <v>49</v>
      </c>
      <c r="B59" s="85" t="s">
        <v>1795</v>
      </c>
      <c r="C59" s="99">
        <v>333624</v>
      </c>
      <c r="D59" s="99">
        <v>333799</v>
      </c>
      <c r="E59" s="100">
        <v>333976</v>
      </c>
      <c r="F59" s="100">
        <v>334141</v>
      </c>
      <c r="G59" s="100">
        <v>334287</v>
      </c>
      <c r="H59" s="100">
        <v>334420</v>
      </c>
      <c r="I59" s="99">
        <v>334533</v>
      </c>
      <c r="J59" s="100">
        <v>334637</v>
      </c>
      <c r="K59" s="99">
        <v>334753</v>
      </c>
      <c r="L59" s="80">
        <v>334880</v>
      </c>
      <c r="M59" s="114">
        <v>335013</v>
      </c>
      <c r="N59" s="168">
        <v>335080</v>
      </c>
      <c r="O59" s="184">
        <v>335248</v>
      </c>
      <c r="P59" s="114">
        <v>335431</v>
      </c>
      <c r="Q59" s="1213">
        <v>335612</v>
      </c>
      <c r="R59" s="1224">
        <v>335773</v>
      </c>
      <c r="S59" s="1235">
        <v>335925</v>
      </c>
      <c r="T59" s="1218">
        <v>336070</v>
      </c>
      <c r="U59" s="1224">
        <v>336194</v>
      </c>
      <c r="V59" s="1235">
        <v>336306</v>
      </c>
      <c r="W59" s="1218">
        <v>336423</v>
      </c>
      <c r="X59" s="1229">
        <v>336550</v>
      </c>
    </row>
    <row r="60" spans="1:26" x14ac:dyDescent="0.25">
      <c r="A60" s="1280" t="s">
        <v>1796</v>
      </c>
      <c r="B60" s="1280"/>
      <c r="C60" s="1280"/>
      <c r="D60" s="1280"/>
      <c r="E60" s="1280"/>
      <c r="F60" s="1280"/>
      <c r="G60" s="1280"/>
      <c r="H60" s="1280"/>
      <c r="I60" s="1280"/>
      <c r="J60" s="1280"/>
      <c r="K60" s="89"/>
      <c r="L60" s="152"/>
      <c r="M60" s="169"/>
      <c r="N60" s="139"/>
      <c r="O60" s="152"/>
      <c r="P60" s="169"/>
      <c r="Q60" s="139"/>
      <c r="R60" s="152"/>
      <c r="S60" s="169"/>
      <c r="T60" s="139"/>
      <c r="U60" s="152"/>
      <c r="V60" s="169"/>
      <c r="W60" s="139"/>
      <c r="X60" s="152"/>
    </row>
    <row r="61" spans="1:26" x14ac:dyDescent="0.25">
      <c r="A61" s="1266" t="s">
        <v>1797</v>
      </c>
      <c r="B61" s="1266"/>
      <c r="C61" s="1266"/>
      <c r="D61" s="1266"/>
      <c r="E61" s="1266"/>
      <c r="F61" s="1266"/>
      <c r="G61" s="1266"/>
      <c r="H61" s="1266"/>
      <c r="I61" s="1266"/>
      <c r="J61" s="1266"/>
      <c r="K61" s="83"/>
      <c r="L61" s="153"/>
      <c r="M61" s="170"/>
      <c r="N61" s="140"/>
      <c r="O61" s="153"/>
      <c r="P61" s="170"/>
      <c r="Q61" s="140"/>
      <c r="R61" s="153"/>
      <c r="S61" s="170"/>
      <c r="T61" s="140"/>
      <c r="U61" s="153"/>
      <c r="V61" s="170"/>
      <c r="W61" s="140"/>
      <c r="X61" s="153"/>
    </row>
    <row r="62" spans="1:26" x14ac:dyDescent="0.25">
      <c r="A62" s="1266" t="s">
        <v>1798</v>
      </c>
      <c r="B62" s="1266"/>
      <c r="C62" s="1266"/>
      <c r="D62" s="1266"/>
      <c r="E62" s="1266"/>
      <c r="F62" s="1266"/>
      <c r="G62" s="1266"/>
      <c r="H62" s="1266"/>
      <c r="I62" s="1266"/>
      <c r="J62" s="1266"/>
      <c r="K62" s="83"/>
      <c r="L62" s="153"/>
      <c r="M62" s="170"/>
      <c r="N62" s="140"/>
      <c r="O62" s="153"/>
      <c r="P62" s="170"/>
      <c r="Q62" s="140"/>
      <c r="R62" s="153"/>
      <c r="S62" s="170"/>
      <c r="T62" s="140"/>
      <c r="U62" s="153"/>
      <c r="V62" s="170"/>
      <c r="W62" s="140"/>
      <c r="X62" s="153"/>
    </row>
    <row r="63" spans="1:26" x14ac:dyDescent="0.25">
      <c r="A63" s="1266" t="s">
        <v>1799</v>
      </c>
      <c r="B63" s="1266"/>
      <c r="C63" s="1266"/>
      <c r="D63" s="1266"/>
      <c r="E63" s="1266"/>
      <c r="F63" s="1266"/>
      <c r="G63" s="1266"/>
      <c r="H63" s="1266"/>
      <c r="I63" s="1266"/>
      <c r="J63" s="1266"/>
      <c r="K63" s="83"/>
      <c r="L63" s="153"/>
      <c r="M63" s="170"/>
      <c r="N63" s="140"/>
      <c r="O63" s="153"/>
      <c r="P63" s="170"/>
      <c r="Q63" s="140"/>
      <c r="R63" s="153"/>
      <c r="S63" s="170"/>
      <c r="T63" s="140"/>
      <c r="U63" s="153"/>
      <c r="V63" s="170"/>
      <c r="W63" s="140"/>
      <c r="X63" s="153"/>
    </row>
    <row r="64" spans="1:26" x14ac:dyDescent="0.25">
      <c r="A64" s="1266" t="s">
        <v>1800</v>
      </c>
      <c r="B64" s="1266"/>
      <c r="C64" s="1266"/>
      <c r="D64" s="1266"/>
      <c r="E64" s="1266"/>
      <c r="F64" s="1266"/>
      <c r="G64" s="1266"/>
      <c r="H64" s="1266"/>
      <c r="I64" s="1266"/>
      <c r="J64" s="1266"/>
      <c r="K64" s="83"/>
      <c r="L64" s="153"/>
      <c r="M64" s="170"/>
      <c r="N64" s="140"/>
      <c r="O64" s="153"/>
      <c r="P64" s="170"/>
      <c r="Q64" s="140"/>
      <c r="R64" s="153"/>
      <c r="S64" s="170"/>
      <c r="T64" s="140"/>
      <c r="U64" s="153"/>
      <c r="V64" s="170"/>
      <c r="W64" s="140"/>
      <c r="X64" s="153"/>
    </row>
    <row r="65" spans="1:24" x14ac:dyDescent="0.25">
      <c r="A65" s="1266" t="s">
        <v>1801</v>
      </c>
      <c r="B65" s="1266"/>
      <c r="C65" s="1266"/>
      <c r="D65" s="1266"/>
      <c r="E65" s="1266"/>
      <c r="F65" s="1266"/>
      <c r="G65" s="1266"/>
      <c r="H65" s="1266"/>
      <c r="I65" s="1266"/>
      <c r="J65" s="1266"/>
      <c r="K65" s="83"/>
      <c r="L65" s="153"/>
      <c r="M65" s="170"/>
      <c r="N65" s="140"/>
      <c r="O65" s="153"/>
      <c r="P65" s="170"/>
      <c r="Q65" s="140"/>
      <c r="R65" s="153"/>
      <c r="S65" s="170"/>
      <c r="T65" s="140"/>
      <c r="U65" s="153"/>
      <c r="V65" s="170"/>
      <c r="W65" s="140"/>
      <c r="X65" s="153"/>
    </row>
    <row r="66" spans="1:24" ht="14.45" customHeight="1" x14ac:dyDescent="0.25">
      <c r="A66" s="1266" t="s">
        <v>1802</v>
      </c>
      <c r="B66" s="1266"/>
      <c r="C66" s="1266"/>
      <c r="D66" s="1266"/>
      <c r="E66" s="1266"/>
      <c r="F66" s="1266"/>
      <c r="G66" s="1266"/>
      <c r="H66" s="1266"/>
      <c r="I66" s="1266"/>
      <c r="J66" s="1266"/>
      <c r="K66" s="83"/>
      <c r="L66" s="153"/>
      <c r="M66" s="170"/>
      <c r="N66" s="140"/>
      <c r="O66" s="153"/>
      <c r="P66" s="170"/>
      <c r="Q66" s="140"/>
      <c r="R66" s="153"/>
      <c r="S66" s="170"/>
      <c r="T66" s="140"/>
      <c r="U66" s="153"/>
      <c r="V66" s="170"/>
      <c r="W66" s="140"/>
      <c r="X66" s="153"/>
    </row>
    <row r="67" spans="1:24" ht="14.45" customHeight="1" x14ac:dyDescent="0.25">
      <c r="A67" s="1284" t="s">
        <v>1803</v>
      </c>
      <c r="B67" s="1284"/>
      <c r="C67" s="1284"/>
      <c r="D67" s="1284"/>
      <c r="E67" s="1284"/>
      <c r="F67" s="1284"/>
      <c r="G67" s="1284"/>
      <c r="H67" s="1284"/>
      <c r="I67" s="1284"/>
      <c r="J67" s="1284"/>
      <c r="K67" s="84"/>
      <c r="L67" s="154"/>
      <c r="M67" s="172"/>
      <c r="N67" s="141"/>
      <c r="O67" s="154"/>
      <c r="P67" s="172"/>
      <c r="Q67" s="141"/>
      <c r="R67" s="154"/>
      <c r="S67" s="172"/>
      <c r="T67" s="141"/>
      <c r="U67" s="154"/>
      <c r="V67" s="172"/>
      <c r="W67" s="141"/>
      <c r="X67" s="154"/>
    </row>
    <row r="68" spans="1:24" ht="14.45" customHeight="1" x14ac:dyDescent="0.25">
      <c r="A68" s="1285" t="s">
        <v>246</v>
      </c>
      <c r="B68" s="1285"/>
      <c r="C68" s="1285"/>
      <c r="D68" s="1285"/>
      <c r="E68" s="1285"/>
      <c r="F68" s="1285"/>
      <c r="G68" s="1285"/>
      <c r="H68" s="1285"/>
      <c r="I68" s="1285"/>
      <c r="J68" s="1285"/>
      <c r="K68" s="85"/>
      <c r="L68" s="155"/>
      <c r="M68" s="173"/>
      <c r="N68" s="142"/>
      <c r="O68" s="155"/>
      <c r="P68" s="173"/>
      <c r="Q68" s="142"/>
      <c r="R68" s="155"/>
      <c r="S68" s="173"/>
      <c r="T68" s="142"/>
      <c r="U68" s="155"/>
      <c r="V68" s="173"/>
      <c r="W68" s="142"/>
      <c r="X68" s="155"/>
    </row>
    <row r="69" spans="1:24" x14ac:dyDescent="0.25">
      <c r="A69" s="1283" t="s">
        <v>885</v>
      </c>
      <c r="B69" s="1283"/>
      <c r="C69" s="1283"/>
      <c r="D69" s="1283"/>
      <c r="E69" s="1283"/>
      <c r="F69" s="1283"/>
      <c r="G69" s="1283"/>
    </row>
    <row r="70" spans="1:24" x14ac:dyDescent="0.25">
      <c r="A70" s="1286" t="s">
        <v>886</v>
      </c>
      <c r="B70" s="1286"/>
      <c r="C70" s="1286"/>
      <c r="D70" s="1286"/>
      <c r="E70" s="1286"/>
      <c r="F70" s="1286"/>
      <c r="G70" s="1286"/>
    </row>
    <row r="71" spans="1:24" x14ac:dyDescent="0.25">
      <c r="A71" s="1282" t="s">
        <v>887</v>
      </c>
      <c r="B71" s="1282"/>
      <c r="C71" s="1282"/>
      <c r="D71" s="1282"/>
      <c r="E71" s="1282"/>
      <c r="F71" s="1282"/>
      <c r="G71" s="1282"/>
    </row>
    <row r="72" spans="1:24" x14ac:dyDescent="0.25">
      <c r="A72" s="1281" t="s">
        <v>888</v>
      </c>
      <c r="B72" s="1281"/>
      <c r="C72" s="1281"/>
      <c r="D72" s="1281"/>
      <c r="E72" s="1281"/>
      <c r="F72" s="1281"/>
      <c r="G72" s="1281"/>
    </row>
    <row r="73" spans="1:24" x14ac:dyDescent="0.25">
      <c r="A73" s="1281" t="s">
        <v>889</v>
      </c>
      <c r="B73" s="1281"/>
      <c r="C73" s="1281"/>
      <c r="D73" s="1281"/>
      <c r="E73" s="1281"/>
      <c r="F73" s="1281"/>
      <c r="G73" s="1281"/>
    </row>
    <row r="74" spans="1:24" x14ac:dyDescent="0.25">
      <c r="A74" s="1282" t="s">
        <v>890</v>
      </c>
      <c r="B74" s="1282"/>
      <c r="C74" s="1282"/>
      <c r="D74" s="1282"/>
      <c r="E74" s="1282"/>
      <c r="F74" s="1282"/>
      <c r="G74" s="1282"/>
    </row>
    <row r="76" spans="1:24" x14ac:dyDescent="0.25">
      <c r="A76" s="1283" t="s">
        <v>891</v>
      </c>
      <c r="B76" s="1283"/>
      <c r="C76" s="1283"/>
      <c r="D76" s="1283"/>
      <c r="E76" s="1283"/>
      <c r="F76" s="1283"/>
      <c r="G76" s="1283"/>
    </row>
    <row r="78" spans="1:24" x14ac:dyDescent="0.25">
      <c r="A78" s="35" t="s">
        <v>245</v>
      </c>
    </row>
    <row r="80" spans="1:24" x14ac:dyDescent="0.25">
      <c r="A80" s="35" t="s">
        <v>246</v>
      </c>
    </row>
    <row r="82" spans="1:25" x14ac:dyDescent="0.25">
      <c r="A82" t="s">
        <v>881</v>
      </c>
      <c r="B82" t="s">
        <v>882</v>
      </c>
      <c r="C82" s="82">
        <v>44743</v>
      </c>
      <c r="D82" s="82">
        <v>44774</v>
      </c>
      <c r="E82" s="82">
        <v>44805</v>
      </c>
      <c r="F82" s="82">
        <v>44835</v>
      </c>
      <c r="G82" s="82">
        <v>44866</v>
      </c>
      <c r="H82" s="82">
        <v>44896</v>
      </c>
      <c r="I82" s="82">
        <v>44927</v>
      </c>
      <c r="J82" s="82">
        <v>44958</v>
      </c>
      <c r="K82" s="82">
        <v>44986</v>
      </c>
      <c r="L82" s="157">
        <v>45017</v>
      </c>
      <c r="M82" s="175">
        <v>45047</v>
      </c>
      <c r="N82" s="144">
        <v>45078</v>
      </c>
      <c r="O82" s="157">
        <v>45108</v>
      </c>
      <c r="P82" s="175">
        <v>45139</v>
      </c>
      <c r="Q82" s="144">
        <v>45170</v>
      </c>
      <c r="R82" s="157">
        <v>45200</v>
      </c>
      <c r="S82" s="175">
        <v>45231</v>
      </c>
      <c r="T82" s="144">
        <v>45261</v>
      </c>
      <c r="U82" s="157">
        <v>45292</v>
      </c>
      <c r="V82" s="175">
        <v>45323</v>
      </c>
      <c r="W82" s="144">
        <v>45352</v>
      </c>
      <c r="X82" s="144">
        <v>45383</v>
      </c>
    </row>
    <row r="83" spans="1:25" x14ac:dyDescent="0.25">
      <c r="A83" s="116" t="s">
        <v>1937</v>
      </c>
      <c r="B83" t="s">
        <v>395</v>
      </c>
      <c r="C83">
        <f>'Federal and State Purchases'!V33</f>
        <v>5129</v>
      </c>
      <c r="D83">
        <f>'Federal and State Purchases'!W33</f>
        <v>5139</v>
      </c>
      <c r="E83">
        <f>'Federal and State Purchases'!X33</f>
        <v>5148</v>
      </c>
      <c r="F83">
        <f>'Federal and State Purchases'!Y33</f>
        <v>5143</v>
      </c>
      <c r="G83">
        <f>'Federal and State Purchases'!Z33</f>
        <v>5161</v>
      </c>
      <c r="H83">
        <f>'Federal and State Purchases'!AA33</f>
        <v>5131</v>
      </c>
      <c r="I83">
        <f>'Federal and State Purchases'!AB33</f>
        <v>5206</v>
      </c>
      <c r="J83">
        <f>'Federal and State Purchases'!AC33</f>
        <v>5229</v>
      </c>
      <c r="K83">
        <f>'Federal and State Purchases'!AD33</f>
        <v>5249</v>
      </c>
      <c r="L83" s="156">
        <f>'Federal and State Purchases'!AE33</f>
        <v>5263</v>
      </c>
      <c r="M83" s="174">
        <f>'Federal and State Purchases'!AF33</f>
        <v>5280</v>
      </c>
      <c r="N83" s="143">
        <f>'Federal and State Purchases'!AG33</f>
        <v>5301</v>
      </c>
      <c r="O83" s="156">
        <f>'Federal and State Purchases'!AH33</f>
        <v>5301</v>
      </c>
      <c r="P83" s="174">
        <f>'Federal and State Purchases'!AI33</f>
        <v>5329</v>
      </c>
      <c r="Q83" s="143">
        <f>'Federal and State Purchases'!AJ33</f>
        <v>5346</v>
      </c>
      <c r="R83" s="156">
        <f>'Federal and State Purchases'!AK33</f>
        <v>5375</v>
      </c>
      <c r="S83" s="174">
        <f>'Federal and State Purchases'!AL33</f>
        <v>5383</v>
      </c>
      <c r="T83" s="143">
        <f>'Federal and State Purchases'!AM33</f>
        <v>5404</v>
      </c>
      <c r="U83" s="156">
        <f>'Federal and State Purchases'!AN33</f>
        <v>5420</v>
      </c>
      <c r="V83" s="174">
        <f>'Federal and State Purchases'!AO33</f>
        <v>5434</v>
      </c>
      <c r="W83" s="143">
        <f>'Federal and State Purchases'!AP33</f>
        <v>5445</v>
      </c>
      <c r="X83" s="143">
        <f>'Federal and State Purchases'!AQ33</f>
        <v>5451</v>
      </c>
    </row>
    <row r="84" spans="1:25" x14ac:dyDescent="0.25">
      <c r="A84" t="s">
        <v>398</v>
      </c>
      <c r="B84" t="s">
        <v>397</v>
      </c>
      <c r="C84">
        <f>'Federal and State Purchases'!V34</f>
        <v>14272</v>
      </c>
      <c r="D84">
        <f>'Federal and State Purchases'!W34</f>
        <v>14266</v>
      </c>
      <c r="E84">
        <f>'Federal and State Purchases'!X34</f>
        <v>14260</v>
      </c>
      <c r="F84">
        <f>'Federal and State Purchases'!Y34</f>
        <v>14287</v>
      </c>
      <c r="G84">
        <f>'Federal and State Purchases'!Z34</f>
        <v>14328</v>
      </c>
      <c r="H84">
        <f>'Federal and State Purchases'!AA34</f>
        <v>14360</v>
      </c>
      <c r="I84">
        <f>'Federal and State Purchases'!AB34</f>
        <v>14402</v>
      </c>
      <c r="J84">
        <f>'Federal and State Purchases'!AC34</f>
        <v>14430</v>
      </c>
      <c r="K84">
        <f>'Federal and State Purchases'!AD34</f>
        <v>14457</v>
      </c>
      <c r="L84" s="156">
        <f>'Federal and State Purchases'!AE34</f>
        <v>14482</v>
      </c>
      <c r="M84" s="174">
        <f>'Federal and State Purchases'!AF34</f>
        <v>14508</v>
      </c>
      <c r="N84" s="143">
        <f>'Federal and State Purchases'!AG34</f>
        <v>14536</v>
      </c>
      <c r="O84" s="156">
        <f>'Federal and State Purchases'!AH34</f>
        <v>14564</v>
      </c>
      <c r="P84" s="174">
        <f>'Federal and State Purchases'!AI34</f>
        <v>14585</v>
      </c>
      <c r="Q84" s="143">
        <f>'Federal and State Purchases'!AJ34</f>
        <v>14612</v>
      </c>
      <c r="R84" s="156">
        <f>'Federal and State Purchases'!AK34</f>
        <v>14642</v>
      </c>
      <c r="S84" s="174">
        <f>'Federal and State Purchases'!AL34</f>
        <v>14665</v>
      </c>
      <c r="T84" s="143">
        <f>'Federal and State Purchases'!AM34</f>
        <v>14711</v>
      </c>
      <c r="U84" s="156">
        <f>'Federal and State Purchases'!AN34</f>
        <v>14742</v>
      </c>
      <c r="V84" s="174">
        <f>'Federal and State Purchases'!AO34</f>
        <v>14776</v>
      </c>
      <c r="W84" s="143">
        <f>'Federal and State Purchases'!AP34</f>
        <v>14827</v>
      </c>
      <c r="X84" s="143">
        <f>'Federal and State Purchases'!AQ34</f>
        <v>14827</v>
      </c>
    </row>
    <row r="85" spans="1:25" x14ac:dyDescent="0.25">
      <c r="B85" t="s">
        <v>1926</v>
      </c>
      <c r="C85">
        <f>'Federal and State Purchases'!V35</f>
        <v>19401</v>
      </c>
      <c r="D85">
        <f>'Federal and State Purchases'!W35</f>
        <v>19405</v>
      </c>
      <c r="E85">
        <f>'Federal and State Purchases'!X35</f>
        <v>19408</v>
      </c>
      <c r="F85">
        <f>'Federal and State Purchases'!Y35</f>
        <v>19430</v>
      </c>
      <c r="G85">
        <f>'Federal and State Purchases'!Z35</f>
        <v>19489</v>
      </c>
      <c r="H85">
        <f>'Federal and State Purchases'!AA35</f>
        <v>19491</v>
      </c>
      <c r="I85">
        <f>'Federal and State Purchases'!AB35</f>
        <v>19608</v>
      </c>
      <c r="J85">
        <f>'Federal and State Purchases'!AC35</f>
        <v>19659</v>
      </c>
      <c r="K85">
        <f>'Federal and State Purchases'!AD35</f>
        <v>19706</v>
      </c>
      <c r="L85" s="156">
        <f>'Federal and State Purchases'!AE35</f>
        <v>19745</v>
      </c>
      <c r="M85" s="174">
        <f>'Federal and State Purchases'!AF35</f>
        <v>19788</v>
      </c>
      <c r="N85" s="143">
        <f>'Federal and State Purchases'!AG35</f>
        <v>19837</v>
      </c>
      <c r="O85" s="156">
        <f>'Federal and State Purchases'!AH35</f>
        <v>19865</v>
      </c>
      <c r="P85" s="174">
        <f>'Federal and State Purchases'!AI35</f>
        <v>19914</v>
      </c>
      <c r="Q85" s="143">
        <f>'Federal and State Purchases'!AJ35</f>
        <v>19958</v>
      </c>
      <c r="R85" s="156">
        <f>'Federal and State Purchases'!AK35</f>
        <v>20017</v>
      </c>
      <c r="S85" s="174">
        <f>'Federal and State Purchases'!AL35</f>
        <v>20048</v>
      </c>
      <c r="T85" s="143">
        <f>'Federal and State Purchases'!AM35</f>
        <v>20115</v>
      </c>
      <c r="U85" s="156">
        <f>'Federal and State Purchases'!AN35</f>
        <v>20162</v>
      </c>
      <c r="V85" s="174">
        <f>'Federal and State Purchases'!AO35</f>
        <v>20210</v>
      </c>
      <c r="W85" s="143">
        <f>'Federal and State Purchases'!AP35</f>
        <v>20272</v>
      </c>
      <c r="X85" s="143">
        <f>'Federal and State Purchases'!AQ35</f>
        <v>20278</v>
      </c>
      <c r="Y85">
        <f>(W85/V85)^4</f>
        <v>1.0123277364184935</v>
      </c>
    </row>
    <row r="86" spans="1:25" x14ac:dyDescent="0.25">
      <c r="A86" t="s">
        <v>400</v>
      </c>
      <c r="B86" t="s">
        <v>399</v>
      </c>
      <c r="C86">
        <f>'Federal and State Purchases'!V36</f>
        <v>350972</v>
      </c>
      <c r="D86">
        <f>'Federal and State Purchases'!W36</f>
        <v>350286</v>
      </c>
      <c r="E86">
        <f>'Federal and State Purchases'!X36</f>
        <v>355116</v>
      </c>
      <c r="F86">
        <f>'Federal and State Purchases'!Y36</f>
        <v>354474</v>
      </c>
      <c r="G86">
        <f>'Federal and State Purchases'!Z36</f>
        <v>359543</v>
      </c>
      <c r="H86">
        <f>'Federal and State Purchases'!AA36</f>
        <v>361033</v>
      </c>
      <c r="I86">
        <f>'Federal and State Purchases'!AB36</f>
        <v>364867</v>
      </c>
      <c r="J86">
        <f>'Federal and State Purchases'!AC36</f>
        <v>371673</v>
      </c>
      <c r="K86">
        <f>'Federal and State Purchases'!AD36</f>
        <v>374555</v>
      </c>
      <c r="L86" s="156">
        <f>'Federal and State Purchases'!AE36</f>
        <v>382073</v>
      </c>
      <c r="M86" s="174">
        <f>'Federal and State Purchases'!AF36</f>
        <v>388978</v>
      </c>
      <c r="N86" s="143">
        <f>'Federal and State Purchases'!AG36</f>
        <v>396538</v>
      </c>
      <c r="O86" s="156">
        <f>'Federal and State Purchases'!AH36</f>
        <v>404059</v>
      </c>
      <c r="P86" s="174">
        <f>'Federal and State Purchases'!AI36</f>
        <v>407847</v>
      </c>
      <c r="Q86" s="143">
        <f>'Federal and State Purchases'!AJ36</f>
        <v>418897</v>
      </c>
      <c r="R86" s="156">
        <f>'Federal and State Purchases'!AK36</f>
        <v>432334</v>
      </c>
      <c r="S86" s="174">
        <f>'Federal and State Purchases'!AL36</f>
        <v>440095</v>
      </c>
      <c r="T86" s="143">
        <f>'Federal and State Purchases'!AM36</f>
        <v>446894</v>
      </c>
      <c r="U86" s="156">
        <f>'Federal and State Purchases'!AN36</f>
        <v>445408</v>
      </c>
      <c r="V86" s="174">
        <f>'Federal and State Purchases'!AO36</f>
        <v>444717</v>
      </c>
      <c r="W86" s="143">
        <f>'Federal and State Purchases'!AP36</f>
        <v>447315</v>
      </c>
      <c r="X86" s="143">
        <f>'Federal and State Purchases'!AQ36</f>
        <v>0</v>
      </c>
    </row>
    <row r="88" spans="1:25" x14ac:dyDescent="0.25">
      <c r="A88" s="127"/>
    </row>
    <row r="89" spans="1:25" ht="16.5" customHeight="1" x14ac:dyDescent="0.25">
      <c r="A89" s="127"/>
      <c r="B89" t="s">
        <v>1931</v>
      </c>
      <c r="I89" s="88">
        <v>119.011</v>
      </c>
      <c r="J89" s="88">
        <v>119.386</v>
      </c>
      <c r="K89" s="88">
        <v>119.53</v>
      </c>
      <c r="L89" s="88">
        <v>119.893</v>
      </c>
      <c r="M89" s="88">
        <v>120.02</v>
      </c>
      <c r="N89" s="88">
        <v>120.221</v>
      </c>
      <c r="O89" s="1236">
        <v>120.373</v>
      </c>
      <c r="P89" s="1236">
        <v>120.803</v>
      </c>
      <c r="Q89" s="1236">
        <v>121.267</v>
      </c>
      <c r="R89" s="1236">
        <v>121.309</v>
      </c>
      <c r="S89" s="1236">
        <v>121.29600000000001</v>
      </c>
      <c r="T89" s="1236">
        <v>121.44799999999999</v>
      </c>
      <c r="U89" s="1236">
        <v>121.934</v>
      </c>
      <c r="V89" s="1236">
        <v>122.34699999999999</v>
      </c>
      <c r="W89" s="1236">
        <v>122.761</v>
      </c>
      <c r="X89" s="1236">
        <v>123.07599999999999</v>
      </c>
      <c r="Y89">
        <f>X89*(X89/W89)</f>
        <v>123.39180827787327</v>
      </c>
    </row>
    <row r="90" spans="1:25" x14ac:dyDescent="0.25">
      <c r="A90" s="127"/>
      <c r="U90" s="156">
        <f>V89/U89</f>
        <v>1.0033870782554497</v>
      </c>
    </row>
    <row r="92" spans="1:25" x14ac:dyDescent="0.25">
      <c r="O92" s="156">
        <f>AVERAGE(O89:Q89)</f>
        <v>120.81433333333332</v>
      </c>
      <c r="R92" s="156">
        <f>AVERAGE(R89:T89)</f>
        <v>121.351</v>
      </c>
      <c r="U92" s="156">
        <f>AVERAGE(U89:Y89)</f>
        <v>122.70196165557465</v>
      </c>
      <c r="X92">
        <f>AVERAGE(U89:W89)</f>
        <v>122.34733333333334</v>
      </c>
    </row>
    <row r="93" spans="1:25" x14ac:dyDescent="0.25">
      <c r="O93" s="87">
        <f>(R92/O92)^4-1</f>
        <v>1.7887054480272058E-2</v>
      </c>
      <c r="R93" s="87">
        <f>(U92/R92)^4-1</f>
        <v>4.5279867080300296E-2</v>
      </c>
    </row>
    <row r="94" spans="1:25" x14ac:dyDescent="0.25">
      <c r="X94">
        <f>(Y89/X92)^4-1</f>
        <v>3.4587634037771764E-2</v>
      </c>
    </row>
  </sheetData>
  <mergeCells count="23">
    <mergeCell ref="A72:G72"/>
    <mergeCell ref="A73:G73"/>
    <mergeCell ref="A74:G74"/>
    <mergeCell ref="A76:G76"/>
    <mergeCell ref="A66:J66"/>
    <mergeCell ref="A67:J67"/>
    <mergeCell ref="A68:J68"/>
    <mergeCell ref="A69:G69"/>
    <mergeCell ref="A70:G70"/>
    <mergeCell ref="A71:G71"/>
    <mergeCell ref="A65:J65"/>
    <mergeCell ref="A2:J2"/>
    <mergeCell ref="A4:C4"/>
    <mergeCell ref="A5:A7"/>
    <mergeCell ref="B5:B7"/>
    <mergeCell ref="C5:J5"/>
    <mergeCell ref="C6:H6"/>
    <mergeCell ref="I6:K6"/>
    <mergeCell ref="A60:J60"/>
    <mergeCell ref="A61:J61"/>
    <mergeCell ref="A62:J62"/>
    <mergeCell ref="A63:J63"/>
    <mergeCell ref="A64:J64"/>
  </mergeCells>
  <hyperlinks>
    <hyperlink ref="A74:G74" r:id="rId1"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0000000}"/>
    <hyperlink ref="A76:G76" r:id="rId2"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1000000}"/>
    <hyperlink ref="A69" r:id="rId3" display="5. Unemployment insurance benefits were expanded through several programs that were initially established through the CARES Act. For more information, see How will the expansion of unemployment benefits in response to the COVID-19 pandemic be recorded in the NIPAs?" xr:uid="{00000000-0004-0000-0800-000002000000}"/>
    <hyperlink ref="A71:G71" r:id="rId4"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3000000}"/>
    <hyperlink ref="C74:H74" r:id="rId5"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4000000}"/>
    <hyperlink ref="C76:H76" r:id="rId6"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5000000}"/>
    <hyperlink ref="C71:H71" r:id="rId7"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6000000}"/>
    <hyperlink ref="A83" r:id="rId8" xr:uid="{00000000-0004-0000-0800-000007000000}"/>
  </hyperlinks>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11"/>
  <sheetViews>
    <sheetView topLeftCell="B1" workbookViewId="0">
      <selection activeCell="I30" sqref="I30"/>
    </sheetView>
  </sheetViews>
  <sheetFormatPr defaultColWidth="10.85546875" defaultRowHeight="15" x14ac:dyDescent="0.25"/>
  <cols>
    <col min="1" max="1" width="33" customWidth="1"/>
    <col min="2" max="2" width="27.140625" customWidth="1"/>
  </cols>
  <sheetData>
    <row r="1" spans="1:22" x14ac:dyDescent="0.25">
      <c r="A1" s="76" t="s">
        <v>178</v>
      </c>
      <c r="B1" s="76" t="s">
        <v>179</v>
      </c>
      <c r="C1" s="190" t="s">
        <v>247</v>
      </c>
      <c r="D1" s="190" t="s">
        <v>248</v>
      </c>
      <c r="E1" s="190" t="s">
        <v>249</v>
      </c>
      <c r="F1" s="190" t="s">
        <v>250</v>
      </c>
      <c r="G1" s="76" t="s">
        <v>251</v>
      </c>
      <c r="H1" s="76" t="s">
        <v>180</v>
      </c>
      <c r="I1" s="76" t="s">
        <v>181</v>
      </c>
      <c r="J1" s="76" t="s">
        <v>182</v>
      </c>
      <c r="K1" s="76" t="s">
        <v>183</v>
      </c>
      <c r="L1" s="101" t="s">
        <v>184</v>
      </c>
      <c r="M1" s="101" t="s">
        <v>185</v>
      </c>
      <c r="N1" s="101" t="s">
        <v>186</v>
      </c>
      <c r="O1" s="101" t="s">
        <v>187</v>
      </c>
      <c r="P1" s="101" t="s">
        <v>188</v>
      </c>
      <c r="Q1" s="101" t="s">
        <v>189</v>
      </c>
      <c r="R1" s="101" t="s">
        <v>1935</v>
      </c>
      <c r="S1" s="101"/>
      <c r="T1" s="101"/>
      <c r="U1" s="101"/>
      <c r="V1" s="101"/>
    </row>
    <row r="2" spans="1:22" ht="29.1" customHeight="1" x14ac:dyDescent="0.25">
      <c r="A2" s="14" t="s">
        <v>252</v>
      </c>
      <c r="B2" t="s">
        <v>253</v>
      </c>
      <c r="C2">
        <f>Grants!J75</f>
        <v>320.24999999999989</v>
      </c>
      <c r="D2">
        <f>Grants!K75</f>
        <v>298.13400000000001</v>
      </c>
      <c r="E2">
        <f>Grants!L75</f>
        <v>289.54399999999998</v>
      </c>
      <c r="F2">
        <f>Grants!M75</f>
        <v>320.34099999999995</v>
      </c>
      <c r="G2">
        <f>Grants!N75</f>
        <v>354.35800000000017</v>
      </c>
      <c r="H2">
        <f>Grants!O75</f>
        <v>375.57600000000008</v>
      </c>
      <c r="I2" s="35">
        <f>Grants!P75</f>
        <v>396.106852</v>
      </c>
      <c r="J2" s="35">
        <f>Grants!Q75</f>
        <v>433.66327480000001</v>
      </c>
      <c r="K2" s="35">
        <f>Grants!R75</f>
        <v>500.88603199999994</v>
      </c>
      <c r="L2" s="35">
        <f>Grants!S75</f>
        <v>486.87586800000008</v>
      </c>
      <c r="M2" s="35">
        <f>Grants!T75</f>
        <v>445.45392800000008</v>
      </c>
      <c r="N2" s="35">
        <f>Grants!U75</f>
        <v>439.61154320000009</v>
      </c>
      <c r="O2" s="35">
        <f>Grants!V75</f>
        <v>429.15772000000004</v>
      </c>
      <c r="P2" s="187">
        <f>Grants!W75</f>
        <v>415.61894400000006</v>
      </c>
      <c r="Q2" s="187">
        <f>Grants!X75</f>
        <v>427.53694400000006</v>
      </c>
      <c r="R2" s="187">
        <f>Grants!Y75</f>
        <v>427.26494400000001</v>
      </c>
    </row>
    <row r="3" spans="1:22" ht="29.1" customHeight="1" x14ac:dyDescent="0.25">
      <c r="A3" s="14" t="s">
        <v>792</v>
      </c>
      <c r="B3" t="s">
        <v>789</v>
      </c>
      <c r="C3">
        <f>'Social Benefits'!J33</f>
        <v>1650.6000000000004</v>
      </c>
      <c r="D3">
        <f>'Social Benefits'!K33</f>
        <v>1808.6</v>
      </c>
      <c r="E3">
        <f>'Social Benefits'!L33</f>
        <v>1697.9</v>
      </c>
      <c r="F3">
        <f>'Social Benefits'!M33</f>
        <v>1739.3999999999999</v>
      </c>
      <c r="G3">
        <f>'Social Benefits'!N33</f>
        <v>1749.07816</v>
      </c>
      <c r="H3">
        <f>'Social Benefits'!O33</f>
        <v>1919.92984</v>
      </c>
      <c r="I3" s="35">
        <f>'Social Benefits'!P33</f>
        <v>1894.6239999999998</v>
      </c>
      <c r="J3" s="35">
        <f>'Social Benefits'!Q33</f>
        <v>1859.424</v>
      </c>
      <c r="K3" s="35">
        <f>'Social Benefits'!R33</f>
        <v>1856.6239999999998</v>
      </c>
      <c r="L3" s="35">
        <f>'Social Benefits'!S33</f>
        <v>1840.0239999999999</v>
      </c>
      <c r="M3" s="35">
        <f>'Social Benefits'!T33</f>
        <v>1904.0839999999996</v>
      </c>
      <c r="N3" s="35">
        <f>'Social Benefits'!U33</f>
        <v>1972.2840000000003</v>
      </c>
      <c r="O3" s="35">
        <f>'Social Benefits'!V33</f>
        <v>1951.7554285714286</v>
      </c>
      <c r="P3" s="187">
        <f>'Social Benefits'!W33</f>
        <v>1947.7554285714286</v>
      </c>
      <c r="Q3" s="187">
        <f>'Social Benefits'!X33</f>
        <v>1954.2990000000002</v>
      </c>
      <c r="R3" s="187">
        <f>'Social Benefits'!Y33</f>
        <v>2047.499</v>
      </c>
    </row>
    <row r="4" spans="1:22" ht="29.1" customHeight="1" x14ac:dyDescent="0.25">
      <c r="A4" s="14" t="s">
        <v>794</v>
      </c>
      <c r="B4" t="s">
        <v>790</v>
      </c>
      <c r="C4">
        <f>'Social Benefits'!J24</f>
        <v>0</v>
      </c>
      <c r="D4">
        <f>'Social Benefits'!K24</f>
        <v>0</v>
      </c>
      <c r="E4">
        <f>'Social Benefits'!L24</f>
        <v>0</v>
      </c>
      <c r="F4">
        <f>'Social Benefits'!M24</f>
        <v>0</v>
      </c>
      <c r="G4">
        <f>'Social Benefits'!N24</f>
        <v>33.921840000000024</v>
      </c>
      <c r="H4">
        <f>'Social Benefits'!O24</f>
        <v>44.966160000000031</v>
      </c>
      <c r="I4" s="35">
        <f>'Social Benefits'!P24</f>
        <v>52.756999999999998</v>
      </c>
      <c r="J4" s="35">
        <f>'Social Benefits'!Q24</f>
        <v>52.756999999999998</v>
      </c>
      <c r="K4" s="35">
        <f>'Social Benefits'!R24</f>
        <v>52.756999999999998</v>
      </c>
      <c r="L4" s="35">
        <f>'Social Benefits'!S24</f>
        <v>52.756999999999998</v>
      </c>
      <c r="M4" s="35">
        <f>'Social Benefits'!T24</f>
        <v>30</v>
      </c>
      <c r="N4" s="35">
        <f>'Social Benefits'!U24</f>
        <v>12</v>
      </c>
      <c r="O4" s="35">
        <f>'Social Benefits'!V24</f>
        <v>12</v>
      </c>
      <c r="P4" s="187">
        <f>'Social Benefits'!W24</f>
        <v>12</v>
      </c>
      <c r="Q4" s="187">
        <f>'Social Benefits'!X24</f>
        <v>4.2219999999999995</v>
      </c>
      <c r="R4" s="187">
        <f>'Social Benefits'!Y24</f>
        <v>4.2219999999999995</v>
      </c>
    </row>
    <row r="5" spans="1:22" x14ac:dyDescent="0.25">
      <c r="A5" s="14" t="s">
        <v>793</v>
      </c>
      <c r="B5" t="s">
        <v>791</v>
      </c>
      <c r="C5">
        <f>'Social Benefits'!J30</f>
        <v>160.9</v>
      </c>
      <c r="D5">
        <f>'Social Benefits'!K30</f>
        <v>58.4</v>
      </c>
      <c r="E5">
        <f>'Social Benefits'!L30</f>
        <v>34.5</v>
      </c>
      <c r="F5">
        <f>'Social Benefits'!M30</f>
        <v>21.4</v>
      </c>
      <c r="G5">
        <f>'Social Benefits'!N30</f>
        <v>13.3</v>
      </c>
      <c r="H5">
        <f>'Social Benefits'!O30</f>
        <v>21.804000000000041</v>
      </c>
      <c r="I5" s="35">
        <f>'Social Benefits'!P30</f>
        <v>51.919000000000011</v>
      </c>
      <c r="J5" s="35">
        <f>'Social Benefits'!Q30</f>
        <v>46.619</v>
      </c>
      <c r="K5" s="35">
        <f>'Social Benefits'!R30</f>
        <v>39.719000000000008</v>
      </c>
      <c r="L5" s="35">
        <f>'Social Benefits'!S30</f>
        <v>27.819000000000003</v>
      </c>
      <c r="M5" s="35">
        <f>'Social Benefits'!T30</f>
        <v>6.3160000000000007</v>
      </c>
      <c r="N5" s="35">
        <f>'Social Benefits'!U30</f>
        <v>1.4159999999999999</v>
      </c>
      <c r="O5" s="35">
        <f>'Social Benefits'!V30</f>
        <v>1.4159999999999999</v>
      </c>
      <c r="P5" s="187">
        <f>'Social Benefits'!W30</f>
        <v>1.4159999999999999</v>
      </c>
      <c r="Q5" s="187">
        <f>'Social Benefits'!X30</f>
        <v>1.4790000000000001</v>
      </c>
      <c r="R5" s="187">
        <f>'Social Benefits'!Y30</f>
        <v>1.4790000000000001</v>
      </c>
    </row>
    <row r="6" spans="1:22" x14ac:dyDescent="0.25">
      <c r="A6" s="35" t="s">
        <v>201</v>
      </c>
      <c r="B6" s="35" t="s">
        <v>828</v>
      </c>
      <c r="C6" s="191">
        <f>Subsidies!J45</f>
        <v>0</v>
      </c>
      <c r="D6" s="191">
        <f>Subsidies!K45</f>
        <v>0</v>
      </c>
      <c r="E6" s="191">
        <f>Subsidies!L45</f>
        <v>0</v>
      </c>
      <c r="F6" s="191">
        <f>Subsidies!M45</f>
        <v>0</v>
      </c>
      <c r="G6" s="191">
        <f>Subsidies!N45</f>
        <v>58.782959999999989</v>
      </c>
      <c r="H6" s="191">
        <f>Subsidies!O45</f>
        <v>267.78904</v>
      </c>
      <c r="I6" s="191">
        <f>Subsidies!P45</f>
        <v>110.24799999999999</v>
      </c>
      <c r="J6" s="191">
        <f>Subsidies!Q45</f>
        <v>110.24799999999999</v>
      </c>
      <c r="K6" s="191">
        <f>Subsidies!R45</f>
        <v>110.24799999999999</v>
      </c>
      <c r="L6" s="191">
        <f>Subsidies!S45</f>
        <v>110.24799999999999</v>
      </c>
      <c r="M6" s="191">
        <f>Subsidies!T45</f>
        <v>12.726000000000001</v>
      </c>
      <c r="N6" s="191">
        <f>Subsidies!U45</f>
        <v>12.726000000000001</v>
      </c>
      <c r="O6" s="191">
        <f>Subsidies!V45</f>
        <v>12.726000000000001</v>
      </c>
      <c r="P6" s="188">
        <f>Subsidies!W45</f>
        <v>12.726000000000001</v>
      </c>
      <c r="Q6" s="188">
        <f>Subsidies!X45</f>
        <v>1.365</v>
      </c>
      <c r="R6" s="188">
        <f>Subsidies!Y45</f>
        <v>1.365</v>
      </c>
    </row>
    <row r="7" spans="1:22" ht="29.1" customHeight="1" x14ac:dyDescent="0.25">
      <c r="A7" s="14" t="s">
        <v>867</v>
      </c>
      <c r="B7" t="s">
        <v>865</v>
      </c>
      <c r="C7" s="35" t="e">
        <f>Taxes!#REF!</f>
        <v>#REF!</v>
      </c>
      <c r="D7" s="35" t="e">
        <f>Taxes!#REF!</f>
        <v>#REF!</v>
      </c>
      <c r="E7" s="35" t="e">
        <f>Taxes!#REF!</f>
        <v>#REF!</v>
      </c>
      <c r="F7" s="35" t="e">
        <f>Taxes!#REF!</f>
        <v>#REF!</v>
      </c>
      <c r="G7" s="35" t="e">
        <f>Taxes!#REF!</f>
        <v>#REF!</v>
      </c>
      <c r="H7" s="35" t="e">
        <f>Taxes!#REF!</f>
        <v>#REF!</v>
      </c>
      <c r="I7" s="35" t="e">
        <f>Taxes!#REF!</f>
        <v>#REF!</v>
      </c>
      <c r="J7" s="35" t="e">
        <f>Taxes!#REF!</f>
        <v>#REF!</v>
      </c>
      <c r="K7" s="35" t="e">
        <f>Taxes!#REF!</f>
        <v>#REF!</v>
      </c>
      <c r="L7" s="35" t="e">
        <f>Taxes!#REF!</f>
        <v>#REF!</v>
      </c>
      <c r="M7" s="35" t="e">
        <f>Taxes!#REF!</f>
        <v>#REF!</v>
      </c>
      <c r="N7" s="35" t="e">
        <f>Taxes!#REF!</f>
        <v>#REF!</v>
      </c>
      <c r="O7" s="35" t="e">
        <f>Taxes!#REF!</f>
        <v>#REF!</v>
      </c>
      <c r="P7" s="187" t="e">
        <f>Taxes!#REF!</f>
        <v>#REF!</v>
      </c>
      <c r="Q7" s="187" t="e">
        <f>Taxes!#REF!</f>
        <v>#REF!</v>
      </c>
      <c r="R7" s="187" t="e">
        <f>Taxes!#REF!</f>
        <v>#REF!</v>
      </c>
    </row>
    <row r="8" spans="1:22" x14ac:dyDescent="0.25">
      <c r="A8" t="s">
        <v>868</v>
      </c>
      <c r="B8" t="s">
        <v>866</v>
      </c>
      <c r="C8" s="35"/>
      <c r="D8" s="35"/>
      <c r="E8" s="35"/>
      <c r="F8" s="35"/>
      <c r="G8" s="35"/>
      <c r="H8" s="35"/>
      <c r="J8" s="74"/>
      <c r="K8" s="74"/>
      <c r="L8" s="74"/>
      <c r="M8" s="74"/>
      <c r="N8" s="74" t="e">
        <f>forecast!#REF!</f>
        <v>#REF!</v>
      </c>
      <c r="O8" s="74" t="e">
        <f>forecast!#REF!</f>
        <v>#REF!</v>
      </c>
      <c r="P8" s="189" t="e">
        <f>forecast!#REF!</f>
        <v>#REF!</v>
      </c>
      <c r="Q8" s="189" t="e">
        <f>forecast!#REF!</f>
        <v>#REF!</v>
      </c>
      <c r="R8" s="189" t="e">
        <f>forecast!#REF!</f>
        <v>#REF!</v>
      </c>
    </row>
    <row r="9" spans="1:22" x14ac:dyDescent="0.25">
      <c r="A9" s="14" t="s">
        <v>923</v>
      </c>
      <c r="B9" t="s">
        <v>924</v>
      </c>
      <c r="C9">
        <f>Grants!J96</f>
        <v>75.986000000000004</v>
      </c>
      <c r="D9">
        <f>Grants!K96</f>
        <v>79.650999999999996</v>
      </c>
      <c r="E9">
        <f>Grants!L96</f>
        <v>75.400999999999996</v>
      </c>
      <c r="F9">
        <f>Grants!M96</f>
        <v>73.034999999999997</v>
      </c>
      <c r="G9">
        <f>Grants!N96</f>
        <v>75.13</v>
      </c>
      <c r="H9">
        <f>Grants!O96</f>
        <v>70.191999999999993</v>
      </c>
      <c r="I9">
        <f>Grants!P96</f>
        <v>72.266999999999996</v>
      </c>
      <c r="J9">
        <f>Grants!Q96</f>
        <v>74.974000000000004</v>
      </c>
      <c r="K9">
        <f>Grants!R96</f>
        <v>75.229285714285723</v>
      </c>
      <c r="L9">
        <f>Grants!S96</f>
        <v>75.229285714285723</v>
      </c>
      <c r="M9" s="35">
        <f>Grants!T96</f>
        <v>76.048285714285726</v>
      </c>
      <c r="N9" s="35">
        <f>Grants!U96</f>
        <v>76.048285714285726</v>
      </c>
      <c r="O9" s="35">
        <f>Grants!V96</f>
        <v>76.048285714285726</v>
      </c>
      <c r="P9" s="187">
        <f>Grants!W96</f>
        <v>76.048285714285726</v>
      </c>
      <c r="Q9" s="187">
        <f>Grants!X96</f>
        <v>77.707285714285717</v>
      </c>
      <c r="R9" s="187">
        <f>Grants!Y96</f>
        <v>77.707285714285717</v>
      </c>
    </row>
    <row r="10" spans="1:22" x14ac:dyDescent="0.25">
      <c r="A10" t="s">
        <v>1905</v>
      </c>
      <c r="B10" t="s">
        <v>1906</v>
      </c>
      <c r="C10">
        <v>0</v>
      </c>
      <c r="D10">
        <v>0</v>
      </c>
      <c r="E10">
        <v>0</v>
      </c>
      <c r="F10">
        <v>0</v>
      </c>
      <c r="G10">
        <v>0</v>
      </c>
      <c r="H10">
        <v>0</v>
      </c>
      <c r="I10">
        <v>0</v>
      </c>
      <c r="J10">
        <v>0</v>
      </c>
      <c r="K10">
        <f>'Supply Side IRA'!R14</f>
        <v>0</v>
      </c>
      <c r="L10">
        <f>'Supply Side IRA'!S14</f>
        <v>11.312146474264033</v>
      </c>
      <c r="M10">
        <f>'Supply Side IRA'!T14</f>
        <v>11.416527727947438</v>
      </c>
      <c r="N10">
        <f>'Supply Side IRA'!U14</f>
        <v>35.755431152428351</v>
      </c>
      <c r="O10">
        <f>'Supply Side IRA'!V14</f>
        <v>58.110152249485409</v>
      </c>
      <c r="P10" s="186">
        <f>'Supply Side IRA'!W14</f>
        <v>83.193405424561121</v>
      </c>
      <c r="Q10" s="186">
        <f>'Supply Side IRA'!X14</f>
        <v>106.91859551891037</v>
      </c>
      <c r="R10" s="186">
        <f>'Supply Side IRA'!Y14</f>
        <v>123.69179914307749</v>
      </c>
    </row>
    <row r="11" spans="1:22" x14ac:dyDescent="0.25">
      <c r="A11" s="14" t="s">
        <v>1912</v>
      </c>
      <c r="B11" t="s">
        <v>1913</v>
      </c>
      <c r="C11">
        <f>'Student loans'!J11</f>
        <v>45</v>
      </c>
      <c r="D11">
        <f>'Student loans'!K11</f>
        <v>45</v>
      </c>
      <c r="E11">
        <f>'Student loans'!L11</f>
        <v>45</v>
      </c>
      <c r="F11">
        <f>'Student loans'!M11</f>
        <v>45</v>
      </c>
      <c r="G11">
        <f>'Student loans'!N11</f>
        <v>45</v>
      </c>
      <c r="H11">
        <f>'Student loans'!O11</f>
        <v>45</v>
      </c>
      <c r="I11">
        <f>'Student loans'!P11</f>
        <v>45</v>
      </c>
      <c r="J11">
        <f>'Student loans'!Q11</f>
        <v>45</v>
      </c>
      <c r="K11">
        <f>'Student loans'!R11</f>
        <v>45</v>
      </c>
      <c r="L11">
        <f>'Student loans'!S11</f>
        <v>45</v>
      </c>
      <c r="M11">
        <f>'Student loans'!T11</f>
        <v>45</v>
      </c>
      <c r="N11">
        <f>'Student loans'!U11</f>
        <v>45</v>
      </c>
      <c r="O11">
        <f>'Student loans'!V11</f>
        <v>45</v>
      </c>
      <c r="P11" s="187">
        <f>'Student loans'!W11</f>
        <v>2.0815079999999999</v>
      </c>
      <c r="Q11" s="187">
        <f>'Student loans'!X11</f>
        <v>2.1006180000000003</v>
      </c>
      <c r="R11" s="187">
        <f>'Student loans'!Y11</f>
        <v>2.5815300000000003</v>
      </c>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6"/>
  <sheetViews>
    <sheetView zoomScale="124" zoomScaleNormal="124" workbookViewId="0">
      <selection activeCell="J2" sqref="J2"/>
    </sheetView>
  </sheetViews>
  <sheetFormatPr defaultColWidth="10.85546875" defaultRowHeight="15" x14ac:dyDescent="0.25"/>
  <cols>
    <col min="1" max="1" width="32.85546875" customWidth="1"/>
    <col min="2" max="2" width="28.5703125" customWidth="1"/>
  </cols>
  <sheetData>
    <row r="1" spans="1:10" x14ac:dyDescent="0.25">
      <c r="A1" s="76" t="s">
        <v>178</v>
      </c>
      <c r="B1" s="76" t="s">
        <v>179</v>
      </c>
      <c r="C1" s="79" t="s">
        <v>191</v>
      </c>
      <c r="D1" s="79" t="s">
        <v>175</v>
      </c>
      <c r="E1" s="79" t="s">
        <v>176</v>
      </c>
      <c r="F1" s="79" t="s">
        <v>177</v>
      </c>
      <c r="G1" s="79" t="s">
        <v>765</v>
      </c>
      <c r="H1" s="79" t="s">
        <v>766</v>
      </c>
      <c r="I1" s="79" t="s">
        <v>767</v>
      </c>
      <c r="J1" s="192" t="s">
        <v>1936</v>
      </c>
    </row>
    <row r="2" spans="1:10" x14ac:dyDescent="0.25">
      <c r="A2" s="78" t="s">
        <v>1708</v>
      </c>
      <c r="B2" t="s">
        <v>1726</v>
      </c>
      <c r="C2" s="72">
        <f>Deflators!Z23</f>
        <v>1.100082528555002E-2</v>
      </c>
      <c r="D2" s="72">
        <f>Deflators!AA23</f>
        <v>7.166259764898264E-3</v>
      </c>
      <c r="E2" s="72">
        <f>Deflators!AB23</f>
        <v>5.8204452309313925E-3</v>
      </c>
      <c r="F2" s="72">
        <f>Deflators!AC23</f>
        <v>5.4050287894606974E-3</v>
      </c>
      <c r="G2" s="193">
        <f>Deflators!AD23</f>
        <v>5.3510824454261474E-3</v>
      </c>
      <c r="H2" s="193">
        <f>Deflators!AE23</f>
        <v>5.1374641193888682E-3</v>
      </c>
      <c r="I2" s="193">
        <f>Deflators!AF23</f>
        <v>4.9902256196157069E-3</v>
      </c>
      <c r="J2" s="193">
        <f>Deflators!AG23</f>
        <v>4.9039461559314823E-3</v>
      </c>
    </row>
    <row r="3" spans="1:10" x14ac:dyDescent="0.25">
      <c r="A3" s="47" t="s">
        <v>1722</v>
      </c>
      <c r="B3" t="s">
        <v>1727</v>
      </c>
      <c r="C3" s="72">
        <f>Deflators!Z24</f>
        <v>1.1305299393512325E-2</v>
      </c>
      <c r="D3" s="72">
        <f>Deflators!AA24</f>
        <v>8.3951570103690809E-3</v>
      </c>
      <c r="E3" s="72">
        <f>Deflators!AB24</f>
        <v>7.0350931713105691E-3</v>
      </c>
      <c r="F3" s="72">
        <f>Deflators!AC24</f>
        <v>6.0393595708148062E-3</v>
      </c>
      <c r="G3" s="193">
        <f>Deflators!AD24</f>
        <v>5.875261807140264E-3</v>
      </c>
      <c r="H3" s="193">
        <f>Deflators!AE24</f>
        <v>5.8170411371414321E-3</v>
      </c>
      <c r="I3" s="193">
        <f>Deflators!AF24</f>
        <v>5.8313802450995489E-3</v>
      </c>
      <c r="J3" s="193">
        <f>Deflators!AG24</f>
        <v>4.454365822902373E-3</v>
      </c>
    </row>
    <row r="4" spans="1:10" x14ac:dyDescent="0.25">
      <c r="A4" s="47" t="s">
        <v>1723</v>
      </c>
      <c r="B4" t="s">
        <v>1728</v>
      </c>
      <c r="C4" s="72">
        <f>Deflators!Z25</f>
        <v>1.3059209697085183E-2</v>
      </c>
      <c r="D4" s="72">
        <f>Deflators!AA25</f>
        <v>7.7163119627912113E-3</v>
      </c>
      <c r="E4" s="72">
        <f>Deflators!AB25</f>
        <v>6.5683918252987805E-3</v>
      </c>
      <c r="F4" s="72">
        <f>Deflators!AC25</f>
        <v>6.3938288917109176E-3</v>
      </c>
      <c r="G4" s="193">
        <f>Deflators!AD25</f>
        <v>6.3134503311721435E-3</v>
      </c>
      <c r="H4" s="193">
        <f>Deflators!AE25</f>
        <v>6.2156439075380376E-3</v>
      </c>
      <c r="I4" s="193">
        <f>Deflators!AF25</f>
        <v>6.1621486341001397E-3</v>
      </c>
      <c r="J4" s="193">
        <f>Deflators!AG25</f>
        <v>6.1742729046745382E-3</v>
      </c>
    </row>
    <row r="5" spans="1:10" x14ac:dyDescent="0.25">
      <c r="A5" s="47" t="s">
        <v>1724</v>
      </c>
      <c r="B5" t="s">
        <v>1729</v>
      </c>
      <c r="C5" s="72">
        <f>Deflators!Z26</f>
        <v>1.3059209697085183E-2</v>
      </c>
      <c r="D5" s="72">
        <f>Deflators!AA26</f>
        <v>7.7163119627912113E-3</v>
      </c>
      <c r="E5" s="72">
        <f>Deflators!AB26</f>
        <v>6.5683918252987805E-3</v>
      </c>
      <c r="F5" s="72">
        <f>Deflators!AC26</f>
        <v>6.3938288917109176E-3</v>
      </c>
      <c r="G5" s="193">
        <f>Deflators!AD26</f>
        <v>6.3134503311721435E-3</v>
      </c>
      <c r="H5" s="193">
        <f>Deflators!AE26</f>
        <v>6.2156439075380376E-3</v>
      </c>
      <c r="I5" s="193">
        <f>Deflators!AF26</f>
        <v>6.1621486341001397E-3</v>
      </c>
      <c r="J5" s="193">
        <f>Deflators!AG26</f>
        <v>6.1742729046745382E-3</v>
      </c>
    </row>
    <row r="6" spans="1:10" x14ac:dyDescent="0.25">
      <c r="A6" s="35" t="s">
        <v>1725</v>
      </c>
      <c r="B6" t="s">
        <v>1730</v>
      </c>
      <c r="C6" s="72">
        <f>Deflators!Z27</f>
        <v>1.3059209697085183E-2</v>
      </c>
      <c r="D6" s="72">
        <f>Deflators!AA27</f>
        <v>7.7163119627912113E-3</v>
      </c>
      <c r="E6" s="72">
        <f>Deflators!AB27</f>
        <v>6.5683918252987805E-3</v>
      </c>
      <c r="F6" s="72">
        <f>Deflators!AC27</f>
        <v>6.3938288917109176E-3</v>
      </c>
      <c r="G6" s="193">
        <f>Deflators!AD27</f>
        <v>6.3134503311721435E-3</v>
      </c>
      <c r="H6" s="193">
        <f>Deflators!AE27</f>
        <v>6.2156439075380376E-3</v>
      </c>
      <c r="I6" s="193">
        <f>Deflators!AF27</f>
        <v>6.1621486341001397E-3</v>
      </c>
      <c r="J6" s="193">
        <f>Deflators!AG27</f>
        <v>6.1742729046745382E-3</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S15"/>
  <sheetViews>
    <sheetView zoomScale="89" zoomScaleNormal="110" workbookViewId="0">
      <selection activeCell="A9" sqref="A9"/>
    </sheetView>
  </sheetViews>
  <sheetFormatPr defaultColWidth="10.85546875" defaultRowHeight="15" x14ac:dyDescent="0.25"/>
  <cols>
    <col min="1" max="2" width="70.85546875" customWidth="1"/>
  </cols>
  <sheetData>
    <row r="1" spans="1:45" ht="15.6" customHeight="1" x14ac:dyDescent="0.25">
      <c r="A1" s="1287" t="s">
        <v>254</v>
      </c>
      <c r="B1" s="1287"/>
      <c r="C1" s="1287"/>
      <c r="D1" s="1287"/>
      <c r="E1" s="1287"/>
      <c r="F1" s="1287"/>
      <c r="G1" s="1287"/>
      <c r="H1" s="1287"/>
      <c r="I1" s="1287"/>
      <c r="J1" s="1287"/>
      <c r="K1" s="1287"/>
      <c r="L1" s="1287"/>
      <c r="M1" s="1287"/>
      <c r="N1" s="1287"/>
      <c r="O1" s="1287"/>
    </row>
    <row r="2" spans="1:45" ht="31.35" customHeight="1" x14ac:dyDescent="0.25">
      <c r="A2" s="194"/>
      <c r="B2" s="194" t="s">
        <v>179</v>
      </c>
      <c r="C2" s="200">
        <v>1</v>
      </c>
      <c r="D2" s="200">
        <f>C2+1</f>
        <v>2</v>
      </c>
      <c r="E2" s="200">
        <f t="shared" ref="E2:N2" si="0">D2+1</f>
        <v>3</v>
      </c>
      <c r="F2" s="200">
        <f t="shared" si="0"/>
        <v>4</v>
      </c>
      <c r="G2" s="200">
        <f t="shared" si="0"/>
        <v>5</v>
      </c>
      <c r="H2" s="200">
        <f t="shared" si="0"/>
        <v>6</v>
      </c>
      <c r="I2" s="200">
        <f t="shared" si="0"/>
        <v>7</v>
      </c>
      <c r="J2" s="200">
        <f t="shared" si="0"/>
        <v>8</v>
      </c>
      <c r="K2" s="200">
        <f t="shared" si="0"/>
        <v>9</v>
      </c>
      <c r="L2" s="200">
        <f t="shared" si="0"/>
        <v>10</v>
      </c>
      <c r="M2" s="200">
        <f t="shared" si="0"/>
        <v>11</v>
      </c>
      <c r="N2" s="200">
        <f t="shared" si="0"/>
        <v>12</v>
      </c>
      <c r="O2" s="198" t="s">
        <v>255</v>
      </c>
    </row>
    <row r="3" spans="1:45" ht="15.6" customHeight="1" x14ac:dyDescent="0.25">
      <c r="A3" s="195" t="s">
        <v>256</v>
      </c>
      <c r="B3" s="195" t="s">
        <v>257</v>
      </c>
      <c r="C3" s="72">
        <v>0.22500000000000001</v>
      </c>
      <c r="D3" s="72">
        <v>0.22500000000000001</v>
      </c>
      <c r="E3" s="72">
        <v>0.22500000000000001</v>
      </c>
      <c r="F3" s="72">
        <v>0.22500000000000001</v>
      </c>
      <c r="G3" s="201">
        <v>0</v>
      </c>
      <c r="H3" s="201">
        <v>0</v>
      </c>
      <c r="I3" s="201">
        <v>0</v>
      </c>
      <c r="J3" s="201">
        <v>0</v>
      </c>
      <c r="K3" s="201">
        <v>0</v>
      </c>
      <c r="L3" s="201">
        <v>0</v>
      </c>
      <c r="M3" s="201">
        <v>0</v>
      </c>
      <c r="N3" s="201">
        <v>0</v>
      </c>
      <c r="O3" s="199">
        <f>SUM(C3:N3)</f>
        <v>0.9</v>
      </c>
      <c r="P3" s="72"/>
      <c r="Q3" s="72"/>
      <c r="R3" s="72"/>
      <c r="S3" s="72"/>
      <c r="T3" s="201"/>
      <c r="U3" s="201"/>
      <c r="V3" s="201"/>
      <c r="W3" s="201"/>
      <c r="X3" s="201"/>
      <c r="Y3" s="201"/>
      <c r="Z3" s="201"/>
      <c r="AA3" s="201"/>
      <c r="AC3" s="75"/>
      <c r="AD3" s="75"/>
      <c r="AE3" s="75"/>
      <c r="AF3" s="75"/>
      <c r="AG3" s="75"/>
      <c r="AH3" s="75"/>
      <c r="AI3" s="75"/>
      <c r="AJ3" s="75"/>
      <c r="AK3" s="75"/>
      <c r="AL3" s="75"/>
      <c r="AM3" s="75"/>
      <c r="AN3" s="75"/>
      <c r="AO3" s="75"/>
      <c r="AP3" s="75"/>
      <c r="AQ3" s="75"/>
      <c r="AR3" s="75"/>
      <c r="AS3" s="75"/>
    </row>
    <row r="4" spans="1:45" ht="15.6" customHeight="1" x14ac:dyDescent="0.25">
      <c r="A4" s="197" t="s">
        <v>258</v>
      </c>
      <c r="B4" s="197" t="s">
        <v>259</v>
      </c>
      <c r="C4" s="72">
        <v>-3.3333333333333333E-2</v>
      </c>
      <c r="D4" s="72">
        <v>-3.3333333333333333E-2</v>
      </c>
      <c r="E4" s="72">
        <v>-3.3333333333333333E-2</v>
      </c>
      <c r="F4" s="72">
        <v>-3.3333333333333333E-2</v>
      </c>
      <c r="G4" s="72">
        <v>-3.3333333333333333E-2</v>
      </c>
      <c r="H4" s="72">
        <v>-3.3333333333333333E-2</v>
      </c>
      <c r="I4" s="72">
        <v>-3.3333333333333333E-2</v>
      </c>
      <c r="J4" s="72">
        <v>-3.3333333333333333E-2</v>
      </c>
      <c r="K4" s="72">
        <v>-3.3333333333333333E-2</v>
      </c>
      <c r="L4" s="72">
        <v>-3.3333333333333333E-2</v>
      </c>
      <c r="M4" s="72">
        <v>-3.3333333333333333E-2</v>
      </c>
      <c r="N4" s="72">
        <v>-3.3333333333333333E-2</v>
      </c>
      <c r="O4" s="199">
        <f>SUM(C4:N4)</f>
        <v>-0.39999999999999997</v>
      </c>
      <c r="P4" s="72"/>
      <c r="Q4" s="72"/>
      <c r="R4" s="72"/>
      <c r="S4" s="72"/>
      <c r="T4" s="72"/>
      <c r="U4" s="72"/>
      <c r="V4" s="72"/>
      <c r="W4" s="72"/>
      <c r="X4" s="72"/>
      <c r="Y4" s="72"/>
      <c r="Z4" s="72"/>
      <c r="AA4" s="72"/>
      <c r="AC4" s="75"/>
      <c r="AD4" s="75"/>
      <c r="AE4" s="75"/>
      <c r="AF4" s="75"/>
      <c r="AG4" s="75"/>
      <c r="AH4" s="75"/>
      <c r="AI4" s="75"/>
      <c r="AJ4" s="75"/>
      <c r="AK4" s="75"/>
      <c r="AL4" s="75"/>
      <c r="AM4" s="75"/>
      <c r="AN4" s="75"/>
    </row>
    <row r="5" spans="1:45" ht="15.6" customHeight="1" x14ac:dyDescent="0.25">
      <c r="A5" s="197" t="s">
        <v>260</v>
      </c>
      <c r="B5" s="197" t="s">
        <v>261</v>
      </c>
      <c r="C5" s="72">
        <v>-0.12</v>
      </c>
      <c r="D5" s="72">
        <v>-0.12</v>
      </c>
      <c r="E5" s="72">
        <v>-0.06</v>
      </c>
      <c r="F5" s="72">
        <v>-0.06</v>
      </c>
      <c r="G5" s="72">
        <v>-0.06</v>
      </c>
      <c r="H5" s="72">
        <v>-0.06</v>
      </c>
      <c r="I5" s="72">
        <v>-0.06</v>
      </c>
      <c r="J5" s="72">
        <v>-0.06</v>
      </c>
      <c r="K5" s="72">
        <v>0</v>
      </c>
      <c r="L5" s="72">
        <v>0</v>
      </c>
      <c r="M5" s="72">
        <v>0</v>
      </c>
      <c r="N5" s="72">
        <v>0</v>
      </c>
      <c r="O5" s="199">
        <f t="shared" ref="O5:O13" si="1">SUM(C5:N5)</f>
        <v>-0.60000000000000009</v>
      </c>
      <c r="P5" s="72"/>
      <c r="Q5" s="72"/>
      <c r="R5" s="72"/>
      <c r="S5" s="72"/>
      <c r="T5" s="72"/>
      <c r="U5" s="72"/>
      <c r="V5" s="72"/>
      <c r="W5" s="72"/>
      <c r="X5" s="72"/>
      <c r="Y5" s="72"/>
      <c r="Z5" s="72"/>
      <c r="AA5" s="72"/>
      <c r="AC5" s="75"/>
      <c r="AD5" s="75"/>
      <c r="AE5" s="75"/>
      <c r="AF5" s="75"/>
      <c r="AG5" s="75"/>
      <c r="AH5" s="75"/>
      <c r="AI5" s="75"/>
      <c r="AJ5" s="75"/>
      <c r="AK5" s="75"/>
      <c r="AL5" s="75"/>
      <c r="AM5" s="75"/>
      <c r="AN5" s="75"/>
    </row>
    <row r="6" spans="1:45" ht="15.6" customHeight="1" x14ac:dyDescent="0.25">
      <c r="A6" s="195" t="s">
        <v>262</v>
      </c>
      <c r="B6" s="195" t="s">
        <v>213</v>
      </c>
      <c r="C6" s="72">
        <v>0.24499999999999997</v>
      </c>
      <c r="D6" s="72">
        <v>0.105</v>
      </c>
      <c r="E6" s="72">
        <v>5.5999999999999994E-2</v>
      </c>
      <c r="F6" s="72">
        <v>5.5999999999999994E-2</v>
      </c>
      <c r="G6" s="72">
        <v>5.5999999999999994E-2</v>
      </c>
      <c r="H6" s="72">
        <v>5.5999999999999994E-2</v>
      </c>
      <c r="I6" s="72">
        <v>5.5999999999999994E-2</v>
      </c>
      <c r="J6" s="72">
        <v>5.5999999999999994E-2</v>
      </c>
      <c r="K6" s="72">
        <v>0</v>
      </c>
      <c r="L6" s="72">
        <v>0</v>
      </c>
      <c r="M6" s="72">
        <v>0</v>
      </c>
      <c r="N6" s="72">
        <v>0</v>
      </c>
      <c r="O6" s="199">
        <f t="shared" si="1"/>
        <v>0.68600000000000017</v>
      </c>
      <c r="P6" s="72"/>
      <c r="Q6" s="72"/>
      <c r="R6" s="72"/>
      <c r="S6" s="72"/>
      <c r="T6" s="72"/>
      <c r="U6" s="72"/>
      <c r="V6" s="72"/>
      <c r="W6" s="72"/>
      <c r="X6" s="72"/>
      <c r="Y6" s="72"/>
      <c r="Z6" s="72"/>
      <c r="AA6" s="72"/>
      <c r="AC6" s="75"/>
      <c r="AD6" s="75"/>
      <c r="AE6" s="75"/>
      <c r="AF6" s="75"/>
      <c r="AG6" s="75"/>
      <c r="AH6" s="75"/>
      <c r="AI6" s="75"/>
      <c r="AJ6" s="75"/>
      <c r="AK6" s="75"/>
      <c r="AL6" s="75"/>
      <c r="AM6" s="75"/>
      <c r="AN6" s="75"/>
    </row>
    <row r="7" spans="1:45" ht="15.6" customHeight="1" x14ac:dyDescent="0.25">
      <c r="A7" s="195" t="s">
        <v>263</v>
      </c>
      <c r="B7" s="195" t="s">
        <v>264</v>
      </c>
      <c r="C7" s="72">
        <v>0.315</v>
      </c>
      <c r="D7" s="72">
        <v>0.315</v>
      </c>
      <c r="E7" s="72">
        <v>9.0000000000000011E-2</v>
      </c>
      <c r="F7" s="72">
        <v>9.0000000000000011E-2</v>
      </c>
      <c r="G7" s="72">
        <v>4.5000000000000005E-2</v>
      </c>
      <c r="H7" s="72">
        <v>4.5000000000000005E-2</v>
      </c>
      <c r="I7" s="72">
        <v>0</v>
      </c>
      <c r="J7" s="72">
        <v>0</v>
      </c>
      <c r="K7" s="72">
        <v>0</v>
      </c>
      <c r="L7" s="72">
        <v>0</v>
      </c>
      <c r="M7" s="72">
        <v>0</v>
      </c>
      <c r="N7" s="72">
        <v>0</v>
      </c>
      <c r="O7" s="199">
        <f t="shared" si="1"/>
        <v>0.9</v>
      </c>
      <c r="P7" s="72"/>
      <c r="Q7" s="72"/>
      <c r="R7" s="72"/>
      <c r="S7" s="72"/>
      <c r="T7" s="72"/>
      <c r="U7" s="72"/>
      <c r="V7" s="72"/>
      <c r="W7" s="72"/>
      <c r="X7" s="72"/>
      <c r="Y7" s="72"/>
      <c r="Z7" s="72"/>
      <c r="AA7" s="72"/>
      <c r="AC7" s="75"/>
      <c r="AD7" s="75"/>
      <c r="AE7" s="75"/>
      <c r="AF7" s="75"/>
      <c r="AG7" s="75"/>
      <c r="AH7" s="75"/>
      <c r="AI7" s="75"/>
      <c r="AJ7" s="75"/>
      <c r="AK7" s="75"/>
      <c r="AL7" s="75"/>
      <c r="AM7" s="75"/>
      <c r="AN7" s="75"/>
    </row>
    <row r="8" spans="1:45" ht="15.6" customHeight="1" x14ac:dyDescent="0.25">
      <c r="A8" s="195" t="s">
        <v>265</v>
      </c>
      <c r="B8" s="195" t="s">
        <v>266</v>
      </c>
      <c r="C8" s="72">
        <v>0.22500000000000001</v>
      </c>
      <c r="D8" s="72">
        <v>0.22500000000000001</v>
      </c>
      <c r="E8" s="72">
        <v>0.22500000000000001</v>
      </c>
      <c r="F8" s="72">
        <v>0.22500000000000001</v>
      </c>
      <c r="G8" s="72">
        <v>0</v>
      </c>
      <c r="H8" s="72">
        <v>0</v>
      </c>
      <c r="I8" s="72">
        <v>0</v>
      </c>
      <c r="J8" s="72">
        <v>0</v>
      </c>
      <c r="K8" s="72">
        <v>0</v>
      </c>
      <c r="L8" s="72">
        <v>0</v>
      </c>
      <c r="M8" s="72">
        <v>0</v>
      </c>
      <c r="N8" s="72">
        <v>0</v>
      </c>
      <c r="O8" s="199">
        <f t="shared" si="1"/>
        <v>0.9</v>
      </c>
      <c r="P8" s="72"/>
      <c r="Q8" s="72"/>
      <c r="R8" s="72"/>
      <c r="S8" s="72"/>
      <c r="T8" s="72"/>
      <c r="U8" s="72"/>
      <c r="V8" s="72"/>
      <c r="W8" s="72"/>
      <c r="X8" s="72"/>
      <c r="Y8" s="72"/>
      <c r="Z8" s="72"/>
      <c r="AA8" s="72"/>
      <c r="AC8" s="75"/>
      <c r="AD8" s="75"/>
      <c r="AE8" s="75"/>
      <c r="AF8" s="75"/>
      <c r="AG8" s="75"/>
      <c r="AH8" s="75"/>
      <c r="AI8" s="75"/>
      <c r="AJ8" s="75"/>
      <c r="AK8" s="75"/>
      <c r="AL8" s="75"/>
      <c r="AM8" s="75"/>
      <c r="AN8" s="75"/>
    </row>
    <row r="9" spans="1:45" ht="15.6" customHeight="1" x14ac:dyDescent="0.25">
      <c r="A9" s="195" t="s">
        <v>267</v>
      </c>
      <c r="B9" s="195" t="s">
        <v>268</v>
      </c>
      <c r="C9" s="72">
        <v>4.9500000000000002E-2</v>
      </c>
      <c r="D9" s="72">
        <v>4.2750000000000003E-2</v>
      </c>
      <c r="E9" s="72">
        <v>4.0500000000000001E-2</v>
      </c>
      <c r="F9" s="72">
        <v>3.8250000000000006E-2</v>
      </c>
      <c r="G9" s="72">
        <v>3.6000000000000004E-2</v>
      </c>
      <c r="H9" s="72">
        <v>3.6000000000000004E-2</v>
      </c>
      <c r="I9" s="72">
        <v>3.6000000000000004E-2</v>
      </c>
      <c r="J9" s="72">
        <v>3.6000000000000004E-2</v>
      </c>
      <c r="K9" s="72">
        <v>3.3750000000000002E-2</v>
      </c>
      <c r="L9" s="72">
        <v>3.3750000000000002E-2</v>
      </c>
      <c r="M9" s="72">
        <v>3.3750000000000002E-2</v>
      </c>
      <c r="N9" s="72">
        <v>3.3750000000000002E-2</v>
      </c>
      <c r="O9" s="199">
        <f t="shared" si="1"/>
        <v>0.45000000000000007</v>
      </c>
      <c r="P9" s="72"/>
      <c r="Q9" s="72"/>
      <c r="R9" s="72"/>
      <c r="S9" s="72"/>
      <c r="T9" s="72"/>
      <c r="U9" s="72"/>
      <c r="V9" s="72"/>
      <c r="W9" s="72"/>
      <c r="X9" s="72"/>
      <c r="Y9" s="72"/>
      <c r="Z9" s="72"/>
      <c r="AA9" s="72"/>
      <c r="AC9" s="75"/>
      <c r="AD9" s="75"/>
      <c r="AE9" s="75"/>
      <c r="AF9" s="75"/>
      <c r="AG9" s="75"/>
      <c r="AH9" s="75"/>
      <c r="AI9" s="75"/>
      <c r="AJ9" s="75"/>
      <c r="AK9" s="75"/>
      <c r="AL9" s="75"/>
      <c r="AM9" s="75"/>
      <c r="AN9" s="75"/>
    </row>
    <row r="10" spans="1:45" ht="15.6" customHeight="1" x14ac:dyDescent="0.25">
      <c r="A10" s="195" t="s">
        <v>269</v>
      </c>
      <c r="B10" s="195" t="s">
        <v>215</v>
      </c>
      <c r="C10" s="72">
        <v>0.14000000000000001</v>
      </c>
      <c r="D10" s="72">
        <v>0.1</v>
      </c>
      <c r="E10" s="72">
        <v>0.1</v>
      </c>
      <c r="F10" s="72">
        <v>0.05</v>
      </c>
      <c r="G10" s="72">
        <v>0.05</v>
      </c>
      <c r="H10" s="72">
        <v>0.05</v>
      </c>
      <c r="I10" s="72">
        <v>0.05</v>
      </c>
      <c r="J10" s="72">
        <v>0.05</v>
      </c>
      <c r="K10" s="72">
        <v>0.05</v>
      </c>
      <c r="L10" s="72">
        <v>0.03</v>
      </c>
      <c r="M10" s="72">
        <v>0.03</v>
      </c>
      <c r="N10" s="72">
        <v>0.03</v>
      </c>
      <c r="O10" s="199">
        <f>SUM(C10:N10)</f>
        <v>0.7300000000000002</v>
      </c>
      <c r="P10" s="72"/>
      <c r="Q10" s="72"/>
      <c r="R10" s="72"/>
      <c r="S10" s="72"/>
      <c r="T10" s="72"/>
      <c r="U10" s="72"/>
      <c r="V10" s="72"/>
      <c r="W10" s="72"/>
      <c r="X10" s="72"/>
      <c r="Y10" s="72"/>
      <c r="Z10" s="72"/>
      <c r="AA10" s="72"/>
      <c r="AC10" s="75"/>
      <c r="AD10" s="75"/>
      <c r="AE10" s="75"/>
      <c r="AF10" s="75"/>
      <c r="AG10" s="75"/>
      <c r="AH10" s="75"/>
      <c r="AI10" s="75"/>
      <c r="AJ10" s="75"/>
      <c r="AK10" s="75"/>
      <c r="AL10" s="75"/>
      <c r="AM10" s="75"/>
      <c r="AN10" s="75"/>
    </row>
    <row r="11" spans="1:45" ht="15.6" customHeight="1" x14ac:dyDescent="0.25">
      <c r="A11" s="195" t="s">
        <v>270</v>
      </c>
      <c r="B11" s="195" t="s">
        <v>271</v>
      </c>
      <c r="C11" s="72">
        <v>0.2</v>
      </c>
      <c r="D11" s="72">
        <v>0.17</v>
      </c>
      <c r="E11" s="72">
        <v>0.16</v>
      </c>
      <c r="F11" s="72">
        <v>0.15</v>
      </c>
      <c r="G11" s="72">
        <v>0.09</v>
      </c>
      <c r="H11" s="72">
        <v>0.05</v>
      </c>
      <c r="I11" s="72">
        <v>0.05</v>
      </c>
      <c r="J11" s="72">
        <v>0.04</v>
      </c>
      <c r="K11" s="72">
        <v>0</v>
      </c>
      <c r="L11" s="72">
        <v>0</v>
      </c>
      <c r="M11" s="72">
        <v>0</v>
      </c>
      <c r="N11" s="72">
        <v>0</v>
      </c>
      <c r="O11" s="199">
        <f>SUM(C11:N11)</f>
        <v>0.91000000000000014</v>
      </c>
      <c r="P11" s="72"/>
      <c r="Q11" s="72"/>
      <c r="R11" s="72"/>
      <c r="S11" s="72"/>
      <c r="T11" s="72"/>
      <c r="U11" s="72"/>
      <c r="V11" s="72"/>
      <c r="W11" s="72"/>
      <c r="X11" s="72"/>
      <c r="Y11" s="72"/>
      <c r="Z11" s="72"/>
      <c r="AA11" s="72"/>
      <c r="AC11" s="75"/>
      <c r="AD11" s="75"/>
      <c r="AE11" s="75"/>
      <c r="AF11" s="75"/>
      <c r="AG11" s="75"/>
      <c r="AH11" s="75"/>
      <c r="AI11" s="75"/>
      <c r="AJ11" s="75"/>
      <c r="AK11" s="75"/>
      <c r="AL11" s="75"/>
      <c r="AM11" s="75"/>
      <c r="AN11" s="75"/>
    </row>
    <row r="12" spans="1:45" ht="47.1" customHeight="1" x14ac:dyDescent="0.25">
      <c r="A12" s="196" t="s">
        <v>272</v>
      </c>
      <c r="B12" s="196" t="s">
        <v>273</v>
      </c>
      <c r="C12" s="72">
        <v>0.2</v>
      </c>
      <c r="D12" s="72">
        <v>0.17</v>
      </c>
      <c r="E12" s="72">
        <v>0.16</v>
      </c>
      <c r="F12" s="72">
        <v>0.15</v>
      </c>
      <c r="G12" s="72">
        <v>0.09</v>
      </c>
      <c r="H12" s="72">
        <v>0.05</v>
      </c>
      <c r="I12" s="72">
        <v>0.05</v>
      </c>
      <c r="J12" s="72">
        <v>0.04</v>
      </c>
      <c r="K12" s="72">
        <v>0</v>
      </c>
      <c r="L12" s="72">
        <v>0</v>
      </c>
      <c r="M12" s="72">
        <v>0</v>
      </c>
      <c r="N12" s="72">
        <v>0</v>
      </c>
      <c r="O12" s="199">
        <f t="shared" si="1"/>
        <v>0.91000000000000014</v>
      </c>
      <c r="P12" s="72"/>
      <c r="Q12" s="72"/>
      <c r="R12" s="72"/>
      <c r="S12" s="72"/>
      <c r="T12" s="72"/>
      <c r="U12" s="72"/>
      <c r="V12" s="72"/>
      <c r="W12" s="72"/>
      <c r="X12" s="72"/>
      <c r="Y12" s="72"/>
      <c r="Z12" s="72"/>
      <c r="AA12" s="72"/>
      <c r="AC12" s="75"/>
      <c r="AD12" s="75"/>
      <c r="AE12" s="75"/>
      <c r="AF12" s="75"/>
      <c r="AG12" s="75"/>
      <c r="AH12" s="75"/>
      <c r="AI12" s="75"/>
      <c r="AJ12" s="75"/>
      <c r="AK12" s="75"/>
      <c r="AL12" s="75"/>
      <c r="AM12" s="75"/>
      <c r="AN12" s="75"/>
    </row>
    <row r="13" spans="1:45" ht="31.35" customHeight="1" x14ac:dyDescent="0.25">
      <c r="A13" s="196" t="s">
        <v>274</v>
      </c>
      <c r="B13" s="196" t="s">
        <v>275</v>
      </c>
      <c r="C13" s="72">
        <v>0.14000000000000001</v>
      </c>
      <c r="D13" s="72">
        <v>0.1</v>
      </c>
      <c r="E13" s="72">
        <v>0.1</v>
      </c>
      <c r="F13" s="72">
        <v>0.05</v>
      </c>
      <c r="G13" s="72">
        <v>0.05</v>
      </c>
      <c r="H13" s="72">
        <v>0.05</v>
      </c>
      <c r="I13" s="72">
        <v>0.05</v>
      </c>
      <c r="J13" s="72">
        <v>0.05</v>
      </c>
      <c r="K13" s="72">
        <v>0.05</v>
      </c>
      <c r="L13" s="72">
        <v>0</v>
      </c>
      <c r="M13" s="72">
        <v>0</v>
      </c>
      <c r="N13" s="72">
        <v>0</v>
      </c>
      <c r="O13" s="199">
        <f t="shared" si="1"/>
        <v>0.64000000000000012</v>
      </c>
      <c r="P13" s="72"/>
      <c r="Q13" s="72"/>
      <c r="R13" s="72"/>
      <c r="S13" s="72"/>
      <c r="T13" s="72"/>
      <c r="U13" s="72"/>
      <c r="V13" s="72"/>
      <c r="W13" s="72"/>
      <c r="X13" s="72"/>
      <c r="Y13" s="72"/>
      <c r="Z13" s="72"/>
      <c r="AA13" s="72"/>
      <c r="AC13" s="75"/>
      <c r="AD13" s="75"/>
      <c r="AE13" s="75"/>
      <c r="AF13" s="75"/>
      <c r="AG13" s="75"/>
      <c r="AH13" s="75"/>
      <c r="AI13" s="75"/>
      <c r="AJ13" s="75"/>
      <c r="AK13" s="75"/>
      <c r="AL13" s="75"/>
      <c r="AM13" s="75"/>
      <c r="AN13" s="75"/>
    </row>
    <row r="14" spans="1:45" ht="47.1" customHeight="1" x14ac:dyDescent="0.25">
      <c r="A14" s="196" t="s">
        <v>276</v>
      </c>
      <c r="B14" s="196" t="s">
        <v>277</v>
      </c>
      <c r="C14" s="72">
        <v>0.04</v>
      </c>
      <c r="D14" s="72">
        <v>0.04</v>
      </c>
      <c r="E14" s="72">
        <v>1.7000000000000001E-2</v>
      </c>
      <c r="F14" s="72">
        <v>1.7000000000000001E-2</v>
      </c>
      <c r="G14" s="72">
        <v>1.7000000000000001E-2</v>
      </c>
      <c r="H14" s="72">
        <v>1.7000000000000001E-2</v>
      </c>
      <c r="I14" s="72">
        <v>1.7000000000000001E-2</v>
      </c>
      <c r="J14" s="72">
        <v>1.7000000000000001E-2</v>
      </c>
      <c r="K14" s="72">
        <v>1.7000000000000001E-2</v>
      </c>
      <c r="L14" s="72">
        <v>1.7000000000000001E-2</v>
      </c>
      <c r="M14" s="72">
        <v>1.7000000000000001E-2</v>
      </c>
      <c r="N14" s="72">
        <v>1.7000000000000001E-2</v>
      </c>
      <c r="O14" s="199">
        <f>SUM(C14:N14)</f>
        <v>0.25000000000000011</v>
      </c>
      <c r="P14" s="72"/>
      <c r="Q14" s="72"/>
      <c r="R14" s="72"/>
      <c r="S14" s="72"/>
      <c r="T14" s="72"/>
      <c r="U14" s="72"/>
      <c r="V14" s="72"/>
      <c r="W14" s="72"/>
      <c r="X14" s="72"/>
      <c r="Y14" s="72"/>
      <c r="Z14" s="72"/>
      <c r="AA14" s="72"/>
      <c r="AC14" s="75"/>
      <c r="AD14" s="75"/>
      <c r="AE14" s="75"/>
      <c r="AF14" s="75"/>
      <c r="AG14" s="75"/>
      <c r="AH14" s="75"/>
      <c r="AI14" s="75"/>
      <c r="AJ14" s="75"/>
      <c r="AK14" s="75"/>
      <c r="AL14" s="75"/>
      <c r="AM14" s="75"/>
      <c r="AN14" s="75"/>
    </row>
    <row r="15" spans="1:45" ht="15.75" customHeight="1" x14ac:dyDescent="0.25">
      <c r="B15" s="196"/>
    </row>
  </sheetData>
  <mergeCells count="1">
    <mergeCell ref="A1:O1"/>
  </mergeCells>
  <pageMargins left="0.7" right="0.7" top="0.75" bottom="0.75" header="0.3" footer="0.3"/>
  <pageSetup paperSize="9" orientation="portrait" horizontalDpi="300" verticalDpi="300"/>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P101"/>
  <sheetViews>
    <sheetView topLeftCell="A54" zoomScaleNormal="100" workbookViewId="0">
      <selection activeCell="Y28" sqref="Y28"/>
    </sheetView>
  </sheetViews>
  <sheetFormatPr defaultColWidth="10.85546875" defaultRowHeight="15" x14ac:dyDescent="0.25"/>
  <cols>
    <col min="2" max="2" width="52.42578125" customWidth="1"/>
    <col min="3" max="7" width="11.42578125" customWidth="1"/>
    <col min="8" max="8" width="12.140625" customWidth="1"/>
    <col min="9" max="9" width="8.42578125" customWidth="1"/>
    <col min="10" max="10" width="10.42578125" customWidth="1"/>
    <col min="11" max="11" width="8.42578125" customWidth="1"/>
    <col min="12" max="12" width="11.42578125" customWidth="1"/>
    <col min="13" max="20" width="9.42578125" customWidth="1"/>
    <col min="21" max="25" width="10.85546875" customWidth="1"/>
    <col min="26" max="26" width="11.140625" customWidth="1"/>
    <col min="27" max="36" width="9.42578125" customWidth="1"/>
    <col min="37" max="40" width="8.42578125" customWidth="1"/>
  </cols>
  <sheetData>
    <row r="1" spans="2:34" x14ac:dyDescent="0.25">
      <c r="B1" s="1288" t="s">
        <v>53</v>
      </c>
      <c r="C1" s="1288"/>
      <c r="D1" s="1288"/>
      <c r="E1" s="1288"/>
      <c r="F1" s="1288"/>
      <c r="G1" s="1288"/>
      <c r="H1" s="1288"/>
      <c r="I1" s="1288"/>
      <c r="J1" s="1288"/>
      <c r="K1" s="1288"/>
      <c r="L1" s="1288"/>
      <c r="M1" s="1288"/>
      <c r="N1" s="1288"/>
      <c r="O1" s="1288"/>
      <c r="P1" s="1288"/>
      <c r="Q1" s="1288"/>
      <c r="R1" s="1288"/>
      <c r="S1" s="1288"/>
      <c r="T1" s="1288"/>
      <c r="U1" s="1288"/>
      <c r="V1" s="1288"/>
      <c r="W1" s="1288"/>
      <c r="X1" s="1288"/>
      <c r="Y1" s="1288"/>
      <c r="Z1" s="1288"/>
      <c r="AA1" s="1288"/>
      <c r="AB1" s="1288"/>
      <c r="AC1" s="1288"/>
      <c r="AD1" s="202"/>
      <c r="AE1" s="202"/>
      <c r="AF1" s="202"/>
      <c r="AG1" s="202"/>
    </row>
    <row r="2" spans="2:34" ht="14.25" customHeight="1" x14ac:dyDescent="0.25">
      <c r="B2" s="1289" t="s">
        <v>278</v>
      </c>
      <c r="C2" s="1289"/>
      <c r="D2" s="1289"/>
      <c r="E2" s="1289"/>
      <c r="F2" s="1289"/>
      <c r="G2" s="1289"/>
      <c r="H2" s="1289"/>
      <c r="I2" s="1289"/>
      <c r="J2" s="1289"/>
      <c r="K2" s="1289"/>
      <c r="L2" s="1289"/>
      <c r="M2" s="1289"/>
      <c r="N2" s="1289"/>
      <c r="O2" s="1289"/>
      <c r="P2" s="1289"/>
      <c r="Q2" s="1289"/>
      <c r="R2" s="1289"/>
      <c r="S2" s="1289"/>
      <c r="T2" s="1289"/>
      <c r="U2" s="1289"/>
      <c r="V2" s="1289"/>
      <c r="W2" s="1289"/>
      <c r="X2" s="1289"/>
      <c r="Y2" s="1289"/>
      <c r="Z2" s="1289"/>
      <c r="AA2" s="1289"/>
      <c r="AB2" s="1289"/>
      <c r="AC2" s="1289"/>
      <c r="AD2" s="203"/>
      <c r="AE2" s="203"/>
      <c r="AF2" s="203"/>
      <c r="AG2" s="203"/>
    </row>
    <row r="3" spans="2:34" x14ac:dyDescent="0.25">
      <c r="B3" s="1289"/>
      <c r="C3" s="1289"/>
      <c r="D3" s="1289"/>
      <c r="E3" s="1289"/>
      <c r="F3" s="1289"/>
      <c r="G3" s="1289"/>
      <c r="H3" s="1289"/>
      <c r="I3" s="1289"/>
      <c r="J3" s="1289"/>
      <c r="K3" s="1289"/>
      <c r="L3" s="1289"/>
      <c r="M3" s="1289"/>
      <c r="N3" s="1289"/>
      <c r="O3" s="1289"/>
      <c r="P3" s="1289"/>
      <c r="Q3" s="1289"/>
      <c r="R3" s="1289"/>
      <c r="S3" s="1289"/>
      <c r="T3" s="1289"/>
      <c r="U3" s="1289"/>
      <c r="V3" s="1289"/>
      <c r="W3" s="1289"/>
      <c r="X3" s="1289"/>
      <c r="Y3" s="1289"/>
      <c r="Z3" s="1289"/>
      <c r="AA3" s="1289"/>
      <c r="AB3" s="1289"/>
      <c r="AC3" s="1289"/>
      <c r="AD3" s="203"/>
      <c r="AE3" s="203"/>
      <c r="AF3" s="203"/>
      <c r="AG3" s="203"/>
    </row>
    <row r="4" spans="2:34" x14ac:dyDescent="0.25">
      <c r="B4" s="1289"/>
      <c r="C4" s="1289"/>
      <c r="D4" s="1289"/>
      <c r="E4" s="1289"/>
      <c r="F4" s="1289"/>
      <c r="G4" s="1289"/>
      <c r="H4" s="1289"/>
      <c r="I4" s="1289"/>
      <c r="J4" s="1289"/>
      <c r="K4" s="1289"/>
      <c r="L4" s="1289"/>
      <c r="M4" s="1289"/>
      <c r="N4" s="1289"/>
      <c r="O4" s="1289"/>
      <c r="P4" s="1289"/>
      <c r="Q4" s="1289"/>
      <c r="R4" s="1289"/>
      <c r="S4" s="1289"/>
      <c r="T4" s="1289"/>
      <c r="U4" s="1289"/>
      <c r="V4" s="1289"/>
      <c r="W4" s="1289"/>
      <c r="X4" s="1289"/>
      <c r="Y4" s="1289"/>
      <c r="Z4" s="1289"/>
      <c r="AA4" s="1289"/>
      <c r="AB4" s="1289"/>
      <c r="AC4" s="1289"/>
      <c r="AD4" s="203"/>
      <c r="AE4" s="203"/>
      <c r="AF4" s="203"/>
      <c r="AG4" s="203"/>
    </row>
    <row r="5" spans="2:34" x14ac:dyDescent="0.25">
      <c r="B5" s="1289"/>
      <c r="C5" s="1289"/>
      <c r="D5" s="1289"/>
      <c r="E5" s="1289"/>
      <c r="F5" s="1289"/>
      <c r="G5" s="1289"/>
      <c r="H5" s="1289"/>
      <c r="I5" s="1289"/>
      <c r="J5" s="1289"/>
      <c r="K5" s="1289"/>
      <c r="L5" s="1289"/>
      <c r="M5" s="1289"/>
      <c r="N5" s="1289"/>
      <c r="O5" s="1289"/>
      <c r="P5" s="1289"/>
      <c r="Q5" s="1289"/>
      <c r="R5" s="1289"/>
      <c r="S5" s="1289"/>
      <c r="T5" s="1289"/>
      <c r="U5" s="1289"/>
      <c r="V5" s="1289"/>
      <c r="W5" s="1289"/>
      <c r="X5" s="1289"/>
      <c r="Y5" s="1289"/>
      <c r="Z5" s="1289"/>
      <c r="AA5" s="1289"/>
      <c r="AB5" s="1289"/>
      <c r="AC5" s="1289"/>
      <c r="AD5" s="203"/>
      <c r="AE5" s="203"/>
      <c r="AF5" s="203"/>
      <c r="AG5" s="203"/>
    </row>
    <row r="6" spans="2:34" ht="38.85" customHeight="1" x14ac:dyDescent="0.25">
      <c r="B6" s="1289"/>
      <c r="C6" s="1289"/>
      <c r="D6" s="1289"/>
      <c r="E6" s="1289"/>
      <c r="F6" s="1289"/>
      <c r="G6" s="1289"/>
      <c r="H6" s="1289"/>
      <c r="I6" s="1289"/>
      <c r="J6" s="1289"/>
      <c r="K6" s="1289"/>
      <c r="L6" s="1289"/>
      <c r="M6" s="1289"/>
      <c r="N6" s="1289"/>
      <c r="O6" s="1289"/>
      <c r="P6" s="1289"/>
      <c r="Q6" s="1289"/>
      <c r="R6" s="1289"/>
      <c r="S6" s="1289"/>
      <c r="T6" s="1289"/>
      <c r="U6" s="1289"/>
      <c r="V6" s="1289"/>
      <c r="W6" s="1289"/>
      <c r="X6" s="1289"/>
      <c r="Y6" s="1289"/>
      <c r="Z6" s="1289"/>
      <c r="AA6" s="1289"/>
      <c r="AB6" s="1289"/>
      <c r="AC6" s="1289"/>
      <c r="AD6" s="203"/>
      <c r="AE6" s="203"/>
      <c r="AF6" s="203"/>
      <c r="AG6" s="203"/>
    </row>
    <row r="7" spans="2:34" x14ac:dyDescent="0.25">
      <c r="B7" s="255"/>
      <c r="C7" s="255"/>
      <c r="D7" s="255"/>
      <c r="E7" s="255"/>
      <c r="F7" s="255"/>
      <c r="G7" s="255"/>
      <c r="H7" s="256"/>
      <c r="I7" s="256"/>
      <c r="J7" s="256"/>
      <c r="K7" s="256"/>
      <c r="L7" s="256"/>
      <c r="M7" s="256"/>
      <c r="N7" s="256"/>
      <c r="O7" s="256"/>
      <c r="P7" s="256"/>
      <c r="Q7" s="256"/>
      <c r="R7" s="256"/>
      <c r="S7" s="256"/>
      <c r="T7" s="256"/>
      <c r="U7" s="256"/>
      <c r="V7" s="256"/>
    </row>
    <row r="8" spans="2:34" ht="14.85" customHeight="1" x14ac:dyDescent="0.25">
      <c r="B8" s="1293" t="s">
        <v>279</v>
      </c>
      <c r="C8" s="1294"/>
      <c r="D8" s="1297" t="s">
        <v>280</v>
      </c>
      <c r="E8" s="1310"/>
      <c r="F8" s="1310"/>
      <c r="G8" s="1310"/>
      <c r="H8" s="1310"/>
      <c r="I8" s="1310"/>
      <c r="J8" s="1310"/>
      <c r="K8" s="1310"/>
      <c r="L8" s="1310"/>
      <c r="M8" s="1310"/>
      <c r="N8" s="1310"/>
      <c r="O8" s="1310"/>
      <c r="P8" s="1310"/>
      <c r="Q8" s="1310"/>
      <c r="R8" s="1310"/>
      <c r="S8" s="1310"/>
      <c r="T8" s="1310"/>
      <c r="U8" s="1311"/>
      <c r="V8" s="1296"/>
      <c r="W8" s="1306" t="s">
        <v>281</v>
      </c>
      <c r="X8" s="1307"/>
      <c r="Y8" s="1308"/>
      <c r="Z8" s="1308"/>
      <c r="AA8" s="1308"/>
      <c r="AB8" s="1308"/>
      <c r="AC8" s="1307"/>
      <c r="AD8" s="1309"/>
      <c r="AE8" s="228"/>
      <c r="AF8" s="228"/>
      <c r="AG8" s="228"/>
    </row>
    <row r="9" spans="2:34" ht="12.75" customHeight="1" x14ac:dyDescent="0.25">
      <c r="B9" s="1295"/>
      <c r="C9" s="1296"/>
      <c r="D9" s="204">
        <v>2018</v>
      </c>
      <c r="E9" s="1290">
        <v>2019</v>
      </c>
      <c r="F9" s="1291"/>
      <c r="G9" s="1291"/>
      <c r="H9" s="1292"/>
      <c r="I9" s="1290">
        <v>2020</v>
      </c>
      <c r="J9" s="1291"/>
      <c r="K9" s="1291"/>
      <c r="L9" s="1292"/>
      <c r="M9" s="1302">
        <v>2021</v>
      </c>
      <c r="N9" s="1303"/>
      <c r="O9" s="1303"/>
      <c r="P9" s="1304"/>
      <c r="Q9" s="1305">
        <v>2022</v>
      </c>
      <c r="R9" s="1305"/>
      <c r="S9" s="251"/>
      <c r="T9" s="278"/>
      <c r="U9" s="229"/>
      <c r="V9" s="278">
        <v>2023</v>
      </c>
      <c r="W9" s="279"/>
      <c r="X9" s="250"/>
      <c r="Y9" s="1299">
        <v>2024</v>
      </c>
      <c r="Z9" s="1300"/>
      <c r="AA9" s="1300"/>
      <c r="AB9" s="1301"/>
      <c r="AC9" s="1299">
        <v>2025</v>
      </c>
      <c r="AD9" s="1300"/>
      <c r="AE9" s="1300"/>
      <c r="AF9" s="1301"/>
      <c r="AG9" s="241">
        <v>2026</v>
      </c>
    </row>
    <row r="10" spans="2:34" ht="14.85" customHeight="1" x14ac:dyDescent="0.25">
      <c r="B10" s="1297"/>
      <c r="C10" s="1298"/>
      <c r="D10" s="204" t="s">
        <v>282</v>
      </c>
      <c r="E10" s="204" t="s">
        <v>283</v>
      </c>
      <c r="F10" s="205" t="s">
        <v>284</v>
      </c>
      <c r="G10" s="205" t="s">
        <v>238</v>
      </c>
      <c r="H10" s="206" t="s">
        <v>282</v>
      </c>
      <c r="I10" s="205" t="s">
        <v>283</v>
      </c>
      <c r="J10" s="205" t="s">
        <v>284</v>
      </c>
      <c r="K10" s="205" t="s">
        <v>238</v>
      </c>
      <c r="L10" s="205" t="s">
        <v>282</v>
      </c>
      <c r="M10" s="275" t="s">
        <v>283</v>
      </c>
      <c r="N10" s="276" t="s">
        <v>284</v>
      </c>
      <c r="O10" s="276" t="s">
        <v>238</v>
      </c>
      <c r="P10" s="274" t="s">
        <v>282</v>
      </c>
      <c r="Q10" s="205" t="s">
        <v>283</v>
      </c>
      <c r="R10" s="205" t="s">
        <v>284</v>
      </c>
      <c r="S10" s="205" t="s">
        <v>238</v>
      </c>
      <c r="T10" s="205" t="s">
        <v>282</v>
      </c>
      <c r="U10" s="275" t="s">
        <v>283</v>
      </c>
      <c r="V10" s="276" t="s">
        <v>284</v>
      </c>
      <c r="W10" s="260" t="s">
        <v>238</v>
      </c>
      <c r="X10" s="261" t="s">
        <v>282</v>
      </c>
      <c r="Y10" s="259" t="s">
        <v>283</v>
      </c>
      <c r="Z10" s="257" t="s">
        <v>284</v>
      </c>
      <c r="AA10" s="260" t="s">
        <v>238</v>
      </c>
      <c r="AB10" s="261" t="s">
        <v>282</v>
      </c>
      <c r="AC10" s="259" t="s">
        <v>283</v>
      </c>
      <c r="AD10" s="257" t="s">
        <v>284</v>
      </c>
      <c r="AE10" s="260" t="s">
        <v>238</v>
      </c>
      <c r="AF10" s="261" t="s">
        <v>282</v>
      </c>
      <c r="AG10" s="262" t="s">
        <v>283</v>
      </c>
    </row>
    <row r="11" spans="2:34" x14ac:dyDescent="0.25">
      <c r="B11" s="240" t="s">
        <v>102</v>
      </c>
      <c r="C11" s="263" t="s">
        <v>285</v>
      </c>
      <c r="D11" s="243">
        <f>'Haver Pivoted'!GO14</f>
        <v>27.1</v>
      </c>
      <c r="E11" s="277">
        <f>'Haver Pivoted'!GP14</f>
        <v>30.5</v>
      </c>
      <c r="F11" s="277">
        <f>'Haver Pivoted'!GQ14</f>
        <v>27.7</v>
      </c>
      <c r="G11" s="277">
        <f>'Haver Pivoted'!GR14</f>
        <v>25</v>
      </c>
      <c r="H11" s="277">
        <f>'Haver Pivoted'!GS14</f>
        <v>26.7</v>
      </c>
      <c r="I11" s="277">
        <f>'Haver Pivoted'!GT14</f>
        <v>40.9</v>
      </c>
      <c r="J11" s="277">
        <f>'Haver Pivoted'!GU14</f>
        <v>951.4</v>
      </c>
      <c r="K11" s="277">
        <f>'Haver Pivoted'!GV14</f>
        <v>802.3</v>
      </c>
      <c r="L11" s="277">
        <f>'Haver Pivoted'!GW14</f>
        <v>323.5</v>
      </c>
      <c r="M11" s="277">
        <f>'Haver Pivoted'!GX14</f>
        <v>583.5</v>
      </c>
      <c r="N11" s="277">
        <f>'Haver Pivoted'!GY14</f>
        <v>451.8</v>
      </c>
      <c r="O11" s="277">
        <f>'Haver Pivoted'!GZ14</f>
        <v>226.8</v>
      </c>
      <c r="P11" s="277">
        <f>'Haver Pivoted'!HA14</f>
        <v>33.9</v>
      </c>
      <c r="Q11" s="224">
        <f>'Haver Pivoted'!HB14</f>
        <v>26.2</v>
      </c>
      <c r="R11" s="224">
        <f>'Haver Pivoted'!HC14</f>
        <v>21.4</v>
      </c>
      <c r="S11" s="205">
        <f>'Haver Pivoted'!HD14</f>
        <v>19.600000000000001</v>
      </c>
      <c r="T11" s="205">
        <f>'Haver Pivoted'!HE14</f>
        <v>22.1</v>
      </c>
      <c r="U11" s="205">
        <f>'Haver Pivoted'!HF14</f>
        <v>22</v>
      </c>
      <c r="V11" s="205">
        <f>'Haver Pivoted'!HG14</f>
        <v>22.3</v>
      </c>
      <c r="W11" s="205">
        <f>'Haver Pivoted'!HH14</f>
        <v>21</v>
      </c>
      <c r="X11" s="205">
        <f>'Haver Pivoted'!HI14</f>
        <v>22.7</v>
      </c>
      <c r="Y11" s="205">
        <f>'Haver Pivoted'!HJ14</f>
        <v>22.7</v>
      </c>
      <c r="Z11" s="268">
        <f t="shared" ref="Z11:AG11" si="0">Z12+Z13+Z20</f>
        <v>22.5</v>
      </c>
      <c r="AA11" s="268">
        <f t="shared" si="0"/>
        <v>22.5</v>
      </c>
      <c r="AB11" s="268">
        <f t="shared" si="0"/>
        <v>22.5</v>
      </c>
      <c r="AC11" s="268">
        <f t="shared" si="0"/>
        <v>22.5</v>
      </c>
      <c r="AD11" s="268">
        <f t="shared" si="0"/>
        <v>22.5</v>
      </c>
      <c r="AE11" s="268">
        <f t="shared" si="0"/>
        <v>22.5</v>
      </c>
      <c r="AF11" s="268">
        <f t="shared" si="0"/>
        <v>22.5</v>
      </c>
      <c r="AG11" s="268">
        <f t="shared" si="0"/>
        <v>22.5</v>
      </c>
      <c r="AH11" s="230" t="s">
        <v>286</v>
      </c>
    </row>
    <row r="12" spans="2:34" x14ac:dyDescent="0.25">
      <c r="B12" s="254" t="s">
        <v>287</v>
      </c>
      <c r="C12" s="244" t="s">
        <v>288</v>
      </c>
      <c r="D12" s="265">
        <f>'Haver Pivoted'!GO63</f>
        <v>0</v>
      </c>
      <c r="E12" s="224">
        <f>'Haver Pivoted'!GP63</f>
        <v>0</v>
      </c>
      <c r="F12" s="224">
        <f>'Haver Pivoted'!GQ63</f>
        <v>0</v>
      </c>
      <c r="G12" s="224">
        <f>'Haver Pivoted'!GR63</f>
        <v>0</v>
      </c>
      <c r="H12" s="224">
        <f>'Haver Pivoted'!GS63</f>
        <v>0</v>
      </c>
      <c r="I12" s="224">
        <f>'Haver Pivoted'!GT63</f>
        <v>0</v>
      </c>
      <c r="J12" s="224">
        <f>'Haver Pivoted'!GU63</f>
        <v>0.1</v>
      </c>
      <c r="K12" s="224">
        <f>'Haver Pivoted'!GV63</f>
        <v>3.7</v>
      </c>
      <c r="L12" s="224">
        <f>'Haver Pivoted'!GW63</f>
        <v>12.9</v>
      </c>
      <c r="M12" s="224">
        <f>'Haver Pivoted'!GX63</f>
        <v>25.5</v>
      </c>
      <c r="N12" s="224">
        <f>'Haver Pivoted'!GY63</f>
        <v>3.8</v>
      </c>
      <c r="O12" s="224">
        <f>'Haver Pivoted'!GZ63</f>
        <v>1.8</v>
      </c>
      <c r="P12" s="224">
        <f>'Haver Pivoted'!HA63</f>
        <v>0.6</v>
      </c>
      <c r="Q12" s="224">
        <f>'Haver Pivoted'!HB63</f>
        <v>0.2</v>
      </c>
      <c r="R12" s="224">
        <f>'Haver Pivoted'!HC63</f>
        <v>0.1</v>
      </c>
      <c r="S12" s="205">
        <f>'Haver Pivoted'!HD63</f>
        <v>0</v>
      </c>
      <c r="T12" s="205">
        <f>'Haver Pivoted'!HE63</f>
        <v>0</v>
      </c>
      <c r="U12" s="205">
        <f>'Haver Pivoted'!HF63</f>
        <v>0</v>
      </c>
      <c r="V12" s="205">
        <f>'Haver Pivoted'!HG63</f>
        <v>0</v>
      </c>
      <c r="W12" s="205">
        <f>'Haver Pivoted'!HH63</f>
        <v>0</v>
      </c>
      <c r="X12" s="205">
        <f>'Haver Pivoted'!HI63</f>
        <v>0</v>
      </c>
      <c r="Y12" s="205">
        <f>'Haver Pivoted'!HJ63</f>
        <v>0</v>
      </c>
      <c r="Z12" s="226">
        <f t="shared" ref="Z12:AD12" si="1">Y12*Z23/Y23</f>
        <v>0</v>
      </c>
      <c r="AA12" s="226">
        <f t="shared" si="1"/>
        <v>0</v>
      </c>
      <c r="AB12" s="226">
        <f t="shared" si="1"/>
        <v>0</v>
      </c>
      <c r="AC12" s="226">
        <f t="shared" si="1"/>
        <v>0</v>
      </c>
      <c r="AD12" s="226">
        <f t="shared" si="1"/>
        <v>0</v>
      </c>
      <c r="AE12" s="226"/>
      <c r="AF12" s="226"/>
      <c r="AG12" s="226"/>
    </row>
    <row r="13" spans="2:34" x14ac:dyDescent="0.25">
      <c r="B13" s="254" t="s">
        <v>289</v>
      </c>
      <c r="C13" s="244"/>
      <c r="D13" s="265"/>
      <c r="E13" s="224"/>
      <c r="F13" s="224"/>
      <c r="G13" s="224"/>
      <c r="H13" s="216">
        <f>SUM(H14:H17)</f>
        <v>0</v>
      </c>
      <c r="I13" s="216">
        <f t="shared" ref="I13:M13" si="2">SUM(I14:I17)</f>
        <v>0</v>
      </c>
      <c r="J13" s="216">
        <f t="shared" si="2"/>
        <v>779.7</v>
      </c>
      <c r="K13" s="216">
        <f t="shared" si="2"/>
        <v>582.6</v>
      </c>
      <c r="L13" s="216">
        <f t="shared" si="2"/>
        <v>216.5</v>
      </c>
      <c r="M13" s="216">
        <f t="shared" si="2"/>
        <v>497.6</v>
      </c>
      <c r="N13" s="221">
        <f>SUM(N14:N17)</f>
        <v>401.5</v>
      </c>
      <c r="O13" s="221">
        <f t="shared" ref="O13:AC13" si="3">SUM(O14:O17)</f>
        <v>207.4</v>
      </c>
      <c r="P13" s="221">
        <f t="shared" si="3"/>
        <v>5.5</v>
      </c>
      <c r="Q13" s="221">
        <v>0</v>
      </c>
      <c r="R13" s="221">
        <f t="shared" si="3"/>
        <v>1</v>
      </c>
      <c r="S13" s="221">
        <f t="shared" si="3"/>
        <v>0.5</v>
      </c>
      <c r="T13" s="221">
        <f t="shared" si="3"/>
        <v>0.30000000000000004</v>
      </c>
      <c r="U13" s="221">
        <f t="shared" si="3"/>
        <v>0</v>
      </c>
      <c r="V13" s="216">
        <f t="shared" si="3"/>
        <v>0</v>
      </c>
      <c r="W13" s="216">
        <f t="shared" si="3"/>
        <v>0</v>
      </c>
      <c r="X13" s="226">
        <f>SUM(X14:X17)</f>
        <v>0</v>
      </c>
      <c r="Y13" s="226">
        <f t="shared" si="3"/>
        <v>0</v>
      </c>
      <c r="Z13" s="226">
        <f t="shared" si="3"/>
        <v>0</v>
      </c>
      <c r="AA13" s="226">
        <f t="shared" si="3"/>
        <v>0</v>
      </c>
      <c r="AB13" s="226">
        <f t="shared" si="3"/>
        <v>0</v>
      </c>
      <c r="AC13" s="226">
        <f t="shared" si="3"/>
        <v>0</v>
      </c>
      <c r="AD13" s="226">
        <f t="shared" ref="AD13" si="4">SUM(AD14:AD17)</f>
        <v>0</v>
      </c>
      <c r="AE13" s="226"/>
      <c r="AF13" s="226"/>
      <c r="AG13" s="226"/>
    </row>
    <row r="14" spans="2:34" ht="18" customHeight="1" x14ac:dyDescent="0.25">
      <c r="B14" s="236" t="s">
        <v>290</v>
      </c>
      <c r="C14" s="237" t="s">
        <v>288</v>
      </c>
      <c r="D14" s="264">
        <f>'Haver Pivoted'!GO63</f>
        <v>0</v>
      </c>
      <c r="E14" s="220">
        <f>'Haver Pivoted'!GP63</f>
        <v>0</v>
      </c>
      <c r="F14" s="220">
        <f>'Haver Pivoted'!GQ63</f>
        <v>0</v>
      </c>
      <c r="G14" s="220">
        <f>'Haver Pivoted'!GR63</f>
        <v>0</v>
      </c>
      <c r="H14" s="220">
        <f>'Haver Pivoted'!GS63</f>
        <v>0</v>
      </c>
      <c r="I14" s="220">
        <f>'Haver Pivoted'!GT63</f>
        <v>0</v>
      </c>
      <c r="J14" s="220">
        <f>'Haver Pivoted'!GU63</f>
        <v>0.1</v>
      </c>
      <c r="K14" s="220">
        <f>'Haver Pivoted'!GV63</f>
        <v>3.7</v>
      </c>
      <c r="L14" s="220">
        <f>'Haver Pivoted'!GW63</f>
        <v>12.9</v>
      </c>
      <c r="M14" s="220">
        <f>'Haver Pivoted'!GX63</f>
        <v>25.5</v>
      </c>
      <c r="N14" s="220">
        <f>'Haver Pivoted'!GY63</f>
        <v>3.8</v>
      </c>
      <c r="O14" s="220">
        <f>'Haver Pivoted'!GZ63</f>
        <v>1.8</v>
      </c>
      <c r="P14" s="220">
        <f>'Haver Pivoted'!HA63</f>
        <v>0.6</v>
      </c>
      <c r="Q14" s="220">
        <f>'Haver Pivoted'!HB63</f>
        <v>0.2</v>
      </c>
      <c r="R14" s="220">
        <f>'Haver Pivoted'!HC63</f>
        <v>0.1</v>
      </c>
      <c r="S14" s="225">
        <f>'Haver Pivoted'!HD63</f>
        <v>0</v>
      </c>
      <c r="T14" s="225">
        <f>'Haver Pivoted'!HE63</f>
        <v>0</v>
      </c>
      <c r="U14" s="225">
        <f>'Haver Pivoted'!HF63</f>
        <v>0</v>
      </c>
      <c r="V14" s="225">
        <f>'Haver Pivoted'!HG63</f>
        <v>0</v>
      </c>
      <c r="W14" s="225">
        <f>'Haver Pivoted'!HH63</f>
        <v>0</v>
      </c>
      <c r="X14" s="225">
        <f>'Haver Pivoted'!HI63</f>
        <v>0</v>
      </c>
      <c r="Y14" s="225">
        <f>'Haver Pivoted'!HJ63</f>
        <v>0</v>
      </c>
      <c r="Z14" s="226">
        <f t="shared" ref="Z14:AC14" si="5">Z12</f>
        <v>0</v>
      </c>
      <c r="AA14" s="226">
        <f t="shared" si="5"/>
        <v>0</v>
      </c>
      <c r="AB14" s="226">
        <f t="shared" si="5"/>
        <v>0</v>
      </c>
      <c r="AC14" s="226">
        <f t="shared" si="5"/>
        <v>0</v>
      </c>
      <c r="AD14" s="226">
        <f t="shared" ref="AD14" si="6">AD12</f>
        <v>0</v>
      </c>
      <c r="AE14" s="226"/>
      <c r="AF14" s="226"/>
      <c r="AG14" s="226"/>
    </row>
    <row r="15" spans="2:34" ht="18" customHeight="1" x14ac:dyDescent="0.25">
      <c r="B15" s="236" t="s">
        <v>291</v>
      </c>
      <c r="C15" s="237" t="s">
        <v>292</v>
      </c>
      <c r="D15" s="264">
        <f>'Haver Pivoted'!GO59</f>
        <v>0</v>
      </c>
      <c r="E15" s="220">
        <f>'Haver Pivoted'!GP59</f>
        <v>0</v>
      </c>
      <c r="F15" s="220">
        <f>'Haver Pivoted'!GQ59</f>
        <v>0</v>
      </c>
      <c r="G15" s="220">
        <f>'Haver Pivoted'!GR59</f>
        <v>0</v>
      </c>
      <c r="H15" s="220">
        <f>'Haver Pivoted'!GS59</f>
        <v>0</v>
      </c>
      <c r="I15" s="220">
        <f>'Haver Pivoted'!GT59</f>
        <v>0</v>
      </c>
      <c r="J15" s="220">
        <f>'Haver Pivoted'!GU59</f>
        <v>6.3</v>
      </c>
      <c r="K15" s="220">
        <f>'Haver Pivoted'!GV59</f>
        <v>26.7</v>
      </c>
      <c r="L15" s="220">
        <f>'Haver Pivoted'!GW59</f>
        <v>82.1</v>
      </c>
      <c r="M15" s="220">
        <f>'Haver Pivoted'!GX59</f>
        <v>94.7</v>
      </c>
      <c r="N15" s="220">
        <f>'Haver Pivoted'!GY59</f>
        <v>92.1</v>
      </c>
      <c r="O15" s="220">
        <f>'Haver Pivoted'!GZ59</f>
        <v>51.6</v>
      </c>
      <c r="P15" s="220">
        <f>'Haver Pivoted'!HA59</f>
        <v>2.8</v>
      </c>
      <c r="Q15" s="220">
        <f>'Haver Pivoted'!HB59</f>
        <v>0.8</v>
      </c>
      <c r="R15" s="220">
        <f>'Haver Pivoted'!HC59</f>
        <v>0.5</v>
      </c>
      <c r="S15" s="225">
        <f>'Haver Pivoted'!HD59</f>
        <v>0.3</v>
      </c>
      <c r="T15" s="225">
        <f>'Haver Pivoted'!HE59</f>
        <v>0.2</v>
      </c>
      <c r="U15" s="225">
        <f>'Haver Pivoted'!HF59</f>
        <v>0</v>
      </c>
      <c r="V15" s="225">
        <f>'Haver Pivoted'!HG59</f>
        <v>0</v>
      </c>
      <c r="W15" s="225">
        <f>'Haver Pivoted'!HH59</f>
        <v>0</v>
      </c>
      <c r="X15" s="225">
        <f>'Haver Pivoted'!HI59</f>
        <v>0</v>
      </c>
      <c r="Y15" s="225">
        <f>'Haver Pivoted'!HJ59</f>
        <v>0</v>
      </c>
      <c r="Z15" s="226">
        <f t="shared" ref="Z15:AD17" si="7">Y15*Z$23/Y$23</f>
        <v>0</v>
      </c>
      <c r="AA15" s="226">
        <f t="shared" si="7"/>
        <v>0</v>
      </c>
      <c r="AB15" s="226">
        <f t="shared" si="7"/>
        <v>0</v>
      </c>
      <c r="AC15" s="226">
        <f t="shared" si="7"/>
        <v>0</v>
      </c>
      <c r="AD15" s="226">
        <f t="shared" si="7"/>
        <v>0</v>
      </c>
      <c r="AE15" s="226"/>
      <c r="AF15" s="226"/>
      <c r="AG15" s="226"/>
    </row>
    <row r="16" spans="2:34" ht="18" customHeight="1" x14ac:dyDescent="0.25">
      <c r="B16" s="236" t="s">
        <v>293</v>
      </c>
      <c r="C16" s="237" t="s">
        <v>294</v>
      </c>
      <c r="D16" s="264">
        <f>'Haver Pivoted'!GO60</f>
        <v>0</v>
      </c>
      <c r="E16" s="220">
        <f>'Haver Pivoted'!GP60</f>
        <v>0</v>
      </c>
      <c r="F16" s="220">
        <f>'Haver Pivoted'!GQ60</f>
        <v>0</v>
      </c>
      <c r="G16" s="220">
        <f>'Haver Pivoted'!GR60</f>
        <v>0</v>
      </c>
      <c r="H16" s="220">
        <f>'Haver Pivoted'!GS60</f>
        <v>0</v>
      </c>
      <c r="I16" s="220">
        <f>'Haver Pivoted'!GT60</f>
        <v>0</v>
      </c>
      <c r="J16" s="220">
        <f>'Haver Pivoted'!GU60</f>
        <v>74.400000000000006</v>
      </c>
      <c r="K16" s="220">
        <f>'Haver Pivoted'!GV60</f>
        <v>138.30000000000001</v>
      </c>
      <c r="L16" s="220">
        <f>'Haver Pivoted'!GW60</f>
        <v>106.8</v>
      </c>
      <c r="M16" s="220">
        <f>'Haver Pivoted'!GX60</f>
        <v>89.2</v>
      </c>
      <c r="N16" s="220">
        <f>'Haver Pivoted'!GY60</f>
        <v>72.3</v>
      </c>
      <c r="O16" s="220">
        <f>'Haver Pivoted'!GZ60</f>
        <v>43.5</v>
      </c>
      <c r="P16" s="220">
        <f>'Haver Pivoted'!HA60</f>
        <v>2.1</v>
      </c>
      <c r="Q16" s="220">
        <f>'Haver Pivoted'!HB60</f>
        <v>0.8</v>
      </c>
      <c r="R16" s="220">
        <f>'Haver Pivoted'!HC60</f>
        <v>0.4</v>
      </c>
      <c r="S16" s="225">
        <f>'Haver Pivoted'!HD60</f>
        <v>0.2</v>
      </c>
      <c r="T16" s="225">
        <f>'Haver Pivoted'!HE60</f>
        <v>0.1</v>
      </c>
      <c r="U16" s="225">
        <f>'Haver Pivoted'!HF60</f>
        <v>0</v>
      </c>
      <c r="V16" s="225">
        <f>'Haver Pivoted'!HG60</f>
        <v>0</v>
      </c>
      <c r="W16" s="225">
        <f>'Haver Pivoted'!HH60</f>
        <v>0</v>
      </c>
      <c r="X16" s="225">
        <f>'Haver Pivoted'!HI60</f>
        <v>0</v>
      </c>
      <c r="Y16" s="225">
        <f>'Haver Pivoted'!HJ60</f>
        <v>0</v>
      </c>
      <c r="Z16" s="226">
        <f t="shared" si="7"/>
        <v>0</v>
      </c>
      <c r="AA16" s="226">
        <f t="shared" si="7"/>
        <v>0</v>
      </c>
      <c r="AB16" s="226">
        <f t="shared" si="7"/>
        <v>0</v>
      </c>
      <c r="AC16" s="226">
        <f t="shared" si="7"/>
        <v>0</v>
      </c>
      <c r="AD16" s="226">
        <f t="shared" si="7"/>
        <v>0</v>
      </c>
      <c r="AE16" s="226"/>
      <c r="AF16" s="226"/>
      <c r="AG16" s="226"/>
    </row>
    <row r="17" spans="2:68" ht="18" customHeight="1" x14ac:dyDescent="0.25">
      <c r="B17" s="236" t="s">
        <v>295</v>
      </c>
      <c r="C17" s="237" t="s">
        <v>296</v>
      </c>
      <c r="D17" s="264">
        <f>'Haver Pivoted'!GO61</f>
        <v>0</v>
      </c>
      <c r="E17" s="220">
        <f>'Haver Pivoted'!GP61</f>
        <v>0</v>
      </c>
      <c r="F17" s="220">
        <f>'Haver Pivoted'!GQ61</f>
        <v>0</v>
      </c>
      <c r="G17" s="220">
        <f>'Haver Pivoted'!GR61</f>
        <v>0</v>
      </c>
      <c r="H17" s="220">
        <f>'Haver Pivoted'!GS61</f>
        <v>0</v>
      </c>
      <c r="I17" s="220">
        <f>'Haver Pivoted'!GT61</f>
        <v>0</v>
      </c>
      <c r="J17" s="220">
        <f>'Haver Pivoted'!GU61</f>
        <v>698.9</v>
      </c>
      <c r="K17" s="220">
        <f>'Haver Pivoted'!GV61</f>
        <v>413.9</v>
      </c>
      <c r="L17" s="220">
        <f>'Haver Pivoted'!GW61</f>
        <v>14.7</v>
      </c>
      <c r="M17" s="220">
        <f>'Haver Pivoted'!GX61</f>
        <v>288.2</v>
      </c>
      <c r="N17" s="220">
        <f>'Haver Pivoted'!GY61</f>
        <v>233.3</v>
      </c>
      <c r="O17" s="220">
        <f>'Haver Pivoted'!GZ61</f>
        <v>110.5</v>
      </c>
      <c r="P17" s="220">
        <f>'Haver Pivoted'!HA61</f>
        <v>0</v>
      </c>
      <c r="Q17" s="220">
        <f>'Haver Pivoted'!HB61</f>
        <v>0</v>
      </c>
      <c r="R17" s="220">
        <f>'Haver Pivoted'!HC61</f>
        <v>0</v>
      </c>
      <c r="S17" s="225">
        <f>'Haver Pivoted'!HD61</f>
        <v>0</v>
      </c>
      <c r="T17" s="225">
        <f>'Haver Pivoted'!HE61</f>
        <v>0</v>
      </c>
      <c r="U17" s="225">
        <f>'Haver Pivoted'!HF61</f>
        <v>0</v>
      </c>
      <c r="V17" s="225">
        <f>'Haver Pivoted'!HG61</f>
        <v>0</v>
      </c>
      <c r="W17" s="225">
        <f>'Haver Pivoted'!HH61</f>
        <v>0</v>
      </c>
      <c r="X17" s="225">
        <f>'Haver Pivoted'!HI61</f>
        <v>0</v>
      </c>
      <c r="Y17" s="225">
        <f>'Haver Pivoted'!HJ61</f>
        <v>0</v>
      </c>
      <c r="Z17" s="226">
        <f t="shared" si="7"/>
        <v>0</v>
      </c>
      <c r="AA17" s="226">
        <f t="shared" si="7"/>
        <v>0</v>
      </c>
      <c r="AB17" s="226">
        <f t="shared" si="7"/>
        <v>0</v>
      </c>
      <c r="AC17" s="226">
        <f t="shared" si="7"/>
        <v>0</v>
      </c>
      <c r="AD17" s="226">
        <f t="shared" si="7"/>
        <v>0</v>
      </c>
      <c r="AE17" s="226"/>
      <c r="AF17" s="226"/>
      <c r="AG17" s="226"/>
    </row>
    <row r="18" spans="2:68" x14ac:dyDescent="0.25">
      <c r="B18" s="238" t="s">
        <v>158</v>
      </c>
      <c r="C18" s="230" t="s">
        <v>297</v>
      </c>
      <c r="D18" s="265">
        <f>'Haver Pivoted'!GO64</f>
        <v>0</v>
      </c>
      <c r="E18" s="224">
        <f>'Haver Pivoted'!GP64</f>
        <v>0</v>
      </c>
      <c r="F18" s="224">
        <f>'Haver Pivoted'!GQ64</f>
        <v>0</v>
      </c>
      <c r="G18" s="224">
        <f>'Haver Pivoted'!GR64</f>
        <v>0</v>
      </c>
      <c r="H18" s="224">
        <f>'Haver Pivoted'!GS64</f>
        <v>0</v>
      </c>
      <c r="I18" s="224">
        <f>'Haver Pivoted'!GT64</f>
        <v>0</v>
      </c>
      <c r="J18" s="224">
        <f>'Haver Pivoted'!GU64</f>
        <v>0</v>
      </c>
      <c r="K18" s="224">
        <f>'Haver Pivoted'!GV64</f>
        <v>106.2</v>
      </c>
      <c r="L18" s="224">
        <f>'Haver Pivoted'!GW64</f>
        <v>35.9</v>
      </c>
      <c r="M18" s="224">
        <f>'Haver Pivoted'!GX64</f>
        <v>1.6</v>
      </c>
      <c r="N18" s="224">
        <f>'Haver Pivoted'!GY64</f>
        <v>0.6</v>
      </c>
      <c r="O18" s="224">
        <f>'Haver Pivoted'!GZ64</f>
        <v>0.1</v>
      </c>
      <c r="P18" s="224">
        <f>'Haver Pivoted'!HA64</f>
        <v>0</v>
      </c>
      <c r="Q18" s="220">
        <f>'Haver Pivoted'!HB64</f>
        <v>0</v>
      </c>
      <c r="R18" s="220">
        <f>'Haver Pivoted'!HC64</f>
        <v>0</v>
      </c>
      <c r="S18" s="225">
        <f>'Haver Pivoted'!HD64</f>
        <v>0</v>
      </c>
      <c r="T18" s="225">
        <f>'Haver Pivoted'!HE64</f>
        <v>0</v>
      </c>
      <c r="U18" s="225">
        <f>'Haver Pivoted'!HF64</f>
        <v>0</v>
      </c>
      <c r="V18" s="225">
        <f>'Haver Pivoted'!HG64</f>
        <v>0</v>
      </c>
      <c r="W18" s="225">
        <f>'Haver Pivoted'!HH64</f>
        <v>0</v>
      </c>
      <c r="X18" s="225">
        <f>'Haver Pivoted'!HI64</f>
        <v>0</v>
      </c>
      <c r="Y18" s="225">
        <f>'Haver Pivoted'!HJ64</f>
        <v>0</v>
      </c>
      <c r="Z18" s="226"/>
      <c r="AA18" s="226"/>
      <c r="AB18" s="226"/>
      <c r="AC18" s="226"/>
      <c r="AD18" s="226"/>
      <c r="AE18" s="226"/>
      <c r="AF18" s="226"/>
      <c r="AG18" s="226"/>
    </row>
    <row r="19" spans="2:68" ht="14.85" customHeight="1" x14ac:dyDescent="0.25">
      <c r="B19" s="258" t="s">
        <v>298</v>
      </c>
      <c r="C19" s="245"/>
      <c r="D19" s="252">
        <f t="shared" ref="D19:N19" si="8">D11-D20</f>
        <v>0</v>
      </c>
      <c r="E19" s="218">
        <f t="shared" si="8"/>
        <v>0</v>
      </c>
      <c r="F19" s="218">
        <f t="shared" si="8"/>
        <v>0</v>
      </c>
      <c r="G19" s="218">
        <f t="shared" si="8"/>
        <v>0</v>
      </c>
      <c r="H19" s="218">
        <f t="shared" si="8"/>
        <v>0</v>
      </c>
      <c r="I19" s="218">
        <f t="shared" si="8"/>
        <v>0</v>
      </c>
      <c r="J19" s="218">
        <f t="shared" si="8"/>
        <v>779.80000000000007</v>
      </c>
      <c r="K19" s="218">
        <f t="shared" si="8"/>
        <v>586.29999999999995</v>
      </c>
      <c r="L19" s="218">
        <f t="shared" si="8"/>
        <v>229.4</v>
      </c>
      <c r="M19" s="218">
        <f t="shared" si="8"/>
        <v>523.1</v>
      </c>
      <c r="N19" s="219">
        <f t="shared" si="8"/>
        <v>405.3</v>
      </c>
      <c r="O19" s="219">
        <f>O11-O20</f>
        <v>209.20000000000002</v>
      </c>
      <c r="P19" s="219">
        <f t="shared" ref="P19" si="9">P11-P20</f>
        <v>6.1000000000000014</v>
      </c>
      <c r="Q19" s="219">
        <f>Q11-Q20</f>
        <v>0.19999999999999929</v>
      </c>
      <c r="R19" s="219">
        <f>R11-R20</f>
        <v>1.1000000000000014</v>
      </c>
      <c r="S19" s="219">
        <f>S11-S20</f>
        <v>0.5</v>
      </c>
      <c r="T19" s="219">
        <f>T11-T20</f>
        <v>0.30000000000000071</v>
      </c>
      <c r="U19" s="219">
        <f>U11-U20</f>
        <v>0</v>
      </c>
      <c r="V19" s="218">
        <v>0</v>
      </c>
      <c r="W19" s="218">
        <v>0</v>
      </c>
      <c r="X19" s="227">
        <f>X11-X20</f>
        <v>0.28514285714285847</v>
      </c>
      <c r="Y19" s="227">
        <f t="shared" ref="Y19:AC19" si="10">Y11-Y20</f>
        <v>-0.55714285714286049</v>
      </c>
      <c r="Z19" s="227">
        <f t="shared" si="10"/>
        <v>0</v>
      </c>
      <c r="AA19" s="227">
        <f t="shared" si="10"/>
        <v>0</v>
      </c>
      <c r="AB19" s="227">
        <f t="shared" si="10"/>
        <v>0</v>
      </c>
      <c r="AC19" s="227">
        <f t="shared" si="10"/>
        <v>0</v>
      </c>
      <c r="AD19" s="227">
        <f t="shared" ref="AD19" si="11">AD11-AD20</f>
        <v>0</v>
      </c>
      <c r="AE19" s="227"/>
      <c r="AF19" s="227"/>
      <c r="AG19" s="227"/>
    </row>
    <row r="20" spans="2:68" ht="14.85" customHeight="1" x14ac:dyDescent="0.25">
      <c r="B20" s="258" t="s">
        <v>299</v>
      </c>
      <c r="C20" s="245"/>
      <c r="D20" s="252">
        <f t="shared" ref="D20:H20" si="12">D11</f>
        <v>27.1</v>
      </c>
      <c r="E20" s="218">
        <f t="shared" si="12"/>
        <v>30.5</v>
      </c>
      <c r="F20" s="218">
        <f t="shared" si="12"/>
        <v>27.7</v>
      </c>
      <c r="G20" s="218">
        <f t="shared" si="12"/>
        <v>25</v>
      </c>
      <c r="H20" s="218">
        <f t="shared" si="12"/>
        <v>26.7</v>
      </c>
      <c r="I20" s="218">
        <f>I11</f>
        <v>40.9</v>
      </c>
      <c r="J20" s="218">
        <f>J11-J13-J12</f>
        <v>171.59999999999994</v>
      </c>
      <c r="K20" s="218">
        <f>K11-K13-K12</f>
        <v>215.99999999999994</v>
      </c>
      <c r="L20" s="218">
        <f>L11-L13-L12</f>
        <v>94.1</v>
      </c>
      <c r="M20" s="218">
        <f>M11-M13-M12</f>
        <v>60.399999999999977</v>
      </c>
      <c r="N20" s="219">
        <f t="shared" ref="N20:U20" si="13">N11-N12-N13</f>
        <v>46.5</v>
      </c>
      <c r="O20" s="219">
        <f t="shared" si="13"/>
        <v>17.599999999999994</v>
      </c>
      <c r="P20" s="219">
        <f t="shared" si="13"/>
        <v>27.799999999999997</v>
      </c>
      <c r="Q20" s="220">
        <f t="shared" si="13"/>
        <v>26</v>
      </c>
      <c r="R20" s="220">
        <f t="shared" si="13"/>
        <v>20.299999999999997</v>
      </c>
      <c r="S20" s="220">
        <f t="shared" si="13"/>
        <v>19.100000000000001</v>
      </c>
      <c r="T20" s="220">
        <f t="shared" si="13"/>
        <v>21.8</v>
      </c>
      <c r="U20" s="220">
        <f t="shared" si="13"/>
        <v>22</v>
      </c>
      <c r="V20" s="218">
        <f>U20*V23/U23</f>
        <v>22.62857142857143</v>
      </c>
      <c r="W20" s="218">
        <f>V20*W23/V23</f>
        <v>22.62857142857143</v>
      </c>
      <c r="X20" s="227">
        <f t="shared" ref="X20:Y20" si="14">W20*X23/W23</f>
        <v>22.414857142857141</v>
      </c>
      <c r="Y20" s="227">
        <f t="shared" si="14"/>
        <v>23.25714285714286</v>
      </c>
      <c r="Z20" s="227">
        <v>22.5</v>
      </c>
      <c r="AA20" s="227">
        <v>22.5</v>
      </c>
      <c r="AB20" s="227">
        <v>22.5</v>
      </c>
      <c r="AC20" s="227">
        <v>22.5</v>
      </c>
      <c r="AD20" s="227">
        <v>22.5</v>
      </c>
      <c r="AE20" s="227">
        <v>22.5</v>
      </c>
      <c r="AF20" s="227">
        <v>22.5</v>
      </c>
      <c r="AG20" s="227">
        <v>22.5</v>
      </c>
      <c r="AH20" s="253" t="s">
        <v>300</v>
      </c>
    </row>
    <row r="21" spans="2:68" x14ac:dyDescent="0.25">
      <c r="B21" s="238"/>
      <c r="C21" s="239"/>
      <c r="D21" s="264"/>
      <c r="E21" s="220"/>
      <c r="F21" s="220"/>
      <c r="G21" s="220"/>
      <c r="H21" s="216"/>
      <c r="I21" s="216"/>
      <c r="J21" s="216"/>
      <c r="K21" s="216"/>
      <c r="L21" s="216"/>
      <c r="M21" s="216"/>
      <c r="N21" s="216"/>
      <c r="O21" s="216"/>
      <c r="P21" s="216"/>
      <c r="Q21" s="216"/>
      <c r="R21" s="216"/>
      <c r="S21" s="216"/>
      <c r="T21" s="242"/>
      <c r="U21" s="216"/>
      <c r="V21" s="216"/>
      <c r="W21" s="226"/>
      <c r="X21" s="226"/>
      <c r="Y21" s="226"/>
      <c r="Z21" s="226"/>
      <c r="AA21" s="226"/>
      <c r="AB21" s="226"/>
      <c r="AC21" s="226"/>
      <c r="AD21" s="226"/>
      <c r="AE21" s="226"/>
      <c r="AF21" s="226"/>
      <c r="AG21" s="222"/>
    </row>
    <row r="22" spans="2:68" x14ac:dyDescent="0.25">
      <c r="B22" s="280" t="s">
        <v>2262</v>
      </c>
      <c r="C22" s="239"/>
      <c r="D22" s="220"/>
      <c r="E22" s="220"/>
      <c r="F22" s="220"/>
      <c r="G22" s="220"/>
      <c r="H22" s="216"/>
      <c r="I22" s="216"/>
      <c r="J22" s="216"/>
      <c r="K22" s="216"/>
      <c r="L22" s="216"/>
      <c r="M22" s="216">
        <v>6.2329999999999997</v>
      </c>
      <c r="N22" s="216">
        <v>5.9329999999999998</v>
      </c>
      <c r="O22" s="216">
        <v>5.0659999999999998</v>
      </c>
      <c r="P22" s="216">
        <v>4.1660000000000004</v>
      </c>
      <c r="Q22" s="216">
        <v>3.8</v>
      </c>
      <c r="R22" s="216">
        <v>3.633</v>
      </c>
      <c r="S22" s="216">
        <v>3.5329999999999999</v>
      </c>
      <c r="T22" s="242">
        <v>3.5659999999999998</v>
      </c>
      <c r="U22" s="213">
        <v>3.5</v>
      </c>
      <c r="V22" s="213">
        <v>3.5659999999999998</v>
      </c>
      <c r="W22" s="212">
        <v>3.7</v>
      </c>
      <c r="X22" s="212">
        <v>3.7330000000000001</v>
      </c>
      <c r="Y22" s="212">
        <v>3.8</v>
      </c>
      <c r="Z22" s="212">
        <v>3.8809999999999998</v>
      </c>
      <c r="AA22" s="212">
        <v>3.915</v>
      </c>
      <c r="AB22" s="212">
        <v>3.9319999999999999</v>
      </c>
      <c r="AC22" s="212">
        <v>3.9569999999999999</v>
      </c>
      <c r="AD22" s="212">
        <v>3.9569999999999999</v>
      </c>
      <c r="AE22" s="212">
        <v>3.9750000000000001</v>
      </c>
      <c r="AF22" s="212">
        <v>4.0039999999999996</v>
      </c>
      <c r="AG22" s="223">
        <v>4.0780000000000003</v>
      </c>
      <c r="AH22">
        <v>4.1369999999999996</v>
      </c>
      <c r="AI22">
        <v>4.1870000000000003</v>
      </c>
      <c r="AJ22">
        <v>4.2279999999999998</v>
      </c>
      <c r="AK22">
        <v>4.2699999999999996</v>
      </c>
      <c r="AL22">
        <v>4.3049999999999997</v>
      </c>
      <c r="AM22">
        <v>4.34</v>
      </c>
      <c r="AN22">
        <v>4.3719999999999999</v>
      </c>
      <c r="AO22">
        <v>4.399</v>
      </c>
      <c r="AP22">
        <v>4.4189999999999996</v>
      </c>
      <c r="AQ22">
        <v>4.4359999999999999</v>
      </c>
      <c r="AR22">
        <v>4.4489999999999998</v>
      </c>
      <c r="AS22">
        <v>4.4630000000000001</v>
      </c>
      <c r="AT22">
        <v>4.4710000000000001</v>
      </c>
      <c r="AU22">
        <v>4.476</v>
      </c>
      <c r="AV22">
        <v>4.4790000000000001</v>
      </c>
      <c r="AW22">
        <v>4.484</v>
      </c>
      <c r="AX22">
        <v>4.4850000000000003</v>
      </c>
      <c r="AY22">
        <v>4.484</v>
      </c>
      <c r="AZ22">
        <v>4.4829999999999997</v>
      </c>
      <c r="BA22">
        <v>4.4829999999999997</v>
      </c>
      <c r="BB22">
        <v>4.4809999999999999</v>
      </c>
      <c r="BC22">
        <v>4.4779999999999998</v>
      </c>
      <c r="BD22">
        <v>4.4749999999999996</v>
      </c>
      <c r="BE22">
        <v>4.4749999999999996</v>
      </c>
      <c r="BF22">
        <v>4.4710000000000001</v>
      </c>
      <c r="BG22">
        <v>4.4669999999999996</v>
      </c>
      <c r="BH22">
        <v>4.4619999999999997</v>
      </c>
      <c r="BI22">
        <v>4.4589999999999996</v>
      </c>
      <c r="BJ22">
        <v>4.4539999999999997</v>
      </c>
      <c r="BK22">
        <v>4.4480000000000004</v>
      </c>
      <c r="BL22">
        <v>4.4429999999999996</v>
      </c>
      <c r="BM22">
        <v>4.4379999999999997</v>
      </c>
      <c r="BN22">
        <v>4.4329999999999998</v>
      </c>
      <c r="BO22">
        <v>4.4279999999999999</v>
      </c>
      <c r="BP22">
        <v>4.4219999999999997</v>
      </c>
    </row>
    <row r="23" spans="2:68" x14ac:dyDescent="0.25">
      <c r="B23" s="238" t="s">
        <v>1831</v>
      </c>
      <c r="C23" s="230"/>
      <c r="D23" s="265"/>
      <c r="E23" s="224"/>
      <c r="F23" s="224"/>
      <c r="G23" s="224"/>
      <c r="H23" s="216"/>
      <c r="I23" s="216"/>
      <c r="J23" s="216"/>
      <c r="K23" s="216"/>
      <c r="L23" s="216"/>
      <c r="M23" s="216">
        <f t="shared" ref="M23:U23" si="15">GETPIVOTDATA("Monthly UR",$E$29,"Quarters",M24,"Years",M25)</f>
        <v>6.166666666666667</v>
      </c>
      <c r="N23" s="216">
        <f t="shared" si="15"/>
        <v>5.7666666666666657</v>
      </c>
      <c r="O23" s="216">
        <f t="shared" si="15"/>
        <v>5.1333333333333337</v>
      </c>
      <c r="P23" s="216">
        <f t="shared" si="15"/>
        <v>4.2333333333333334</v>
      </c>
      <c r="Q23" s="216">
        <f t="shared" si="15"/>
        <v>3.8000000000000003</v>
      </c>
      <c r="R23" s="216">
        <f t="shared" si="15"/>
        <v>3.6</v>
      </c>
      <c r="S23" s="216">
        <f t="shared" si="15"/>
        <v>3.5666666666666664</v>
      </c>
      <c r="T23" s="216">
        <f t="shared" si="15"/>
        <v>3.6</v>
      </c>
      <c r="U23" s="217">
        <f t="shared" si="15"/>
        <v>3.5</v>
      </c>
      <c r="V23" s="231">
        <v>3.6</v>
      </c>
      <c r="W23" s="231">
        <v>3.6</v>
      </c>
      <c r="X23" s="231">
        <f>V22</f>
        <v>3.5659999999999998</v>
      </c>
      <c r="Y23" s="231">
        <f t="shared" ref="Y23:AC23" si="16">W22</f>
        <v>3.7</v>
      </c>
      <c r="Z23" s="231">
        <f t="shared" si="16"/>
        <v>3.7330000000000001</v>
      </c>
      <c r="AA23" s="231">
        <f t="shared" si="16"/>
        <v>3.8</v>
      </c>
      <c r="AB23" s="231">
        <f t="shared" si="16"/>
        <v>3.8809999999999998</v>
      </c>
      <c r="AC23" s="231">
        <f t="shared" si="16"/>
        <v>3.915</v>
      </c>
      <c r="AD23" s="231">
        <f>AB22</f>
        <v>3.9319999999999999</v>
      </c>
      <c r="AE23" s="231">
        <f>AE22</f>
        <v>3.9750000000000001</v>
      </c>
      <c r="AF23" s="231">
        <f>AF22</f>
        <v>4.0039999999999996</v>
      </c>
      <c r="AG23" s="231">
        <f>AG22</f>
        <v>4.0780000000000003</v>
      </c>
      <c r="AH23" s="213" t="s">
        <v>301</v>
      </c>
    </row>
    <row r="24" spans="2:68" ht="15.75" customHeight="1" x14ac:dyDescent="0.25">
      <c r="B24" s="232" t="s">
        <v>1823</v>
      </c>
      <c r="C24" s="233"/>
      <c r="D24" s="234"/>
      <c r="E24" s="234"/>
      <c r="F24" s="234"/>
      <c r="G24" s="234"/>
      <c r="H24" s="234"/>
      <c r="I24" s="234"/>
      <c r="J24" s="234"/>
      <c r="K24" s="234"/>
      <c r="L24" s="234"/>
      <c r="M24" s="234">
        <v>1</v>
      </c>
      <c r="N24" s="234">
        <v>2</v>
      </c>
      <c r="O24" s="234">
        <v>3</v>
      </c>
      <c r="P24" s="234">
        <v>4</v>
      </c>
      <c r="Q24" s="234">
        <v>1</v>
      </c>
      <c r="R24" s="234">
        <v>2</v>
      </c>
      <c r="S24" s="234">
        <v>3</v>
      </c>
      <c r="T24" s="234">
        <v>4</v>
      </c>
      <c r="U24" s="234">
        <v>1</v>
      </c>
      <c r="V24" s="234">
        <v>2</v>
      </c>
      <c r="W24" s="234">
        <v>3</v>
      </c>
      <c r="X24" s="234">
        <v>4</v>
      </c>
      <c r="Y24" s="234">
        <v>1</v>
      </c>
      <c r="Z24" s="234">
        <v>2</v>
      </c>
      <c r="AA24" s="234">
        <v>3</v>
      </c>
      <c r="AB24" s="234">
        <v>4</v>
      </c>
      <c r="AC24" s="234">
        <v>1</v>
      </c>
      <c r="AD24" s="234">
        <v>2</v>
      </c>
      <c r="AE24" s="234">
        <v>3</v>
      </c>
      <c r="AF24" s="234">
        <v>4</v>
      </c>
      <c r="AG24" s="235">
        <v>1</v>
      </c>
      <c r="AH24" s="224"/>
      <c r="AI24" s="224"/>
      <c r="AJ24" s="224"/>
    </row>
    <row r="25" spans="2:68" x14ac:dyDescent="0.25">
      <c r="B25" s="246" t="s">
        <v>1824</v>
      </c>
      <c r="C25" s="247"/>
      <c r="D25" s="248"/>
      <c r="E25" s="248"/>
      <c r="F25" s="248"/>
      <c r="G25" s="248"/>
      <c r="H25" s="248"/>
      <c r="I25" s="248"/>
      <c r="J25" s="248"/>
      <c r="K25" s="248"/>
      <c r="L25" s="248"/>
      <c r="M25" s="248">
        <v>2021</v>
      </c>
      <c r="N25" s="248">
        <v>2021</v>
      </c>
      <c r="O25" s="248">
        <v>2021</v>
      </c>
      <c r="P25" s="248">
        <v>2021</v>
      </c>
      <c r="Q25" s="248">
        <v>2022</v>
      </c>
      <c r="R25" s="248">
        <v>2022</v>
      </c>
      <c r="S25" s="248">
        <v>2022</v>
      </c>
      <c r="T25" s="248">
        <v>2022</v>
      </c>
      <c r="U25" s="248">
        <v>2023</v>
      </c>
      <c r="V25" s="248">
        <v>2023</v>
      </c>
      <c r="W25" s="248">
        <v>2023</v>
      </c>
      <c r="X25" s="248">
        <v>2023</v>
      </c>
      <c r="Y25" s="248">
        <v>2024</v>
      </c>
      <c r="Z25" s="248">
        <v>2024</v>
      </c>
      <c r="AA25" s="248">
        <v>2024</v>
      </c>
      <c r="AB25" s="248">
        <v>2024</v>
      </c>
      <c r="AC25" s="248">
        <v>2025</v>
      </c>
      <c r="AD25" s="248">
        <v>2025</v>
      </c>
      <c r="AE25" s="248">
        <v>2025</v>
      </c>
      <c r="AF25" s="248">
        <v>2025</v>
      </c>
      <c r="AG25" s="249">
        <v>2026</v>
      </c>
      <c r="AH25" s="213"/>
    </row>
    <row r="26" spans="2:68" x14ac:dyDescent="0.25">
      <c r="B26" s="35"/>
      <c r="C26" s="230"/>
      <c r="D26" s="224"/>
      <c r="E26" s="224"/>
      <c r="F26" s="224"/>
      <c r="G26" s="224"/>
      <c r="H26" s="224"/>
      <c r="I26" s="224"/>
      <c r="J26" s="224"/>
      <c r="K26" s="224"/>
      <c r="L26" s="224"/>
      <c r="M26" s="224"/>
      <c r="N26" s="224"/>
      <c r="O26" s="224"/>
      <c r="P26" s="224"/>
      <c r="Q26" s="224"/>
      <c r="R26" s="224"/>
      <c r="S26" s="224"/>
      <c r="T26" s="224"/>
      <c r="U26" s="224"/>
      <c r="V26" s="224"/>
      <c r="W26" s="224"/>
      <c r="X26" s="224"/>
      <c r="Y26" s="224"/>
      <c r="Z26" s="224"/>
      <c r="AA26" s="224"/>
      <c r="AB26" s="224"/>
      <c r="AC26" s="224"/>
      <c r="AD26" s="224"/>
      <c r="AE26" s="224"/>
      <c r="AF26" s="224"/>
      <c r="AG26" s="224"/>
      <c r="AH26" s="213"/>
    </row>
    <row r="27" spans="2:68" x14ac:dyDescent="0.25">
      <c r="C27" s="230"/>
      <c r="D27" s="224"/>
      <c r="E27" s="224"/>
      <c r="F27" s="224"/>
      <c r="G27" s="224"/>
      <c r="H27" s="216"/>
      <c r="I27" s="216"/>
      <c r="J27" s="216"/>
      <c r="K27" s="216"/>
      <c r="L27" s="216"/>
      <c r="M27" s="216"/>
      <c r="N27" s="216"/>
      <c r="O27" s="216"/>
      <c r="P27" s="216"/>
      <c r="AH27" s="213"/>
    </row>
    <row r="28" spans="2:68" x14ac:dyDescent="0.25">
      <c r="M28" s="230"/>
      <c r="N28" s="230"/>
      <c r="O28" s="230"/>
    </row>
    <row r="29" spans="2:68" ht="45" customHeight="1" x14ac:dyDescent="0.25">
      <c r="B29" s="271" t="s">
        <v>302</v>
      </c>
      <c r="C29" s="272" t="s">
        <v>303</v>
      </c>
      <c r="D29" s="269"/>
      <c r="E29" s="14" t="s">
        <v>1813</v>
      </c>
      <c r="F29" s="14" t="s">
        <v>1818</v>
      </c>
      <c r="G29" s="14"/>
      <c r="H29" s="14"/>
      <c r="I29" s="14"/>
      <c r="J29" s="14"/>
      <c r="O29" s="273"/>
    </row>
    <row r="30" spans="2:68" x14ac:dyDescent="0.25">
      <c r="B30" s="266">
        <v>44197</v>
      </c>
      <c r="C30" s="214">
        <v>6.3</v>
      </c>
      <c r="D30" s="270"/>
      <c r="E30" s="56" t="s">
        <v>1748</v>
      </c>
      <c r="F30" s="35"/>
      <c r="G30" s="35"/>
      <c r="H30" s="74"/>
      <c r="I30" s="35"/>
      <c r="J30" s="74"/>
      <c r="O30" s="230"/>
    </row>
    <row r="31" spans="2:68" x14ac:dyDescent="0.25">
      <c r="B31" s="266">
        <v>44228</v>
      </c>
      <c r="C31" s="214">
        <v>6.2</v>
      </c>
      <c r="D31" s="270"/>
      <c r="E31" s="85" t="s">
        <v>1814</v>
      </c>
      <c r="F31" s="185">
        <v>6.166666666666667</v>
      </c>
      <c r="G31" s="35"/>
      <c r="H31" s="74"/>
      <c r="I31" s="35"/>
      <c r="J31" s="74"/>
      <c r="O31" s="230"/>
    </row>
    <row r="32" spans="2:68" x14ac:dyDescent="0.25">
      <c r="B32" s="266">
        <v>44256</v>
      </c>
      <c r="C32" s="214">
        <v>6</v>
      </c>
      <c r="D32" s="270"/>
      <c r="E32" s="85" t="s">
        <v>1815</v>
      </c>
      <c r="F32" s="185">
        <v>5.7666666666666657</v>
      </c>
      <c r="G32" s="35"/>
      <c r="H32" s="74"/>
      <c r="I32" s="35"/>
      <c r="J32" s="74"/>
      <c r="O32" s="230"/>
    </row>
    <row r="33" spans="1:42" x14ac:dyDescent="0.25">
      <c r="B33" s="266">
        <v>44287</v>
      </c>
      <c r="C33" s="214">
        <v>6.1</v>
      </c>
      <c r="D33" s="270"/>
      <c r="E33" s="85" t="s">
        <v>1816</v>
      </c>
      <c r="F33" s="185">
        <v>5.1333333333333337</v>
      </c>
      <c r="G33" s="35"/>
      <c r="H33" s="74"/>
      <c r="I33" s="35"/>
      <c r="J33" s="74"/>
      <c r="O33" s="230"/>
    </row>
    <row r="34" spans="1:42" x14ac:dyDescent="0.25">
      <c r="A34" s="35"/>
      <c r="B34" s="266">
        <v>44317</v>
      </c>
      <c r="C34" s="214">
        <v>5.8</v>
      </c>
      <c r="D34" s="270"/>
      <c r="E34" s="85" t="s">
        <v>1817</v>
      </c>
      <c r="F34" s="185">
        <v>4.2333333333333334</v>
      </c>
      <c r="G34" s="35"/>
      <c r="H34" s="74"/>
      <c r="I34" s="35"/>
      <c r="J34" s="74"/>
      <c r="O34" s="230"/>
    </row>
    <row r="35" spans="1:42" x14ac:dyDescent="0.25">
      <c r="A35" s="35"/>
      <c r="B35" s="266">
        <v>44348</v>
      </c>
      <c r="C35" s="214">
        <v>5.4</v>
      </c>
      <c r="D35" s="270"/>
      <c r="E35" s="56" t="s">
        <v>1737</v>
      </c>
      <c r="F35" s="185"/>
      <c r="G35" s="35"/>
      <c r="H35" s="74"/>
      <c r="I35" s="35"/>
      <c r="J35" s="74"/>
      <c r="O35" s="230"/>
    </row>
    <row r="36" spans="1:42" x14ac:dyDescent="0.25">
      <c r="A36" s="35"/>
      <c r="B36" s="266">
        <v>44378</v>
      </c>
      <c r="C36" s="214">
        <v>5.4</v>
      </c>
      <c r="D36" s="270"/>
      <c r="E36" s="85" t="s">
        <v>1814</v>
      </c>
      <c r="F36" s="185">
        <v>3.8000000000000003</v>
      </c>
      <c r="G36" s="35"/>
      <c r="H36" s="74"/>
      <c r="I36" s="35"/>
      <c r="J36" s="74"/>
      <c r="O36" s="230"/>
    </row>
    <row r="37" spans="1:42" x14ac:dyDescent="0.25">
      <c r="A37" s="35"/>
      <c r="B37" s="266">
        <v>44409</v>
      </c>
      <c r="C37" s="214">
        <v>5.2</v>
      </c>
      <c r="D37" s="270"/>
      <c r="E37" s="85" t="s">
        <v>1815</v>
      </c>
      <c r="F37" s="185">
        <v>3.6</v>
      </c>
      <c r="G37" s="35"/>
      <c r="H37" s="74"/>
      <c r="I37" s="35"/>
      <c r="J37" s="74"/>
      <c r="O37" s="230"/>
    </row>
    <row r="38" spans="1:42" x14ac:dyDescent="0.25">
      <c r="A38" s="35"/>
      <c r="B38" s="266">
        <v>44440</v>
      </c>
      <c r="C38" s="214">
        <v>4.8</v>
      </c>
      <c r="D38" s="270"/>
      <c r="E38" s="85" t="s">
        <v>1816</v>
      </c>
      <c r="F38" s="185">
        <v>3.5666666666666664</v>
      </c>
      <c r="G38" s="35"/>
      <c r="H38" s="74"/>
      <c r="I38" s="35"/>
      <c r="J38" s="74"/>
      <c r="O38" s="230"/>
    </row>
    <row r="39" spans="1:42" x14ac:dyDescent="0.25">
      <c r="A39" s="35"/>
      <c r="B39" s="266">
        <v>44470</v>
      </c>
      <c r="C39" s="214">
        <v>4.5999999999999996</v>
      </c>
      <c r="D39" s="270"/>
      <c r="E39" s="85" t="s">
        <v>1817</v>
      </c>
      <c r="F39" s="185">
        <v>3.6</v>
      </c>
      <c r="G39" s="35"/>
      <c r="H39" s="74"/>
      <c r="I39" s="35"/>
      <c r="J39" s="74"/>
      <c r="O39" s="230"/>
    </row>
    <row r="40" spans="1:42" x14ac:dyDescent="0.25">
      <c r="A40" s="35"/>
      <c r="B40" s="266">
        <v>44501</v>
      </c>
      <c r="C40" s="214">
        <v>4.2</v>
      </c>
      <c r="D40" s="270"/>
      <c r="E40" s="56" t="s">
        <v>1819</v>
      </c>
      <c r="F40" s="185"/>
      <c r="G40" s="35"/>
      <c r="H40" s="74"/>
      <c r="I40" s="35"/>
      <c r="J40" s="74"/>
      <c r="O40" s="230"/>
      <c r="AH40" s="230"/>
      <c r="AI40" s="230"/>
      <c r="AJ40" s="230"/>
      <c r="AK40" s="230"/>
      <c r="AL40" s="230"/>
      <c r="AM40" s="230"/>
      <c r="AN40" s="230"/>
      <c r="AO40" s="230"/>
      <c r="AP40" s="230"/>
    </row>
    <row r="41" spans="1:42" x14ac:dyDescent="0.25">
      <c r="A41" s="35"/>
      <c r="B41" s="266">
        <v>44531</v>
      </c>
      <c r="C41" s="214">
        <v>3.9</v>
      </c>
      <c r="D41" s="270"/>
      <c r="E41" s="85" t="s">
        <v>1814</v>
      </c>
      <c r="F41" s="185">
        <v>3.5</v>
      </c>
      <c r="G41" s="35"/>
      <c r="H41" s="74"/>
      <c r="I41" s="35"/>
      <c r="J41" s="74"/>
      <c r="O41" s="230"/>
      <c r="AH41" s="230"/>
      <c r="AI41" s="230"/>
      <c r="AJ41" s="230"/>
      <c r="AK41" s="230"/>
      <c r="AL41" s="230"/>
      <c r="AM41" s="230"/>
      <c r="AN41" s="230"/>
      <c r="AO41" s="230"/>
      <c r="AP41" s="230"/>
    </row>
    <row r="42" spans="1:42" x14ac:dyDescent="0.25">
      <c r="A42" s="35"/>
      <c r="B42" s="266">
        <v>44562</v>
      </c>
      <c r="C42" s="214">
        <v>4</v>
      </c>
      <c r="D42" s="35"/>
      <c r="E42" s="85" t="s">
        <v>1815</v>
      </c>
      <c r="F42" s="185"/>
      <c r="G42" s="35"/>
      <c r="H42" s="74"/>
      <c r="I42" s="35"/>
      <c r="J42" s="74"/>
      <c r="O42" s="230"/>
    </row>
    <row r="43" spans="1:42" x14ac:dyDescent="0.25">
      <c r="A43" s="35"/>
      <c r="B43" s="266">
        <v>44593</v>
      </c>
      <c r="C43" s="214">
        <v>3.8</v>
      </c>
      <c r="D43" s="35"/>
      <c r="E43" s="85" t="s">
        <v>1816</v>
      </c>
      <c r="F43" s="185"/>
      <c r="G43" s="35"/>
      <c r="H43" s="74"/>
      <c r="I43" s="35"/>
      <c r="J43" s="74"/>
    </row>
    <row r="44" spans="1:42" x14ac:dyDescent="0.25">
      <c r="A44" s="35"/>
      <c r="B44" s="266">
        <v>44621</v>
      </c>
      <c r="C44" s="214">
        <v>3.6</v>
      </c>
      <c r="D44" s="35"/>
      <c r="E44" s="85" t="s">
        <v>1817</v>
      </c>
      <c r="F44" s="185"/>
      <c r="G44" s="35"/>
      <c r="H44" s="74"/>
      <c r="I44" s="35"/>
      <c r="J44" s="74"/>
    </row>
    <row r="45" spans="1:42" x14ac:dyDescent="0.25">
      <c r="A45" s="35"/>
      <c r="B45" s="266">
        <v>44652</v>
      </c>
      <c r="C45" s="214">
        <v>3.6</v>
      </c>
      <c r="D45" s="35"/>
      <c r="E45" s="56" t="s">
        <v>1820</v>
      </c>
      <c r="F45" s="185"/>
      <c r="G45" s="35"/>
      <c r="H45" s="74"/>
      <c r="I45" s="35"/>
      <c r="J45" s="74"/>
    </row>
    <row r="46" spans="1:42" x14ac:dyDescent="0.25">
      <c r="A46" s="35"/>
      <c r="B46" s="266">
        <v>44682</v>
      </c>
      <c r="C46" s="214">
        <v>3.6</v>
      </c>
      <c r="D46" s="35"/>
      <c r="E46" s="85" t="s">
        <v>1814</v>
      </c>
      <c r="F46" s="185"/>
      <c r="G46" s="35"/>
      <c r="H46" s="74"/>
      <c r="I46" s="35"/>
      <c r="J46" s="74"/>
    </row>
    <row r="47" spans="1:42" x14ac:dyDescent="0.25">
      <c r="A47" s="35"/>
      <c r="B47" s="266">
        <v>44713</v>
      </c>
      <c r="C47" s="214">
        <v>3.6</v>
      </c>
      <c r="D47" s="35"/>
      <c r="E47" s="85" t="s">
        <v>1815</v>
      </c>
      <c r="F47" s="185"/>
      <c r="G47" s="35"/>
      <c r="H47" s="74"/>
      <c r="I47" s="35"/>
      <c r="J47" s="74"/>
    </row>
    <row r="48" spans="1:42" x14ac:dyDescent="0.25">
      <c r="A48" s="35"/>
      <c r="B48" s="266">
        <v>44743</v>
      </c>
      <c r="C48" s="214">
        <v>3.5</v>
      </c>
      <c r="D48" s="35"/>
      <c r="E48" s="85" t="s">
        <v>1816</v>
      </c>
      <c r="F48" s="185"/>
      <c r="G48" s="35"/>
      <c r="H48" s="74"/>
      <c r="I48" s="35"/>
      <c r="J48" s="74"/>
    </row>
    <row r="49" spans="1:10" x14ac:dyDescent="0.25">
      <c r="A49" s="35"/>
      <c r="B49" s="266">
        <v>44774</v>
      </c>
      <c r="C49" s="214">
        <v>3.7</v>
      </c>
      <c r="D49" s="35"/>
      <c r="E49" s="85" t="s">
        <v>1817</v>
      </c>
      <c r="F49" s="185"/>
      <c r="G49" s="35"/>
      <c r="H49" s="74"/>
      <c r="I49" s="35"/>
      <c r="J49" s="74"/>
    </row>
    <row r="50" spans="1:10" x14ac:dyDescent="0.25">
      <c r="A50" s="35"/>
      <c r="B50" s="266">
        <v>44805</v>
      </c>
      <c r="C50" s="214">
        <v>3.5</v>
      </c>
      <c r="D50" s="35"/>
      <c r="E50" s="56" t="s">
        <v>1821</v>
      </c>
      <c r="F50" s="185"/>
      <c r="G50" s="35"/>
      <c r="H50" s="35"/>
      <c r="I50" s="35"/>
      <c r="J50" s="35"/>
    </row>
    <row r="51" spans="1:10" x14ac:dyDescent="0.25">
      <c r="A51" s="35"/>
      <c r="B51" s="266">
        <v>44835</v>
      </c>
      <c r="C51" s="214">
        <v>3.7</v>
      </c>
      <c r="D51" s="35"/>
      <c r="E51" s="85" t="s">
        <v>1814</v>
      </c>
      <c r="F51" s="185"/>
      <c r="G51" s="35"/>
      <c r="H51" s="35"/>
      <c r="I51" s="35"/>
      <c r="J51" s="35"/>
    </row>
    <row r="52" spans="1:10" x14ac:dyDescent="0.25">
      <c r="A52" s="35"/>
      <c r="B52" s="266">
        <v>44866</v>
      </c>
      <c r="C52" s="214">
        <v>3.6</v>
      </c>
      <c r="D52" s="35"/>
      <c r="E52" s="85" t="s">
        <v>1815</v>
      </c>
      <c r="F52" s="185"/>
      <c r="G52" s="35"/>
      <c r="H52" s="35"/>
      <c r="I52" s="35"/>
      <c r="J52" s="35"/>
    </row>
    <row r="53" spans="1:10" x14ac:dyDescent="0.25">
      <c r="A53" s="35"/>
      <c r="B53" s="266">
        <v>44896</v>
      </c>
      <c r="C53" s="214">
        <v>3.5</v>
      </c>
      <c r="D53" s="35"/>
      <c r="E53" s="85" t="s">
        <v>1816</v>
      </c>
      <c r="F53" s="185"/>
      <c r="G53" s="35"/>
      <c r="H53" s="35"/>
      <c r="I53" s="35"/>
      <c r="J53" s="35"/>
    </row>
    <row r="54" spans="1:10" x14ac:dyDescent="0.25">
      <c r="B54" s="266">
        <v>44927</v>
      </c>
      <c r="C54" s="214">
        <v>3.4</v>
      </c>
      <c r="D54" s="35"/>
      <c r="E54" s="85" t="s">
        <v>1817</v>
      </c>
      <c r="F54" s="185"/>
      <c r="G54" s="35"/>
      <c r="H54" s="35"/>
      <c r="I54" s="35"/>
      <c r="J54" s="35"/>
    </row>
    <row r="55" spans="1:10" x14ac:dyDescent="0.25">
      <c r="B55" s="266">
        <v>44958</v>
      </c>
      <c r="C55" s="214">
        <v>3.6</v>
      </c>
      <c r="D55" s="35"/>
      <c r="E55" s="56" t="s">
        <v>1822</v>
      </c>
      <c r="F55" s="185"/>
      <c r="G55" s="35"/>
      <c r="H55" s="35"/>
      <c r="I55" s="35"/>
      <c r="J55" s="35"/>
    </row>
    <row r="56" spans="1:10" x14ac:dyDescent="0.25">
      <c r="B56" s="266">
        <v>44986</v>
      </c>
      <c r="C56" s="214">
        <v>3.5</v>
      </c>
      <c r="D56" s="35"/>
      <c r="E56" s="85" t="s">
        <v>1814</v>
      </c>
      <c r="F56" s="185"/>
      <c r="G56" s="35"/>
      <c r="H56" s="35"/>
      <c r="I56" s="35"/>
      <c r="J56" s="35"/>
    </row>
    <row r="57" spans="1:10" x14ac:dyDescent="0.25">
      <c r="B57" s="266">
        <v>45017</v>
      </c>
      <c r="C57" s="214"/>
      <c r="D57" s="35"/>
      <c r="E57" s="85" t="s">
        <v>1815</v>
      </c>
      <c r="F57" s="185"/>
      <c r="G57" s="35"/>
      <c r="H57" s="35"/>
      <c r="I57" s="35"/>
      <c r="J57" s="35"/>
    </row>
    <row r="58" spans="1:10" x14ac:dyDescent="0.25">
      <c r="B58" s="266">
        <v>45047</v>
      </c>
      <c r="C58" s="214"/>
      <c r="D58" s="35"/>
      <c r="E58" s="85" t="s">
        <v>1816</v>
      </c>
      <c r="F58" s="185"/>
      <c r="G58" s="35"/>
      <c r="H58" s="35"/>
      <c r="I58" s="35"/>
      <c r="J58" s="35"/>
    </row>
    <row r="59" spans="1:10" x14ac:dyDescent="0.25">
      <c r="B59" s="266">
        <v>45078</v>
      </c>
      <c r="C59" s="214"/>
      <c r="D59" s="35"/>
      <c r="E59" s="85" t="s">
        <v>1817</v>
      </c>
      <c r="F59" s="185"/>
      <c r="G59" s="35"/>
      <c r="H59" s="35"/>
      <c r="I59" s="35"/>
      <c r="J59" s="35"/>
    </row>
    <row r="60" spans="1:10" x14ac:dyDescent="0.25">
      <c r="B60" s="266">
        <v>45108</v>
      </c>
      <c r="C60" s="214"/>
      <c r="D60" s="35"/>
      <c r="E60" s="35"/>
      <c r="F60" s="35"/>
      <c r="G60" s="35"/>
      <c r="H60" s="35"/>
      <c r="I60" s="35"/>
      <c r="J60" s="35"/>
    </row>
    <row r="61" spans="1:10" x14ac:dyDescent="0.25">
      <c r="B61" s="266">
        <v>45139</v>
      </c>
      <c r="C61" s="214"/>
      <c r="D61" s="35"/>
      <c r="E61" s="35"/>
      <c r="F61" s="35"/>
      <c r="G61" s="35"/>
      <c r="H61" s="35"/>
      <c r="I61" s="35"/>
      <c r="J61" s="35"/>
    </row>
    <row r="62" spans="1:10" x14ac:dyDescent="0.25">
      <c r="B62" s="266">
        <v>45170</v>
      </c>
      <c r="C62" s="214"/>
      <c r="D62" s="35"/>
      <c r="E62" s="35"/>
      <c r="F62" s="35"/>
      <c r="G62" s="35"/>
      <c r="H62" s="35"/>
      <c r="I62" s="35"/>
      <c r="J62" s="35"/>
    </row>
    <row r="63" spans="1:10" x14ac:dyDescent="0.25">
      <c r="B63" s="266">
        <v>45200</v>
      </c>
      <c r="C63" s="214"/>
      <c r="D63" s="35"/>
      <c r="E63" s="35"/>
      <c r="F63" s="35"/>
      <c r="G63" s="35"/>
      <c r="H63" s="35"/>
      <c r="I63" s="35"/>
      <c r="J63" s="35"/>
    </row>
    <row r="64" spans="1:10" x14ac:dyDescent="0.25">
      <c r="B64" s="266">
        <v>45231</v>
      </c>
      <c r="C64" s="214"/>
      <c r="D64" s="35"/>
      <c r="E64" s="35"/>
      <c r="F64" s="35"/>
      <c r="G64" s="35"/>
      <c r="H64" s="35"/>
      <c r="I64" s="35"/>
      <c r="J64" s="35"/>
    </row>
    <row r="65" spans="2:10" x14ac:dyDescent="0.25">
      <c r="B65" s="266">
        <v>45261</v>
      </c>
      <c r="C65" s="214"/>
      <c r="D65" s="35"/>
      <c r="E65" s="35"/>
      <c r="F65" s="35"/>
      <c r="G65" s="35"/>
      <c r="H65" s="35"/>
      <c r="I65" s="35"/>
      <c r="J65" s="35"/>
    </row>
    <row r="66" spans="2:10" x14ac:dyDescent="0.25">
      <c r="B66" s="266">
        <v>45292</v>
      </c>
      <c r="C66" s="214"/>
      <c r="D66" s="35"/>
      <c r="E66" s="35"/>
      <c r="F66" s="35"/>
      <c r="G66" s="35"/>
      <c r="H66" s="35"/>
      <c r="I66" s="35"/>
      <c r="J66" s="35"/>
    </row>
    <row r="67" spans="2:10" x14ac:dyDescent="0.25">
      <c r="B67" s="266">
        <v>45323</v>
      </c>
      <c r="C67" s="214"/>
      <c r="D67" s="35"/>
      <c r="E67" s="35"/>
      <c r="F67" s="35"/>
      <c r="G67" s="35"/>
      <c r="H67" s="35"/>
      <c r="I67" s="35"/>
      <c r="J67" s="35"/>
    </row>
    <row r="68" spans="2:10" x14ac:dyDescent="0.25">
      <c r="B68" s="266">
        <v>45352</v>
      </c>
      <c r="C68" s="214"/>
      <c r="D68" s="35"/>
      <c r="E68" s="35"/>
      <c r="F68" s="35"/>
      <c r="G68" s="35"/>
      <c r="H68" s="35"/>
      <c r="I68" s="35"/>
      <c r="J68" s="35"/>
    </row>
    <row r="69" spans="2:10" x14ac:dyDescent="0.25">
      <c r="B69" s="266">
        <v>45383</v>
      </c>
      <c r="C69" s="214"/>
      <c r="D69" s="35"/>
      <c r="E69" s="35"/>
      <c r="F69" s="35"/>
      <c r="G69" s="35"/>
      <c r="H69" s="35"/>
      <c r="I69" s="35"/>
      <c r="J69" s="35"/>
    </row>
    <row r="70" spans="2:10" x14ac:dyDescent="0.25">
      <c r="B70" s="266">
        <v>45413</v>
      </c>
      <c r="C70" s="214"/>
      <c r="D70" s="35"/>
      <c r="E70" s="35"/>
      <c r="F70" s="35"/>
      <c r="G70" s="35"/>
      <c r="H70" s="35"/>
      <c r="I70" s="35"/>
      <c r="J70" s="35"/>
    </row>
    <row r="71" spans="2:10" x14ac:dyDescent="0.25">
      <c r="B71" s="266">
        <v>45444</v>
      </c>
      <c r="C71" s="214"/>
      <c r="D71" s="35"/>
      <c r="E71" s="35"/>
      <c r="F71" s="35"/>
      <c r="G71" s="35"/>
      <c r="H71" s="35"/>
      <c r="I71" s="35"/>
      <c r="J71" s="35"/>
    </row>
    <row r="72" spans="2:10" x14ac:dyDescent="0.25">
      <c r="B72" s="266">
        <v>45474</v>
      </c>
      <c r="C72" s="214"/>
      <c r="D72" s="35"/>
      <c r="E72" s="35"/>
      <c r="F72" s="35"/>
      <c r="G72" s="35"/>
      <c r="H72" s="35"/>
      <c r="I72" s="35"/>
      <c r="J72" s="35"/>
    </row>
    <row r="73" spans="2:10" x14ac:dyDescent="0.25">
      <c r="B73" s="266">
        <v>45505</v>
      </c>
      <c r="C73" s="214"/>
      <c r="D73" s="35"/>
      <c r="E73" s="35"/>
      <c r="F73" s="35"/>
      <c r="G73" s="35"/>
      <c r="H73" s="35"/>
      <c r="I73" s="35"/>
      <c r="J73" s="35"/>
    </row>
    <row r="74" spans="2:10" x14ac:dyDescent="0.25">
      <c r="B74" s="266">
        <v>45536</v>
      </c>
      <c r="C74" s="214"/>
      <c r="D74" s="35"/>
      <c r="E74" s="35"/>
      <c r="F74" s="35"/>
      <c r="G74" s="35"/>
      <c r="H74" s="35"/>
      <c r="I74" s="35"/>
      <c r="J74" s="35"/>
    </row>
    <row r="75" spans="2:10" x14ac:dyDescent="0.25">
      <c r="B75" s="266">
        <v>45566</v>
      </c>
      <c r="C75" s="214"/>
      <c r="D75" s="35"/>
      <c r="E75" s="35"/>
      <c r="F75" s="35"/>
      <c r="G75" s="35"/>
      <c r="H75" s="35"/>
      <c r="I75" s="35"/>
      <c r="J75" s="35"/>
    </row>
    <row r="76" spans="2:10" x14ac:dyDescent="0.25">
      <c r="B76" s="266">
        <v>45597</v>
      </c>
      <c r="C76" s="214"/>
      <c r="D76" s="35"/>
      <c r="E76" s="35"/>
      <c r="F76" s="35"/>
      <c r="G76" s="35"/>
      <c r="H76" s="35"/>
      <c r="I76" s="35"/>
      <c r="J76" s="35"/>
    </row>
    <row r="77" spans="2:10" x14ac:dyDescent="0.25">
      <c r="B77" s="266">
        <v>45627</v>
      </c>
      <c r="C77" s="214"/>
      <c r="D77" s="35"/>
      <c r="E77" s="35"/>
      <c r="F77" s="35"/>
      <c r="G77" s="35"/>
      <c r="H77" s="35"/>
      <c r="I77" s="35"/>
      <c r="J77" s="35"/>
    </row>
    <row r="78" spans="2:10" x14ac:dyDescent="0.25">
      <c r="B78" s="266">
        <v>45658</v>
      </c>
      <c r="C78" s="214"/>
      <c r="D78" s="35"/>
      <c r="E78" s="35"/>
      <c r="F78" s="35"/>
      <c r="G78" s="35"/>
      <c r="H78" s="35"/>
      <c r="I78" s="35"/>
      <c r="J78" s="35"/>
    </row>
    <row r="79" spans="2:10" x14ac:dyDescent="0.25">
      <c r="B79" s="266">
        <v>45689</v>
      </c>
      <c r="C79" s="214"/>
      <c r="D79" s="35"/>
      <c r="E79" s="35"/>
      <c r="F79" s="35"/>
      <c r="G79" s="35"/>
      <c r="H79" s="35"/>
      <c r="I79" s="35"/>
      <c r="J79" s="35"/>
    </row>
    <row r="80" spans="2:10" x14ac:dyDescent="0.25">
      <c r="B80" s="266">
        <v>45717</v>
      </c>
      <c r="C80" s="214"/>
      <c r="D80" s="35"/>
      <c r="E80" s="35"/>
      <c r="F80" s="35"/>
      <c r="G80" s="35"/>
      <c r="H80" s="35"/>
      <c r="I80" s="35"/>
      <c r="J80" s="35"/>
    </row>
    <row r="81" spans="2:10" x14ac:dyDescent="0.25">
      <c r="B81" s="266">
        <v>45748</v>
      </c>
      <c r="C81" s="214"/>
      <c r="D81" s="35"/>
      <c r="E81" s="35"/>
      <c r="F81" s="35"/>
      <c r="G81" s="35"/>
      <c r="H81" s="35"/>
      <c r="I81" s="35"/>
      <c r="J81" s="35"/>
    </row>
    <row r="82" spans="2:10" x14ac:dyDescent="0.25">
      <c r="B82" s="266">
        <v>45778</v>
      </c>
      <c r="C82" s="214"/>
      <c r="D82" s="35"/>
      <c r="E82" s="35"/>
      <c r="F82" s="35"/>
      <c r="G82" s="35"/>
      <c r="H82" s="35"/>
      <c r="I82" s="35"/>
      <c r="J82" s="35"/>
    </row>
    <row r="83" spans="2:10" x14ac:dyDescent="0.25">
      <c r="B83" s="266">
        <v>45809</v>
      </c>
      <c r="C83" s="214"/>
      <c r="D83" s="35"/>
      <c r="E83" s="35"/>
      <c r="F83" s="35"/>
      <c r="G83" s="35"/>
      <c r="H83" s="35"/>
      <c r="I83" s="35"/>
      <c r="J83" s="35"/>
    </row>
    <row r="84" spans="2:10" x14ac:dyDescent="0.25">
      <c r="B84" s="266">
        <v>45839</v>
      </c>
      <c r="C84" s="214"/>
      <c r="D84" s="35"/>
      <c r="E84" s="35"/>
      <c r="F84" s="35"/>
      <c r="G84" s="35"/>
      <c r="H84" s="35"/>
      <c r="I84" s="35"/>
      <c r="J84" s="35"/>
    </row>
    <row r="85" spans="2:10" x14ac:dyDescent="0.25">
      <c r="B85" s="266">
        <v>45870</v>
      </c>
      <c r="C85" s="214"/>
      <c r="D85" s="35"/>
      <c r="E85" s="35"/>
      <c r="F85" s="35"/>
      <c r="G85" s="35"/>
      <c r="H85" s="35"/>
      <c r="I85" s="35"/>
      <c r="J85" s="35"/>
    </row>
    <row r="86" spans="2:10" x14ac:dyDescent="0.25">
      <c r="B86" s="266">
        <v>45901</v>
      </c>
      <c r="C86" s="214"/>
      <c r="D86" s="35"/>
      <c r="E86" s="35"/>
      <c r="F86" s="35"/>
      <c r="G86" s="35"/>
      <c r="H86" s="35"/>
      <c r="I86" s="35"/>
      <c r="J86" s="35"/>
    </row>
    <row r="87" spans="2:10" x14ac:dyDescent="0.25">
      <c r="B87" s="266">
        <v>45931</v>
      </c>
      <c r="C87" s="214"/>
      <c r="D87" s="35"/>
      <c r="E87" s="35"/>
      <c r="F87" s="35"/>
      <c r="G87" s="35"/>
      <c r="H87" s="35"/>
      <c r="I87" s="35"/>
      <c r="J87" s="35"/>
    </row>
    <row r="88" spans="2:10" x14ac:dyDescent="0.25">
      <c r="B88" s="266">
        <v>45962</v>
      </c>
      <c r="C88" s="214"/>
      <c r="D88" s="35"/>
      <c r="E88" s="35"/>
      <c r="F88" s="35"/>
      <c r="G88" s="35"/>
      <c r="H88" s="35"/>
      <c r="I88" s="35"/>
      <c r="J88" s="35"/>
    </row>
    <row r="89" spans="2:10" x14ac:dyDescent="0.25">
      <c r="B89" s="266">
        <v>45992</v>
      </c>
      <c r="C89" s="214"/>
      <c r="D89" s="35"/>
      <c r="E89" s="35"/>
      <c r="F89" s="35"/>
      <c r="G89" s="35"/>
      <c r="H89" s="35"/>
      <c r="I89" s="35"/>
      <c r="J89" s="35"/>
    </row>
    <row r="90" spans="2:10" x14ac:dyDescent="0.25">
      <c r="B90" s="266">
        <v>46023</v>
      </c>
      <c r="C90" s="214"/>
      <c r="D90" s="35"/>
      <c r="E90" s="35"/>
      <c r="F90" s="35"/>
      <c r="G90" s="35"/>
      <c r="H90" s="35"/>
      <c r="I90" s="35"/>
      <c r="J90" s="35"/>
    </row>
    <row r="91" spans="2:10" x14ac:dyDescent="0.25">
      <c r="B91" s="266">
        <v>46054</v>
      </c>
      <c r="C91" s="214"/>
      <c r="D91" s="35"/>
      <c r="E91" s="35"/>
      <c r="F91" s="35"/>
      <c r="G91" s="35"/>
      <c r="H91" s="35"/>
      <c r="I91" s="35"/>
      <c r="J91" s="35"/>
    </row>
    <row r="92" spans="2:10" x14ac:dyDescent="0.25">
      <c r="B92" s="266">
        <v>46082</v>
      </c>
      <c r="C92" s="214"/>
      <c r="D92" s="35"/>
      <c r="E92" s="35"/>
      <c r="F92" s="35"/>
      <c r="G92" s="35"/>
      <c r="H92" s="35"/>
      <c r="I92" s="35"/>
      <c r="J92" s="35"/>
    </row>
    <row r="93" spans="2:10" x14ac:dyDescent="0.25">
      <c r="B93" s="266">
        <v>46113</v>
      </c>
      <c r="C93" s="214"/>
      <c r="D93" s="35"/>
      <c r="E93" s="35"/>
      <c r="F93" s="35"/>
      <c r="G93" s="35"/>
      <c r="H93" s="35"/>
      <c r="I93" s="35"/>
      <c r="J93" s="35"/>
    </row>
    <row r="94" spans="2:10" x14ac:dyDescent="0.25">
      <c r="B94" s="266">
        <v>46143</v>
      </c>
      <c r="C94" s="214"/>
      <c r="D94" s="35"/>
      <c r="E94" s="35"/>
      <c r="F94" s="35"/>
      <c r="G94" s="35"/>
      <c r="H94" s="35"/>
      <c r="I94" s="35"/>
      <c r="J94" s="35"/>
    </row>
    <row r="95" spans="2:10" x14ac:dyDescent="0.25">
      <c r="B95" s="266">
        <v>46174</v>
      </c>
      <c r="C95" s="214"/>
      <c r="D95" s="35"/>
      <c r="E95" s="35"/>
      <c r="F95" s="35"/>
      <c r="G95" s="35"/>
      <c r="H95" s="35"/>
      <c r="I95" s="35"/>
      <c r="J95" s="35"/>
    </row>
    <row r="96" spans="2:10" x14ac:dyDescent="0.25">
      <c r="B96" s="266">
        <v>46204</v>
      </c>
      <c r="C96" s="214"/>
      <c r="D96" s="35"/>
      <c r="E96" s="35"/>
      <c r="F96" s="35"/>
      <c r="G96" s="35"/>
      <c r="H96" s="35"/>
      <c r="I96" s="35"/>
      <c r="J96" s="35"/>
    </row>
    <row r="97" spans="2:10" x14ac:dyDescent="0.25">
      <c r="B97" s="266">
        <v>46235</v>
      </c>
      <c r="C97" s="214"/>
      <c r="D97" s="35"/>
      <c r="E97" s="35"/>
      <c r="F97" s="35"/>
      <c r="G97" s="35"/>
      <c r="H97" s="35"/>
      <c r="I97" s="35"/>
      <c r="J97" s="35"/>
    </row>
    <row r="98" spans="2:10" x14ac:dyDescent="0.25">
      <c r="B98" s="266">
        <v>46266</v>
      </c>
      <c r="C98" s="214"/>
      <c r="D98" s="35"/>
      <c r="E98" s="35"/>
      <c r="F98" s="35"/>
      <c r="G98" s="35"/>
      <c r="H98" s="35"/>
      <c r="I98" s="35"/>
      <c r="J98" s="35"/>
    </row>
    <row r="99" spans="2:10" x14ac:dyDescent="0.25">
      <c r="B99" s="266">
        <v>46296</v>
      </c>
      <c r="C99" s="214"/>
      <c r="D99" s="35"/>
      <c r="E99" s="35"/>
      <c r="F99" s="35"/>
      <c r="G99" s="35"/>
      <c r="H99" s="35"/>
      <c r="I99" s="35"/>
      <c r="J99" s="35"/>
    </row>
    <row r="100" spans="2:10" x14ac:dyDescent="0.25">
      <c r="B100" s="266">
        <v>46327</v>
      </c>
      <c r="C100" s="214"/>
      <c r="D100" s="35"/>
      <c r="E100" s="35"/>
      <c r="F100" s="35"/>
      <c r="G100" s="35"/>
      <c r="H100" s="35"/>
      <c r="I100" s="35"/>
      <c r="J100" s="35"/>
    </row>
    <row r="101" spans="2:10" x14ac:dyDescent="0.25">
      <c r="B101" s="267">
        <v>46357</v>
      </c>
      <c r="C101" s="215"/>
      <c r="D101" s="35"/>
      <c r="E101" s="35"/>
      <c r="F101" s="35"/>
      <c r="G101" s="35"/>
      <c r="H101" s="35"/>
      <c r="I101" s="35"/>
      <c r="J101" s="35"/>
    </row>
  </sheetData>
  <mergeCells count="11">
    <mergeCell ref="B1:AC1"/>
    <mergeCell ref="B2:AC6"/>
    <mergeCell ref="E9:H9"/>
    <mergeCell ref="B8:C10"/>
    <mergeCell ref="I9:L9"/>
    <mergeCell ref="Y9:AB9"/>
    <mergeCell ref="M9:P9"/>
    <mergeCell ref="Q9:R9"/>
    <mergeCell ref="W8:AD8"/>
    <mergeCell ref="D8:V8"/>
    <mergeCell ref="AC9:AF9"/>
  </mergeCells>
  <pageMargins left="0.7" right="0.7" top="0.75" bottom="0.75" header="0.3" footer="0.3"/>
  <pageSetup orientation="portrait"/>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AL100"/>
  <sheetViews>
    <sheetView zoomScale="90" zoomScaleNormal="90" workbookViewId="0">
      <selection activeCell="L34" sqref="L34"/>
    </sheetView>
  </sheetViews>
  <sheetFormatPr defaultColWidth="10.85546875" defaultRowHeight="15" x14ac:dyDescent="0.25"/>
  <cols>
    <col min="2" max="2" width="52.42578125" customWidth="1"/>
    <col min="3" max="4" width="11.42578125" customWidth="1"/>
    <col min="5" max="5" width="12.85546875" customWidth="1"/>
    <col min="6" max="6" width="10.85546875" customWidth="1"/>
    <col min="7" max="7" width="11.42578125" customWidth="1"/>
    <col min="8" max="8" width="12.140625" customWidth="1"/>
    <col min="9" max="9" width="8.42578125" customWidth="1"/>
    <col min="10" max="10" width="10.42578125" customWidth="1"/>
    <col min="11" max="11" width="8.42578125" customWidth="1"/>
    <col min="12" max="12" width="12.85546875" customWidth="1"/>
    <col min="13" max="13" width="20.42578125" customWidth="1"/>
    <col min="14" max="20" width="9.42578125" customWidth="1"/>
    <col min="21" max="25" width="10.85546875" customWidth="1"/>
    <col min="26" max="26" width="11.140625" customWidth="1"/>
    <col min="27" max="32" width="9.42578125" customWidth="1"/>
    <col min="33" max="36" width="8.42578125" customWidth="1"/>
  </cols>
  <sheetData>
    <row r="1" spans="2:30" x14ac:dyDescent="0.25">
      <c r="B1" s="1288" t="s">
        <v>53</v>
      </c>
      <c r="C1" s="1288"/>
      <c r="D1" s="1288"/>
      <c r="E1" s="1288"/>
      <c r="F1" s="1288"/>
      <c r="G1" s="1288"/>
      <c r="H1" s="1288"/>
      <c r="I1" s="1288"/>
      <c r="J1" s="1288"/>
      <c r="K1" s="1288"/>
      <c r="L1" s="1288"/>
      <c r="M1" s="1288"/>
      <c r="N1" s="1288"/>
      <c r="O1" s="1288"/>
      <c r="P1" s="1288"/>
      <c r="Q1" s="1288"/>
      <c r="R1" s="1288"/>
      <c r="S1" s="1288"/>
      <c r="T1" s="1288"/>
      <c r="U1" s="1288"/>
      <c r="V1" s="1288"/>
      <c r="W1" s="1288"/>
      <c r="X1" s="1288"/>
      <c r="Y1" s="1288"/>
      <c r="Z1" s="1288"/>
      <c r="AA1" s="1288"/>
      <c r="AB1" s="1288"/>
      <c r="AC1" s="1288"/>
    </row>
    <row r="2" spans="2:30" ht="14.25" customHeight="1" x14ac:dyDescent="0.25">
      <c r="B2" s="1289" t="s">
        <v>278</v>
      </c>
      <c r="C2" s="1289"/>
      <c r="D2" s="1289"/>
      <c r="E2" s="1289"/>
      <c r="F2" s="1289"/>
      <c r="G2" s="1289"/>
      <c r="H2" s="1289"/>
      <c r="I2" s="1289"/>
      <c r="J2" s="1289"/>
      <c r="K2" s="1289"/>
      <c r="L2" s="1289"/>
      <c r="M2" s="1289"/>
      <c r="N2" s="1289"/>
      <c r="O2" s="1289"/>
      <c r="P2" s="1289"/>
      <c r="Q2" s="1289"/>
      <c r="R2" s="1289"/>
      <c r="S2" s="1289"/>
      <c r="T2" s="1289"/>
      <c r="U2" s="1289"/>
      <c r="V2" s="1289"/>
      <c r="W2" s="1289"/>
      <c r="X2" s="1289"/>
      <c r="Y2" s="1289"/>
      <c r="Z2" s="1289"/>
      <c r="AA2" s="1289"/>
      <c r="AB2" s="1289"/>
      <c r="AC2" s="1289"/>
    </row>
    <row r="3" spans="2:30" x14ac:dyDescent="0.25">
      <c r="B3" s="1289"/>
      <c r="C3" s="1289"/>
      <c r="D3" s="1289"/>
      <c r="E3" s="1289"/>
      <c r="F3" s="1289"/>
      <c r="G3" s="1289"/>
      <c r="H3" s="1289"/>
      <c r="I3" s="1289"/>
      <c r="J3" s="1289"/>
      <c r="K3" s="1289"/>
      <c r="L3" s="1289"/>
      <c r="M3" s="1289"/>
      <c r="N3" s="1289"/>
      <c r="O3" s="1289"/>
      <c r="P3" s="1289"/>
      <c r="Q3" s="1289"/>
      <c r="R3" s="1289"/>
      <c r="S3" s="1289"/>
      <c r="T3" s="1289"/>
      <c r="U3" s="1289"/>
      <c r="V3" s="1289"/>
      <c r="W3" s="1289"/>
      <c r="X3" s="1289"/>
      <c r="Y3" s="1289"/>
      <c r="Z3" s="1289"/>
      <c r="AA3" s="1289"/>
      <c r="AB3" s="1289"/>
      <c r="AC3" s="1289"/>
    </row>
    <row r="4" spans="2:30" x14ac:dyDescent="0.25">
      <c r="B4" s="1289"/>
      <c r="C4" s="1289"/>
      <c r="D4" s="1289"/>
      <c r="E4" s="1289"/>
      <c r="F4" s="1289"/>
      <c r="G4" s="1289"/>
      <c r="H4" s="1289"/>
      <c r="I4" s="1289"/>
      <c r="J4" s="1289"/>
      <c r="K4" s="1289"/>
      <c r="L4" s="1289"/>
      <c r="M4" s="1289"/>
      <c r="N4" s="1289"/>
      <c r="O4" s="1289"/>
      <c r="P4" s="1289"/>
      <c r="Q4" s="1289"/>
      <c r="R4" s="1289"/>
      <c r="S4" s="1289"/>
      <c r="T4" s="1289"/>
      <c r="U4" s="1289"/>
      <c r="V4" s="1289"/>
      <c r="W4" s="1289"/>
      <c r="X4" s="1289"/>
      <c r="Y4" s="1289"/>
      <c r="Z4" s="1289"/>
      <c r="AA4" s="1289"/>
      <c r="AB4" s="1289"/>
      <c r="AC4" s="1289"/>
    </row>
    <row r="5" spans="2:30" x14ac:dyDescent="0.25">
      <c r="B5" s="1289"/>
      <c r="C5" s="1289"/>
      <c r="D5" s="1289"/>
      <c r="E5" s="1289"/>
      <c r="F5" s="1289"/>
      <c r="G5" s="1289"/>
      <c r="H5" s="1289"/>
      <c r="I5" s="1289"/>
      <c r="J5" s="1289"/>
      <c r="K5" s="1289"/>
      <c r="L5" s="1289"/>
      <c r="M5" s="1289"/>
      <c r="N5" s="1289"/>
      <c r="O5" s="1289"/>
      <c r="P5" s="1289"/>
      <c r="Q5" s="1289"/>
      <c r="R5" s="1289"/>
      <c r="S5" s="1289"/>
      <c r="T5" s="1289"/>
      <c r="U5" s="1289"/>
      <c r="V5" s="1289"/>
      <c r="W5" s="1289"/>
      <c r="X5" s="1289"/>
      <c r="Y5" s="1289"/>
      <c r="Z5" s="1289"/>
      <c r="AA5" s="1289"/>
      <c r="AB5" s="1289"/>
      <c r="AC5" s="1289"/>
    </row>
    <row r="6" spans="2:30" ht="38.85" customHeight="1" x14ac:dyDescent="0.25">
      <c r="B6" s="1289"/>
      <c r="C6" s="1289"/>
      <c r="D6" s="1289"/>
      <c r="E6" s="1289"/>
      <c r="F6" s="1289"/>
      <c r="G6" s="1289"/>
      <c r="H6" s="1289"/>
      <c r="I6" s="1289"/>
      <c r="J6" s="1289"/>
      <c r="K6" s="1289"/>
      <c r="L6" s="1289"/>
      <c r="M6" s="1289"/>
      <c r="N6" s="1289"/>
      <c r="O6" s="1289"/>
      <c r="P6" s="1289"/>
      <c r="Q6" s="1289"/>
      <c r="R6" s="1289"/>
      <c r="S6" s="1289"/>
      <c r="T6" s="1289"/>
      <c r="U6" s="1289"/>
      <c r="V6" s="1289"/>
      <c r="W6" s="1289"/>
      <c r="X6" s="1289"/>
      <c r="Y6" s="1289"/>
      <c r="Z6" s="1289"/>
      <c r="AA6" s="1289"/>
      <c r="AB6" s="1289"/>
      <c r="AC6" s="1289"/>
    </row>
    <row r="7" spans="2:30" x14ac:dyDescent="0.25">
      <c r="B7" s="255"/>
      <c r="C7" s="255"/>
      <c r="D7" s="255"/>
      <c r="E7" s="255"/>
      <c r="F7" s="255"/>
      <c r="G7" s="255"/>
      <c r="H7" s="256"/>
      <c r="I7" s="256"/>
      <c r="J7" s="256"/>
      <c r="K7" s="256"/>
      <c r="L7" s="256"/>
      <c r="M7" s="256"/>
      <c r="N7" s="256"/>
      <c r="O7" s="256"/>
      <c r="P7" s="256"/>
      <c r="Q7" s="256"/>
      <c r="R7" s="256"/>
      <c r="S7" s="256"/>
      <c r="T7" s="256"/>
      <c r="U7" s="256"/>
      <c r="V7" s="256"/>
      <c r="W7" s="256"/>
      <c r="X7" s="256"/>
      <c r="Y7" s="256"/>
    </row>
    <row r="8" spans="2:30" ht="14.85" customHeight="1" x14ac:dyDescent="0.25">
      <c r="B8" s="1293" t="s">
        <v>279</v>
      </c>
      <c r="C8" s="1294"/>
      <c r="D8" s="1313" t="s">
        <v>280</v>
      </c>
      <c r="E8" s="1314"/>
      <c r="F8" s="1314"/>
      <c r="G8" s="1314"/>
      <c r="H8" s="1314"/>
      <c r="I8" s="1314"/>
      <c r="J8" s="1314"/>
      <c r="K8" s="1314"/>
      <c r="L8" s="1314"/>
      <c r="M8" s="1314"/>
      <c r="N8" s="1314"/>
      <c r="O8" s="1314"/>
      <c r="P8" s="1314"/>
      <c r="Q8" s="1314"/>
      <c r="R8" s="1314"/>
      <c r="S8" s="1314"/>
      <c r="T8" s="1315"/>
      <c r="U8" s="1316" t="s">
        <v>281</v>
      </c>
      <c r="V8" s="1317"/>
      <c r="W8" s="1317"/>
      <c r="X8" s="1317"/>
      <c r="Y8" s="1317"/>
      <c r="Z8" s="1317"/>
      <c r="AA8" s="1317"/>
      <c r="AB8" s="1317"/>
      <c r="AC8" s="1318"/>
    </row>
    <row r="9" spans="2:30" ht="12.75" customHeight="1" x14ac:dyDescent="0.25">
      <c r="B9" s="1295"/>
      <c r="C9" s="1296"/>
      <c r="D9" s="209">
        <v>2018</v>
      </c>
      <c r="E9" s="1302">
        <v>2019</v>
      </c>
      <c r="F9" s="1303"/>
      <c r="G9" s="1303"/>
      <c r="H9" s="1304"/>
      <c r="I9" s="1303">
        <v>2020</v>
      </c>
      <c r="J9" s="1303"/>
      <c r="K9" s="1303"/>
      <c r="L9" s="1303"/>
      <c r="M9" s="1302">
        <v>2021</v>
      </c>
      <c r="N9" s="1303"/>
      <c r="O9" s="1303"/>
      <c r="P9" s="1303"/>
      <c r="Q9" s="1319">
        <v>2022</v>
      </c>
      <c r="R9" s="1320"/>
      <c r="S9" s="278"/>
      <c r="T9" s="286"/>
      <c r="U9" s="1300">
        <v>2023</v>
      </c>
      <c r="V9" s="1312"/>
      <c r="W9" s="1312"/>
      <c r="X9" s="1301"/>
      <c r="Y9" s="1299">
        <v>2024</v>
      </c>
      <c r="Z9" s="1312"/>
      <c r="AA9" s="1312"/>
      <c r="AB9" s="1312"/>
      <c r="AC9" s="241">
        <v>2025</v>
      </c>
    </row>
    <row r="10" spans="2:30" ht="14.85" customHeight="1" x14ac:dyDescent="0.25">
      <c r="B10" s="1295"/>
      <c r="C10" s="1296"/>
      <c r="D10" s="204" t="s">
        <v>282</v>
      </c>
      <c r="E10" s="204" t="s">
        <v>283</v>
      </c>
      <c r="F10" s="205" t="s">
        <v>284</v>
      </c>
      <c r="G10" s="205" t="s">
        <v>238</v>
      </c>
      <c r="H10" s="206" t="s">
        <v>282</v>
      </c>
      <c r="I10" s="205" t="s">
        <v>283</v>
      </c>
      <c r="J10" s="205" t="s">
        <v>284</v>
      </c>
      <c r="K10" s="205" t="s">
        <v>238</v>
      </c>
      <c r="L10" s="205" t="s">
        <v>282</v>
      </c>
      <c r="M10" s="204" t="s">
        <v>283</v>
      </c>
      <c r="N10" s="205" t="s">
        <v>284</v>
      </c>
      <c r="O10" s="205" t="s">
        <v>238</v>
      </c>
      <c r="P10" s="205" t="s">
        <v>282</v>
      </c>
      <c r="Q10" s="204" t="s">
        <v>283</v>
      </c>
      <c r="R10" s="205" t="s">
        <v>284</v>
      </c>
      <c r="S10" s="205" t="s">
        <v>238</v>
      </c>
      <c r="T10" s="206" t="s">
        <v>282</v>
      </c>
      <c r="U10" s="260" t="s">
        <v>283</v>
      </c>
      <c r="V10" s="260" t="s">
        <v>284</v>
      </c>
      <c r="W10" s="260" t="s">
        <v>238</v>
      </c>
      <c r="X10" s="261" t="s">
        <v>282</v>
      </c>
      <c r="Y10" s="259" t="s">
        <v>283</v>
      </c>
      <c r="Z10" s="257" t="s">
        <v>284</v>
      </c>
      <c r="AA10" s="260" t="s">
        <v>238</v>
      </c>
      <c r="AB10" s="260" t="s">
        <v>282</v>
      </c>
      <c r="AC10" s="262" t="s">
        <v>283</v>
      </c>
    </row>
    <row r="11" spans="2:30" x14ac:dyDescent="0.25">
      <c r="B11" s="240" t="s">
        <v>102</v>
      </c>
      <c r="C11" s="263" t="s">
        <v>285</v>
      </c>
      <c r="D11" s="243">
        <f>'Haver Pivoted'!GO14</f>
        <v>27.1</v>
      </c>
      <c r="E11" s="298">
        <f>'Haver Pivoted'!GP14</f>
        <v>30.5</v>
      </c>
      <c r="F11" s="298">
        <f>'Haver Pivoted'!GQ14</f>
        <v>27.7</v>
      </c>
      <c r="G11" s="298">
        <f>'Haver Pivoted'!GR14</f>
        <v>25</v>
      </c>
      <c r="H11" s="298">
        <f>'Haver Pivoted'!GS14</f>
        <v>26.7</v>
      </c>
      <c r="I11" s="298">
        <f>'Haver Pivoted'!GT14</f>
        <v>40.9</v>
      </c>
      <c r="J11" s="298">
        <f>'Haver Pivoted'!GU14</f>
        <v>951.4</v>
      </c>
      <c r="K11" s="298">
        <f>'Haver Pivoted'!GV14</f>
        <v>802.3</v>
      </c>
      <c r="L11" s="298">
        <f>'Haver Pivoted'!GW14</f>
        <v>323.5</v>
      </c>
      <c r="M11" s="298">
        <f>'Haver Pivoted'!GX14</f>
        <v>583.5</v>
      </c>
      <c r="N11" s="298">
        <f>'Haver Pivoted'!GY14</f>
        <v>451.8</v>
      </c>
      <c r="O11" s="298">
        <f>'Haver Pivoted'!GZ14</f>
        <v>226.8</v>
      </c>
      <c r="P11" s="298">
        <f>'Haver Pivoted'!HA14</f>
        <v>33.9</v>
      </c>
      <c r="Q11" s="298">
        <f>'Haver Pivoted'!HB14</f>
        <v>26.2</v>
      </c>
      <c r="R11" s="298">
        <f>'Haver Pivoted'!HC14</f>
        <v>21.4</v>
      </c>
      <c r="S11" s="282">
        <f>'Haver Pivoted'!HD14</f>
        <v>19.600000000000001</v>
      </c>
      <c r="T11" s="211">
        <f>'Haver Pivoted'!HE14</f>
        <v>22.1</v>
      </c>
      <c r="U11" s="211">
        <f>'Haver Pivoted'!HF14</f>
        <v>22</v>
      </c>
      <c r="V11" s="268">
        <f t="shared" ref="V11:AC11" si="0">V12+V13+V20</f>
        <v>28.907999999999998</v>
      </c>
      <c r="W11" s="268">
        <f t="shared" si="0"/>
        <v>30.79371428571428</v>
      </c>
      <c r="X11" s="268">
        <f t="shared" si="0"/>
        <v>32.145142857142851</v>
      </c>
      <c r="Y11" s="268">
        <f t="shared" si="0"/>
        <v>32.05085714285714</v>
      </c>
      <c r="Z11" s="268">
        <f t="shared" si="0"/>
        <v>31.07028571428571</v>
      </c>
      <c r="AA11" s="268">
        <f t="shared" si="0"/>
        <v>30.542285714285711</v>
      </c>
      <c r="AB11" s="268">
        <f t="shared" si="0"/>
        <v>30.165142857142857</v>
      </c>
      <c r="AC11" s="285">
        <f t="shared" si="0"/>
        <v>30.020571428571422</v>
      </c>
      <c r="AD11" s="230" t="s">
        <v>286</v>
      </c>
    </row>
    <row r="12" spans="2:30" x14ac:dyDescent="0.25">
      <c r="B12" s="254" t="s">
        <v>287</v>
      </c>
      <c r="C12" s="244" t="s">
        <v>288</v>
      </c>
      <c r="D12" s="265">
        <f>'Haver Pivoted'!GO63</f>
        <v>0</v>
      </c>
      <c r="E12" s="224">
        <f>'Haver Pivoted'!GP63</f>
        <v>0</v>
      </c>
      <c r="F12" s="224">
        <f>'Haver Pivoted'!GQ63</f>
        <v>0</v>
      </c>
      <c r="G12" s="224">
        <f>'Haver Pivoted'!GR63</f>
        <v>0</v>
      </c>
      <c r="H12" s="224">
        <f>'Haver Pivoted'!GS63</f>
        <v>0</v>
      </c>
      <c r="I12" s="224">
        <f>'Haver Pivoted'!GT63</f>
        <v>0</v>
      </c>
      <c r="J12" s="224">
        <f>'Haver Pivoted'!GU63</f>
        <v>0.1</v>
      </c>
      <c r="K12" s="224">
        <f>'Haver Pivoted'!GV63</f>
        <v>3.7</v>
      </c>
      <c r="L12" s="224">
        <f>'Haver Pivoted'!GW63</f>
        <v>12.9</v>
      </c>
      <c r="M12" s="224">
        <f>'Haver Pivoted'!GX63</f>
        <v>25.5</v>
      </c>
      <c r="N12" s="224">
        <f>'Haver Pivoted'!GY63</f>
        <v>3.8</v>
      </c>
      <c r="O12" s="224">
        <f>'Haver Pivoted'!GZ63</f>
        <v>1.8</v>
      </c>
      <c r="P12" s="224">
        <f>'Haver Pivoted'!HA63</f>
        <v>0.6</v>
      </c>
      <c r="Q12" s="224">
        <f>'Haver Pivoted'!HB63</f>
        <v>0.2</v>
      </c>
      <c r="R12" s="224">
        <f>'Haver Pivoted'!HC63</f>
        <v>0.1</v>
      </c>
      <c r="S12" s="205">
        <f>'Haver Pivoted'!HD63</f>
        <v>0</v>
      </c>
      <c r="T12" s="206">
        <f>'Haver Pivoted'!HE63</f>
        <v>0</v>
      </c>
      <c r="U12" s="206">
        <f>'Haver Pivoted'!HF63</f>
        <v>0</v>
      </c>
      <c r="V12" s="226">
        <f>U12*V23/U23</f>
        <v>0</v>
      </c>
      <c r="W12" s="226">
        <f t="shared" ref="W12:AB12" si="1">V12*W23/V23</f>
        <v>0</v>
      </c>
      <c r="X12" s="226">
        <f t="shared" si="1"/>
        <v>0</v>
      </c>
      <c r="Y12" s="226">
        <f t="shared" si="1"/>
        <v>0</v>
      </c>
      <c r="Z12" s="226">
        <f t="shared" si="1"/>
        <v>0</v>
      </c>
      <c r="AA12" s="226">
        <f t="shared" si="1"/>
        <v>0</v>
      </c>
      <c r="AB12" s="226">
        <f t="shared" si="1"/>
        <v>0</v>
      </c>
      <c r="AC12" s="292">
        <f>AB12*AC23/AB23</f>
        <v>0</v>
      </c>
    </row>
    <row r="13" spans="2:30" x14ac:dyDescent="0.25">
      <c r="B13" s="254" t="s">
        <v>289</v>
      </c>
      <c r="C13" s="244"/>
      <c r="D13" s="265"/>
      <c r="E13" s="224"/>
      <c r="F13" s="224"/>
      <c r="G13" s="224"/>
      <c r="H13" s="216">
        <f>SUM(H14:H17)</f>
        <v>0</v>
      </c>
      <c r="I13" s="216">
        <f t="shared" ref="I13:M13" si="2">SUM(I14:I17)</f>
        <v>0</v>
      </c>
      <c r="J13" s="216">
        <f t="shared" si="2"/>
        <v>779.7</v>
      </c>
      <c r="K13" s="216">
        <f t="shared" si="2"/>
        <v>582.6</v>
      </c>
      <c r="L13" s="216">
        <f t="shared" si="2"/>
        <v>216.5</v>
      </c>
      <c r="M13" s="216">
        <f t="shared" si="2"/>
        <v>497.6</v>
      </c>
      <c r="N13" s="221">
        <f>SUM(N14:N17)</f>
        <v>401.5</v>
      </c>
      <c r="O13" s="221">
        <f t="shared" ref="O13:AC13" si="3">SUM(O14:O17)</f>
        <v>207.4</v>
      </c>
      <c r="P13" s="221">
        <f t="shared" si="3"/>
        <v>5.5</v>
      </c>
      <c r="Q13" s="221">
        <v>0</v>
      </c>
      <c r="R13" s="221">
        <f t="shared" si="3"/>
        <v>1</v>
      </c>
      <c r="S13" s="283">
        <f t="shared" si="3"/>
        <v>0.5</v>
      </c>
      <c r="T13" s="293">
        <f t="shared" si="3"/>
        <v>0.30000000000000004</v>
      </c>
      <c r="U13" s="293">
        <f t="shared" si="3"/>
        <v>0</v>
      </c>
      <c r="V13" s="226">
        <f t="shared" si="3"/>
        <v>0</v>
      </c>
      <c r="W13" s="226">
        <f t="shared" si="3"/>
        <v>0</v>
      </c>
      <c r="X13" s="226">
        <f t="shared" si="3"/>
        <v>0</v>
      </c>
      <c r="Y13" s="226">
        <f t="shared" si="3"/>
        <v>0</v>
      </c>
      <c r="Z13" s="226">
        <f t="shared" si="3"/>
        <v>0</v>
      </c>
      <c r="AA13" s="226">
        <f t="shared" si="3"/>
        <v>0</v>
      </c>
      <c r="AB13" s="226">
        <f t="shared" si="3"/>
        <v>0</v>
      </c>
      <c r="AC13" s="292">
        <f t="shared" si="3"/>
        <v>0</v>
      </c>
    </row>
    <row r="14" spans="2:30" ht="18" customHeight="1" x14ac:dyDescent="0.25">
      <c r="B14" s="236" t="s">
        <v>290</v>
      </c>
      <c r="C14" s="237" t="s">
        <v>288</v>
      </c>
      <c r="D14" s="264">
        <f>'Haver Pivoted'!GO63</f>
        <v>0</v>
      </c>
      <c r="E14" s="220">
        <f>'Haver Pivoted'!GP63</f>
        <v>0</v>
      </c>
      <c r="F14" s="220">
        <f>'Haver Pivoted'!GQ63</f>
        <v>0</v>
      </c>
      <c r="G14" s="220">
        <f>'Haver Pivoted'!GR63</f>
        <v>0</v>
      </c>
      <c r="H14" s="220">
        <f>'Haver Pivoted'!GS63</f>
        <v>0</v>
      </c>
      <c r="I14" s="220">
        <f>'Haver Pivoted'!GT63</f>
        <v>0</v>
      </c>
      <c r="J14" s="220">
        <f>'Haver Pivoted'!GU63</f>
        <v>0.1</v>
      </c>
      <c r="K14" s="220">
        <f>'Haver Pivoted'!GV63</f>
        <v>3.7</v>
      </c>
      <c r="L14" s="220">
        <f>'Haver Pivoted'!GW63</f>
        <v>12.9</v>
      </c>
      <c r="M14" s="220">
        <f>'Haver Pivoted'!GX63</f>
        <v>25.5</v>
      </c>
      <c r="N14" s="220">
        <f>'Haver Pivoted'!GY63</f>
        <v>3.8</v>
      </c>
      <c r="O14" s="220">
        <f>'Haver Pivoted'!GZ63</f>
        <v>1.8</v>
      </c>
      <c r="P14" s="220">
        <f>'Haver Pivoted'!HA63</f>
        <v>0.6</v>
      </c>
      <c r="Q14" s="220">
        <f>'Haver Pivoted'!HB63</f>
        <v>0.2</v>
      </c>
      <c r="R14" s="220">
        <f>'Haver Pivoted'!HC63</f>
        <v>0.1</v>
      </c>
      <c r="S14" s="225">
        <f>'Haver Pivoted'!HD63</f>
        <v>0</v>
      </c>
      <c r="T14" s="291">
        <f>'Haver Pivoted'!HE63</f>
        <v>0</v>
      </c>
      <c r="U14" s="291">
        <f>'Haver Pivoted'!HF63</f>
        <v>0</v>
      </c>
      <c r="V14" s="226">
        <f t="shared" ref="V14:X14" si="4">V12</f>
        <v>0</v>
      </c>
      <c r="W14" s="226">
        <f t="shared" si="4"/>
        <v>0</v>
      </c>
      <c r="X14" s="226">
        <f t="shared" si="4"/>
        <v>0</v>
      </c>
      <c r="Y14" s="226">
        <f>Y12</f>
        <v>0</v>
      </c>
      <c r="Z14" s="226">
        <f t="shared" ref="Z14:AC14" si="5">Z12</f>
        <v>0</v>
      </c>
      <c r="AA14" s="226">
        <f t="shared" si="5"/>
        <v>0</v>
      </c>
      <c r="AB14" s="226">
        <f t="shared" si="5"/>
        <v>0</v>
      </c>
      <c r="AC14" s="292">
        <f t="shared" si="5"/>
        <v>0</v>
      </c>
    </row>
    <row r="15" spans="2:30" ht="18" customHeight="1" x14ac:dyDescent="0.25">
      <c r="B15" s="236" t="s">
        <v>291</v>
      </c>
      <c r="C15" s="237" t="s">
        <v>292</v>
      </c>
      <c r="D15" s="264">
        <f>'Haver Pivoted'!GO59</f>
        <v>0</v>
      </c>
      <c r="E15" s="220">
        <f>'Haver Pivoted'!GP59</f>
        <v>0</v>
      </c>
      <c r="F15" s="220">
        <f>'Haver Pivoted'!GQ59</f>
        <v>0</v>
      </c>
      <c r="G15" s="220">
        <f>'Haver Pivoted'!GR59</f>
        <v>0</v>
      </c>
      <c r="H15" s="220">
        <f>'Haver Pivoted'!GS59</f>
        <v>0</v>
      </c>
      <c r="I15" s="220">
        <f>'Haver Pivoted'!GT59</f>
        <v>0</v>
      </c>
      <c r="J15" s="220">
        <f>'Haver Pivoted'!GU59</f>
        <v>6.3</v>
      </c>
      <c r="K15" s="220">
        <f>'Haver Pivoted'!GV59</f>
        <v>26.7</v>
      </c>
      <c r="L15" s="220">
        <f>'Haver Pivoted'!GW59</f>
        <v>82.1</v>
      </c>
      <c r="M15" s="220">
        <f>'Haver Pivoted'!GX59</f>
        <v>94.7</v>
      </c>
      <c r="N15" s="220">
        <f>'Haver Pivoted'!GY59</f>
        <v>92.1</v>
      </c>
      <c r="O15" s="220">
        <f>'Haver Pivoted'!GZ59</f>
        <v>51.6</v>
      </c>
      <c r="P15" s="220">
        <f>'Haver Pivoted'!HA59</f>
        <v>2.8</v>
      </c>
      <c r="Q15" s="220">
        <f>'Haver Pivoted'!HB59</f>
        <v>0.8</v>
      </c>
      <c r="R15" s="220">
        <f>'Haver Pivoted'!HC59</f>
        <v>0.5</v>
      </c>
      <c r="S15" s="225">
        <f>'Haver Pivoted'!HD59</f>
        <v>0.3</v>
      </c>
      <c r="T15" s="291">
        <f>'Haver Pivoted'!HE59</f>
        <v>0.2</v>
      </c>
      <c r="U15" s="291">
        <f>'Haver Pivoted'!HF59</f>
        <v>0</v>
      </c>
      <c r="V15" s="226">
        <f t="shared" ref="V15:AB17" si="6">U15*V$23/U$23</f>
        <v>0</v>
      </c>
      <c r="W15" s="226">
        <f t="shared" si="6"/>
        <v>0</v>
      </c>
      <c r="X15" s="226">
        <f t="shared" si="6"/>
        <v>0</v>
      </c>
      <c r="Y15" s="226">
        <f t="shared" si="6"/>
        <v>0</v>
      </c>
      <c r="Z15" s="226">
        <f t="shared" si="6"/>
        <v>0</v>
      </c>
      <c r="AA15" s="226">
        <f t="shared" si="6"/>
        <v>0</v>
      </c>
      <c r="AB15" s="226">
        <f t="shared" si="6"/>
        <v>0</v>
      </c>
      <c r="AC15" s="292">
        <f>AB15*AC$23/AB$23</f>
        <v>0</v>
      </c>
    </row>
    <row r="16" spans="2:30" ht="18" customHeight="1" x14ac:dyDescent="0.25">
      <c r="B16" s="236" t="s">
        <v>293</v>
      </c>
      <c r="C16" s="237" t="s">
        <v>294</v>
      </c>
      <c r="D16" s="264">
        <f>'Haver Pivoted'!GO60</f>
        <v>0</v>
      </c>
      <c r="E16" s="220">
        <f>'Haver Pivoted'!GP60</f>
        <v>0</v>
      </c>
      <c r="F16" s="220">
        <f>'Haver Pivoted'!GQ60</f>
        <v>0</v>
      </c>
      <c r="G16" s="220">
        <f>'Haver Pivoted'!GR60</f>
        <v>0</v>
      </c>
      <c r="H16" s="220">
        <f>'Haver Pivoted'!GS60</f>
        <v>0</v>
      </c>
      <c r="I16" s="220">
        <f>'Haver Pivoted'!GT60</f>
        <v>0</v>
      </c>
      <c r="J16" s="220">
        <f>'Haver Pivoted'!GU60</f>
        <v>74.400000000000006</v>
      </c>
      <c r="K16" s="220">
        <f>'Haver Pivoted'!GV60</f>
        <v>138.30000000000001</v>
      </c>
      <c r="L16" s="220">
        <f>'Haver Pivoted'!GW60</f>
        <v>106.8</v>
      </c>
      <c r="M16" s="220">
        <f>'Haver Pivoted'!GX60</f>
        <v>89.2</v>
      </c>
      <c r="N16" s="220">
        <f>'Haver Pivoted'!GY60</f>
        <v>72.3</v>
      </c>
      <c r="O16" s="220">
        <f>'Haver Pivoted'!GZ60</f>
        <v>43.5</v>
      </c>
      <c r="P16" s="220">
        <f>'Haver Pivoted'!HA60</f>
        <v>2.1</v>
      </c>
      <c r="Q16" s="220">
        <f>'Haver Pivoted'!HB60</f>
        <v>0.8</v>
      </c>
      <c r="R16" s="220">
        <f>'Haver Pivoted'!HC60</f>
        <v>0.4</v>
      </c>
      <c r="S16" s="225">
        <f>'Haver Pivoted'!HD60</f>
        <v>0.2</v>
      </c>
      <c r="T16" s="291">
        <f>'Haver Pivoted'!HE60</f>
        <v>0.1</v>
      </c>
      <c r="U16" s="291">
        <f>'Haver Pivoted'!HF60</f>
        <v>0</v>
      </c>
      <c r="V16" s="226">
        <f t="shared" si="6"/>
        <v>0</v>
      </c>
      <c r="W16" s="226">
        <f t="shared" si="6"/>
        <v>0</v>
      </c>
      <c r="X16" s="226">
        <f t="shared" si="6"/>
        <v>0</v>
      </c>
      <c r="Y16" s="226">
        <f t="shared" si="6"/>
        <v>0</v>
      </c>
      <c r="Z16" s="226">
        <f t="shared" si="6"/>
        <v>0</v>
      </c>
      <c r="AA16" s="226">
        <f t="shared" si="6"/>
        <v>0</v>
      </c>
      <c r="AB16" s="226">
        <f t="shared" si="6"/>
        <v>0</v>
      </c>
      <c r="AC16" s="292">
        <f>AB16*AC$23/AB$23</f>
        <v>0</v>
      </c>
    </row>
    <row r="17" spans="1:32" ht="18" customHeight="1" x14ac:dyDescent="0.25">
      <c r="B17" s="236" t="s">
        <v>295</v>
      </c>
      <c r="C17" s="237" t="s">
        <v>296</v>
      </c>
      <c r="D17" s="264">
        <f>'Haver Pivoted'!GO61</f>
        <v>0</v>
      </c>
      <c r="E17" s="220">
        <f>'Haver Pivoted'!GP61</f>
        <v>0</v>
      </c>
      <c r="F17" s="220">
        <f>'Haver Pivoted'!GQ61</f>
        <v>0</v>
      </c>
      <c r="G17" s="220">
        <f>'Haver Pivoted'!GR61</f>
        <v>0</v>
      </c>
      <c r="H17" s="220">
        <f>'Haver Pivoted'!GS61</f>
        <v>0</v>
      </c>
      <c r="I17" s="220">
        <f>'Haver Pivoted'!GT61</f>
        <v>0</v>
      </c>
      <c r="J17" s="220">
        <f>'Haver Pivoted'!GU61</f>
        <v>698.9</v>
      </c>
      <c r="K17" s="220">
        <f>'Haver Pivoted'!GV61</f>
        <v>413.9</v>
      </c>
      <c r="L17" s="220">
        <f>'Haver Pivoted'!GW61</f>
        <v>14.7</v>
      </c>
      <c r="M17" s="220">
        <f>'Haver Pivoted'!GX61</f>
        <v>288.2</v>
      </c>
      <c r="N17" s="220">
        <f>'Haver Pivoted'!GY61</f>
        <v>233.3</v>
      </c>
      <c r="O17" s="220">
        <f>'Haver Pivoted'!GZ61</f>
        <v>110.5</v>
      </c>
      <c r="P17" s="220">
        <f>'Haver Pivoted'!HA61</f>
        <v>0</v>
      </c>
      <c r="Q17" s="220">
        <f>'Haver Pivoted'!HB61</f>
        <v>0</v>
      </c>
      <c r="R17" s="220">
        <f>'Haver Pivoted'!HC61</f>
        <v>0</v>
      </c>
      <c r="S17" s="225">
        <f>'Haver Pivoted'!HD61</f>
        <v>0</v>
      </c>
      <c r="T17" s="291">
        <f>'Haver Pivoted'!HE61</f>
        <v>0</v>
      </c>
      <c r="U17" s="291">
        <f>'Haver Pivoted'!HF61</f>
        <v>0</v>
      </c>
      <c r="V17" s="226">
        <f t="shared" si="6"/>
        <v>0</v>
      </c>
      <c r="W17" s="226">
        <f t="shared" si="6"/>
        <v>0</v>
      </c>
      <c r="X17" s="226">
        <f t="shared" si="6"/>
        <v>0</v>
      </c>
      <c r="Y17" s="226">
        <f t="shared" si="6"/>
        <v>0</v>
      </c>
      <c r="Z17" s="226">
        <f t="shared" si="6"/>
        <v>0</v>
      </c>
      <c r="AA17" s="226">
        <f t="shared" si="6"/>
        <v>0</v>
      </c>
      <c r="AB17" s="226">
        <f t="shared" si="6"/>
        <v>0</v>
      </c>
      <c r="AC17" s="292">
        <f>AB17*AC$23/AB$23</f>
        <v>0</v>
      </c>
    </row>
    <row r="18" spans="1:32" x14ac:dyDescent="0.25">
      <c r="B18" s="238" t="s">
        <v>158</v>
      </c>
      <c r="C18" s="230" t="s">
        <v>297</v>
      </c>
      <c r="D18" s="265">
        <f>'Haver Pivoted'!GO64</f>
        <v>0</v>
      </c>
      <c r="E18" s="224">
        <f>'Haver Pivoted'!GP64</f>
        <v>0</v>
      </c>
      <c r="F18" s="224">
        <f>'Haver Pivoted'!GQ64</f>
        <v>0</v>
      </c>
      <c r="G18" s="224">
        <f>'Haver Pivoted'!GR64</f>
        <v>0</v>
      </c>
      <c r="H18" s="224">
        <f>'Haver Pivoted'!GS64</f>
        <v>0</v>
      </c>
      <c r="I18" s="224">
        <f>'Haver Pivoted'!GT64</f>
        <v>0</v>
      </c>
      <c r="J18" s="224">
        <f>'Haver Pivoted'!GU64</f>
        <v>0</v>
      </c>
      <c r="K18" s="224">
        <f>'Haver Pivoted'!GV64</f>
        <v>106.2</v>
      </c>
      <c r="L18" s="224">
        <f>'Haver Pivoted'!GW64</f>
        <v>35.9</v>
      </c>
      <c r="M18" s="224">
        <f>'Haver Pivoted'!GX64</f>
        <v>1.6</v>
      </c>
      <c r="N18" s="224">
        <f>'Haver Pivoted'!GY64</f>
        <v>0.6</v>
      </c>
      <c r="O18" s="224">
        <f>'Haver Pivoted'!GZ64</f>
        <v>0.1</v>
      </c>
      <c r="P18" s="224">
        <f>'Haver Pivoted'!HA64</f>
        <v>0</v>
      </c>
      <c r="Q18" s="220">
        <f>'Haver Pivoted'!HB64</f>
        <v>0</v>
      </c>
      <c r="R18" s="220">
        <f>'Haver Pivoted'!HC64</f>
        <v>0</v>
      </c>
      <c r="S18" s="225">
        <f>'Haver Pivoted'!HD64</f>
        <v>0</v>
      </c>
      <c r="T18" s="291">
        <f>'Haver Pivoted'!HE64</f>
        <v>0</v>
      </c>
      <c r="U18" s="291">
        <f>'Haver Pivoted'!HF64</f>
        <v>0</v>
      </c>
      <c r="V18" s="226"/>
      <c r="W18" s="226"/>
      <c r="X18" s="226"/>
      <c r="Y18" s="226"/>
      <c r="Z18" s="226"/>
      <c r="AA18" s="226"/>
      <c r="AB18" s="226"/>
      <c r="AC18" s="292"/>
    </row>
    <row r="19" spans="1:32" ht="14.85" customHeight="1" x14ac:dyDescent="0.25">
      <c r="B19" s="258" t="s">
        <v>298</v>
      </c>
      <c r="C19" s="245"/>
      <c r="D19" s="252">
        <f t="shared" ref="D19:N19" si="7">D11-D20</f>
        <v>0</v>
      </c>
      <c r="E19" s="218">
        <f t="shared" si="7"/>
        <v>0</v>
      </c>
      <c r="F19" s="218">
        <f t="shared" si="7"/>
        <v>0</v>
      </c>
      <c r="G19" s="218">
        <f t="shared" si="7"/>
        <v>0</v>
      </c>
      <c r="H19" s="218">
        <f t="shared" si="7"/>
        <v>0</v>
      </c>
      <c r="I19" s="218">
        <f t="shared" si="7"/>
        <v>0</v>
      </c>
      <c r="J19" s="218">
        <f t="shared" si="7"/>
        <v>779.80000000000007</v>
      </c>
      <c r="K19" s="218">
        <f t="shared" si="7"/>
        <v>586.29999999999995</v>
      </c>
      <c r="L19" s="218">
        <f t="shared" si="7"/>
        <v>229.4</v>
      </c>
      <c r="M19" s="218">
        <f t="shared" si="7"/>
        <v>523.1</v>
      </c>
      <c r="N19" s="219">
        <f t="shared" si="7"/>
        <v>405.3</v>
      </c>
      <c r="O19" s="219">
        <f>O11-O20</f>
        <v>209.20000000000002</v>
      </c>
      <c r="P19" s="219">
        <f t="shared" ref="P19" si="8">P11-P20</f>
        <v>6.1000000000000014</v>
      </c>
      <c r="Q19" s="219">
        <f>Q11-Q20</f>
        <v>0.19999999999999929</v>
      </c>
      <c r="R19" s="219">
        <f>R11-R20</f>
        <v>1.1000000000000014</v>
      </c>
      <c r="S19" s="284">
        <f>S11-S20</f>
        <v>0.5</v>
      </c>
      <c r="T19" s="290">
        <f>T11-T20</f>
        <v>0.30000000000000071</v>
      </c>
      <c r="U19" s="290">
        <f>U11-U20</f>
        <v>0</v>
      </c>
      <c r="V19" s="227">
        <f t="shared" ref="V19:AC19" si="9">V11-V20</f>
        <v>0</v>
      </c>
      <c r="W19" s="227">
        <f t="shared" si="9"/>
        <v>0</v>
      </c>
      <c r="X19" s="227">
        <f t="shared" si="9"/>
        <v>0</v>
      </c>
      <c r="Y19" s="227">
        <f t="shared" si="9"/>
        <v>0</v>
      </c>
      <c r="Z19" s="227">
        <f t="shared" si="9"/>
        <v>0</v>
      </c>
      <c r="AA19" s="227">
        <f t="shared" si="9"/>
        <v>0</v>
      </c>
      <c r="AB19" s="227">
        <f t="shared" si="9"/>
        <v>0</v>
      </c>
      <c r="AC19" s="227">
        <f t="shared" si="9"/>
        <v>0</v>
      </c>
    </row>
    <row r="20" spans="1:32" ht="14.85" customHeight="1" x14ac:dyDescent="0.25">
      <c r="B20" s="258" t="s">
        <v>299</v>
      </c>
      <c r="C20" s="245"/>
      <c r="D20" s="252">
        <f t="shared" ref="D20:H20" si="10">D11</f>
        <v>27.1</v>
      </c>
      <c r="E20" s="218">
        <f t="shared" si="10"/>
        <v>30.5</v>
      </c>
      <c r="F20" s="218">
        <f t="shared" si="10"/>
        <v>27.7</v>
      </c>
      <c r="G20" s="218">
        <f t="shared" si="10"/>
        <v>25</v>
      </c>
      <c r="H20" s="218">
        <f t="shared" si="10"/>
        <v>26.7</v>
      </c>
      <c r="I20" s="218">
        <f>I11</f>
        <v>40.9</v>
      </c>
      <c r="J20" s="218">
        <f>J11-J13-J12</f>
        <v>171.59999999999994</v>
      </c>
      <c r="K20" s="218">
        <f>K11-K13-K12</f>
        <v>215.99999999999994</v>
      </c>
      <c r="L20" s="218">
        <f>L11-L13-L12</f>
        <v>94.1</v>
      </c>
      <c r="M20" s="218">
        <f>M11-M13-M12</f>
        <v>60.399999999999977</v>
      </c>
      <c r="N20" s="219">
        <f t="shared" ref="N20:U20" si="11">N11-N12-N13</f>
        <v>46.5</v>
      </c>
      <c r="O20" s="219">
        <f t="shared" si="11"/>
        <v>17.599999999999994</v>
      </c>
      <c r="P20" s="219">
        <f t="shared" si="11"/>
        <v>27.799999999999997</v>
      </c>
      <c r="Q20" s="220">
        <f t="shared" si="11"/>
        <v>26</v>
      </c>
      <c r="R20" s="220">
        <f t="shared" si="11"/>
        <v>20.299999999999997</v>
      </c>
      <c r="S20" s="225">
        <f t="shared" si="11"/>
        <v>19.100000000000001</v>
      </c>
      <c r="T20" s="291">
        <f t="shared" si="11"/>
        <v>21.8</v>
      </c>
      <c r="U20" s="291">
        <f t="shared" si="11"/>
        <v>22</v>
      </c>
      <c r="V20" s="227">
        <f t="shared" ref="V20:AB20" si="12">U20*V23/U23</f>
        <v>28.907999999999998</v>
      </c>
      <c r="W20" s="227">
        <f t="shared" si="12"/>
        <v>30.79371428571428</v>
      </c>
      <c r="X20" s="227">
        <f t="shared" si="12"/>
        <v>32.145142857142851</v>
      </c>
      <c r="Y20" s="227">
        <f t="shared" si="12"/>
        <v>32.05085714285714</v>
      </c>
      <c r="Z20" s="227">
        <f t="shared" si="12"/>
        <v>31.07028571428571</v>
      </c>
      <c r="AA20" s="227">
        <f t="shared" si="12"/>
        <v>30.542285714285711</v>
      </c>
      <c r="AB20" s="227">
        <f t="shared" si="12"/>
        <v>30.165142857142857</v>
      </c>
      <c r="AC20" s="289">
        <f>AB20*AC23/AB23</f>
        <v>30.020571428571422</v>
      </c>
      <c r="AD20" s="253" t="s">
        <v>300</v>
      </c>
    </row>
    <row r="21" spans="1:32" x14ac:dyDescent="0.25">
      <c r="B21" s="238"/>
      <c r="C21" s="239"/>
      <c r="D21" s="264"/>
      <c r="E21" s="220"/>
      <c r="F21" s="220"/>
      <c r="G21" s="220"/>
      <c r="H21" s="216"/>
      <c r="I21" s="216"/>
      <c r="J21" s="216"/>
      <c r="K21" s="216"/>
      <c r="L21" s="216"/>
      <c r="M21" s="216"/>
      <c r="N21" s="216"/>
      <c r="O21" s="216"/>
      <c r="P21" s="216"/>
      <c r="Q21" s="216"/>
      <c r="R21" s="216"/>
      <c r="S21" s="216"/>
      <c r="T21" s="301"/>
      <c r="U21" s="216"/>
      <c r="V21" s="226"/>
      <c r="W21" s="226"/>
      <c r="X21" s="226"/>
      <c r="Y21" s="226"/>
      <c r="Z21" s="226"/>
      <c r="AA21" s="226"/>
      <c r="AB21" s="226"/>
      <c r="AC21" s="292"/>
    </row>
    <row r="22" spans="1:32" x14ac:dyDescent="0.25">
      <c r="B22" s="230" t="s">
        <v>1750</v>
      </c>
      <c r="C22" s="239"/>
      <c r="D22" s="220"/>
      <c r="E22" s="220"/>
      <c r="F22" s="220"/>
      <c r="G22" s="220"/>
      <c r="H22" s="216"/>
      <c r="I22" s="216"/>
      <c r="J22" s="216"/>
      <c r="K22" s="216"/>
      <c r="L22" s="216"/>
      <c r="M22" s="216"/>
      <c r="N22" s="216"/>
      <c r="O22" s="216"/>
      <c r="P22" s="216"/>
      <c r="Q22" s="216"/>
      <c r="R22" s="216"/>
      <c r="S22" s="216"/>
      <c r="T22" s="242"/>
      <c r="U22" s="213"/>
      <c r="V22" s="212">
        <v>4.5990000000000002</v>
      </c>
      <c r="W22" s="212">
        <v>4.899</v>
      </c>
      <c r="X22" s="212">
        <v>5.1139999999999999</v>
      </c>
      <c r="Y22" s="212">
        <v>5.0990000000000002</v>
      </c>
      <c r="Z22" s="212">
        <v>4.9429999999999996</v>
      </c>
      <c r="AA22" s="212">
        <v>4.859</v>
      </c>
      <c r="AB22" s="212">
        <v>4.7990000000000004</v>
      </c>
      <c r="AC22" s="212">
        <v>4.7759999999999998</v>
      </c>
    </row>
    <row r="23" spans="1:32" x14ac:dyDescent="0.25">
      <c r="B23" s="238" t="s">
        <v>1809</v>
      </c>
      <c r="C23" s="294"/>
      <c r="D23" s="295"/>
      <c r="E23" s="296"/>
      <c r="F23" s="296"/>
      <c r="G23" s="296"/>
      <c r="H23" s="297"/>
      <c r="I23" s="297"/>
      <c r="J23" s="297"/>
      <c r="K23" s="297"/>
      <c r="L23" s="297"/>
      <c r="M23" s="297">
        <f>GETPIVOTDATA("Monthly UR",$E$28,"Quarters",M24,"Years",M25)</f>
        <v>6.166666666666667</v>
      </c>
      <c r="N23" s="297">
        <f t="shared" ref="N23:U23" si="13">GETPIVOTDATA("Monthly UR",$E$28,"Quarters",N24,"Years",N25)</f>
        <v>5.7666666666666657</v>
      </c>
      <c r="O23" s="297">
        <f t="shared" si="13"/>
        <v>5.1333333333333337</v>
      </c>
      <c r="P23" s="297">
        <f t="shared" si="13"/>
        <v>4.2333333333333334</v>
      </c>
      <c r="Q23" s="297">
        <f t="shared" si="13"/>
        <v>3.8000000000000003</v>
      </c>
      <c r="R23" s="297">
        <f t="shared" si="13"/>
        <v>3.6</v>
      </c>
      <c r="S23" s="297">
        <f t="shared" si="13"/>
        <v>3.5666666666666664</v>
      </c>
      <c r="T23" s="297">
        <f t="shared" si="13"/>
        <v>3.6</v>
      </c>
      <c r="U23" s="297">
        <f t="shared" si="13"/>
        <v>3.5</v>
      </c>
      <c r="V23" s="302">
        <v>4.5990000000000002</v>
      </c>
      <c r="W23" s="302">
        <v>4.899</v>
      </c>
      <c r="X23" s="302">
        <v>5.1139999999999999</v>
      </c>
      <c r="Y23" s="302">
        <v>5.0990000000000002</v>
      </c>
      <c r="Z23" s="302">
        <v>4.9429999999999996</v>
      </c>
      <c r="AA23" s="302">
        <v>4.859</v>
      </c>
      <c r="AB23" s="302">
        <v>4.7990000000000004</v>
      </c>
      <c r="AC23" s="303">
        <v>4.7759999999999998</v>
      </c>
      <c r="AD23" s="213" t="s">
        <v>301</v>
      </c>
    </row>
    <row r="24" spans="1:32" ht="15.75" customHeight="1" x14ac:dyDescent="0.25">
      <c r="B24" s="299" t="s">
        <v>1823</v>
      </c>
      <c r="C24" s="287"/>
      <c r="D24" s="288"/>
      <c r="E24" s="288"/>
      <c r="F24" s="288"/>
      <c r="G24" s="288"/>
      <c r="H24" s="288"/>
      <c r="I24" s="288"/>
      <c r="J24" s="288"/>
      <c r="K24" s="288"/>
      <c r="L24" s="288"/>
      <c r="M24" s="288">
        <v>1</v>
      </c>
      <c r="N24" s="288">
        <v>2</v>
      </c>
      <c r="O24" s="288">
        <v>3</v>
      </c>
      <c r="P24" s="288">
        <v>4</v>
      </c>
      <c r="Q24" s="288">
        <v>1</v>
      </c>
      <c r="R24" s="288">
        <v>2</v>
      </c>
      <c r="S24" s="288">
        <v>3</v>
      </c>
      <c r="T24" s="288">
        <v>4</v>
      </c>
      <c r="U24" s="288">
        <v>1</v>
      </c>
      <c r="V24" s="288">
        <v>2</v>
      </c>
      <c r="W24" s="288">
        <v>3</v>
      </c>
      <c r="X24" s="288">
        <v>4</v>
      </c>
      <c r="Y24" s="288">
        <v>1</v>
      </c>
      <c r="Z24" s="288">
        <v>2</v>
      </c>
      <c r="AA24" s="288">
        <v>3</v>
      </c>
      <c r="AB24" s="288">
        <v>4</v>
      </c>
      <c r="AC24" s="288">
        <v>1</v>
      </c>
      <c r="AD24" s="224">
        <v>2</v>
      </c>
      <c r="AE24" s="224">
        <v>3</v>
      </c>
      <c r="AF24" s="224">
        <v>4</v>
      </c>
    </row>
    <row r="25" spans="1:32" x14ac:dyDescent="0.25">
      <c r="B25" s="300" t="s">
        <v>1824</v>
      </c>
      <c r="C25" s="287"/>
      <c r="D25" s="288"/>
      <c r="E25" s="288"/>
      <c r="F25" s="288"/>
      <c r="G25" s="288"/>
      <c r="H25" s="288"/>
      <c r="I25" s="288"/>
      <c r="J25" s="288"/>
      <c r="K25" s="288"/>
      <c r="L25" s="288"/>
      <c r="M25" s="288">
        <v>2021</v>
      </c>
      <c r="N25" s="288">
        <v>2021</v>
      </c>
      <c r="O25" s="288">
        <v>2021</v>
      </c>
      <c r="P25" s="288">
        <v>2021</v>
      </c>
      <c r="Q25" s="288">
        <v>2022</v>
      </c>
      <c r="R25" s="288">
        <v>2022</v>
      </c>
      <c r="S25" s="288">
        <v>2022</v>
      </c>
      <c r="T25" s="288">
        <v>2022</v>
      </c>
      <c r="U25" s="288">
        <v>2023</v>
      </c>
      <c r="V25" s="288">
        <v>2023</v>
      </c>
      <c r="W25" s="288">
        <v>2023</v>
      </c>
      <c r="X25" s="288">
        <v>2023</v>
      </c>
      <c r="Y25" s="288">
        <v>2024</v>
      </c>
      <c r="Z25" s="288">
        <v>2024</v>
      </c>
      <c r="AA25" s="288">
        <v>2024</v>
      </c>
      <c r="AB25" s="288">
        <v>2024</v>
      </c>
      <c r="AC25" s="288">
        <v>2025</v>
      </c>
      <c r="AD25" s="213"/>
    </row>
    <row r="26" spans="1:32" x14ac:dyDescent="0.25">
      <c r="C26" s="230"/>
      <c r="D26" s="224"/>
      <c r="E26" s="224"/>
      <c r="F26" s="224"/>
      <c r="G26" s="224"/>
      <c r="H26" s="216"/>
      <c r="I26" s="216"/>
      <c r="J26" s="216"/>
      <c r="K26" s="216"/>
      <c r="L26" s="216"/>
      <c r="M26" s="216"/>
      <c r="N26" s="216"/>
      <c r="O26" s="216"/>
      <c r="P26" s="216"/>
      <c r="AD26" s="213"/>
    </row>
    <row r="27" spans="1:32" x14ac:dyDescent="0.25">
      <c r="M27" s="230"/>
      <c r="N27" s="230"/>
      <c r="O27" s="230"/>
    </row>
    <row r="28" spans="1:32" ht="43.5" customHeight="1" x14ac:dyDescent="0.25">
      <c r="B28" s="271" t="s">
        <v>302</v>
      </c>
      <c r="C28" s="272" t="s">
        <v>303</v>
      </c>
      <c r="D28" s="269"/>
      <c r="E28" s="14" t="s">
        <v>1813</v>
      </c>
      <c r="F28" s="14" t="s">
        <v>1818</v>
      </c>
      <c r="G28" s="14"/>
      <c r="H28" s="14"/>
      <c r="I28" s="14"/>
      <c r="J28" s="14"/>
      <c r="O28" s="273"/>
    </row>
    <row r="29" spans="1:32" x14ac:dyDescent="0.25">
      <c r="A29" s="35"/>
      <c r="B29" s="266">
        <v>44197</v>
      </c>
      <c r="C29" s="214">
        <v>6.3</v>
      </c>
      <c r="D29" s="270"/>
      <c r="E29" s="56" t="s">
        <v>1748</v>
      </c>
      <c r="F29" s="35"/>
      <c r="G29" s="35"/>
      <c r="H29" s="74"/>
      <c r="I29" s="35"/>
      <c r="J29" s="74"/>
      <c r="O29" s="230"/>
    </row>
    <row r="30" spans="1:32" x14ac:dyDescent="0.25">
      <c r="A30" s="35"/>
      <c r="B30" s="266">
        <v>44228</v>
      </c>
      <c r="C30" s="214">
        <v>6.2</v>
      </c>
      <c r="D30" s="270"/>
      <c r="E30" s="85" t="s">
        <v>1814</v>
      </c>
      <c r="F30" s="185">
        <v>6.166666666666667</v>
      </c>
      <c r="G30" s="35"/>
      <c r="H30" s="74"/>
      <c r="I30" s="35"/>
      <c r="J30" s="74"/>
      <c r="O30" s="230"/>
    </row>
    <row r="31" spans="1:32" x14ac:dyDescent="0.25">
      <c r="A31" s="35"/>
      <c r="B31" s="266">
        <v>44256</v>
      </c>
      <c r="C31" s="214">
        <v>6</v>
      </c>
      <c r="D31" s="270"/>
      <c r="E31" s="85" t="s">
        <v>1815</v>
      </c>
      <c r="F31" s="185">
        <v>5.7666666666666657</v>
      </c>
      <c r="G31" s="35"/>
      <c r="H31" s="74"/>
      <c r="I31" s="35"/>
      <c r="J31" s="74"/>
      <c r="O31" s="230"/>
    </row>
    <row r="32" spans="1:32" x14ac:dyDescent="0.25">
      <c r="A32" s="35"/>
      <c r="B32" s="266">
        <v>44287</v>
      </c>
      <c r="C32" s="214">
        <v>6.1</v>
      </c>
      <c r="D32" s="270"/>
      <c r="E32" s="85" t="s">
        <v>1816</v>
      </c>
      <c r="F32" s="185">
        <v>5.1333333333333337</v>
      </c>
      <c r="G32" s="35"/>
      <c r="H32" s="74"/>
      <c r="I32" s="35"/>
      <c r="J32" s="74"/>
      <c r="O32" s="230"/>
    </row>
    <row r="33" spans="1:38" x14ac:dyDescent="0.25">
      <c r="A33" s="35"/>
      <c r="B33" s="266">
        <v>44317</v>
      </c>
      <c r="C33" s="214">
        <v>5.8</v>
      </c>
      <c r="D33" s="270"/>
      <c r="E33" s="85" t="s">
        <v>1817</v>
      </c>
      <c r="F33" s="185">
        <v>4.2333333333333334</v>
      </c>
      <c r="G33" s="35"/>
      <c r="H33" s="74"/>
      <c r="I33" s="35"/>
      <c r="J33" s="74"/>
      <c r="O33" s="230"/>
    </row>
    <row r="34" spans="1:38" x14ac:dyDescent="0.25">
      <c r="A34" s="35"/>
      <c r="B34" s="266">
        <v>44348</v>
      </c>
      <c r="C34" s="214">
        <v>5.4</v>
      </c>
      <c r="D34" s="270"/>
      <c r="E34" s="56" t="s">
        <v>1737</v>
      </c>
      <c r="F34" s="185"/>
      <c r="G34" s="35"/>
      <c r="H34" s="74"/>
      <c r="I34" s="35"/>
      <c r="J34" s="74"/>
      <c r="O34" s="230"/>
    </row>
    <row r="35" spans="1:38" x14ac:dyDescent="0.25">
      <c r="A35" s="35"/>
      <c r="B35" s="266">
        <v>44378</v>
      </c>
      <c r="C35" s="214">
        <v>5.4</v>
      </c>
      <c r="D35" s="270"/>
      <c r="E35" s="85" t="s">
        <v>1814</v>
      </c>
      <c r="F35" s="185">
        <v>3.8000000000000003</v>
      </c>
      <c r="G35" s="35"/>
      <c r="H35" s="74"/>
      <c r="I35" s="35"/>
      <c r="J35" s="74"/>
      <c r="O35" s="230"/>
    </row>
    <row r="36" spans="1:38" x14ac:dyDescent="0.25">
      <c r="A36" s="35"/>
      <c r="B36" s="266">
        <v>44409</v>
      </c>
      <c r="C36" s="214">
        <v>5.2</v>
      </c>
      <c r="D36" s="270"/>
      <c r="E36" s="85" t="s">
        <v>1815</v>
      </c>
      <c r="F36" s="185">
        <v>3.6</v>
      </c>
      <c r="G36" s="35"/>
      <c r="H36" s="74"/>
      <c r="I36" s="35"/>
      <c r="J36" s="74"/>
      <c r="O36" s="230"/>
    </row>
    <row r="37" spans="1:38" x14ac:dyDescent="0.25">
      <c r="A37" s="35"/>
      <c r="B37" s="266">
        <v>44440</v>
      </c>
      <c r="C37" s="214">
        <v>4.8</v>
      </c>
      <c r="D37" s="270"/>
      <c r="E37" s="85" t="s">
        <v>1816</v>
      </c>
      <c r="F37" s="185">
        <v>3.5666666666666664</v>
      </c>
      <c r="G37" s="35"/>
      <c r="H37" s="74"/>
      <c r="I37" s="35"/>
      <c r="J37" s="74"/>
      <c r="O37" s="230"/>
    </row>
    <row r="38" spans="1:38" x14ac:dyDescent="0.25">
      <c r="A38" s="35"/>
      <c r="B38" s="266">
        <v>44470</v>
      </c>
      <c r="C38" s="214">
        <v>4.5999999999999996</v>
      </c>
      <c r="D38" s="270"/>
      <c r="E38" s="85" t="s">
        <v>1817</v>
      </c>
      <c r="F38" s="185">
        <v>3.6</v>
      </c>
      <c r="G38" s="35"/>
      <c r="H38" s="74"/>
      <c r="I38" s="35"/>
      <c r="J38" s="74"/>
      <c r="O38" s="230"/>
    </row>
    <row r="39" spans="1:38" x14ac:dyDescent="0.25">
      <c r="A39" s="35"/>
      <c r="B39" s="266">
        <v>44501</v>
      </c>
      <c r="C39" s="214">
        <v>4.2</v>
      </c>
      <c r="D39" s="270"/>
      <c r="E39" s="56" t="s">
        <v>1819</v>
      </c>
      <c r="F39" s="185"/>
      <c r="G39" s="35"/>
      <c r="H39" s="74"/>
      <c r="I39" s="35"/>
      <c r="J39" s="74"/>
      <c r="O39" s="230"/>
      <c r="AD39" s="230"/>
      <c r="AE39" s="230"/>
      <c r="AF39" s="230"/>
      <c r="AG39" s="230"/>
      <c r="AH39" s="230"/>
      <c r="AI39" s="230"/>
      <c r="AJ39" s="230"/>
      <c r="AK39" s="230"/>
      <c r="AL39" s="230"/>
    </row>
    <row r="40" spans="1:38" x14ac:dyDescent="0.25">
      <c r="A40" s="35"/>
      <c r="B40" s="266">
        <v>44531</v>
      </c>
      <c r="C40" s="214">
        <v>3.9</v>
      </c>
      <c r="D40" s="270"/>
      <c r="E40" s="85" t="s">
        <v>1814</v>
      </c>
      <c r="F40" s="185">
        <v>3.5</v>
      </c>
      <c r="G40" s="35"/>
      <c r="H40" s="74"/>
      <c r="I40" s="35"/>
      <c r="J40" s="74"/>
      <c r="O40" s="230"/>
      <c r="AD40" s="230"/>
      <c r="AE40" s="230"/>
      <c r="AF40" s="230"/>
      <c r="AG40" s="230"/>
      <c r="AH40" s="230"/>
      <c r="AI40" s="230"/>
      <c r="AJ40" s="230"/>
      <c r="AK40" s="230"/>
      <c r="AL40" s="230"/>
    </row>
    <row r="41" spans="1:38" x14ac:dyDescent="0.25">
      <c r="A41" s="35"/>
      <c r="B41" s="266">
        <v>44562</v>
      </c>
      <c r="C41" s="214">
        <v>4</v>
      </c>
      <c r="D41" s="35"/>
      <c r="E41" s="85" t="s">
        <v>1815</v>
      </c>
      <c r="F41" s="185"/>
      <c r="G41" s="35"/>
      <c r="H41" s="74"/>
      <c r="I41" s="35"/>
      <c r="J41" s="74"/>
      <c r="O41" s="230"/>
    </row>
    <row r="42" spans="1:38" x14ac:dyDescent="0.25">
      <c r="A42" s="35"/>
      <c r="B42" s="266">
        <v>44593</v>
      </c>
      <c r="C42" s="214">
        <v>3.8</v>
      </c>
      <c r="D42" s="35"/>
      <c r="E42" s="85" t="s">
        <v>1816</v>
      </c>
      <c r="F42" s="185"/>
      <c r="G42" s="35"/>
      <c r="H42" s="74"/>
      <c r="I42" s="35"/>
      <c r="J42" s="74"/>
    </row>
    <row r="43" spans="1:38" x14ac:dyDescent="0.25">
      <c r="A43" s="35"/>
      <c r="B43" s="266">
        <v>44621</v>
      </c>
      <c r="C43" s="214">
        <v>3.6</v>
      </c>
      <c r="D43" s="35"/>
      <c r="E43" s="85" t="s">
        <v>1817</v>
      </c>
      <c r="F43" s="185"/>
      <c r="G43" s="35"/>
      <c r="H43" s="74"/>
      <c r="I43" s="35"/>
      <c r="J43" s="74"/>
    </row>
    <row r="44" spans="1:38" x14ac:dyDescent="0.25">
      <c r="A44" s="35"/>
      <c r="B44" s="266">
        <v>44652</v>
      </c>
      <c r="C44" s="214">
        <v>3.6</v>
      </c>
      <c r="D44" s="35"/>
      <c r="E44" s="56" t="s">
        <v>1820</v>
      </c>
      <c r="F44" s="185"/>
      <c r="G44" s="35"/>
      <c r="H44" s="74"/>
      <c r="I44" s="35"/>
      <c r="J44" s="74"/>
    </row>
    <row r="45" spans="1:38" x14ac:dyDescent="0.25">
      <c r="A45" s="35"/>
      <c r="B45" s="266">
        <v>44682</v>
      </c>
      <c r="C45" s="214">
        <v>3.6</v>
      </c>
      <c r="D45" s="35"/>
      <c r="E45" s="85" t="s">
        <v>1814</v>
      </c>
      <c r="F45" s="185"/>
      <c r="G45" s="35"/>
      <c r="H45" s="74"/>
      <c r="I45" s="35"/>
      <c r="J45" s="74"/>
    </row>
    <row r="46" spans="1:38" x14ac:dyDescent="0.25">
      <c r="A46" s="35"/>
      <c r="B46" s="266">
        <v>44713</v>
      </c>
      <c r="C46" s="214">
        <v>3.6</v>
      </c>
      <c r="D46" s="35"/>
      <c r="E46" s="85" t="s">
        <v>1815</v>
      </c>
      <c r="F46" s="185"/>
      <c r="G46" s="35"/>
      <c r="H46" s="74"/>
      <c r="I46" s="35"/>
      <c r="J46" s="74"/>
    </row>
    <row r="47" spans="1:38" x14ac:dyDescent="0.25">
      <c r="A47" s="35"/>
      <c r="B47" s="266">
        <v>44743</v>
      </c>
      <c r="C47" s="214">
        <v>3.5</v>
      </c>
      <c r="D47" s="35"/>
      <c r="E47" s="85" t="s">
        <v>1816</v>
      </c>
      <c r="F47" s="185"/>
      <c r="G47" s="35"/>
      <c r="H47" s="74"/>
      <c r="I47" s="35"/>
      <c r="J47" s="74"/>
    </row>
    <row r="48" spans="1:38" x14ac:dyDescent="0.25">
      <c r="A48" s="35"/>
      <c r="B48" s="266">
        <v>44774</v>
      </c>
      <c r="C48" s="214">
        <v>3.7</v>
      </c>
      <c r="D48" s="35"/>
      <c r="E48" s="85" t="s">
        <v>1817</v>
      </c>
      <c r="F48" s="185"/>
      <c r="G48" s="35"/>
      <c r="H48" s="74"/>
      <c r="I48" s="35"/>
      <c r="J48" s="74"/>
    </row>
    <row r="49" spans="2:10" x14ac:dyDescent="0.25">
      <c r="B49" s="266">
        <v>44805</v>
      </c>
      <c r="C49" s="214">
        <v>3.5</v>
      </c>
      <c r="D49" s="35"/>
      <c r="E49" s="56" t="s">
        <v>1821</v>
      </c>
      <c r="F49" s="185"/>
      <c r="G49" s="35"/>
      <c r="H49" s="35"/>
      <c r="I49" s="35"/>
      <c r="J49" s="35"/>
    </row>
    <row r="50" spans="2:10" x14ac:dyDescent="0.25">
      <c r="B50" s="266">
        <v>44835</v>
      </c>
      <c r="C50" s="214">
        <v>3.7</v>
      </c>
      <c r="D50" s="35"/>
      <c r="E50" s="85" t="s">
        <v>1814</v>
      </c>
      <c r="F50" s="185"/>
      <c r="G50" s="35"/>
      <c r="H50" s="35"/>
      <c r="I50" s="35"/>
      <c r="J50" s="35"/>
    </row>
    <row r="51" spans="2:10" x14ac:dyDescent="0.25">
      <c r="B51" s="266">
        <v>44866</v>
      </c>
      <c r="C51" s="214">
        <v>3.6</v>
      </c>
      <c r="D51" s="35"/>
      <c r="E51" s="85" t="s">
        <v>1815</v>
      </c>
      <c r="F51" s="185"/>
      <c r="G51" s="35"/>
      <c r="H51" s="35"/>
      <c r="I51" s="35"/>
      <c r="J51" s="35"/>
    </row>
    <row r="52" spans="2:10" x14ac:dyDescent="0.25">
      <c r="B52" s="266">
        <v>44896</v>
      </c>
      <c r="C52" s="214">
        <v>3.5</v>
      </c>
      <c r="D52" s="35"/>
      <c r="E52" s="85" t="s">
        <v>1816</v>
      </c>
      <c r="F52" s="185"/>
      <c r="G52" s="35"/>
      <c r="H52" s="35"/>
      <c r="I52" s="35"/>
      <c r="J52" s="35"/>
    </row>
    <row r="53" spans="2:10" x14ac:dyDescent="0.25">
      <c r="B53" s="266">
        <v>44927</v>
      </c>
      <c r="C53" s="214">
        <v>3.4</v>
      </c>
      <c r="D53" s="35"/>
      <c r="E53" s="85" t="s">
        <v>1817</v>
      </c>
      <c r="F53" s="185"/>
      <c r="G53" s="35"/>
      <c r="H53" s="35"/>
      <c r="I53" s="35"/>
      <c r="J53" s="35"/>
    </row>
    <row r="54" spans="2:10" x14ac:dyDescent="0.25">
      <c r="B54" s="266">
        <v>44958</v>
      </c>
      <c r="C54" s="214">
        <v>3.6</v>
      </c>
      <c r="D54" s="35"/>
      <c r="E54" s="56" t="s">
        <v>1822</v>
      </c>
      <c r="F54" s="185"/>
      <c r="G54" s="35"/>
      <c r="H54" s="35"/>
      <c r="I54" s="35"/>
      <c r="J54" s="35"/>
    </row>
    <row r="55" spans="2:10" x14ac:dyDescent="0.25">
      <c r="B55" s="266">
        <v>44986</v>
      </c>
      <c r="C55" s="214">
        <v>3.5</v>
      </c>
      <c r="D55" s="35"/>
      <c r="E55" s="85" t="s">
        <v>1814</v>
      </c>
      <c r="F55" s="185"/>
      <c r="G55" s="35"/>
      <c r="H55" s="35"/>
      <c r="I55" s="35"/>
      <c r="J55" s="35"/>
    </row>
    <row r="56" spans="2:10" x14ac:dyDescent="0.25">
      <c r="B56" s="266">
        <v>45017</v>
      </c>
      <c r="C56" s="214"/>
      <c r="D56" s="35"/>
      <c r="E56" s="85" t="s">
        <v>1815</v>
      </c>
      <c r="F56" s="185"/>
      <c r="G56" s="35"/>
      <c r="H56" s="35"/>
      <c r="I56" s="35"/>
      <c r="J56" s="35"/>
    </row>
    <row r="57" spans="2:10" x14ac:dyDescent="0.25">
      <c r="B57" s="266">
        <v>45047</v>
      </c>
      <c r="C57" s="214"/>
      <c r="D57" s="35"/>
      <c r="E57" s="85" t="s">
        <v>1816</v>
      </c>
      <c r="F57" s="185"/>
      <c r="G57" s="35"/>
      <c r="H57" s="35"/>
      <c r="I57" s="35"/>
      <c r="J57" s="35"/>
    </row>
    <row r="58" spans="2:10" x14ac:dyDescent="0.25">
      <c r="B58" s="266">
        <v>45078</v>
      </c>
      <c r="C58" s="214"/>
      <c r="D58" s="35"/>
      <c r="E58" s="85" t="s">
        <v>1817</v>
      </c>
      <c r="F58" s="185"/>
      <c r="G58" s="35"/>
      <c r="H58" s="35"/>
      <c r="I58" s="35"/>
      <c r="J58" s="35"/>
    </row>
    <row r="59" spans="2:10" x14ac:dyDescent="0.25">
      <c r="B59" s="266">
        <v>45108</v>
      </c>
      <c r="C59" s="214"/>
      <c r="D59" s="35"/>
      <c r="E59" s="35"/>
      <c r="F59" s="35"/>
      <c r="G59" s="35"/>
      <c r="H59" s="35"/>
      <c r="I59" s="35"/>
      <c r="J59" s="35"/>
    </row>
    <row r="60" spans="2:10" x14ac:dyDescent="0.25">
      <c r="B60" s="266">
        <v>45139</v>
      </c>
      <c r="C60" s="214"/>
      <c r="D60" s="35"/>
      <c r="E60" s="35"/>
      <c r="F60" s="35"/>
      <c r="G60" s="35"/>
      <c r="H60" s="35"/>
      <c r="I60" s="35"/>
      <c r="J60" s="35"/>
    </row>
    <row r="61" spans="2:10" x14ac:dyDescent="0.25">
      <c r="B61" s="266">
        <v>45170</v>
      </c>
      <c r="C61" s="214"/>
      <c r="D61" s="35"/>
      <c r="E61" s="35"/>
      <c r="F61" s="35"/>
      <c r="G61" s="35"/>
      <c r="H61" s="35"/>
      <c r="I61" s="35"/>
      <c r="J61" s="35"/>
    </row>
    <row r="62" spans="2:10" x14ac:dyDescent="0.25">
      <c r="B62" s="266">
        <v>45200</v>
      </c>
      <c r="C62" s="214"/>
      <c r="D62" s="35"/>
      <c r="E62" s="35"/>
      <c r="F62" s="35"/>
      <c r="G62" s="35"/>
      <c r="H62" s="35"/>
      <c r="I62" s="35"/>
      <c r="J62" s="35"/>
    </row>
    <row r="63" spans="2:10" x14ac:dyDescent="0.25">
      <c r="B63" s="266">
        <v>45231</v>
      </c>
      <c r="C63" s="214"/>
      <c r="D63" s="35"/>
      <c r="E63" s="35"/>
      <c r="F63" s="35"/>
      <c r="G63" s="35"/>
      <c r="H63" s="35"/>
      <c r="I63" s="35"/>
      <c r="J63" s="35"/>
    </row>
    <row r="64" spans="2:10" x14ac:dyDescent="0.25">
      <c r="B64" s="266">
        <v>45261</v>
      </c>
      <c r="C64" s="214"/>
      <c r="D64" s="35"/>
      <c r="E64" s="35"/>
      <c r="F64" s="35"/>
      <c r="G64" s="35"/>
      <c r="H64" s="35"/>
      <c r="I64" s="35"/>
      <c r="J64" s="35"/>
    </row>
    <row r="65" spans="2:10" x14ac:dyDescent="0.25">
      <c r="B65" s="266">
        <v>45292</v>
      </c>
      <c r="C65" s="214"/>
      <c r="D65" s="35"/>
      <c r="E65" s="35"/>
      <c r="F65" s="35"/>
      <c r="G65" s="35"/>
      <c r="H65" s="35"/>
      <c r="I65" s="35"/>
      <c r="J65" s="35"/>
    </row>
    <row r="66" spans="2:10" x14ac:dyDescent="0.25">
      <c r="B66" s="266">
        <v>45323</v>
      </c>
      <c r="C66" s="214"/>
      <c r="D66" s="35"/>
      <c r="E66" s="35"/>
      <c r="F66" s="35"/>
      <c r="G66" s="35"/>
      <c r="H66" s="35"/>
      <c r="I66" s="35"/>
      <c r="J66" s="35"/>
    </row>
    <row r="67" spans="2:10" x14ac:dyDescent="0.25">
      <c r="B67" s="266">
        <v>45352</v>
      </c>
      <c r="C67" s="214"/>
      <c r="D67" s="35"/>
      <c r="E67" s="35"/>
      <c r="F67" s="35"/>
      <c r="G67" s="35"/>
      <c r="H67" s="35"/>
      <c r="I67" s="35"/>
      <c r="J67" s="35"/>
    </row>
    <row r="68" spans="2:10" x14ac:dyDescent="0.25">
      <c r="B68" s="266">
        <v>45383</v>
      </c>
      <c r="C68" s="214"/>
      <c r="D68" s="35"/>
      <c r="E68" s="35"/>
      <c r="F68" s="35"/>
      <c r="G68" s="35"/>
      <c r="H68" s="35"/>
      <c r="I68" s="35"/>
      <c r="J68" s="35"/>
    </row>
    <row r="69" spans="2:10" x14ac:dyDescent="0.25">
      <c r="B69" s="266">
        <v>45413</v>
      </c>
      <c r="C69" s="214"/>
      <c r="D69" s="35"/>
      <c r="E69" s="35"/>
      <c r="F69" s="35"/>
      <c r="G69" s="35"/>
      <c r="H69" s="35"/>
      <c r="I69" s="35"/>
      <c r="J69" s="35"/>
    </row>
    <row r="70" spans="2:10" x14ac:dyDescent="0.25">
      <c r="B70" s="266">
        <v>45444</v>
      </c>
      <c r="C70" s="214"/>
      <c r="D70" s="35"/>
      <c r="E70" s="35"/>
      <c r="F70" s="35"/>
      <c r="G70" s="35"/>
      <c r="H70" s="35"/>
      <c r="I70" s="35"/>
      <c r="J70" s="35"/>
    </row>
    <row r="71" spans="2:10" x14ac:dyDescent="0.25">
      <c r="B71" s="266">
        <v>45474</v>
      </c>
      <c r="C71" s="214"/>
      <c r="D71" s="35"/>
      <c r="E71" s="35"/>
      <c r="F71" s="35"/>
      <c r="G71" s="35"/>
      <c r="H71" s="35"/>
      <c r="I71" s="35"/>
      <c r="J71" s="35"/>
    </row>
    <row r="72" spans="2:10" x14ac:dyDescent="0.25">
      <c r="B72" s="266">
        <v>45505</v>
      </c>
      <c r="C72" s="214"/>
      <c r="D72" s="35"/>
      <c r="E72" s="35"/>
      <c r="F72" s="35"/>
      <c r="G72" s="35"/>
      <c r="H72" s="35"/>
      <c r="I72" s="35"/>
      <c r="J72" s="35"/>
    </row>
    <row r="73" spans="2:10" x14ac:dyDescent="0.25">
      <c r="B73" s="266">
        <v>45536</v>
      </c>
      <c r="C73" s="214"/>
      <c r="D73" s="35"/>
      <c r="E73" s="35"/>
      <c r="F73" s="35"/>
      <c r="G73" s="35"/>
      <c r="H73" s="35"/>
      <c r="I73" s="35"/>
      <c r="J73" s="35"/>
    </row>
    <row r="74" spans="2:10" x14ac:dyDescent="0.25">
      <c r="B74" s="266">
        <v>45566</v>
      </c>
      <c r="C74" s="214"/>
      <c r="D74" s="35"/>
      <c r="E74" s="35"/>
      <c r="F74" s="35"/>
      <c r="G74" s="35"/>
      <c r="H74" s="35"/>
      <c r="I74" s="35"/>
      <c r="J74" s="35"/>
    </row>
    <row r="75" spans="2:10" x14ac:dyDescent="0.25">
      <c r="B75" s="266">
        <v>45597</v>
      </c>
      <c r="C75" s="214"/>
      <c r="D75" s="35"/>
      <c r="E75" s="35"/>
      <c r="F75" s="35"/>
      <c r="G75" s="35"/>
      <c r="H75" s="35"/>
      <c r="I75" s="35"/>
      <c r="J75" s="35"/>
    </row>
    <row r="76" spans="2:10" x14ac:dyDescent="0.25">
      <c r="B76" s="266">
        <v>45627</v>
      </c>
      <c r="C76" s="214"/>
      <c r="D76" s="35"/>
      <c r="E76" s="35"/>
      <c r="F76" s="35"/>
      <c r="G76" s="35"/>
      <c r="H76" s="35"/>
      <c r="I76" s="35"/>
      <c r="J76" s="35"/>
    </row>
    <row r="77" spans="2:10" x14ac:dyDescent="0.25">
      <c r="B77" s="266">
        <v>45658</v>
      </c>
      <c r="C77" s="214"/>
      <c r="D77" s="35"/>
      <c r="E77" s="35"/>
      <c r="F77" s="35"/>
      <c r="G77" s="35"/>
      <c r="H77" s="35"/>
      <c r="I77" s="35"/>
      <c r="J77" s="35"/>
    </row>
    <row r="78" spans="2:10" x14ac:dyDescent="0.25">
      <c r="B78" s="266">
        <v>45689</v>
      </c>
      <c r="C78" s="214"/>
      <c r="D78" s="35"/>
      <c r="E78" s="35"/>
      <c r="F78" s="35"/>
      <c r="G78" s="35"/>
      <c r="H78" s="35"/>
      <c r="I78" s="35"/>
      <c r="J78" s="35"/>
    </row>
    <row r="79" spans="2:10" x14ac:dyDescent="0.25">
      <c r="B79" s="266">
        <v>45717</v>
      </c>
      <c r="C79" s="214"/>
      <c r="D79" s="35"/>
      <c r="E79" s="35"/>
      <c r="F79" s="35"/>
      <c r="G79" s="35"/>
      <c r="H79" s="35"/>
      <c r="I79" s="35"/>
      <c r="J79" s="35"/>
    </row>
    <row r="80" spans="2:10" x14ac:dyDescent="0.25">
      <c r="B80" s="266">
        <v>45748</v>
      </c>
      <c r="C80" s="214"/>
      <c r="D80" s="35"/>
      <c r="E80" s="35"/>
      <c r="F80" s="35"/>
      <c r="G80" s="35"/>
      <c r="H80" s="35"/>
      <c r="I80" s="35"/>
      <c r="J80" s="35"/>
    </row>
    <row r="81" spans="2:10" x14ac:dyDescent="0.25">
      <c r="B81" s="266">
        <v>45778</v>
      </c>
      <c r="C81" s="214"/>
      <c r="D81" s="35"/>
      <c r="E81" s="35"/>
      <c r="F81" s="35"/>
      <c r="G81" s="35"/>
      <c r="H81" s="35"/>
      <c r="I81" s="35"/>
      <c r="J81" s="35"/>
    </row>
    <row r="82" spans="2:10" x14ac:dyDescent="0.25">
      <c r="B82" s="266">
        <v>45809</v>
      </c>
      <c r="C82" s="214"/>
      <c r="D82" s="35"/>
      <c r="E82" s="35"/>
      <c r="F82" s="35"/>
      <c r="G82" s="35"/>
      <c r="H82" s="35"/>
      <c r="I82" s="35"/>
      <c r="J82" s="35"/>
    </row>
    <row r="83" spans="2:10" x14ac:dyDescent="0.25">
      <c r="B83" s="266">
        <v>45839</v>
      </c>
      <c r="C83" s="214"/>
      <c r="D83" s="35"/>
      <c r="E83" s="35"/>
      <c r="F83" s="35"/>
      <c r="G83" s="35"/>
      <c r="H83" s="35"/>
      <c r="I83" s="35"/>
      <c r="J83" s="35"/>
    </row>
    <row r="84" spans="2:10" x14ac:dyDescent="0.25">
      <c r="B84" s="266">
        <v>45870</v>
      </c>
      <c r="C84" s="214"/>
      <c r="D84" s="35"/>
      <c r="E84" s="35"/>
      <c r="F84" s="35"/>
      <c r="G84" s="35"/>
      <c r="H84" s="35"/>
      <c r="I84" s="35"/>
      <c r="J84" s="35"/>
    </row>
    <row r="85" spans="2:10" x14ac:dyDescent="0.25">
      <c r="B85" s="266">
        <v>45901</v>
      </c>
      <c r="C85" s="214"/>
      <c r="D85" s="35"/>
      <c r="E85" s="35"/>
      <c r="F85" s="35"/>
      <c r="G85" s="35"/>
      <c r="H85" s="35"/>
      <c r="I85" s="35"/>
      <c r="J85" s="35"/>
    </row>
    <row r="86" spans="2:10" x14ac:dyDescent="0.25">
      <c r="B86" s="266">
        <v>45931</v>
      </c>
      <c r="C86" s="214"/>
      <c r="D86" s="35"/>
      <c r="E86" s="35"/>
      <c r="F86" s="35"/>
      <c r="G86" s="35"/>
      <c r="H86" s="35"/>
      <c r="I86" s="35"/>
      <c r="J86" s="35"/>
    </row>
    <row r="87" spans="2:10" x14ac:dyDescent="0.25">
      <c r="B87" s="266">
        <v>45962</v>
      </c>
      <c r="C87" s="214"/>
      <c r="D87" s="35"/>
      <c r="E87" s="35"/>
      <c r="F87" s="35"/>
      <c r="G87" s="35"/>
      <c r="H87" s="35"/>
      <c r="I87" s="35"/>
      <c r="J87" s="35"/>
    </row>
    <row r="88" spans="2:10" x14ac:dyDescent="0.25">
      <c r="B88" s="266">
        <v>45992</v>
      </c>
      <c r="C88" s="214"/>
      <c r="D88" s="35"/>
      <c r="E88" s="35"/>
      <c r="F88" s="35"/>
      <c r="G88" s="35"/>
      <c r="H88" s="35"/>
      <c r="I88" s="35"/>
      <c r="J88" s="35"/>
    </row>
    <row r="89" spans="2:10" x14ac:dyDescent="0.25">
      <c r="B89" s="266">
        <v>46023</v>
      </c>
      <c r="C89" s="214"/>
      <c r="D89" s="35"/>
      <c r="E89" s="35"/>
      <c r="F89" s="35"/>
      <c r="G89" s="35"/>
      <c r="H89" s="35"/>
      <c r="I89" s="35"/>
      <c r="J89" s="35"/>
    </row>
    <row r="90" spans="2:10" x14ac:dyDescent="0.25">
      <c r="B90" s="266">
        <v>46054</v>
      </c>
      <c r="C90" s="214"/>
      <c r="D90" s="35"/>
      <c r="E90" s="35"/>
      <c r="F90" s="35"/>
      <c r="G90" s="35"/>
      <c r="H90" s="35"/>
      <c r="I90" s="35"/>
      <c r="J90" s="35"/>
    </row>
    <row r="91" spans="2:10" x14ac:dyDescent="0.25">
      <c r="B91" s="266">
        <v>46082</v>
      </c>
      <c r="C91" s="214"/>
      <c r="D91" s="35"/>
      <c r="E91" s="35"/>
      <c r="F91" s="35"/>
      <c r="G91" s="35"/>
      <c r="H91" s="35"/>
      <c r="I91" s="35"/>
      <c r="J91" s="35"/>
    </row>
    <row r="92" spans="2:10" x14ac:dyDescent="0.25">
      <c r="B92" s="266">
        <v>46113</v>
      </c>
      <c r="C92" s="214"/>
      <c r="D92" s="35"/>
      <c r="E92" s="35"/>
      <c r="F92" s="35"/>
      <c r="G92" s="35"/>
      <c r="H92" s="35"/>
      <c r="I92" s="35"/>
      <c r="J92" s="35"/>
    </row>
    <row r="93" spans="2:10" x14ac:dyDescent="0.25">
      <c r="B93" s="266">
        <v>46143</v>
      </c>
      <c r="C93" s="214"/>
      <c r="D93" s="35"/>
      <c r="E93" s="35"/>
      <c r="F93" s="35"/>
      <c r="G93" s="35"/>
      <c r="H93" s="35"/>
      <c r="I93" s="35"/>
      <c r="J93" s="35"/>
    </row>
    <row r="94" spans="2:10" x14ac:dyDescent="0.25">
      <c r="B94" s="266">
        <v>46174</v>
      </c>
      <c r="C94" s="214"/>
      <c r="D94" s="35"/>
      <c r="E94" s="35"/>
      <c r="F94" s="35"/>
      <c r="G94" s="35"/>
      <c r="H94" s="35"/>
      <c r="I94" s="35"/>
      <c r="J94" s="35"/>
    </row>
    <row r="95" spans="2:10" x14ac:dyDescent="0.25">
      <c r="B95" s="266">
        <v>46204</v>
      </c>
      <c r="C95" s="214"/>
      <c r="D95" s="35"/>
      <c r="E95" s="35"/>
      <c r="F95" s="35"/>
      <c r="G95" s="35"/>
      <c r="H95" s="35"/>
      <c r="I95" s="35"/>
      <c r="J95" s="35"/>
    </row>
    <row r="96" spans="2:10" x14ac:dyDescent="0.25">
      <c r="B96" s="266">
        <v>46235</v>
      </c>
      <c r="C96" s="214"/>
      <c r="D96" s="35"/>
      <c r="E96" s="35"/>
      <c r="F96" s="35"/>
      <c r="G96" s="35"/>
      <c r="H96" s="35"/>
      <c r="I96" s="35"/>
      <c r="J96" s="35"/>
    </row>
    <row r="97" spans="2:10" x14ac:dyDescent="0.25">
      <c r="B97" s="266">
        <v>46266</v>
      </c>
      <c r="C97" s="214"/>
      <c r="D97" s="35"/>
      <c r="E97" s="35"/>
      <c r="F97" s="35"/>
      <c r="G97" s="35"/>
      <c r="H97" s="35"/>
      <c r="I97" s="35"/>
      <c r="J97" s="35"/>
    </row>
    <row r="98" spans="2:10" x14ac:dyDescent="0.25">
      <c r="B98" s="266">
        <v>46296</v>
      </c>
      <c r="C98" s="214"/>
      <c r="D98" s="35"/>
      <c r="E98" s="35"/>
      <c r="F98" s="35"/>
      <c r="G98" s="35"/>
      <c r="H98" s="35"/>
      <c r="I98" s="35"/>
      <c r="J98" s="35"/>
    </row>
    <row r="99" spans="2:10" x14ac:dyDescent="0.25">
      <c r="B99" s="266">
        <v>46327</v>
      </c>
      <c r="C99" s="214"/>
      <c r="D99" s="35"/>
      <c r="E99" s="35"/>
      <c r="F99" s="35"/>
      <c r="G99" s="35"/>
      <c r="H99" s="35"/>
      <c r="I99" s="35"/>
      <c r="J99" s="35"/>
    </row>
    <row r="100" spans="2:10" x14ac:dyDescent="0.25">
      <c r="B100" s="267">
        <v>46357</v>
      </c>
      <c r="C100" s="215"/>
      <c r="D100" s="35"/>
      <c r="E100" s="35"/>
      <c r="F100" s="35"/>
      <c r="G100" s="35"/>
      <c r="H100" s="35"/>
      <c r="I100" s="35"/>
      <c r="J100" s="35"/>
    </row>
  </sheetData>
  <mergeCells count="11">
    <mergeCell ref="Y9:AB9"/>
    <mergeCell ref="B1:AC1"/>
    <mergeCell ref="B2:AC6"/>
    <mergeCell ref="B8:C10"/>
    <mergeCell ref="D8:T8"/>
    <mergeCell ref="U8:AC8"/>
    <mergeCell ref="E9:H9"/>
    <mergeCell ref="I9:L9"/>
    <mergeCell ref="M9:P9"/>
    <mergeCell ref="Q9:R9"/>
    <mergeCell ref="U9:X9"/>
  </mergeCells>
  <pageMargins left="0.7" right="0.7" top="0.75" bottom="0.75" header="0.3" footer="0.3"/>
  <pageSetup orientation="portrait"/>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N99"/>
  <sheetViews>
    <sheetView zoomScale="80" zoomScaleNormal="80" workbookViewId="0">
      <selection activeCell="A13" sqref="A13"/>
    </sheetView>
  </sheetViews>
  <sheetFormatPr defaultColWidth="10.85546875" defaultRowHeight="15" x14ac:dyDescent="0.25"/>
  <cols>
    <col min="1" max="1" width="8.42578125" customWidth="1"/>
    <col min="2" max="2" width="40.42578125" customWidth="1"/>
    <col min="3" max="3" width="7.140625" customWidth="1"/>
    <col min="4" max="4" width="11.140625" customWidth="1"/>
    <col min="5" max="5" width="12.42578125" customWidth="1"/>
    <col min="6" max="7" width="7.140625" customWidth="1"/>
    <col min="8" max="8" width="10.42578125" customWidth="1"/>
    <col min="9" max="9" width="11.42578125" customWidth="1"/>
    <col min="10" max="13" width="7.42578125" customWidth="1"/>
    <col min="14" max="18" width="8.140625" customWidth="1"/>
    <col min="19" max="19" width="8.85546875" customWidth="1"/>
    <col min="20" max="33" width="8.140625" customWidth="1"/>
    <col min="34" max="34" width="29.42578125" customWidth="1"/>
    <col min="35" max="35" width="31.140625" customWidth="1"/>
    <col min="36" max="36" width="114.85546875" customWidth="1"/>
  </cols>
  <sheetData>
    <row r="1" spans="2:38" x14ac:dyDescent="0.25">
      <c r="B1" s="1288" t="s">
        <v>192</v>
      </c>
      <c r="C1" s="1288"/>
      <c r="D1" s="1288"/>
      <c r="E1" s="1288"/>
      <c r="F1" s="1288"/>
      <c r="G1" s="1288"/>
      <c r="H1" s="1288"/>
      <c r="I1" s="1288"/>
      <c r="J1" s="1288"/>
      <c r="K1" s="1288"/>
      <c r="L1" s="1288"/>
      <c r="M1" s="1288"/>
      <c r="N1" s="1288"/>
      <c r="O1" s="1288"/>
      <c r="P1" s="1288"/>
      <c r="Q1" s="1288"/>
      <c r="R1" s="1288"/>
      <c r="S1" s="1288"/>
      <c r="T1" s="1288"/>
      <c r="U1" s="1288"/>
      <c r="V1" s="1288"/>
      <c r="W1" s="1288"/>
      <c r="X1" s="1288"/>
      <c r="Y1" s="1288"/>
      <c r="Z1" s="202"/>
      <c r="AA1" s="202"/>
      <c r="AB1" s="202"/>
      <c r="AC1" s="202"/>
      <c r="AD1" s="202"/>
      <c r="AE1" s="202"/>
      <c r="AF1" s="202"/>
      <c r="AG1" s="202"/>
      <c r="AH1" s="190"/>
      <c r="AI1" s="190"/>
    </row>
    <row r="2" spans="2:38" ht="14.25" customHeight="1" x14ac:dyDescent="0.25">
      <c r="B2" s="1289" t="s">
        <v>332</v>
      </c>
      <c r="C2" s="1289"/>
      <c r="D2" s="1289"/>
      <c r="E2" s="1289"/>
      <c r="F2" s="1289"/>
      <c r="G2" s="1289"/>
      <c r="H2" s="1289"/>
      <c r="I2" s="1289"/>
      <c r="J2" s="1289"/>
      <c r="K2" s="1289"/>
      <c r="L2" s="1289"/>
      <c r="M2" s="1289"/>
      <c r="N2" s="1289"/>
      <c r="O2" s="1289"/>
      <c r="P2" s="1289"/>
      <c r="Q2" s="1289"/>
      <c r="R2" s="1289"/>
      <c r="S2" s="1289"/>
      <c r="T2" s="1289"/>
      <c r="U2" s="1289"/>
      <c r="V2" s="1289"/>
      <c r="W2" s="1289"/>
      <c r="X2" s="1289"/>
      <c r="Y2" s="1289"/>
      <c r="Z2" s="1289"/>
      <c r="AA2" s="1289"/>
      <c r="AB2" s="1289"/>
      <c r="AC2" s="1289"/>
      <c r="AD2" s="203"/>
      <c r="AE2" s="203"/>
      <c r="AF2" s="203"/>
      <c r="AG2" s="203"/>
      <c r="AH2" s="203"/>
      <c r="AI2" s="203"/>
    </row>
    <row r="3" spans="2:38" ht="50.85" customHeight="1" x14ac:dyDescent="0.25">
      <c r="B3" s="1289"/>
      <c r="C3" s="1289"/>
      <c r="D3" s="1289"/>
      <c r="E3" s="1289"/>
      <c r="F3" s="1289"/>
      <c r="G3" s="1289"/>
      <c r="H3" s="1289"/>
      <c r="I3" s="1289"/>
      <c r="J3" s="1289"/>
      <c r="K3" s="1289"/>
      <c r="L3" s="1289"/>
      <c r="M3" s="1289"/>
      <c r="N3" s="1289"/>
      <c r="O3" s="1289"/>
      <c r="P3" s="1289"/>
      <c r="Q3" s="1289"/>
      <c r="R3" s="1289"/>
      <c r="S3" s="1289"/>
      <c r="T3" s="1289"/>
      <c r="U3" s="1289"/>
      <c r="V3" s="1289"/>
      <c r="W3" s="1289"/>
      <c r="X3" s="1289"/>
      <c r="Y3" s="1289"/>
      <c r="Z3" s="1289"/>
      <c r="AA3" s="1289"/>
      <c r="AB3" s="1289"/>
      <c r="AC3" s="1289"/>
      <c r="AD3" s="203"/>
      <c r="AE3" s="203"/>
      <c r="AF3" s="203"/>
      <c r="AG3" s="203"/>
      <c r="AH3" s="203"/>
      <c r="AI3" s="203"/>
    </row>
    <row r="4" spans="2:38" ht="5.25" customHeight="1" x14ac:dyDescent="0.25">
      <c r="B4" s="1289"/>
      <c r="C4" s="1289"/>
      <c r="D4" s="1289"/>
      <c r="E4" s="1289"/>
      <c r="F4" s="1289"/>
      <c r="G4" s="1289"/>
      <c r="H4" s="1289"/>
      <c r="I4" s="1289"/>
      <c r="J4" s="1289"/>
      <c r="K4" s="1289"/>
      <c r="L4" s="1289"/>
      <c r="M4" s="1289"/>
      <c r="N4" s="1289"/>
      <c r="O4" s="1289"/>
      <c r="P4" s="1289"/>
      <c r="Q4" s="1289"/>
      <c r="R4" s="1289"/>
      <c r="S4" s="1289"/>
      <c r="T4" s="1289"/>
      <c r="U4" s="1289"/>
      <c r="V4" s="1289"/>
      <c r="W4" s="1289"/>
      <c r="X4" s="1289"/>
      <c r="Y4" s="1289"/>
      <c r="Z4" s="1289"/>
      <c r="AA4" s="1289"/>
      <c r="AB4" s="1289"/>
      <c r="AC4" s="1289"/>
      <c r="AD4" s="203"/>
      <c r="AE4" s="203"/>
      <c r="AF4" s="203"/>
      <c r="AG4" s="203"/>
      <c r="AH4" s="203"/>
      <c r="AI4" s="203"/>
    </row>
    <row r="5" spans="2:38" x14ac:dyDescent="0.25">
      <c r="B5" s="389" t="s">
        <v>333</v>
      </c>
    </row>
    <row r="6" spans="2:38" ht="14.85" customHeight="1" x14ac:dyDescent="0.25">
      <c r="B6" s="1293" t="s">
        <v>334</v>
      </c>
      <c r="C6" s="1294"/>
      <c r="D6" s="1297" t="s">
        <v>280</v>
      </c>
      <c r="E6" s="1310"/>
      <c r="F6" s="1310"/>
      <c r="G6" s="1310"/>
      <c r="H6" s="1310"/>
      <c r="I6" s="1310"/>
      <c r="J6" s="1310"/>
      <c r="K6" s="1310"/>
      <c r="L6" s="1310"/>
      <c r="M6" s="1310"/>
      <c r="N6" s="1310"/>
      <c r="O6" s="1310"/>
      <c r="P6" s="1310"/>
      <c r="Q6" s="1310"/>
      <c r="R6" s="1310"/>
      <c r="S6" s="1310"/>
      <c r="T6" s="1310"/>
      <c r="U6" s="1311"/>
      <c r="V6" s="1296"/>
      <c r="W6" s="1326" t="s">
        <v>281</v>
      </c>
      <c r="X6" s="1308"/>
      <c r="Y6" s="1308"/>
      <c r="Z6" s="1308"/>
      <c r="AA6" s="1308"/>
      <c r="AB6" s="1308"/>
      <c r="AC6" s="1308"/>
      <c r="AD6" s="1308"/>
      <c r="AE6" s="1308"/>
      <c r="AF6" s="1308"/>
      <c r="AG6" s="1327"/>
      <c r="AH6" s="1321" t="s">
        <v>335</v>
      </c>
      <c r="AI6" s="1324" t="s">
        <v>336</v>
      </c>
    </row>
    <row r="7" spans="2:38" ht="24" customHeight="1" x14ac:dyDescent="0.25">
      <c r="B7" s="1295"/>
      <c r="C7" s="1296"/>
      <c r="D7" s="204">
        <v>2018</v>
      </c>
      <c r="E7" s="1290">
        <v>2019</v>
      </c>
      <c r="F7" s="1291"/>
      <c r="G7" s="1291"/>
      <c r="H7" s="1292"/>
      <c r="I7" s="1290">
        <v>2020</v>
      </c>
      <c r="J7" s="1291"/>
      <c r="K7" s="1291"/>
      <c r="L7" s="1291"/>
      <c r="M7" s="1290">
        <v>2021</v>
      </c>
      <c r="N7" s="1291"/>
      <c r="O7" s="1291"/>
      <c r="P7" s="1291"/>
      <c r="Q7" s="1302">
        <v>2022</v>
      </c>
      <c r="R7" s="1325"/>
      <c r="S7" s="1325"/>
      <c r="T7" s="1325"/>
      <c r="U7" s="325"/>
      <c r="V7" s="326">
        <v>2023</v>
      </c>
      <c r="W7" s="327"/>
      <c r="X7" s="328"/>
      <c r="Y7" s="1299">
        <v>2024</v>
      </c>
      <c r="Z7" s="1300"/>
      <c r="AA7" s="1300"/>
      <c r="AB7" s="1301"/>
      <c r="AC7" s="1299">
        <v>2025</v>
      </c>
      <c r="AD7" s="1300"/>
      <c r="AE7" s="1300"/>
      <c r="AF7" s="1301"/>
      <c r="AG7" s="241">
        <v>2026</v>
      </c>
      <c r="AH7" s="1322"/>
      <c r="AI7" s="1322"/>
    </row>
    <row r="8" spans="2:38" ht="14.25" customHeight="1" x14ac:dyDescent="0.25">
      <c r="B8" s="1297"/>
      <c r="C8" s="1298"/>
      <c r="D8" s="204" t="s">
        <v>282</v>
      </c>
      <c r="E8" s="204" t="s">
        <v>283</v>
      </c>
      <c r="F8" s="205" t="s">
        <v>284</v>
      </c>
      <c r="G8" s="205" t="s">
        <v>238</v>
      </c>
      <c r="H8" s="206" t="s">
        <v>282</v>
      </c>
      <c r="I8" s="205" t="s">
        <v>283</v>
      </c>
      <c r="J8" s="205" t="s">
        <v>284</v>
      </c>
      <c r="K8" s="205" t="s">
        <v>238</v>
      </c>
      <c r="L8" s="205" t="s">
        <v>282</v>
      </c>
      <c r="M8" s="204" t="s">
        <v>283</v>
      </c>
      <c r="N8" s="205" t="s">
        <v>284</v>
      </c>
      <c r="O8" s="205" t="s">
        <v>238</v>
      </c>
      <c r="P8" s="205" t="s">
        <v>282</v>
      </c>
      <c r="Q8" s="204" t="s">
        <v>283</v>
      </c>
      <c r="R8" s="205" t="s">
        <v>284</v>
      </c>
      <c r="S8" s="205" t="s">
        <v>238</v>
      </c>
      <c r="T8" s="205" t="s">
        <v>282</v>
      </c>
      <c r="U8" s="275" t="s">
        <v>283</v>
      </c>
      <c r="V8" s="276" t="s">
        <v>284</v>
      </c>
      <c r="W8" s="260" t="s">
        <v>238</v>
      </c>
      <c r="X8" s="261" t="s">
        <v>282</v>
      </c>
      <c r="Y8" s="259" t="s">
        <v>283</v>
      </c>
      <c r="Z8" s="257" t="s">
        <v>284</v>
      </c>
      <c r="AA8" s="260" t="s">
        <v>238</v>
      </c>
      <c r="AB8" s="261" t="s">
        <v>282</v>
      </c>
      <c r="AC8" s="259" t="s">
        <v>283</v>
      </c>
      <c r="AD8" s="257" t="s">
        <v>284</v>
      </c>
      <c r="AE8" s="260" t="s">
        <v>238</v>
      </c>
      <c r="AF8" s="261" t="s">
        <v>282</v>
      </c>
      <c r="AG8" s="262" t="s">
        <v>283</v>
      </c>
      <c r="AH8" s="1323"/>
      <c r="AI8" s="1323"/>
    </row>
    <row r="9" spans="2:38" ht="23.85" customHeight="1" x14ac:dyDescent="0.25">
      <c r="B9" s="341" t="s">
        <v>337</v>
      </c>
      <c r="C9" s="408" t="s">
        <v>338</v>
      </c>
      <c r="D9" s="356">
        <f>'Haver Pivoted'!GO32</f>
        <v>590.1</v>
      </c>
      <c r="E9" s="357">
        <f>'Haver Pivoted'!GP32</f>
        <v>593.1</v>
      </c>
      <c r="F9" s="357">
        <f>'Haver Pivoted'!GQ32</f>
        <v>610.70000000000005</v>
      </c>
      <c r="G9" s="357">
        <f>'Haver Pivoted'!GR32</f>
        <v>610.4</v>
      </c>
      <c r="H9" s="357">
        <f>'Haver Pivoted'!GS32</f>
        <v>621.79999999999995</v>
      </c>
      <c r="I9" s="357">
        <f>'Haver Pivoted'!GT32</f>
        <v>638.20000000000005</v>
      </c>
      <c r="J9" s="357">
        <f>'Haver Pivoted'!GU32</f>
        <v>1388.6</v>
      </c>
      <c r="K9" s="357">
        <f>'Haver Pivoted'!GV32</f>
        <v>737</v>
      </c>
      <c r="L9" s="357">
        <f>'Haver Pivoted'!GW32</f>
        <v>751.3</v>
      </c>
      <c r="M9" s="357">
        <f>'Haver Pivoted'!GX32</f>
        <v>781.8</v>
      </c>
      <c r="N9" s="357">
        <f>'Haver Pivoted'!GY32</f>
        <v>1645.9</v>
      </c>
      <c r="O9" s="357">
        <f>'Haver Pivoted'!GZ32</f>
        <v>1084.4000000000001</v>
      </c>
      <c r="P9" s="357">
        <f>'Haver Pivoted'!HA32</f>
        <v>929</v>
      </c>
      <c r="Q9" s="357">
        <f>'Haver Pivoted'!HB32</f>
        <v>937.5</v>
      </c>
      <c r="R9" s="357">
        <f>'Haver Pivoted'!HC32</f>
        <v>961.8</v>
      </c>
      <c r="S9" s="358">
        <f>'Haver Pivoted'!HD32</f>
        <v>950.2</v>
      </c>
      <c r="T9" s="358">
        <f>'Haver Pivoted'!HE32</f>
        <v>946.2</v>
      </c>
      <c r="U9" s="321">
        <f>'Haver Pivoted'!HF32</f>
        <v>974.6</v>
      </c>
      <c r="V9" s="321">
        <f>'Haver Pivoted'!HG32</f>
        <v>974.1</v>
      </c>
      <c r="W9" s="321">
        <f>'Haver Pivoted'!HH32</f>
        <v>918.5</v>
      </c>
      <c r="X9" s="321">
        <f>'Haver Pivoted'!HI32</f>
        <v>941.6</v>
      </c>
      <c r="Y9" s="321">
        <f>'Haver Pivoted'!HJ32</f>
        <v>928.4</v>
      </c>
      <c r="Z9" s="323">
        <f t="shared" ref="Z9:AB9" si="0">Z10+Z11</f>
        <v>950.67312010248804</v>
      </c>
      <c r="AA9" s="323">
        <f t="shared" si="0"/>
        <v>967.74366192399873</v>
      </c>
      <c r="AB9" s="323">
        <f t="shared" si="0"/>
        <v>961.44792131023837</v>
      </c>
      <c r="AC9" s="323">
        <f>AC10+AC11</f>
        <v>969.09102060610871</v>
      </c>
      <c r="AD9" s="323">
        <f>AD10+AD11</f>
        <v>295.93278461457794</v>
      </c>
      <c r="AE9" s="323"/>
      <c r="AF9" s="323"/>
      <c r="AG9" s="323"/>
      <c r="AH9" s="376"/>
      <c r="AI9" s="409"/>
    </row>
    <row r="10" spans="2:38" ht="27.6" customHeight="1" x14ac:dyDescent="0.25">
      <c r="B10" s="415" t="s">
        <v>133</v>
      </c>
      <c r="C10" s="220" t="s">
        <v>339</v>
      </c>
      <c r="D10" s="362">
        <f>'Haver Pivoted'!GO40</f>
        <v>391.92099999999999</v>
      </c>
      <c r="E10" s="68">
        <f>'Haver Pivoted'!GP40</f>
        <v>406.23</v>
      </c>
      <c r="F10" s="68">
        <f>'Haver Pivoted'!GQ40</f>
        <v>414.87200000000001</v>
      </c>
      <c r="G10" s="68">
        <f>'Haver Pivoted'!GR40</f>
        <v>418.36200000000002</v>
      </c>
      <c r="H10" s="68">
        <f>'Haver Pivoted'!GS40</f>
        <v>414.971</v>
      </c>
      <c r="I10" s="68">
        <f>'Haver Pivoted'!GT40</f>
        <v>424.089</v>
      </c>
      <c r="J10" s="68">
        <f>'Haver Pivoted'!GU40</f>
        <v>505.45</v>
      </c>
      <c r="K10" s="68">
        <f>'Haver Pivoted'!GV40</f>
        <v>483.86599999999999</v>
      </c>
      <c r="L10" s="68">
        <f>'Haver Pivoted'!GW40</f>
        <v>506.75599999999997</v>
      </c>
      <c r="M10" s="68">
        <f>'Haver Pivoted'!GX40</f>
        <v>501.459</v>
      </c>
      <c r="N10" s="68">
        <f>'Haver Pivoted'!GY40</f>
        <v>526.38599999999997</v>
      </c>
      <c r="O10" s="68">
        <f>'Haver Pivoted'!GZ40</f>
        <v>541.66800000000001</v>
      </c>
      <c r="P10" s="426">
        <f>'Haver Pivoted'!HA40</f>
        <v>563.64300000000003</v>
      </c>
      <c r="Q10" s="68">
        <f>'Haver Pivoted'!HB40</f>
        <v>594.56200000000001</v>
      </c>
      <c r="R10" s="68">
        <f>'Haver Pivoted'!HC40</f>
        <v>595.59299999999996</v>
      </c>
      <c r="S10" s="320">
        <f>'Haver Pivoted'!HD40</f>
        <v>607.94899999999996</v>
      </c>
      <c r="T10" s="320">
        <f>'Haver Pivoted'!HE40</f>
        <v>607.13699999999994</v>
      </c>
      <c r="U10" s="320">
        <f>'Haver Pivoted'!HF40</f>
        <v>630.96299999999997</v>
      </c>
      <c r="V10" s="320">
        <f>'Haver Pivoted'!HG40</f>
        <v>639.71100000000001</v>
      </c>
      <c r="W10" s="320">
        <f>'Haver Pivoted'!HH40</f>
        <v>590.947</v>
      </c>
      <c r="X10" s="320">
        <f>'Haver Pivoted'!HI40</f>
        <v>616.99699999999996</v>
      </c>
      <c r="Y10" s="320">
        <f>'Haver Pivoted'!HJ40</f>
        <v>613.56899999999996</v>
      </c>
      <c r="Z10" s="324">
        <f>Medicaid!Z29</f>
        <v>652.29721181923992</v>
      </c>
      <c r="AA10" s="324">
        <f>Medicaid!AA29</f>
        <v>666.79776934155791</v>
      </c>
      <c r="AB10" s="324">
        <f>Medicaid!AB29</f>
        <v>671.78272132848042</v>
      </c>
      <c r="AC10" s="324">
        <f>Medicaid!AC29</f>
        <v>676.80494060610863</v>
      </c>
      <c r="AD10" s="324">
        <f>Medicaid!AH29</f>
        <v>0</v>
      </c>
      <c r="AE10" s="324"/>
      <c r="AF10" s="324"/>
      <c r="AG10" s="324"/>
      <c r="AH10" s="346"/>
      <c r="AI10" s="396"/>
    </row>
    <row r="11" spans="2:38" ht="17.25" customHeight="1" x14ac:dyDescent="0.25">
      <c r="B11" s="238" t="s">
        <v>340</v>
      </c>
      <c r="C11" s="220"/>
      <c r="D11" s="362">
        <f t="shared" ref="D11:G11" si="1">D9-D10</f>
        <v>198.17900000000003</v>
      </c>
      <c r="E11" s="68">
        <f t="shared" si="1"/>
        <v>186.87</v>
      </c>
      <c r="F11" s="68">
        <f t="shared" si="1"/>
        <v>195.82800000000003</v>
      </c>
      <c r="G11" s="68">
        <f t="shared" si="1"/>
        <v>192.03799999999995</v>
      </c>
      <c r="H11" s="68">
        <f>H9-H10</f>
        <v>206.82899999999995</v>
      </c>
      <c r="I11" s="68">
        <f t="shared" ref="I11:N11" si="2">I9-I10</f>
        <v>214.11100000000005</v>
      </c>
      <c r="J11" s="68">
        <f t="shared" si="2"/>
        <v>883.14999999999986</v>
      </c>
      <c r="K11" s="68">
        <f t="shared" si="2"/>
        <v>253.13400000000001</v>
      </c>
      <c r="L11" s="68">
        <f t="shared" si="2"/>
        <v>244.54399999999998</v>
      </c>
      <c r="M11" s="68">
        <f t="shared" si="2"/>
        <v>280.34099999999995</v>
      </c>
      <c r="N11" s="68">
        <f t="shared" si="2"/>
        <v>1119.5140000000001</v>
      </c>
      <c r="O11" s="68">
        <f t="shared" ref="O11:T11" si="3">O9-O10</f>
        <v>542.73200000000008</v>
      </c>
      <c r="P11" s="426">
        <f t="shared" si="3"/>
        <v>365.35699999999997</v>
      </c>
      <c r="Q11" s="68">
        <f t="shared" si="3"/>
        <v>342.93799999999999</v>
      </c>
      <c r="R11" s="68">
        <f t="shared" si="3"/>
        <v>366.20699999999999</v>
      </c>
      <c r="S11" s="320">
        <f t="shared" si="3"/>
        <v>342.25100000000009</v>
      </c>
      <c r="T11" s="320">
        <f t="shared" si="3"/>
        <v>339.0630000000001</v>
      </c>
      <c r="U11" s="320">
        <f>U9-U10</f>
        <v>343.63700000000006</v>
      </c>
      <c r="V11" s="320">
        <f>V9-V10</f>
        <v>334.38900000000001</v>
      </c>
      <c r="W11" s="320">
        <f>W9-W10</f>
        <v>327.553</v>
      </c>
      <c r="X11" s="320">
        <f>X9-X10</f>
        <v>324.60300000000007</v>
      </c>
      <c r="Y11" s="320">
        <f>Y9-Y10</f>
        <v>314.83100000000002</v>
      </c>
      <c r="Z11" s="324">
        <f t="shared" ref="Z11:AB11" si="4">SUM(Z12:Z20)</f>
        <v>298.37590828324812</v>
      </c>
      <c r="AA11" s="324">
        <f t="shared" si="4"/>
        <v>300.94589258244082</v>
      </c>
      <c r="AB11" s="324">
        <f t="shared" si="4"/>
        <v>289.66519998175789</v>
      </c>
      <c r="AC11" s="324">
        <f>SUM(AC12:AC20)</f>
        <v>292.28608000000003</v>
      </c>
      <c r="AD11" s="324">
        <f>SUM(AD12:AD20)</f>
        <v>295.93278461457794</v>
      </c>
      <c r="AE11" s="324"/>
      <c r="AF11" s="324"/>
      <c r="AG11" s="324"/>
      <c r="AH11" s="346"/>
      <c r="AI11" s="396"/>
    </row>
    <row r="12" spans="2:38" ht="16.350000000000001" customHeight="1" x14ac:dyDescent="0.25">
      <c r="B12" s="353" t="s">
        <v>149</v>
      </c>
      <c r="C12" s="52" t="s">
        <v>341</v>
      </c>
      <c r="D12" s="420"/>
      <c r="E12" s="52"/>
      <c r="F12" s="52"/>
      <c r="G12" s="52"/>
      <c r="H12" s="68"/>
      <c r="I12" s="68"/>
      <c r="J12" s="68">
        <f>'Haver Pivoted'!GU56</f>
        <v>597.9</v>
      </c>
      <c r="K12" s="68"/>
      <c r="L12" s="68"/>
      <c r="M12" s="68"/>
      <c r="N12" s="68"/>
      <c r="O12" s="50">
        <v>0</v>
      </c>
      <c r="P12" s="221">
        <v>0</v>
      </c>
      <c r="Q12" s="50">
        <v>0</v>
      </c>
      <c r="R12" s="50">
        <v>0</v>
      </c>
      <c r="S12" s="50">
        <v>0</v>
      </c>
      <c r="T12" s="50">
        <v>0</v>
      </c>
      <c r="U12" s="50">
        <v>0</v>
      </c>
      <c r="V12" s="50">
        <v>0</v>
      </c>
      <c r="W12" s="50">
        <v>0</v>
      </c>
      <c r="X12" s="324">
        <v>0</v>
      </c>
      <c r="Y12" s="324">
        <v>0</v>
      </c>
      <c r="Z12" s="324">
        <v>0</v>
      </c>
      <c r="AA12" s="324">
        <v>0</v>
      </c>
      <c r="AB12" s="324">
        <v>0</v>
      </c>
      <c r="AC12" s="324">
        <v>0</v>
      </c>
      <c r="AD12" s="324">
        <v>0</v>
      </c>
      <c r="AE12" s="324"/>
      <c r="AF12" s="324"/>
      <c r="AG12" s="324"/>
      <c r="AH12" s="346">
        <f t="shared" ref="AH12:AH17" si="5">SUM(I12:Y12)/4</f>
        <v>149.47499999999999</v>
      </c>
      <c r="AI12" s="396">
        <f>AH26</f>
        <v>150</v>
      </c>
    </row>
    <row r="13" spans="2:38" x14ac:dyDescent="0.25">
      <c r="B13" s="353" t="s">
        <v>150</v>
      </c>
      <c r="C13" s="52" t="s">
        <v>342</v>
      </c>
      <c r="D13" s="420"/>
      <c r="E13" s="52"/>
      <c r="F13" s="52"/>
      <c r="G13" s="52"/>
      <c r="H13" s="68"/>
      <c r="I13" s="68"/>
      <c r="J13" s="68">
        <f>'Haver Pivoted'!GU57</f>
        <v>28.4</v>
      </c>
      <c r="K13" s="68">
        <f>'Haver Pivoted'!GV57</f>
        <v>15.8</v>
      </c>
      <c r="L13" s="68">
        <f>'Haver Pivoted'!GW57</f>
        <v>15.2</v>
      </c>
      <c r="M13" s="68">
        <f>'Haver Pivoted'!GX57</f>
        <v>28.9</v>
      </c>
      <c r="N13" s="68">
        <f>'Haver Pivoted'!GY57</f>
        <v>67.599999999999994</v>
      </c>
      <c r="O13" s="68">
        <f>'Haver Pivoted'!GZ57</f>
        <v>80.7</v>
      </c>
      <c r="P13" s="426">
        <f>'Haver Pivoted'!HA57</f>
        <v>87.2</v>
      </c>
      <c r="Q13" s="68">
        <f>'Haver Pivoted'!HB57</f>
        <v>72.400000000000006</v>
      </c>
      <c r="R13" s="68">
        <f>'Haver Pivoted'!HC57</f>
        <v>85.9</v>
      </c>
      <c r="S13" s="320">
        <f>'Haver Pivoted'!HD57</f>
        <v>68.3</v>
      </c>
      <c r="T13" s="320">
        <f>'Haver Pivoted'!HE57</f>
        <v>64</v>
      </c>
      <c r="U13" s="322">
        <f>U27+U31+U37</f>
        <v>60.929333333333297</v>
      </c>
      <c r="V13" s="322">
        <f t="shared" ref="V13:AD13" si="6">V27+V31+V37</f>
        <v>60.929333333333297</v>
      </c>
      <c r="W13" s="322">
        <f>W27+W31+W37</f>
        <v>60.929333333333297</v>
      </c>
      <c r="X13" s="322">
        <f t="shared" si="6"/>
        <v>54.244333333333302</v>
      </c>
      <c r="Y13" s="322">
        <f t="shared" si="6"/>
        <v>50.911000000000001</v>
      </c>
      <c r="Z13" s="322">
        <f t="shared" si="6"/>
        <v>31.911000000000001</v>
      </c>
      <c r="AA13" s="322">
        <f t="shared" si="6"/>
        <v>31.911000000000001</v>
      </c>
      <c r="AB13" s="322">
        <f t="shared" si="6"/>
        <v>23.099</v>
      </c>
      <c r="AC13" s="322">
        <f t="shared" si="6"/>
        <v>23.099</v>
      </c>
      <c r="AD13" s="322">
        <f t="shared" si="6"/>
        <v>23.099</v>
      </c>
      <c r="AE13" s="322"/>
      <c r="AF13" s="322"/>
      <c r="AG13" s="322"/>
      <c r="AH13" s="346">
        <f t="shared" si="5"/>
        <v>225.58583333333326</v>
      </c>
      <c r="AI13" s="396">
        <f>AH27+AH31+AH37</f>
        <v>225.76349999999994</v>
      </c>
      <c r="AJ13" s="56">
        <f>SUM(J13:R13)/4</f>
        <v>120.52500000000001</v>
      </c>
    </row>
    <row r="14" spans="2:38" x14ac:dyDescent="0.25">
      <c r="B14" s="353" t="s">
        <v>152</v>
      </c>
      <c r="C14" s="49" t="s">
        <v>307</v>
      </c>
      <c r="D14" s="349"/>
      <c r="E14" s="49"/>
      <c r="F14" s="49"/>
      <c r="G14" s="49"/>
      <c r="H14" s="68"/>
      <c r="I14" s="68"/>
      <c r="J14" s="68">
        <f>'Haver Pivoted'!GU58</f>
        <v>64.400000000000006</v>
      </c>
      <c r="K14" s="68">
        <f>'Haver Pivoted'!GV58</f>
        <v>23.4</v>
      </c>
      <c r="L14" s="68">
        <f>'Haver Pivoted'!GW58</f>
        <v>13.8</v>
      </c>
      <c r="M14" s="68">
        <f>'Haver Pivoted'!GX58</f>
        <v>12</v>
      </c>
      <c r="N14" s="68">
        <f>'Haver Pivoted'!GY58</f>
        <v>7.5</v>
      </c>
      <c r="O14" s="68">
        <f>'Haver Pivoted'!GZ58</f>
        <v>10.5</v>
      </c>
      <c r="P14" s="426">
        <f>'Haver Pivoted'!HA58</f>
        <v>18</v>
      </c>
      <c r="Q14" s="68">
        <f>'Haver Pivoted'!HB58</f>
        <v>15</v>
      </c>
      <c r="R14" s="68">
        <f>'Haver Pivoted'!HC58</f>
        <v>11.2</v>
      </c>
      <c r="S14" s="320">
        <f>'Haver Pivoted'!HD58</f>
        <v>7.5</v>
      </c>
      <c r="T14" s="320">
        <f>'Haver Pivoted'!HE58</f>
        <v>6.2</v>
      </c>
      <c r="U14" s="320">
        <f>'Haver Pivoted'!HF58</f>
        <v>0</v>
      </c>
      <c r="V14" s="320">
        <f>'Haver Pivoted'!HG58</f>
        <v>0</v>
      </c>
      <c r="W14" s="320">
        <f>'Haver Pivoted'!HH58</f>
        <v>0</v>
      </c>
      <c r="X14" s="320">
        <f>'Haver Pivoted'!HI58</f>
        <v>0</v>
      </c>
      <c r="Y14" s="320">
        <f>'Haver Pivoted'!HJ58</f>
        <v>0</v>
      </c>
      <c r="Z14" s="324">
        <f>'Provider Relief (expired)'!Z12</f>
        <v>0</v>
      </c>
      <c r="AA14" s="324">
        <f>'Provider Relief (expired)'!AA12</f>
        <v>0</v>
      </c>
      <c r="AB14" s="324">
        <f>'Provider Relief (expired)'!AB12</f>
        <v>0</v>
      </c>
      <c r="AC14" s="324">
        <f>'Provider Relief (expired)'!AC12</f>
        <v>0</v>
      </c>
      <c r="AD14" s="324">
        <f>'Provider Relief (expired)'!AD12</f>
        <v>0</v>
      </c>
      <c r="AE14" s="324"/>
      <c r="AF14" s="324"/>
      <c r="AG14" s="324"/>
      <c r="AH14" s="346">
        <f t="shared" si="5"/>
        <v>47.375</v>
      </c>
      <c r="AI14" s="396">
        <f>AH28+AH32+AH38</f>
        <v>34.125000000000007</v>
      </c>
    </row>
    <row r="15" spans="2:38" ht="15.75" customHeight="1" x14ac:dyDescent="0.25">
      <c r="B15" s="353" t="s">
        <v>343</v>
      </c>
      <c r="C15" s="49"/>
      <c r="D15" s="349"/>
      <c r="E15" s="49"/>
      <c r="F15" s="49"/>
      <c r="G15" s="49"/>
      <c r="H15" s="68"/>
      <c r="I15" s="68"/>
      <c r="J15" s="68"/>
      <c r="K15" s="68"/>
      <c r="L15" s="68"/>
      <c r="M15" s="68">
        <f>M30</f>
        <v>9.6666666666666661</v>
      </c>
      <c r="N15" s="50">
        <f t="shared" ref="N15:AC15" si="7">N30</f>
        <v>9.6666666666666661</v>
      </c>
      <c r="O15" s="50">
        <f t="shared" si="7"/>
        <v>9.6666666666666661</v>
      </c>
      <c r="P15" s="221">
        <f>P30</f>
        <v>9.6666666666666661</v>
      </c>
      <c r="Q15" s="50">
        <f>Q30</f>
        <v>9.6666666666666661</v>
      </c>
      <c r="R15" s="50">
        <f t="shared" si="7"/>
        <v>9.6666666666666661</v>
      </c>
      <c r="S15" s="50">
        <f t="shared" si="7"/>
        <v>9.6666666666666661</v>
      </c>
      <c r="T15" s="50">
        <f t="shared" si="7"/>
        <v>9.6666666666666661</v>
      </c>
      <c r="U15" s="50">
        <f t="shared" si="7"/>
        <v>9.6666666666666661</v>
      </c>
      <c r="V15" s="50">
        <f t="shared" si="7"/>
        <v>9.6666666666666661</v>
      </c>
      <c r="W15" s="50">
        <f t="shared" si="7"/>
        <v>9.6666666666666661</v>
      </c>
      <c r="X15" s="324">
        <f t="shared" si="7"/>
        <v>9.6666666666666661</v>
      </c>
      <c r="Y15" s="324">
        <f t="shared" si="7"/>
        <v>0</v>
      </c>
      <c r="Z15" s="324">
        <f t="shared" si="7"/>
        <v>0</v>
      </c>
      <c r="AA15" s="324">
        <f t="shared" si="7"/>
        <v>0</v>
      </c>
      <c r="AB15" s="324">
        <f t="shared" si="7"/>
        <v>0</v>
      </c>
      <c r="AC15" s="324">
        <f t="shared" si="7"/>
        <v>0</v>
      </c>
      <c r="AD15" s="324">
        <f t="shared" ref="AD15" si="8">AD30</f>
        <v>0</v>
      </c>
      <c r="AE15" s="324"/>
      <c r="AF15" s="324"/>
      <c r="AG15" s="324"/>
      <c r="AH15" s="346">
        <f t="shared" si="5"/>
        <v>29.000000000000004</v>
      </c>
      <c r="AI15" s="397">
        <f>AH30</f>
        <v>29.000000000000004</v>
      </c>
      <c r="AJ15" s="365" t="s">
        <v>344</v>
      </c>
      <c r="AK15" s="365"/>
      <c r="AL15" s="365"/>
    </row>
    <row r="16" spans="2:38" ht="31.35" customHeight="1" x14ac:dyDescent="0.25">
      <c r="B16" s="353" t="s">
        <v>345</v>
      </c>
      <c r="C16" s="49"/>
      <c r="D16" s="349"/>
      <c r="E16" s="49"/>
      <c r="F16" s="49"/>
      <c r="G16" s="49"/>
      <c r="H16" s="68"/>
      <c r="I16" s="68"/>
      <c r="J16" s="68"/>
      <c r="K16" s="68"/>
      <c r="L16" s="68"/>
      <c r="M16" s="68">
        <f>M34+M33</f>
        <v>12</v>
      </c>
      <c r="N16" s="50">
        <f>N34+N33</f>
        <v>12</v>
      </c>
      <c r="O16" s="50">
        <f>O34+O33</f>
        <v>12</v>
      </c>
      <c r="P16" s="221">
        <f t="shared" ref="P16:AC16" si="9">P34+P33</f>
        <v>12</v>
      </c>
      <c r="Q16" s="50">
        <f t="shared" si="9"/>
        <v>12</v>
      </c>
      <c r="R16" s="50">
        <f t="shared" si="9"/>
        <v>12</v>
      </c>
      <c r="S16" s="50">
        <f t="shared" si="9"/>
        <v>12</v>
      </c>
      <c r="T16" s="50">
        <f t="shared" si="9"/>
        <v>12</v>
      </c>
      <c r="U16" s="50">
        <f t="shared" si="9"/>
        <v>12</v>
      </c>
      <c r="V16" s="50">
        <f t="shared" si="9"/>
        <v>12</v>
      </c>
      <c r="W16" s="50">
        <f t="shared" si="9"/>
        <v>12</v>
      </c>
      <c r="X16" s="324">
        <f t="shared" si="9"/>
        <v>12</v>
      </c>
      <c r="Y16" s="324">
        <f t="shared" si="9"/>
        <v>0</v>
      </c>
      <c r="Z16" s="324">
        <f t="shared" si="9"/>
        <v>0</v>
      </c>
      <c r="AA16" s="324">
        <f t="shared" si="9"/>
        <v>0</v>
      </c>
      <c r="AB16" s="324">
        <f t="shared" si="9"/>
        <v>0</v>
      </c>
      <c r="AC16" s="324">
        <f t="shared" si="9"/>
        <v>0</v>
      </c>
      <c r="AD16" s="324">
        <f t="shared" ref="AD16" si="10">AD34+AD33</f>
        <v>0</v>
      </c>
      <c r="AE16" s="324"/>
      <c r="AF16" s="324"/>
      <c r="AG16" s="324"/>
      <c r="AH16" s="346">
        <f t="shared" si="5"/>
        <v>36</v>
      </c>
      <c r="AI16" s="396">
        <f>SUM(AH33:AH34)+AH39</f>
        <v>130.3365</v>
      </c>
      <c r="AJ16" s="365" t="s">
        <v>346</v>
      </c>
      <c r="AK16" s="365"/>
      <c r="AL16" s="365"/>
    </row>
    <row r="17" spans="1:38" x14ac:dyDescent="0.25">
      <c r="B17" s="353" t="s">
        <v>347</v>
      </c>
      <c r="C17" s="49"/>
      <c r="D17" s="349"/>
      <c r="E17" s="49"/>
      <c r="F17" s="49"/>
      <c r="G17" s="49"/>
      <c r="H17" s="68"/>
      <c r="I17" s="68"/>
      <c r="J17" s="68"/>
      <c r="K17" s="68"/>
      <c r="L17" s="68"/>
      <c r="M17" s="68"/>
      <c r="N17" s="50">
        <f>N39</f>
        <v>59.256</v>
      </c>
      <c r="O17" s="50">
        <f>O39</f>
        <v>59.256</v>
      </c>
      <c r="P17" s="221">
        <f>P39</f>
        <v>35.671000000000006</v>
      </c>
      <c r="Q17" s="50">
        <f>Q39</f>
        <v>35.671000000000006</v>
      </c>
      <c r="R17" s="50">
        <f t="shared" ref="R17:AC17" si="11">R39</f>
        <v>35.671000000000006</v>
      </c>
      <c r="S17" s="50">
        <f t="shared" si="11"/>
        <v>35.671000000000006</v>
      </c>
      <c r="T17" s="50">
        <f t="shared" si="11"/>
        <v>24.216000000000001</v>
      </c>
      <c r="U17" s="50">
        <f t="shared" si="11"/>
        <v>24.216000000000001</v>
      </c>
      <c r="V17" s="50">
        <f t="shared" si="11"/>
        <v>24.216000000000001</v>
      </c>
      <c r="W17" s="50">
        <f t="shared" si="11"/>
        <v>24.216000000000001</v>
      </c>
      <c r="X17" s="324">
        <f t="shared" si="11"/>
        <v>9.6430000000000007</v>
      </c>
      <c r="Y17" s="324">
        <f t="shared" si="11"/>
        <v>9.6430000000000007</v>
      </c>
      <c r="Z17" s="324">
        <f t="shared" si="11"/>
        <v>9.6430000000000007</v>
      </c>
      <c r="AA17" s="324">
        <f t="shared" si="11"/>
        <v>9.6430000000000007</v>
      </c>
      <c r="AB17" s="324">
        <f t="shared" si="11"/>
        <v>4.5789999999999997</v>
      </c>
      <c r="AC17" s="324">
        <f t="shared" si="11"/>
        <v>4.5789999999999997</v>
      </c>
      <c r="AD17" s="324">
        <f t="shared" ref="AD17" si="12">AD39</f>
        <v>4.5789999999999997</v>
      </c>
      <c r="AE17" s="324"/>
      <c r="AF17" s="324"/>
      <c r="AG17" s="324"/>
      <c r="AH17" s="346">
        <f t="shared" si="5"/>
        <v>94.336500000000001</v>
      </c>
      <c r="AI17" s="396"/>
      <c r="AJ17" s="365"/>
      <c r="AK17" s="365"/>
      <c r="AL17" s="365"/>
    </row>
    <row r="18" spans="1:38" ht="54" customHeight="1" x14ac:dyDescent="0.25">
      <c r="B18" s="403" t="s">
        <v>780</v>
      </c>
      <c r="C18" s="49"/>
      <c r="D18" s="349"/>
      <c r="E18" s="49"/>
      <c r="F18" s="49"/>
      <c r="G18" s="49"/>
      <c r="H18" s="68"/>
      <c r="I18" s="68"/>
      <c r="J18" s="68"/>
      <c r="K18" s="68"/>
      <c r="L18" s="68"/>
      <c r="M18" s="68"/>
      <c r="N18" s="50">
        <v>-40</v>
      </c>
      <c r="O18" s="50">
        <v>-40</v>
      </c>
      <c r="P18" s="221">
        <f>-51</f>
        <v>-51</v>
      </c>
      <c r="Q18" s="50">
        <f>-51</f>
        <v>-51</v>
      </c>
      <c r="R18" s="50">
        <v>-51</v>
      </c>
      <c r="S18" s="50">
        <f>-51</f>
        <v>-51</v>
      </c>
      <c r="T18" s="50">
        <v>0</v>
      </c>
      <c r="U18" s="50">
        <v>0</v>
      </c>
      <c r="V18" s="50">
        <v>0</v>
      </c>
      <c r="W18" s="50">
        <v>0</v>
      </c>
      <c r="X18" s="324">
        <v>-4</v>
      </c>
      <c r="Y18" s="324">
        <v>-4</v>
      </c>
      <c r="Z18" s="324">
        <v>-4</v>
      </c>
      <c r="AA18" s="324">
        <v>-4</v>
      </c>
      <c r="AB18" s="324">
        <v>-4</v>
      </c>
      <c r="AC18" s="324">
        <v>-4</v>
      </c>
      <c r="AD18" s="324">
        <v>-3</v>
      </c>
      <c r="AE18" s="324">
        <v>0</v>
      </c>
      <c r="AF18" s="324">
        <v>0</v>
      </c>
      <c r="AG18" s="324">
        <v>0</v>
      </c>
      <c r="AH18" s="346"/>
      <c r="AI18" s="396"/>
      <c r="AJ18" s="365"/>
      <c r="AK18" s="365"/>
      <c r="AL18" s="365"/>
    </row>
    <row r="19" spans="1:38" ht="15.75" customHeight="1" x14ac:dyDescent="0.25">
      <c r="B19" s="353" t="s">
        <v>348</v>
      </c>
      <c r="C19" s="52" t="s">
        <v>349</v>
      </c>
      <c r="D19" s="349"/>
      <c r="E19" s="49"/>
      <c r="F19" s="49"/>
      <c r="G19" s="49"/>
      <c r="H19" s="68"/>
      <c r="I19" s="68"/>
      <c r="J19" s="68"/>
      <c r="K19" s="68">
        <f>'Haver Pivoted'!GV56</f>
        <v>0</v>
      </c>
      <c r="L19" s="68">
        <f>'Haver Pivoted'!GW56</f>
        <v>0</v>
      </c>
      <c r="M19" s="68">
        <f>'Haver Pivoted'!GX56</f>
        <v>0</v>
      </c>
      <c r="N19" s="68">
        <f>'Haver Pivoted'!GY56</f>
        <v>785.9</v>
      </c>
      <c r="O19" s="68">
        <f>'Haver Pivoted'!GZ56</f>
        <v>187.9</v>
      </c>
      <c r="P19" s="426">
        <f>'Haver Pivoted'!HA56</f>
        <v>9.1999999999999993</v>
      </c>
      <c r="Q19" s="68">
        <f>'Haver Pivoted'!HB56</f>
        <v>0.6</v>
      </c>
      <c r="R19" s="68">
        <f>'Haver Pivoted'!HC56</f>
        <v>0</v>
      </c>
      <c r="S19" s="320">
        <f>'Haver Pivoted'!HD56</f>
        <v>0</v>
      </c>
      <c r="T19" s="320">
        <f>'Haver Pivoted'!HE56</f>
        <v>0</v>
      </c>
      <c r="U19" s="320">
        <f>'Haver Pivoted'!HF56</f>
        <v>0</v>
      </c>
      <c r="V19" s="320">
        <f>'Haver Pivoted'!HG56</f>
        <v>0</v>
      </c>
      <c r="W19" s="320">
        <f>'Haver Pivoted'!HH56</f>
        <v>0</v>
      </c>
      <c r="X19" s="320">
        <f>'Haver Pivoted'!HI56</f>
        <v>0</v>
      </c>
      <c r="Y19" s="320">
        <f>'Haver Pivoted'!HJ56</f>
        <v>0</v>
      </c>
      <c r="Z19" s="317">
        <f t="shared" ref="Z19:AC19" si="13">Z36</f>
        <v>0</v>
      </c>
      <c r="AA19" s="317">
        <f t="shared" si="13"/>
        <v>0</v>
      </c>
      <c r="AB19" s="317">
        <f t="shared" si="13"/>
        <v>0</v>
      </c>
      <c r="AC19" s="317">
        <f t="shared" si="13"/>
        <v>0</v>
      </c>
      <c r="AD19" s="317">
        <f t="shared" ref="AD19" si="14">AD36</f>
        <v>0</v>
      </c>
      <c r="AE19" s="317">
        <v>0</v>
      </c>
      <c r="AF19" s="317">
        <v>0</v>
      </c>
      <c r="AG19" s="317">
        <v>0</v>
      </c>
      <c r="AH19" s="346">
        <f>SUM(I19:Y19)/4</f>
        <v>245.9</v>
      </c>
      <c r="AI19" s="396">
        <f>AH36</f>
        <v>362.04999999999995</v>
      </c>
      <c r="AJ19" s="387"/>
      <c r="AL19" s="365"/>
    </row>
    <row r="20" spans="1:38" ht="15.75" customHeight="1" x14ac:dyDescent="0.25">
      <c r="A20" s="367"/>
      <c r="B20" s="366" t="s">
        <v>350</v>
      </c>
      <c r="C20" s="379"/>
      <c r="D20" s="377">
        <f t="shared" ref="D20:T20" si="15">D11-SUM(D12:D19)</f>
        <v>198.17900000000003</v>
      </c>
      <c r="E20" s="379">
        <f t="shared" si="15"/>
        <v>186.87</v>
      </c>
      <c r="F20" s="379">
        <f t="shared" si="15"/>
        <v>195.82800000000003</v>
      </c>
      <c r="G20" s="379">
        <f t="shared" si="15"/>
        <v>192.03799999999995</v>
      </c>
      <c r="H20" s="379">
        <f t="shared" si="15"/>
        <v>206.82899999999995</v>
      </c>
      <c r="I20" s="379">
        <f t="shared" si="15"/>
        <v>214.11100000000005</v>
      </c>
      <c r="J20" s="379">
        <f t="shared" si="15"/>
        <v>192.44999999999993</v>
      </c>
      <c r="K20" s="379">
        <f t="shared" si="15"/>
        <v>213.93400000000003</v>
      </c>
      <c r="L20" s="379">
        <f t="shared" si="15"/>
        <v>215.54399999999998</v>
      </c>
      <c r="M20" s="379">
        <f t="shared" si="15"/>
        <v>217.77433333333329</v>
      </c>
      <c r="N20" s="379">
        <f t="shared" si="15"/>
        <v>217.59133333333352</v>
      </c>
      <c r="O20" s="379">
        <f t="shared" si="15"/>
        <v>222.7093333333334</v>
      </c>
      <c r="P20" s="304">
        <f t="shared" si="15"/>
        <v>244.61933333333332</v>
      </c>
      <c r="Q20" s="379">
        <f t="shared" si="15"/>
        <v>248.60033333333331</v>
      </c>
      <c r="R20" s="379">
        <f t="shared" si="15"/>
        <v>262.76933333333329</v>
      </c>
      <c r="S20" s="355">
        <f t="shared" si="15"/>
        <v>260.1133333333334</v>
      </c>
      <c r="T20" s="355">
        <f t="shared" si="15"/>
        <v>222.98033333333342</v>
      </c>
      <c r="U20" s="355">
        <f>U11-SUM(U12:U19)</f>
        <v>236.8250000000001</v>
      </c>
      <c r="V20" s="355">
        <f>V11-SUM(V12:V19)</f>
        <v>227.57700000000006</v>
      </c>
      <c r="W20" s="355">
        <f>W11-SUM(W12:W19)</f>
        <v>220.74100000000004</v>
      </c>
      <c r="X20" s="355">
        <f>X11-SUM(X12:X19)</f>
        <v>243.04900000000009</v>
      </c>
      <c r="Y20" s="355">
        <f>Y11-SUM(Y12:Y19)</f>
        <v>258.27700000000004</v>
      </c>
      <c r="Z20" s="257">
        <f t="shared" ref="Z20:AC20" si="16">Y20*(1.04)^0.25</f>
        <v>260.82190828324809</v>
      </c>
      <c r="AA20" s="257">
        <f t="shared" si="16"/>
        <v>263.39189258244079</v>
      </c>
      <c r="AB20" s="257">
        <f t="shared" si="16"/>
        <v>265.9871999817579</v>
      </c>
      <c r="AC20" s="257">
        <f t="shared" si="16"/>
        <v>268.60808000000003</v>
      </c>
      <c r="AD20" s="257">
        <f>AC20*(1.04)^0.25</f>
        <v>271.25478461457794</v>
      </c>
      <c r="AE20" s="257">
        <f t="shared" ref="AE20:AG20" si="17">AD20*(1.04)^0.25</f>
        <v>273.92756828573835</v>
      </c>
      <c r="AF20" s="257">
        <f t="shared" si="17"/>
        <v>276.62668798102817</v>
      </c>
      <c r="AG20" s="257">
        <f t="shared" si="17"/>
        <v>279.35240319999997</v>
      </c>
      <c r="AH20" s="401"/>
      <c r="AI20" s="398"/>
      <c r="AJ20" s="365" t="s">
        <v>351</v>
      </c>
      <c r="AK20" s="365"/>
      <c r="AL20" s="365"/>
    </row>
    <row r="21" spans="1:38" ht="15.75" customHeight="1" x14ac:dyDescent="0.25">
      <c r="A21" s="4"/>
      <c r="B21" s="332"/>
      <c r="C21" s="49"/>
      <c r="D21" s="49"/>
      <c r="E21" s="49"/>
      <c r="F21" s="49"/>
      <c r="G21" s="49"/>
      <c r="H21" s="49"/>
      <c r="I21" s="49"/>
      <c r="J21" s="49"/>
      <c r="K21" s="49"/>
      <c r="L21" s="49"/>
      <c r="M21" s="49"/>
      <c r="AA21" s="221"/>
      <c r="AB21" s="221"/>
      <c r="AC21" s="221"/>
      <c r="AD21" s="221"/>
      <c r="AE21" s="221"/>
      <c r="AF21" s="221"/>
      <c r="AG21" s="221"/>
      <c r="AH21" s="221"/>
      <c r="AI21" s="370"/>
      <c r="AJ21" s="365"/>
      <c r="AK21" s="365"/>
      <c r="AL21" s="365"/>
    </row>
    <row r="22" spans="1:38" x14ac:dyDescent="0.25">
      <c r="C22" s="49"/>
      <c r="D22" s="49"/>
      <c r="E22" s="371"/>
      <c r="F22" s="49"/>
      <c r="G22" s="49"/>
      <c r="H22" s="49"/>
      <c r="I22" s="49"/>
      <c r="J22" s="49"/>
      <c r="K22" s="49"/>
      <c r="L22" s="49"/>
      <c r="M22" s="49"/>
      <c r="N22" s="49"/>
      <c r="P22" s="370"/>
      <c r="Q22" s="49"/>
      <c r="R22" s="49"/>
      <c r="S22" s="49"/>
      <c r="T22" s="49"/>
      <c r="U22" s="49"/>
      <c r="V22" s="49"/>
      <c r="W22" s="49"/>
      <c r="X22" s="49"/>
      <c r="Y22" s="49"/>
      <c r="Z22" s="49"/>
      <c r="AA22" s="49"/>
      <c r="AB22" s="49"/>
      <c r="AC22" s="49"/>
      <c r="AD22" s="49"/>
      <c r="AE22" s="49"/>
      <c r="AF22" s="49"/>
      <c r="AG22" s="49"/>
      <c r="AH22" s="49"/>
      <c r="AI22" s="49"/>
    </row>
    <row r="23" spans="1:38" x14ac:dyDescent="0.25">
      <c r="B23" s="393" t="s">
        <v>352</v>
      </c>
      <c r="C23" s="49"/>
      <c r="D23" s="49"/>
      <c r="E23" s="49"/>
      <c r="F23" s="49"/>
      <c r="G23" s="49"/>
      <c r="H23" s="49"/>
      <c r="I23" s="49"/>
      <c r="J23" s="49"/>
      <c r="K23" s="49"/>
      <c r="L23" s="49"/>
      <c r="M23" s="49"/>
      <c r="N23" s="49"/>
      <c r="O23" s="49"/>
      <c r="P23" s="370"/>
      <c r="Q23" s="49"/>
      <c r="R23" s="49"/>
      <c r="S23" s="49"/>
      <c r="T23" s="49"/>
      <c r="U23" s="49"/>
      <c r="V23" s="49"/>
      <c r="W23" s="49"/>
      <c r="X23" s="49"/>
      <c r="Y23" s="49"/>
      <c r="Z23" s="49"/>
      <c r="AA23" s="49"/>
      <c r="AB23" s="49"/>
      <c r="AC23" s="49"/>
      <c r="AD23" s="49"/>
      <c r="AE23" s="49"/>
      <c r="AF23" s="49"/>
      <c r="AG23" s="49"/>
      <c r="AH23" s="49"/>
      <c r="AI23" s="49"/>
    </row>
    <row r="24" spans="1:38" ht="27" customHeight="1" x14ac:dyDescent="0.25">
      <c r="B24" s="1333" t="s">
        <v>353</v>
      </c>
      <c r="C24" s="1334"/>
      <c r="D24" s="1335"/>
      <c r="E24" s="1335"/>
      <c r="F24" s="1335"/>
      <c r="G24" s="1335"/>
      <c r="H24" s="1335"/>
      <c r="I24" s="1335"/>
      <c r="J24" s="1335"/>
      <c r="K24" s="1335"/>
      <c r="L24" s="1335"/>
      <c r="M24" s="1335"/>
      <c r="N24" s="1335"/>
      <c r="O24" s="1335"/>
      <c r="P24" s="1335"/>
      <c r="Q24" s="1335"/>
      <c r="R24" s="1335"/>
      <c r="S24" s="1335"/>
      <c r="T24" s="1335"/>
      <c r="U24" s="1335"/>
      <c r="V24" s="1335"/>
      <c r="W24" s="1335"/>
      <c r="X24" s="1335"/>
      <c r="Y24" s="1335"/>
      <c r="Z24" s="1335"/>
      <c r="AA24" s="1335"/>
      <c r="AB24" s="1335"/>
      <c r="AC24" s="1336"/>
      <c r="AD24" s="338"/>
      <c r="AE24" s="338"/>
      <c r="AF24" s="338"/>
      <c r="AG24" s="338"/>
      <c r="AH24" s="337" t="s">
        <v>335</v>
      </c>
      <c r="AI24" s="399"/>
    </row>
    <row r="25" spans="1:38" ht="17.850000000000001" customHeight="1" x14ac:dyDescent="0.25">
      <c r="B25" s="406" t="s">
        <v>354</v>
      </c>
      <c r="C25" s="49"/>
      <c r="D25" s="417"/>
      <c r="E25" s="407"/>
      <c r="F25" s="407"/>
      <c r="G25" s="407"/>
      <c r="H25" s="404"/>
      <c r="I25" s="404"/>
      <c r="J25" s="363">
        <f>SUM(J26:J28)</f>
        <v>692.8</v>
      </c>
      <c r="K25" s="363">
        <f t="shared" ref="K25:P25" si="18">SUM(K26:K28)</f>
        <v>39.200000000000003</v>
      </c>
      <c r="L25" s="363">
        <f t="shared" si="18"/>
        <v>29</v>
      </c>
      <c r="M25" s="363">
        <f t="shared" si="18"/>
        <v>27</v>
      </c>
      <c r="N25" s="363">
        <f t="shared" si="18"/>
        <v>18</v>
      </c>
      <c r="O25" s="363">
        <f t="shared" si="18"/>
        <v>0</v>
      </c>
      <c r="P25" s="305">
        <f t="shared" si="18"/>
        <v>0</v>
      </c>
      <c r="Q25" s="363"/>
      <c r="R25" s="363"/>
      <c r="S25" s="363"/>
      <c r="T25" s="402"/>
      <c r="U25" s="402"/>
      <c r="V25" s="402"/>
      <c r="W25" s="402"/>
      <c r="X25" s="402"/>
      <c r="Y25" s="402"/>
      <c r="Z25" s="402"/>
      <c r="AA25" s="402"/>
      <c r="AB25" s="402"/>
      <c r="AC25" s="335"/>
      <c r="AD25" s="317"/>
      <c r="AE25" s="317"/>
      <c r="AF25" s="317"/>
      <c r="AG25" s="317"/>
      <c r="AH25" s="346">
        <f t="shared" ref="AH25:AH39" si="19">SUM(I25:Y25)/4</f>
        <v>201.5</v>
      </c>
      <c r="AI25" s="1331" t="s">
        <v>355</v>
      </c>
      <c r="AJ25" s="1332"/>
    </row>
    <row r="26" spans="1:38" x14ac:dyDescent="0.25">
      <c r="B26" s="368" t="s">
        <v>149</v>
      </c>
      <c r="C26" s="49"/>
      <c r="D26" s="349"/>
      <c r="E26" s="49"/>
      <c r="F26" s="49"/>
      <c r="G26" s="49"/>
      <c r="H26" s="50"/>
      <c r="I26" s="50"/>
      <c r="J26" s="310">
        <f>C46*4</f>
        <v>600</v>
      </c>
      <c r="K26" s="310"/>
      <c r="L26" s="310"/>
      <c r="M26" s="310"/>
      <c r="N26" s="310"/>
      <c r="O26" s="310"/>
      <c r="P26" s="217"/>
      <c r="Q26" s="310"/>
      <c r="R26" s="310"/>
      <c r="S26" s="310"/>
      <c r="T26" s="317"/>
      <c r="U26" s="317"/>
      <c r="V26" s="317"/>
      <c r="W26" s="317"/>
      <c r="X26" s="317"/>
      <c r="Y26" s="317"/>
      <c r="Z26" s="317"/>
      <c r="AA26" s="317"/>
      <c r="AB26" s="317"/>
      <c r="AC26" s="317"/>
      <c r="AD26" s="317"/>
      <c r="AE26" s="317"/>
      <c r="AF26" s="317"/>
      <c r="AG26" s="317"/>
      <c r="AH26" s="346">
        <f t="shared" si="19"/>
        <v>150</v>
      </c>
      <c r="AI26" s="310"/>
    </row>
    <row r="27" spans="1:38" ht="15" customHeight="1" x14ac:dyDescent="0.25">
      <c r="B27" s="368" t="s">
        <v>150</v>
      </c>
      <c r="C27" s="49"/>
      <c r="D27" s="349"/>
      <c r="E27" s="49"/>
      <c r="F27" s="49"/>
      <c r="G27" s="49"/>
      <c r="H27" s="50"/>
      <c r="I27" s="50"/>
      <c r="J27" s="310">
        <v>28.4</v>
      </c>
      <c r="K27" s="310">
        <v>15.8</v>
      </c>
      <c r="L27" s="310">
        <v>15.2</v>
      </c>
      <c r="M27" s="310">
        <v>10.9</v>
      </c>
      <c r="N27" s="310">
        <v>18</v>
      </c>
      <c r="O27" s="310"/>
      <c r="P27" s="217"/>
      <c r="Q27" s="310"/>
      <c r="R27" s="310"/>
      <c r="S27" s="310">
        <v>20</v>
      </c>
      <c r="T27" s="364">
        <v>10</v>
      </c>
      <c r="U27" s="317"/>
      <c r="V27" s="317"/>
      <c r="W27" s="317"/>
      <c r="X27" s="317"/>
      <c r="Y27" s="317"/>
      <c r="Z27" s="317"/>
      <c r="AA27" s="317"/>
      <c r="AB27" s="317"/>
      <c r="AC27" s="317"/>
      <c r="AD27" s="317"/>
      <c r="AE27" s="317"/>
      <c r="AF27" s="317"/>
      <c r="AG27" s="317"/>
      <c r="AH27" s="346">
        <f t="shared" si="19"/>
        <v>29.575000000000003</v>
      </c>
      <c r="AI27" s="310"/>
    </row>
    <row r="28" spans="1:38" x14ac:dyDescent="0.25">
      <c r="B28" s="368" t="s">
        <v>152</v>
      </c>
      <c r="C28" s="49"/>
      <c r="D28" s="349"/>
      <c r="E28" s="49"/>
      <c r="F28" s="49"/>
      <c r="G28" s="49"/>
      <c r="H28" s="50"/>
      <c r="I28" s="50"/>
      <c r="J28" s="220">
        <v>64.400000000000006</v>
      </c>
      <c r="K28" s="220">
        <v>23.4</v>
      </c>
      <c r="L28" s="220">
        <v>13.8</v>
      </c>
      <c r="M28" s="220">
        <v>16.100000000000001</v>
      </c>
      <c r="N28" s="310"/>
      <c r="O28" s="310"/>
      <c r="P28" s="217"/>
      <c r="Q28" s="310"/>
      <c r="R28" s="310"/>
      <c r="S28" s="310"/>
      <c r="T28" s="317"/>
      <c r="U28" s="317"/>
      <c r="V28" s="317"/>
      <c r="W28" s="317"/>
      <c r="X28" s="317"/>
      <c r="Y28" s="317"/>
      <c r="Z28" s="317"/>
      <c r="AA28" s="317"/>
      <c r="AB28" s="317"/>
      <c r="AC28" s="317"/>
      <c r="AD28" s="317"/>
      <c r="AE28" s="317"/>
      <c r="AF28" s="317"/>
      <c r="AG28" s="317"/>
      <c r="AH28" s="346">
        <f t="shared" si="19"/>
        <v>29.425000000000004</v>
      </c>
      <c r="AI28" s="310"/>
    </row>
    <row r="29" spans="1:38" ht="16.5" customHeight="1" x14ac:dyDescent="0.25">
      <c r="B29" s="406" t="s">
        <v>356</v>
      </c>
      <c r="C29" s="49"/>
      <c r="D29" s="349"/>
      <c r="E29" s="49"/>
      <c r="F29" s="49"/>
      <c r="G29" s="49"/>
      <c r="H29" s="50"/>
      <c r="I29" s="50"/>
      <c r="J29" s="50"/>
      <c r="K29" s="50"/>
      <c r="L29" s="50"/>
      <c r="M29" s="310">
        <f>SUM(M30:M34)</f>
        <v>43</v>
      </c>
      <c r="N29" s="310">
        <f t="shared" ref="N29:AD29" si="20">SUM(N30:N34)</f>
        <v>70</v>
      </c>
      <c r="O29" s="310">
        <f t="shared" si="20"/>
        <v>59.999999999999964</v>
      </c>
      <c r="P29" s="217">
        <f t="shared" si="20"/>
        <v>50</v>
      </c>
      <c r="Q29" s="310">
        <f t="shared" si="20"/>
        <v>44.999999999999964</v>
      </c>
      <c r="R29" s="310">
        <f t="shared" si="20"/>
        <v>44.999999999999964</v>
      </c>
      <c r="S29" s="310">
        <f t="shared" si="20"/>
        <v>44.999999999999964</v>
      </c>
      <c r="T29" s="317">
        <f t="shared" si="20"/>
        <v>44.999999999999964</v>
      </c>
      <c r="U29" s="317">
        <f t="shared" si="20"/>
        <v>44.999999999999964</v>
      </c>
      <c r="V29" s="317">
        <f t="shared" si="20"/>
        <v>44.999999999999964</v>
      </c>
      <c r="W29" s="317">
        <f t="shared" si="20"/>
        <v>44.999999999999964</v>
      </c>
      <c r="X29" s="317">
        <f>SUM(X30:X34)</f>
        <v>44.999999999999964</v>
      </c>
      <c r="Y29" s="317">
        <f t="shared" si="20"/>
        <v>19</v>
      </c>
      <c r="Z29" s="317">
        <f t="shared" si="20"/>
        <v>0</v>
      </c>
      <c r="AA29" s="317">
        <f t="shared" si="20"/>
        <v>0</v>
      </c>
      <c r="AB29" s="317">
        <f t="shared" si="20"/>
        <v>0</v>
      </c>
      <c r="AC29" s="317">
        <f t="shared" si="20"/>
        <v>0</v>
      </c>
      <c r="AD29" s="317">
        <f t="shared" si="20"/>
        <v>0</v>
      </c>
      <c r="AE29" s="317"/>
      <c r="AF29" s="317"/>
      <c r="AG29" s="317"/>
      <c r="AH29" s="346">
        <f t="shared" si="19"/>
        <v>150.49999999999991</v>
      </c>
      <c r="AI29" s="1331" t="s">
        <v>357</v>
      </c>
      <c r="AJ29" s="1332"/>
    </row>
    <row r="30" spans="1:38" x14ac:dyDescent="0.25">
      <c r="B30" s="368" t="s">
        <v>343</v>
      </c>
      <c r="C30" s="49"/>
      <c r="D30" s="349"/>
      <c r="E30" s="49"/>
      <c r="F30" s="49"/>
      <c r="G30" s="49"/>
      <c r="H30" s="50"/>
      <c r="I30" s="50"/>
      <c r="J30" s="50"/>
      <c r="K30" s="50"/>
      <c r="L30" s="50"/>
      <c r="M30" s="310">
        <f>C49/12*4</f>
        <v>9.6666666666666661</v>
      </c>
      <c r="N30" s="310">
        <f>M30</f>
        <v>9.6666666666666661</v>
      </c>
      <c r="O30" s="310">
        <f t="shared" ref="O30:X30" si="21">N30</f>
        <v>9.6666666666666661</v>
      </c>
      <c r="P30" s="217">
        <f t="shared" si="21"/>
        <v>9.6666666666666661</v>
      </c>
      <c r="Q30" s="310">
        <f t="shared" si="21"/>
        <v>9.6666666666666661</v>
      </c>
      <c r="R30" s="310">
        <f t="shared" si="21"/>
        <v>9.6666666666666661</v>
      </c>
      <c r="S30" s="310">
        <f t="shared" si="21"/>
        <v>9.6666666666666661</v>
      </c>
      <c r="T30" s="317">
        <f t="shared" si="21"/>
        <v>9.6666666666666661</v>
      </c>
      <c r="U30" s="317">
        <f t="shared" si="21"/>
        <v>9.6666666666666661</v>
      </c>
      <c r="V30" s="317">
        <f t="shared" si="21"/>
        <v>9.6666666666666661</v>
      </c>
      <c r="W30" s="317">
        <f t="shared" si="21"/>
        <v>9.6666666666666661</v>
      </c>
      <c r="X30" s="317">
        <f t="shared" si="21"/>
        <v>9.6666666666666661</v>
      </c>
      <c r="Y30" s="324"/>
      <c r="Z30" s="324"/>
      <c r="AA30" s="324"/>
      <c r="AB30" s="324"/>
      <c r="AC30" s="324"/>
      <c r="AD30" s="324"/>
      <c r="AE30" s="324"/>
      <c r="AF30" s="324"/>
      <c r="AG30" s="324"/>
      <c r="AH30" s="346">
        <f t="shared" si="19"/>
        <v>29.000000000000004</v>
      </c>
      <c r="AI30" s="1331"/>
      <c r="AJ30" s="1332"/>
    </row>
    <row r="31" spans="1:38" ht="41.85" customHeight="1" x14ac:dyDescent="0.25">
      <c r="B31" s="368" t="s">
        <v>150</v>
      </c>
      <c r="C31" s="49"/>
      <c r="D31" s="349"/>
      <c r="E31" s="49"/>
      <c r="F31" s="49"/>
      <c r="G31" s="49"/>
      <c r="H31" s="50"/>
      <c r="I31" s="50"/>
      <c r="J31" s="50"/>
      <c r="K31" s="50"/>
      <c r="L31" s="50"/>
      <c r="M31" s="391">
        <f>C60/12*4 - 7</f>
        <v>20.333333333333332</v>
      </c>
      <c r="N31" s="391">
        <f>C60/12*4 + 20</f>
        <v>47.333333333333329</v>
      </c>
      <c r="O31" s="391">
        <v>37.3333333333333</v>
      </c>
      <c r="P31" s="306">
        <v>27.333333333333332</v>
      </c>
      <c r="Q31" s="391">
        <v>22.3333333333333</v>
      </c>
      <c r="R31" s="391">
        <v>22.3333333333333</v>
      </c>
      <c r="S31" s="391">
        <v>22.3333333333333</v>
      </c>
      <c r="T31" s="336">
        <v>22.3333333333333</v>
      </c>
      <c r="U31" s="336">
        <v>22.3333333333333</v>
      </c>
      <c r="V31" s="336">
        <v>22.3333333333333</v>
      </c>
      <c r="W31" s="336">
        <v>22.3333333333333</v>
      </c>
      <c r="X31" s="336">
        <v>22.3333333333333</v>
      </c>
      <c r="Y31" s="336">
        <v>19</v>
      </c>
      <c r="Z31" s="336"/>
      <c r="AA31" s="336"/>
      <c r="AB31" s="336"/>
      <c r="AC31" s="336"/>
      <c r="AD31" s="336"/>
      <c r="AE31" s="336"/>
      <c r="AF31" s="336"/>
      <c r="AG31" s="336"/>
      <c r="AH31" s="346">
        <f t="shared" si="19"/>
        <v>82.499999999999943</v>
      </c>
      <c r="AI31" s="413" t="s">
        <v>358</v>
      </c>
    </row>
    <row r="32" spans="1:38" x14ac:dyDescent="0.25">
      <c r="B32" s="368" t="s">
        <v>152</v>
      </c>
      <c r="C32" s="49"/>
      <c r="D32" s="349"/>
      <c r="E32" s="49"/>
      <c r="F32" s="49"/>
      <c r="G32" s="49"/>
      <c r="H32" s="50"/>
      <c r="I32" s="50"/>
      <c r="J32" s="50"/>
      <c r="K32" s="50"/>
      <c r="L32" s="50"/>
      <c r="M32" s="310">
        <f>C61/12*4</f>
        <v>1</v>
      </c>
      <c r="N32" s="310">
        <f>C61/12*4</f>
        <v>1</v>
      </c>
      <c r="O32" s="310">
        <f t="shared" ref="O32:X32" si="22">$C$61/12*4</f>
        <v>1</v>
      </c>
      <c r="P32" s="217">
        <f t="shared" si="22"/>
        <v>1</v>
      </c>
      <c r="Q32" s="310">
        <f t="shared" si="22"/>
        <v>1</v>
      </c>
      <c r="R32" s="310">
        <f t="shared" si="22"/>
        <v>1</v>
      </c>
      <c r="S32" s="310">
        <f t="shared" si="22"/>
        <v>1</v>
      </c>
      <c r="T32" s="317">
        <f t="shared" si="22"/>
        <v>1</v>
      </c>
      <c r="U32" s="317">
        <f t="shared" si="22"/>
        <v>1</v>
      </c>
      <c r="V32" s="317">
        <f t="shared" si="22"/>
        <v>1</v>
      </c>
      <c r="W32" s="317">
        <f t="shared" si="22"/>
        <v>1</v>
      </c>
      <c r="X32" s="317">
        <f t="shared" si="22"/>
        <v>1</v>
      </c>
      <c r="Y32" s="324"/>
      <c r="Z32" s="324"/>
      <c r="AA32" s="324"/>
      <c r="AB32" s="324"/>
      <c r="AC32" s="324"/>
      <c r="AD32" s="324"/>
      <c r="AE32" s="324"/>
      <c r="AF32" s="324"/>
      <c r="AG32" s="324"/>
      <c r="AH32" s="346">
        <f t="shared" si="19"/>
        <v>3</v>
      </c>
      <c r="AI32" s="50"/>
    </row>
    <row r="33" spans="1:92" ht="13.35" customHeight="1" x14ac:dyDescent="0.25">
      <c r="B33" s="368" t="s">
        <v>359</v>
      </c>
      <c r="C33" s="49"/>
      <c r="D33" s="349"/>
      <c r="E33" s="49"/>
      <c r="F33" s="49"/>
      <c r="G33" s="49"/>
      <c r="H33" s="50"/>
      <c r="I33" s="50"/>
      <c r="J33" s="50"/>
      <c r="K33" s="50"/>
      <c r="L33" s="50"/>
      <c r="M33" s="310">
        <f t="shared" ref="M33:X33" si="23">$C$62/12*4</f>
        <v>11.333333333333334</v>
      </c>
      <c r="N33" s="310">
        <f t="shared" si="23"/>
        <v>11.333333333333334</v>
      </c>
      <c r="O33" s="310">
        <f t="shared" si="23"/>
        <v>11.333333333333334</v>
      </c>
      <c r="P33" s="217">
        <f t="shared" si="23"/>
        <v>11.333333333333334</v>
      </c>
      <c r="Q33" s="310">
        <f t="shared" si="23"/>
        <v>11.333333333333334</v>
      </c>
      <c r="R33" s="310">
        <f t="shared" si="23"/>
        <v>11.333333333333334</v>
      </c>
      <c r="S33" s="310">
        <f t="shared" si="23"/>
        <v>11.333333333333334</v>
      </c>
      <c r="T33" s="317">
        <f t="shared" si="23"/>
        <v>11.333333333333334</v>
      </c>
      <c r="U33" s="317">
        <f t="shared" si="23"/>
        <v>11.333333333333334</v>
      </c>
      <c r="V33" s="317">
        <f t="shared" si="23"/>
        <v>11.333333333333334</v>
      </c>
      <c r="W33" s="317">
        <f t="shared" si="23"/>
        <v>11.333333333333334</v>
      </c>
      <c r="X33" s="317">
        <f t="shared" si="23"/>
        <v>11.333333333333334</v>
      </c>
      <c r="Y33" s="324"/>
      <c r="Z33" s="324"/>
      <c r="AA33" s="324"/>
      <c r="AB33" s="324"/>
      <c r="AC33" s="324"/>
      <c r="AD33" s="324"/>
      <c r="AE33" s="324"/>
      <c r="AF33" s="324"/>
      <c r="AG33" s="324"/>
      <c r="AH33" s="346">
        <f t="shared" si="19"/>
        <v>33.999999999999993</v>
      </c>
      <c r="AI33" s="50"/>
    </row>
    <row r="34" spans="1:92" ht="29.25" customHeight="1" x14ac:dyDescent="0.25">
      <c r="B34" s="368" t="s">
        <v>360</v>
      </c>
      <c r="C34" s="49"/>
      <c r="D34" s="349"/>
      <c r="E34" s="49"/>
      <c r="F34" s="49"/>
      <c r="G34" s="49"/>
      <c r="H34" s="50"/>
      <c r="I34" s="50"/>
      <c r="J34" s="50"/>
      <c r="K34" s="50"/>
      <c r="L34" s="50"/>
      <c r="M34" s="310">
        <f t="shared" ref="M34:X34" si="24">$C$63/12*4</f>
        <v>0.66666666666666663</v>
      </c>
      <c r="N34" s="310">
        <f t="shared" si="24"/>
        <v>0.66666666666666663</v>
      </c>
      <c r="O34" s="310">
        <f t="shared" si="24"/>
        <v>0.66666666666666663</v>
      </c>
      <c r="P34" s="217">
        <f t="shared" si="24"/>
        <v>0.66666666666666663</v>
      </c>
      <c r="Q34" s="310">
        <f t="shared" si="24"/>
        <v>0.66666666666666663</v>
      </c>
      <c r="R34" s="310">
        <f t="shared" si="24"/>
        <v>0.66666666666666663</v>
      </c>
      <c r="S34" s="310">
        <f t="shared" si="24"/>
        <v>0.66666666666666663</v>
      </c>
      <c r="T34" s="317">
        <f t="shared" si="24"/>
        <v>0.66666666666666663</v>
      </c>
      <c r="U34" s="317">
        <f t="shared" si="24"/>
        <v>0.66666666666666663</v>
      </c>
      <c r="V34" s="317">
        <f t="shared" si="24"/>
        <v>0.66666666666666663</v>
      </c>
      <c r="W34" s="317">
        <f t="shared" si="24"/>
        <v>0.66666666666666663</v>
      </c>
      <c r="X34" s="317">
        <f t="shared" si="24"/>
        <v>0.66666666666666663</v>
      </c>
      <c r="Y34" s="324"/>
      <c r="Z34" s="324"/>
      <c r="AA34" s="324"/>
      <c r="AB34" s="324"/>
      <c r="AC34" s="324"/>
      <c r="AD34" s="324"/>
      <c r="AE34" s="324"/>
      <c r="AF34" s="324"/>
      <c r="AG34" s="324"/>
      <c r="AH34" s="346">
        <f t="shared" si="19"/>
        <v>2</v>
      </c>
      <c r="AI34" s="50"/>
    </row>
    <row r="35" spans="1:92" ht="44.25" customHeight="1" x14ac:dyDescent="0.25">
      <c r="B35" s="406" t="s">
        <v>361</v>
      </c>
      <c r="C35" s="49"/>
      <c r="D35" s="349"/>
      <c r="E35" s="49"/>
      <c r="F35" s="49"/>
      <c r="G35" s="49"/>
      <c r="H35" s="50"/>
      <c r="I35" s="50"/>
      <c r="J35" s="50"/>
      <c r="K35" s="50"/>
      <c r="L35" s="50"/>
      <c r="M35" s="310"/>
      <c r="N35" s="310">
        <f t="shared" ref="N35:AD35" si="25">SUM(N36:N40)</f>
        <v>954.03959999999972</v>
      </c>
      <c r="O35" s="310">
        <f t="shared" si="25"/>
        <v>85.500399999999999</v>
      </c>
      <c r="P35" s="217">
        <f t="shared" si="25"/>
        <v>83.481000000000009</v>
      </c>
      <c r="Q35" s="310">
        <f t="shared" si="25"/>
        <v>662.76099999999997</v>
      </c>
      <c r="R35" s="310">
        <f t="shared" si="25"/>
        <v>83.481000000000009</v>
      </c>
      <c r="S35" s="310">
        <f t="shared" si="25"/>
        <v>83.481000000000009</v>
      </c>
      <c r="T35" s="317">
        <f t="shared" si="25"/>
        <v>62.811999999999998</v>
      </c>
      <c r="U35" s="317">
        <f t="shared" si="25"/>
        <v>62.811999999999998</v>
      </c>
      <c r="V35" s="317">
        <f t="shared" si="25"/>
        <v>62.811999999999998</v>
      </c>
      <c r="W35" s="317">
        <f t="shared" si="25"/>
        <v>62.811999999999998</v>
      </c>
      <c r="X35" s="317">
        <f t="shared" si="25"/>
        <v>41.554000000000002</v>
      </c>
      <c r="Y35" s="317">
        <f t="shared" si="25"/>
        <v>41.554000000000002</v>
      </c>
      <c r="Z35" s="317">
        <f t="shared" si="25"/>
        <v>41.554000000000002</v>
      </c>
      <c r="AA35" s="317">
        <f t="shared" si="25"/>
        <v>41.554000000000002</v>
      </c>
      <c r="AB35" s="317">
        <f t="shared" si="25"/>
        <v>27.678000000000001</v>
      </c>
      <c r="AC35" s="317">
        <f t="shared" si="25"/>
        <v>27.678000000000001</v>
      </c>
      <c r="AD35" s="317">
        <f t="shared" si="25"/>
        <v>27.678000000000001</v>
      </c>
      <c r="AE35" s="317"/>
      <c r="AF35" s="317"/>
      <c r="AG35" s="317"/>
      <c r="AH35" s="346">
        <f t="shared" si="19"/>
        <v>571.77499999999986</v>
      </c>
      <c r="AI35" s="1331" t="s">
        <v>362</v>
      </c>
      <c r="AJ35" s="1332"/>
    </row>
    <row r="36" spans="1:92" ht="17.850000000000001" customHeight="1" x14ac:dyDescent="0.25">
      <c r="B36" s="368" t="s">
        <v>348</v>
      </c>
      <c r="C36" s="49"/>
      <c r="D36" s="349"/>
      <c r="E36" s="49"/>
      <c r="F36" s="49"/>
      <c r="G36" s="49"/>
      <c r="H36" s="50"/>
      <c r="I36" s="50"/>
      <c r="J36" s="50"/>
      <c r="K36" s="50"/>
      <c r="L36" s="50"/>
      <c r="M36" s="310"/>
      <c r="N36" s="310">
        <f>0.6*C65*4</f>
        <v>868.91999999999985</v>
      </c>
      <c r="O36" s="310"/>
      <c r="P36" s="217"/>
      <c r="Q36" s="310">
        <f>0.4*C65*4</f>
        <v>579.28</v>
      </c>
      <c r="R36" s="310"/>
      <c r="S36" s="310"/>
      <c r="T36" s="317"/>
      <c r="U36" s="317"/>
      <c r="V36" s="317"/>
      <c r="W36" s="317"/>
      <c r="X36" s="317"/>
      <c r="Y36" s="317"/>
      <c r="Z36" s="317"/>
      <c r="AA36" s="317"/>
      <c r="AB36" s="317"/>
      <c r="AC36" s="317"/>
      <c r="AD36" s="317"/>
      <c r="AE36" s="317"/>
      <c r="AF36" s="317"/>
      <c r="AG36" s="317"/>
      <c r="AH36" s="346">
        <f t="shared" si="19"/>
        <v>362.04999999999995</v>
      </c>
      <c r="AI36" s="387" t="s">
        <v>363</v>
      </c>
      <c r="AJ36" s="387"/>
    </row>
    <row r="37" spans="1:92" x14ac:dyDescent="0.25">
      <c r="B37" s="368" t="s">
        <v>150</v>
      </c>
      <c r="C37" s="49"/>
      <c r="D37" s="349"/>
      <c r="E37" s="49"/>
      <c r="F37" s="49"/>
      <c r="G37" s="49"/>
      <c r="H37" s="50"/>
      <c r="I37" s="50"/>
      <c r="J37" s="50"/>
      <c r="K37" s="50"/>
      <c r="L37" s="50"/>
      <c r="M37" s="310"/>
      <c r="N37" s="310">
        <f>'ARP Quarterly'!D9</f>
        <v>24.693999999999999</v>
      </c>
      <c r="O37" s="310">
        <f>'ARP Quarterly'!E9</f>
        <v>24.693999999999999</v>
      </c>
      <c r="P37" s="217">
        <f>'ARP Quarterly'!F9</f>
        <v>46.79</v>
      </c>
      <c r="Q37" s="310">
        <f>'ARP Quarterly'!G9</f>
        <v>46.79</v>
      </c>
      <c r="R37" s="310">
        <f>'ARP Quarterly'!H9</f>
        <v>46.79</v>
      </c>
      <c r="S37" s="310">
        <f>'ARP Quarterly'!I9</f>
        <v>46.79</v>
      </c>
      <c r="T37" s="317">
        <f>'ARP Quarterly'!J9</f>
        <v>38.595999999999997</v>
      </c>
      <c r="U37" s="317">
        <f>'ARP Quarterly'!K9</f>
        <v>38.595999999999997</v>
      </c>
      <c r="V37" s="317">
        <f>'ARP Quarterly'!L9</f>
        <v>38.595999999999997</v>
      </c>
      <c r="W37" s="317">
        <f>'ARP Quarterly'!M9</f>
        <v>38.595999999999997</v>
      </c>
      <c r="X37" s="317">
        <f>'ARP Quarterly'!N9</f>
        <v>31.911000000000001</v>
      </c>
      <c r="Y37" s="317">
        <f>'ARP Quarterly'!O9</f>
        <v>31.911000000000001</v>
      </c>
      <c r="Z37" s="317">
        <f>'ARP Quarterly'!P9</f>
        <v>31.911000000000001</v>
      </c>
      <c r="AA37" s="317">
        <f>'ARP Quarterly'!Q9</f>
        <v>31.911000000000001</v>
      </c>
      <c r="AB37" s="317">
        <f>'ARP Quarterly'!R9</f>
        <v>23.099</v>
      </c>
      <c r="AC37" s="317">
        <f>'ARP Quarterly'!S9</f>
        <v>23.099</v>
      </c>
      <c r="AD37" s="317">
        <f>'ARP Quarterly'!T9</f>
        <v>23.099</v>
      </c>
      <c r="AE37" s="317"/>
      <c r="AF37" s="317"/>
      <c r="AG37" s="317"/>
      <c r="AH37" s="346">
        <f t="shared" si="19"/>
        <v>113.68849999999999</v>
      </c>
      <c r="AI37" s="310"/>
    </row>
    <row r="38" spans="1:92" x14ac:dyDescent="0.25">
      <c r="B38" s="368" t="s">
        <v>152</v>
      </c>
      <c r="C38" s="49"/>
      <c r="D38" s="349"/>
      <c r="E38" s="49"/>
      <c r="F38" s="49"/>
      <c r="G38" s="49"/>
      <c r="H38" s="50"/>
      <c r="I38" s="50"/>
      <c r="J38" s="50"/>
      <c r="K38" s="50"/>
      <c r="L38" s="50"/>
      <c r="M38" s="310"/>
      <c r="N38" s="310">
        <f>'ARP Quarterly'!D14</f>
        <v>1.1696</v>
      </c>
      <c r="O38" s="310">
        <f>'ARP Quarterly'!E14</f>
        <v>1.5503999999999998</v>
      </c>
      <c r="P38" s="217">
        <f>'ARP Quarterly'!F14</f>
        <v>1.02</v>
      </c>
      <c r="Q38" s="310">
        <f>'ARP Quarterly'!G14</f>
        <v>1.02</v>
      </c>
      <c r="R38" s="310">
        <f>'ARP Quarterly'!H14</f>
        <v>1.02</v>
      </c>
      <c r="S38" s="310">
        <f>'ARP Quarterly'!I14</f>
        <v>1.02</v>
      </c>
      <c r="T38" s="317">
        <f>'ARP Quarterly'!J14</f>
        <v>0</v>
      </c>
      <c r="U38" s="317">
        <f>'ARP Quarterly'!K14</f>
        <v>0</v>
      </c>
      <c r="V38" s="317">
        <f>'ARP Quarterly'!L14</f>
        <v>0</v>
      </c>
      <c r="W38" s="317">
        <f>'ARP Quarterly'!M14</f>
        <v>0</v>
      </c>
      <c r="X38" s="317">
        <f>'ARP Quarterly'!N14</f>
        <v>0</v>
      </c>
      <c r="Y38" s="317">
        <f>'ARP Quarterly'!O14</f>
        <v>0</v>
      </c>
      <c r="Z38" s="317">
        <f>'ARP Quarterly'!P14</f>
        <v>0</v>
      </c>
      <c r="AA38" s="317">
        <f>'ARP Quarterly'!Q14</f>
        <v>0</v>
      </c>
      <c r="AB38" s="317">
        <f>'ARP Quarterly'!R14</f>
        <v>0</v>
      </c>
      <c r="AC38" s="317">
        <f>'ARP Quarterly'!S14</f>
        <v>0</v>
      </c>
      <c r="AD38" s="317">
        <f>'ARP Quarterly'!T14</f>
        <v>0</v>
      </c>
      <c r="AE38" s="317"/>
      <c r="AF38" s="317"/>
      <c r="AG38" s="317"/>
      <c r="AH38" s="346">
        <f t="shared" si="19"/>
        <v>1.6999999999999997</v>
      </c>
      <c r="AI38" s="310"/>
    </row>
    <row r="39" spans="1:92" x14ac:dyDescent="0.25">
      <c r="B39" s="368" t="s">
        <v>364</v>
      </c>
      <c r="C39" s="49"/>
      <c r="D39" s="349"/>
      <c r="E39" s="49"/>
      <c r="F39" s="49"/>
      <c r="G39" s="49"/>
      <c r="H39" s="50"/>
      <c r="I39" s="50"/>
      <c r="J39" s="50"/>
      <c r="K39" s="50"/>
      <c r="L39" s="50"/>
      <c r="M39" s="310"/>
      <c r="N39" s="310">
        <f>'ARP Quarterly'!D10</f>
        <v>59.256</v>
      </c>
      <c r="O39" s="310">
        <f>'ARP Quarterly'!E10</f>
        <v>59.256</v>
      </c>
      <c r="P39" s="217">
        <f>'ARP Quarterly'!F10</f>
        <v>35.671000000000006</v>
      </c>
      <c r="Q39" s="310">
        <f>'ARP Quarterly'!G10</f>
        <v>35.671000000000006</v>
      </c>
      <c r="R39" s="310">
        <f>'ARP Quarterly'!H10</f>
        <v>35.671000000000006</v>
      </c>
      <c r="S39" s="310">
        <f>'ARP Quarterly'!I10</f>
        <v>35.671000000000006</v>
      </c>
      <c r="T39" s="317">
        <f>'ARP Quarterly'!J10</f>
        <v>24.216000000000001</v>
      </c>
      <c r="U39" s="317">
        <f>'ARP Quarterly'!K10</f>
        <v>24.216000000000001</v>
      </c>
      <c r="V39" s="317">
        <f>'ARP Quarterly'!L10</f>
        <v>24.216000000000001</v>
      </c>
      <c r="W39" s="317">
        <f>'ARP Quarterly'!M10</f>
        <v>24.216000000000001</v>
      </c>
      <c r="X39" s="317">
        <f>'ARP Quarterly'!N10</f>
        <v>9.6430000000000007</v>
      </c>
      <c r="Y39" s="317">
        <f>'ARP Quarterly'!O10</f>
        <v>9.6430000000000007</v>
      </c>
      <c r="Z39" s="317">
        <f>'ARP Quarterly'!P10</f>
        <v>9.6430000000000007</v>
      </c>
      <c r="AA39" s="317">
        <f>'ARP Quarterly'!Q10</f>
        <v>9.6430000000000007</v>
      </c>
      <c r="AB39" s="317">
        <f>'ARP Quarterly'!R10</f>
        <v>4.5789999999999997</v>
      </c>
      <c r="AC39" s="317">
        <f>'ARP Quarterly'!S10</f>
        <v>4.5789999999999997</v>
      </c>
      <c r="AD39" s="317">
        <f>'ARP Quarterly'!T10</f>
        <v>4.5789999999999997</v>
      </c>
      <c r="AE39" s="317"/>
      <c r="AF39" s="317"/>
      <c r="AG39" s="317"/>
      <c r="AH39" s="346">
        <f t="shared" si="19"/>
        <v>94.336500000000001</v>
      </c>
      <c r="AI39" s="310"/>
    </row>
    <row r="40" spans="1:92" x14ac:dyDescent="0.25">
      <c r="A40" s="4"/>
      <c r="B40" s="382"/>
      <c r="C40" s="379"/>
      <c r="D40" s="377"/>
      <c r="E40" s="379"/>
      <c r="F40" s="379"/>
      <c r="G40" s="379"/>
      <c r="H40" s="384"/>
      <c r="I40" s="384"/>
      <c r="J40" s="384"/>
      <c r="K40" s="384"/>
      <c r="L40" s="384"/>
      <c r="M40" s="311"/>
      <c r="N40" s="311"/>
      <c r="O40" s="311"/>
      <c r="P40" s="307"/>
      <c r="Q40" s="311"/>
      <c r="R40" s="311"/>
      <c r="S40" s="311"/>
      <c r="T40" s="388"/>
      <c r="U40" s="388"/>
      <c r="V40" s="388"/>
      <c r="W40" s="388"/>
      <c r="X40" s="388"/>
      <c r="Y40" s="388"/>
      <c r="Z40" s="388"/>
      <c r="AA40" s="388"/>
      <c r="AB40" s="388"/>
      <c r="AC40" s="388"/>
      <c r="AD40" s="317"/>
      <c r="AE40" s="317"/>
      <c r="AF40" s="317"/>
      <c r="AG40" s="317"/>
      <c r="AH40" s="400"/>
      <c r="AI40" s="310"/>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row>
    <row r="41" spans="1:92" x14ac:dyDescent="0.25">
      <c r="B41" s="332"/>
      <c r="C41" s="49"/>
      <c r="D41" s="49"/>
      <c r="E41" s="49"/>
      <c r="F41" s="49"/>
      <c r="G41" s="49"/>
      <c r="H41" s="49"/>
      <c r="I41" s="49"/>
      <c r="J41" s="49"/>
      <c r="K41" s="49"/>
      <c r="L41" s="49"/>
      <c r="M41" s="49"/>
      <c r="N41" s="49"/>
      <c r="O41" s="49"/>
      <c r="P41" s="370"/>
      <c r="Q41" s="49"/>
      <c r="R41" s="49"/>
      <c r="S41" s="49"/>
      <c r="T41" s="49"/>
      <c r="U41" s="49"/>
      <c r="V41" s="49"/>
      <c r="W41" s="49"/>
      <c r="X41" s="49"/>
      <c r="Y41" s="49"/>
      <c r="Z41" s="49"/>
      <c r="AA41" s="49"/>
      <c r="AB41" s="49"/>
      <c r="AC41" s="49"/>
      <c r="AD41" s="49"/>
      <c r="AE41" s="49"/>
      <c r="AF41" s="49"/>
      <c r="AG41" s="49"/>
      <c r="AH41" s="49"/>
      <c r="AI41" s="49"/>
    </row>
    <row r="42" spans="1:92" x14ac:dyDescent="0.25">
      <c r="B42" s="332"/>
      <c r="C42" s="49"/>
      <c r="D42" s="49"/>
      <c r="E42" s="49"/>
      <c r="F42" s="49"/>
      <c r="G42" s="49"/>
      <c r="H42" s="49"/>
      <c r="I42" s="49"/>
      <c r="J42" s="49"/>
      <c r="K42" s="49"/>
      <c r="L42" s="49"/>
      <c r="M42" s="49"/>
      <c r="N42" s="49"/>
      <c r="O42" s="49"/>
      <c r="P42" s="370"/>
      <c r="Q42" s="49"/>
      <c r="R42" s="49"/>
      <c r="S42" s="49"/>
      <c r="T42" s="49"/>
      <c r="U42" s="49"/>
      <c r="V42" s="49"/>
      <c r="W42" s="49"/>
      <c r="X42" s="49"/>
      <c r="Y42" s="49"/>
      <c r="Z42" s="49"/>
      <c r="AA42" s="49"/>
      <c r="AB42" s="49"/>
      <c r="AC42" s="49"/>
      <c r="AD42" s="49"/>
      <c r="AE42" s="49"/>
      <c r="AF42" s="49"/>
      <c r="AG42" s="49"/>
      <c r="AH42" s="49"/>
      <c r="AI42" s="49"/>
    </row>
    <row r="43" spans="1:92" ht="17.850000000000001" customHeight="1" x14ac:dyDescent="0.25">
      <c r="B43" s="389" t="s">
        <v>365</v>
      </c>
      <c r="H43" s="50"/>
      <c r="I43" s="50"/>
      <c r="J43" s="50"/>
      <c r="K43" s="50"/>
      <c r="L43" s="50"/>
      <c r="M43" s="50"/>
      <c r="N43" s="50"/>
      <c r="O43" s="50"/>
      <c r="P43" s="221"/>
      <c r="Q43" s="50"/>
      <c r="R43" s="50"/>
      <c r="S43" s="50"/>
      <c r="T43" s="50"/>
      <c r="U43" s="50"/>
      <c r="V43" s="50"/>
      <c r="W43" s="50"/>
      <c r="X43" s="50"/>
      <c r="Y43" s="50"/>
      <c r="Z43" s="50"/>
      <c r="AA43" s="50"/>
      <c r="AB43" s="50"/>
      <c r="AC43" s="50"/>
      <c r="AD43" s="50"/>
      <c r="AE43" s="50"/>
      <c r="AF43" s="50"/>
      <c r="AG43" s="50"/>
      <c r="AH43" s="50"/>
      <c r="AI43" s="50"/>
    </row>
    <row r="44" spans="1:92" ht="29.85" customHeight="1" x14ac:dyDescent="0.25">
      <c r="B44" s="410" t="s">
        <v>366</v>
      </c>
      <c r="C44" s="411" t="s">
        <v>367</v>
      </c>
      <c r="D44" s="412" t="s">
        <v>368</v>
      </c>
      <c r="E44" s="395" t="s">
        <v>369</v>
      </c>
      <c r="F44" s="50"/>
      <c r="G44" s="50"/>
      <c r="H44" s="50"/>
      <c r="I44" s="50"/>
      <c r="J44" s="50"/>
      <c r="K44" s="50"/>
      <c r="L44" s="50"/>
      <c r="M44" s="50"/>
      <c r="N44" s="50"/>
      <c r="O44" s="50"/>
      <c r="P44" s="221"/>
      <c r="Q44" s="50"/>
      <c r="R44" s="50"/>
      <c r="S44" s="50"/>
      <c r="T44" s="50"/>
      <c r="U44" s="50"/>
      <c r="V44" s="50"/>
      <c r="W44" s="50"/>
    </row>
    <row r="45" spans="1:92" ht="18.75" customHeight="1" x14ac:dyDescent="0.25">
      <c r="B45" s="416" t="s">
        <v>370</v>
      </c>
      <c r="C45" s="385">
        <f>SUM(C46:C51)</f>
        <v>898.11599999999999</v>
      </c>
      <c r="D45" s="50">
        <f>SUM(D46:D50)</f>
        <v>202.36666666666667</v>
      </c>
      <c r="E45" s="354">
        <f>SUM(E46:E50)</f>
        <v>650.35233333333326</v>
      </c>
      <c r="F45" s="50"/>
      <c r="G45" s="50"/>
      <c r="H45" s="50"/>
      <c r="I45" s="50"/>
      <c r="J45" s="50"/>
      <c r="K45" s="50"/>
      <c r="L45" s="50"/>
      <c r="M45" s="50"/>
      <c r="N45" s="50"/>
      <c r="O45" s="50"/>
      <c r="P45" s="221"/>
      <c r="Q45" s="50"/>
      <c r="R45" s="50"/>
      <c r="S45" s="50"/>
      <c r="T45" s="50"/>
      <c r="U45" s="50"/>
      <c r="V45" s="50"/>
      <c r="W45" s="50"/>
    </row>
    <row r="46" spans="1:92" x14ac:dyDescent="0.25">
      <c r="B46" s="415" t="s">
        <v>149</v>
      </c>
      <c r="C46" s="385">
        <f>C55</f>
        <v>150</v>
      </c>
      <c r="D46" s="50">
        <f>SUM(H12:M12)/4</f>
        <v>149.47499999999999</v>
      </c>
      <c r="E46" s="346">
        <f>C46-D46</f>
        <v>0.52500000000000568</v>
      </c>
      <c r="F46" s="50"/>
      <c r="G46" s="50"/>
      <c r="H46" s="50"/>
      <c r="I46" s="375"/>
      <c r="J46" s="375"/>
      <c r="K46" s="375"/>
      <c r="L46" s="375"/>
      <c r="M46" s="375"/>
      <c r="N46" s="375"/>
      <c r="O46" s="375"/>
      <c r="P46" s="425"/>
      <c r="Q46" s="50"/>
      <c r="R46" s="50"/>
      <c r="S46" s="50"/>
      <c r="T46" s="50"/>
      <c r="U46" s="50"/>
      <c r="V46" s="50"/>
      <c r="W46" s="50"/>
    </row>
    <row r="47" spans="1:92" x14ac:dyDescent="0.25">
      <c r="B47" s="415" t="s">
        <v>150</v>
      </c>
      <c r="C47" s="418">
        <f>C56+C60+C66</f>
        <v>273.16899999999998</v>
      </c>
      <c r="D47" s="50">
        <f>SUM(H13:M13)/4</f>
        <v>22.075000000000003</v>
      </c>
      <c r="E47" s="346">
        <f>C47-D47</f>
        <v>251.09399999999999</v>
      </c>
      <c r="F47" s="50"/>
      <c r="G47" s="50"/>
      <c r="H47" s="50"/>
      <c r="I47" s="375"/>
      <c r="J47" s="375"/>
      <c r="K47" s="375"/>
      <c r="L47" s="375"/>
      <c r="M47" s="375"/>
      <c r="N47" s="375"/>
      <c r="O47" s="375"/>
      <c r="P47" s="425"/>
      <c r="Q47" s="50"/>
      <c r="R47" s="50"/>
      <c r="S47" s="50"/>
      <c r="T47" s="50"/>
      <c r="U47" s="50"/>
      <c r="V47" s="50"/>
      <c r="W47" s="50"/>
    </row>
    <row r="48" spans="1:92" x14ac:dyDescent="0.25">
      <c r="B48" s="415" t="s">
        <v>152</v>
      </c>
      <c r="C48" s="264">
        <f>C57+C67+C61</f>
        <v>38.5</v>
      </c>
      <c r="D48" s="50">
        <f>SUM(H14:M14)/4</f>
        <v>28.400000000000002</v>
      </c>
      <c r="E48" s="346">
        <f>C48-D48</f>
        <v>10.099999999999998</v>
      </c>
      <c r="F48" s="50"/>
      <c r="G48" s="50"/>
      <c r="H48" s="50"/>
      <c r="I48" s="375"/>
      <c r="J48" s="375"/>
      <c r="K48" s="375"/>
      <c r="L48" s="375"/>
      <c r="M48" s="375"/>
      <c r="N48" s="375"/>
      <c r="O48" s="375"/>
      <c r="P48" s="425"/>
      <c r="Q48" s="1337"/>
      <c r="R48" s="1337"/>
      <c r="S48" s="1337"/>
      <c r="T48" s="1337"/>
      <c r="U48" s="1337"/>
      <c r="V48" s="1337"/>
      <c r="W48" s="1337"/>
      <c r="X48" s="1337"/>
      <c r="Y48" s="1337"/>
      <c r="Z48" s="1337"/>
      <c r="AA48" s="1337"/>
      <c r="AB48" s="1337"/>
      <c r="AC48" s="1337"/>
      <c r="AD48" s="1337"/>
      <c r="AE48" s="1337"/>
      <c r="AF48" s="1337"/>
      <c r="AG48" s="1337"/>
      <c r="AH48" s="1337"/>
      <c r="AI48" s="1337"/>
      <c r="AJ48" s="1337"/>
      <c r="AK48" s="1337"/>
      <c r="AL48" s="1337"/>
    </row>
    <row r="49" spans="1:38" ht="17.25" customHeight="1" x14ac:dyDescent="0.25">
      <c r="B49" s="415" t="s">
        <v>371</v>
      </c>
      <c r="C49" s="264">
        <f>C59</f>
        <v>29</v>
      </c>
      <c r="D49" s="50">
        <f>SUM(H15:M15)/4</f>
        <v>2.4166666666666665</v>
      </c>
      <c r="E49" s="346">
        <f>C49-D49</f>
        <v>26.583333333333332</v>
      </c>
      <c r="F49" s="50"/>
      <c r="G49" s="50"/>
      <c r="H49" s="50"/>
      <c r="I49" s="375"/>
      <c r="J49" s="375"/>
      <c r="K49" s="375"/>
      <c r="L49" s="375"/>
      <c r="M49" s="375"/>
      <c r="N49" s="375"/>
      <c r="O49" s="375"/>
      <c r="P49" s="425"/>
      <c r="Q49" s="1338"/>
      <c r="R49" s="1338"/>
      <c r="S49" s="1338"/>
      <c r="T49" s="1338"/>
      <c r="U49" s="1338"/>
      <c r="V49" s="1338"/>
      <c r="W49" s="1338"/>
      <c r="X49" s="1338"/>
      <c r="Y49" s="1338"/>
      <c r="Z49" s="224"/>
      <c r="AA49" s="224"/>
      <c r="AB49" s="224"/>
      <c r="AC49" s="224"/>
      <c r="AD49" s="224"/>
      <c r="AE49" s="224"/>
      <c r="AF49" s="224"/>
      <c r="AG49" s="224"/>
      <c r="AH49" s="1338"/>
      <c r="AI49" s="1338"/>
      <c r="AJ49" s="1338"/>
      <c r="AK49" s="1338"/>
      <c r="AL49" s="224"/>
    </row>
    <row r="50" spans="1:38" ht="15.75" customHeight="1" x14ac:dyDescent="0.25">
      <c r="B50" s="415" t="s">
        <v>348</v>
      </c>
      <c r="C50" s="264">
        <f>C65</f>
        <v>362.04999999999995</v>
      </c>
      <c r="D50" s="50">
        <v>0</v>
      </c>
      <c r="E50" s="346">
        <f>C50-D50</f>
        <v>362.04999999999995</v>
      </c>
      <c r="F50" s="50"/>
      <c r="G50" s="50"/>
      <c r="H50" s="50"/>
      <c r="I50" s="375"/>
      <c r="J50" s="375"/>
      <c r="K50" s="375"/>
      <c r="L50" s="375"/>
      <c r="M50" s="375"/>
      <c r="N50" s="375"/>
      <c r="O50" s="375"/>
      <c r="P50" s="425"/>
      <c r="Q50" s="224"/>
      <c r="R50" s="224"/>
      <c r="S50" s="224"/>
      <c r="T50" s="224"/>
      <c r="U50" s="224"/>
      <c r="V50" s="224"/>
      <c r="W50" s="224"/>
      <c r="X50" s="224"/>
      <c r="Y50" s="224"/>
      <c r="Z50" s="224"/>
      <c r="AA50" s="224"/>
      <c r="AB50" s="224"/>
      <c r="AC50" s="224"/>
      <c r="AD50" s="224"/>
      <c r="AE50" s="224"/>
      <c r="AF50" s="224"/>
      <c r="AG50" s="224"/>
      <c r="AH50" s="224"/>
      <c r="AI50" s="224"/>
      <c r="AJ50" s="224"/>
      <c r="AK50" s="224"/>
      <c r="AL50" s="224"/>
    </row>
    <row r="51" spans="1:38" ht="15" customHeight="1" x14ac:dyDescent="0.25">
      <c r="B51" s="414" t="s">
        <v>372</v>
      </c>
      <c r="C51" s="385">
        <f>C68+C69+C62+C63</f>
        <v>45.396999999999998</v>
      </c>
      <c r="D51" s="50"/>
      <c r="E51" s="346"/>
      <c r="F51" s="50"/>
      <c r="G51" s="50"/>
      <c r="H51" s="50"/>
      <c r="I51" s="375"/>
      <c r="J51" s="375"/>
      <c r="K51" s="375"/>
      <c r="L51" s="375"/>
      <c r="M51" s="375"/>
      <c r="N51" s="375"/>
      <c r="O51" s="375"/>
      <c r="P51" s="425"/>
      <c r="Q51" s="50"/>
      <c r="R51" s="50"/>
      <c r="S51" s="50"/>
      <c r="T51" s="50"/>
      <c r="U51" s="50"/>
      <c r="V51" s="50"/>
      <c r="W51" s="50"/>
    </row>
    <row r="52" spans="1:38" ht="5.25" customHeight="1" x14ac:dyDescent="0.25">
      <c r="B52" s="414"/>
      <c r="C52" s="385"/>
      <c r="D52" s="50"/>
      <c r="E52" s="346"/>
      <c r="F52" s="50"/>
      <c r="G52" s="50"/>
      <c r="H52" s="50"/>
      <c r="I52" s="375"/>
      <c r="J52" s="375"/>
      <c r="K52" s="375"/>
      <c r="L52" s="375"/>
      <c r="M52" s="375"/>
      <c r="N52" s="375"/>
      <c r="O52" s="375"/>
      <c r="P52" s="425"/>
      <c r="Q52" s="50"/>
      <c r="R52" s="50"/>
      <c r="S52" s="50"/>
      <c r="T52" s="50"/>
      <c r="U52" s="50"/>
      <c r="V52" s="50"/>
      <c r="W52" s="50"/>
    </row>
    <row r="53" spans="1:38" ht="18.75" customHeight="1" x14ac:dyDescent="0.25">
      <c r="B53" s="416" t="s">
        <v>373</v>
      </c>
      <c r="C53" s="264">
        <f>C54+C58+C64</f>
        <v>898.11599999999999</v>
      </c>
      <c r="D53" s="50"/>
      <c r="E53" s="346"/>
      <c r="F53" s="50"/>
      <c r="G53" s="50"/>
      <c r="H53" s="50"/>
      <c r="I53" s="375"/>
      <c r="J53" s="375"/>
      <c r="K53" s="375"/>
      <c r="L53" s="375"/>
      <c r="M53" s="375"/>
      <c r="N53" s="375"/>
      <c r="O53" s="375"/>
      <c r="P53" s="425"/>
      <c r="Q53" s="50"/>
      <c r="R53" s="50"/>
      <c r="S53" s="50"/>
      <c r="T53" s="50"/>
      <c r="U53" s="50"/>
      <c r="V53" s="50"/>
      <c r="W53" s="50"/>
    </row>
    <row r="54" spans="1:38" ht="16.350000000000001" customHeight="1" x14ac:dyDescent="0.25">
      <c r="B54" s="406" t="s">
        <v>354</v>
      </c>
      <c r="C54" s="264">
        <f>SUM(C55:C57)</f>
        <v>199</v>
      </c>
      <c r="D54" s="50"/>
      <c r="E54" s="346"/>
      <c r="F54" s="50"/>
      <c r="G54" s="50"/>
      <c r="H54" s="50"/>
      <c r="I54" s="375"/>
      <c r="J54" s="375"/>
      <c r="K54" s="375"/>
      <c r="L54" s="375"/>
      <c r="M54" s="375"/>
      <c r="N54" s="375"/>
      <c r="O54" s="375"/>
      <c r="P54" s="425"/>
      <c r="Q54" s="50"/>
      <c r="R54" s="50"/>
      <c r="S54" s="50"/>
      <c r="T54" s="50"/>
      <c r="U54" s="50"/>
      <c r="V54" s="50"/>
      <c r="W54" s="50"/>
    </row>
    <row r="55" spans="1:38" ht="20.85" customHeight="1" x14ac:dyDescent="0.25">
      <c r="B55" s="368" t="s">
        <v>149</v>
      </c>
      <c r="C55" s="264">
        <v>150</v>
      </c>
      <c r="D55" s="50"/>
      <c r="E55" s="346"/>
      <c r="F55" s="50"/>
      <c r="G55" s="50"/>
      <c r="H55" s="50"/>
      <c r="I55" s="375"/>
      <c r="J55" s="375"/>
      <c r="K55" s="375"/>
      <c r="L55" s="375"/>
      <c r="M55" s="375"/>
      <c r="N55" s="375"/>
      <c r="O55" s="375"/>
      <c r="P55" s="425"/>
      <c r="Q55" s="50"/>
      <c r="R55" s="50"/>
      <c r="S55" s="50"/>
      <c r="T55" s="50"/>
      <c r="U55" s="50"/>
      <c r="V55" s="50"/>
      <c r="W55" s="50"/>
    </row>
    <row r="56" spans="1:38" ht="16.5" customHeight="1" x14ac:dyDescent="0.25">
      <c r="B56" s="368" t="s">
        <v>150</v>
      </c>
      <c r="C56" s="418">
        <v>22</v>
      </c>
      <c r="D56" s="220"/>
      <c r="E56" s="346"/>
      <c r="F56" s="50"/>
      <c r="G56" s="50"/>
      <c r="H56" s="50"/>
      <c r="I56" s="375"/>
      <c r="J56" s="375"/>
      <c r="K56" s="375"/>
      <c r="L56" s="375"/>
      <c r="M56" s="375"/>
      <c r="N56" s="375"/>
      <c r="O56" s="375"/>
      <c r="P56" s="425"/>
      <c r="Q56" s="50"/>
      <c r="R56" s="50"/>
      <c r="S56" s="50"/>
      <c r="T56" s="50"/>
      <c r="U56" s="50"/>
      <c r="V56" s="50"/>
      <c r="W56" s="50"/>
    </row>
    <row r="57" spans="1:38" x14ac:dyDescent="0.25">
      <c r="B57" s="368" t="s">
        <v>152</v>
      </c>
      <c r="C57" s="264">
        <v>27</v>
      </c>
      <c r="D57" s="50"/>
      <c r="E57" s="346"/>
      <c r="F57" s="49"/>
      <c r="G57" s="50"/>
      <c r="H57" s="50"/>
      <c r="I57" s="375"/>
      <c r="J57" s="375"/>
      <c r="K57" s="375"/>
      <c r="L57" s="375"/>
      <c r="M57" s="375"/>
      <c r="N57" s="375"/>
      <c r="P57" s="425"/>
      <c r="Q57" s="50"/>
      <c r="R57" s="50"/>
      <c r="S57" s="50"/>
      <c r="T57" s="50"/>
      <c r="U57" s="50"/>
      <c r="V57" s="50"/>
      <c r="W57" s="50"/>
    </row>
    <row r="58" spans="1:38" ht="15" customHeight="1" x14ac:dyDescent="0.25">
      <c r="B58" s="406" t="s">
        <v>356</v>
      </c>
      <c r="C58" s="264">
        <f>SUM(C59:C63)</f>
        <v>150</v>
      </c>
      <c r="D58" s="50"/>
      <c r="E58" s="346"/>
      <c r="F58" s="50"/>
      <c r="G58" s="50"/>
      <c r="H58" s="50"/>
      <c r="I58" s="50"/>
      <c r="J58" s="50"/>
      <c r="K58" s="50"/>
      <c r="L58" s="50"/>
      <c r="M58" s="50"/>
      <c r="N58" s="50"/>
      <c r="P58" s="221"/>
      <c r="Q58" s="50"/>
      <c r="R58" s="50"/>
      <c r="S58" s="50"/>
      <c r="T58" s="50"/>
      <c r="U58" s="50"/>
      <c r="V58" s="50"/>
      <c r="W58" s="50"/>
    </row>
    <row r="59" spans="1:38" ht="17.25" customHeight="1" x14ac:dyDescent="0.25">
      <c r="B59" s="368" t="s">
        <v>343</v>
      </c>
      <c r="C59" s="264">
        <f>'Response and Relief Act Score'!F7</f>
        <v>29</v>
      </c>
      <c r="D59" s="50"/>
      <c r="E59" s="346"/>
      <c r="F59" s="50"/>
      <c r="G59" s="50"/>
      <c r="H59" s="50"/>
      <c r="I59" s="50"/>
    </row>
    <row r="60" spans="1:38" x14ac:dyDescent="0.25">
      <c r="B60" s="368" t="s">
        <v>150</v>
      </c>
      <c r="C60" s="264">
        <f>'Response and Relief Act Score'!F5</f>
        <v>82</v>
      </c>
      <c r="D60" s="50"/>
      <c r="E60" s="346"/>
      <c r="F60" s="50"/>
      <c r="G60" s="50"/>
      <c r="H60" s="50"/>
      <c r="I60" s="50"/>
      <c r="J60" s="50"/>
      <c r="K60" s="50"/>
      <c r="L60" s="50"/>
      <c r="M60" s="50"/>
      <c r="N60" s="50"/>
      <c r="P60" s="221"/>
      <c r="Q60" s="50"/>
      <c r="R60" s="50"/>
      <c r="S60" s="50"/>
      <c r="T60" s="50"/>
      <c r="U60" s="50"/>
      <c r="V60" s="50"/>
      <c r="W60" s="50"/>
    </row>
    <row r="61" spans="1:38" x14ac:dyDescent="0.25">
      <c r="B61" s="368" t="s">
        <v>152</v>
      </c>
      <c r="C61" s="264">
        <f>'Response and Relief Act Score'!F6</f>
        <v>3</v>
      </c>
      <c r="D61" s="50"/>
      <c r="E61" s="346"/>
      <c r="F61" s="50"/>
      <c r="G61" s="50"/>
      <c r="H61" s="50"/>
      <c r="I61" s="50"/>
      <c r="J61" s="50"/>
      <c r="K61" s="50"/>
      <c r="L61" s="50"/>
      <c r="M61" s="50"/>
      <c r="N61" s="50"/>
      <c r="P61" s="221"/>
      <c r="Q61" s="50"/>
      <c r="R61" s="50"/>
      <c r="S61" s="50"/>
      <c r="T61" s="50"/>
      <c r="U61" s="50"/>
      <c r="V61" s="50"/>
      <c r="W61" s="50"/>
    </row>
    <row r="62" spans="1:38" ht="29.25" customHeight="1" x14ac:dyDescent="0.25">
      <c r="B62" s="368" t="s">
        <v>359</v>
      </c>
      <c r="C62" s="264">
        <f>'Response and Relief Act Score'!F9</f>
        <v>34</v>
      </c>
      <c r="D62" s="50"/>
      <c r="E62" s="346"/>
      <c r="F62" s="50"/>
      <c r="G62" s="50"/>
      <c r="H62" s="50"/>
      <c r="I62" s="390"/>
      <c r="J62" s="50"/>
      <c r="K62" s="50"/>
      <c r="L62" s="50"/>
      <c r="M62" s="50"/>
      <c r="N62" s="50"/>
      <c r="O62" s="375"/>
      <c r="P62" s="221"/>
      <c r="Q62" s="50"/>
      <c r="R62" s="50"/>
      <c r="S62" s="50"/>
      <c r="T62" s="50"/>
      <c r="U62" s="50"/>
      <c r="V62" s="50"/>
      <c r="W62" s="50"/>
    </row>
    <row r="63" spans="1:38" ht="12.75" customHeight="1" x14ac:dyDescent="0.25">
      <c r="B63" s="368" t="s">
        <v>360</v>
      </c>
      <c r="C63" s="264">
        <f>'Response and Relief Act Score'!F8</f>
        <v>2</v>
      </c>
      <c r="D63" s="50"/>
      <c r="E63" s="346"/>
      <c r="F63" s="50"/>
      <c r="G63" s="50"/>
      <c r="H63" s="50"/>
      <c r="I63" s="50"/>
      <c r="J63" s="50"/>
      <c r="K63" s="50"/>
      <c r="L63" s="50"/>
      <c r="M63" s="50"/>
      <c r="N63" s="50"/>
      <c r="O63" s="50"/>
      <c r="P63" s="221"/>
      <c r="Q63" s="50"/>
      <c r="R63" s="50"/>
      <c r="S63" s="50"/>
      <c r="T63" s="50"/>
      <c r="U63" s="50"/>
      <c r="V63" s="50"/>
      <c r="W63" s="50"/>
    </row>
    <row r="64" spans="1:38" x14ac:dyDescent="0.25">
      <c r="A64" s="381"/>
      <c r="B64" s="378" t="s">
        <v>361</v>
      </c>
      <c r="C64" s="385">
        <f>SUM(C65:C69)</f>
        <v>549.11599999999999</v>
      </c>
      <c r="D64" s="50"/>
      <c r="E64" s="346"/>
      <c r="F64" s="50"/>
      <c r="G64" s="50"/>
      <c r="H64" s="50"/>
      <c r="I64" s="50"/>
      <c r="J64" s="50"/>
      <c r="K64" s="50"/>
      <c r="L64" s="50"/>
      <c r="M64" s="50"/>
      <c r="N64" s="50"/>
      <c r="P64" s="221"/>
      <c r="Q64" s="50"/>
      <c r="R64" s="50"/>
      <c r="S64" s="50"/>
      <c r="T64" s="50"/>
      <c r="U64" s="50"/>
      <c r="V64" s="50"/>
      <c r="W64" s="50"/>
    </row>
    <row r="65" spans="1:35" ht="16.350000000000001" customHeight="1" x14ac:dyDescent="0.25">
      <c r="A65" s="381"/>
      <c r="B65" s="380" t="s">
        <v>348</v>
      </c>
      <c r="C65" s="385">
        <f>'ARP Score'!AJ16</f>
        <v>362.04999999999995</v>
      </c>
      <c r="D65" s="50"/>
      <c r="E65" s="346"/>
      <c r="F65" s="50"/>
      <c r="G65" s="50"/>
      <c r="H65" s="50"/>
      <c r="I65" s="50"/>
      <c r="J65" s="50"/>
      <c r="K65" s="50"/>
      <c r="L65" s="50"/>
      <c r="M65" s="50"/>
      <c r="N65" s="50"/>
      <c r="O65" s="50"/>
      <c r="P65" s="221"/>
      <c r="Q65" s="50"/>
      <c r="R65" s="50"/>
      <c r="S65" s="50"/>
      <c r="T65" s="50"/>
      <c r="U65" s="50"/>
      <c r="V65" s="50"/>
      <c r="W65" s="50"/>
    </row>
    <row r="66" spans="1:35" ht="15" customHeight="1" x14ac:dyDescent="0.25">
      <c r="A66" s="1339"/>
      <c r="B66" s="380" t="s">
        <v>150</v>
      </c>
      <c r="C66" s="385">
        <f>'ARP Score'!AL16</f>
        <v>169.16899999999998</v>
      </c>
      <c r="D66" s="50"/>
      <c r="E66" s="346"/>
      <c r="F66" s="50"/>
      <c r="G66" s="50"/>
      <c r="H66" s="50"/>
      <c r="I66" s="50"/>
      <c r="J66" s="50"/>
      <c r="K66" s="50"/>
      <c r="L66" s="50"/>
      <c r="M66" s="50"/>
      <c r="N66" s="50"/>
      <c r="O66" s="50"/>
      <c r="P66" s="221"/>
      <c r="Q66" s="383"/>
      <c r="R66" s="50"/>
      <c r="S66" s="50"/>
      <c r="T66" s="50"/>
      <c r="U66" s="50"/>
      <c r="V66" s="50"/>
      <c r="W66" s="50"/>
    </row>
    <row r="67" spans="1:35" x14ac:dyDescent="0.25">
      <c r="A67" s="1339"/>
      <c r="B67" s="380" t="s">
        <v>152</v>
      </c>
      <c r="C67" s="385">
        <f>'ARP Score'!AK16</f>
        <v>8.5</v>
      </c>
      <c r="D67" s="50"/>
      <c r="E67" s="346"/>
      <c r="F67" s="50"/>
      <c r="G67" s="50"/>
      <c r="H67" s="50"/>
      <c r="I67" s="50"/>
      <c r="J67" s="50"/>
      <c r="K67" s="50"/>
      <c r="L67" s="50"/>
      <c r="M67" s="50"/>
      <c r="N67" s="50"/>
      <c r="O67" s="50"/>
      <c r="P67" s="221"/>
      <c r="Q67" s="50"/>
      <c r="R67" s="50"/>
      <c r="S67" s="50"/>
      <c r="T67" s="50"/>
      <c r="U67" s="50"/>
      <c r="V67" s="50"/>
      <c r="W67" s="50"/>
    </row>
    <row r="68" spans="1:35" ht="17.25" customHeight="1" x14ac:dyDescent="0.25">
      <c r="A68" s="381"/>
      <c r="B68" s="380" t="s">
        <v>364</v>
      </c>
      <c r="C68" s="385">
        <f>'ARP Score'!AM16</f>
        <v>0.79700000000000004</v>
      </c>
      <c r="D68" s="50"/>
      <c r="E68" s="346"/>
      <c r="F68" s="50"/>
      <c r="G68" s="50"/>
      <c r="H68" s="50"/>
      <c r="I68" s="50"/>
      <c r="J68" s="50"/>
      <c r="K68" s="50"/>
      <c r="L68" s="50"/>
      <c r="M68" s="50"/>
      <c r="N68" s="50"/>
      <c r="O68" s="50"/>
      <c r="P68" s="221"/>
      <c r="Q68" s="50"/>
      <c r="R68" s="50"/>
      <c r="S68" s="50"/>
      <c r="T68" s="50"/>
      <c r="U68" s="50"/>
      <c r="V68" s="50"/>
      <c r="W68" s="50"/>
    </row>
    <row r="69" spans="1:35" ht="17.25" customHeight="1" x14ac:dyDescent="0.25">
      <c r="A69" s="381"/>
      <c r="B69" s="382" t="s">
        <v>374</v>
      </c>
      <c r="C69" s="386">
        <f>'ARP Score'!AN16</f>
        <v>8.6</v>
      </c>
      <c r="D69" s="384"/>
      <c r="E69" s="372"/>
      <c r="F69" s="50"/>
      <c r="G69" s="50"/>
      <c r="H69" s="50"/>
      <c r="I69" s="50"/>
      <c r="J69" s="50"/>
      <c r="K69" s="50"/>
      <c r="L69" s="50"/>
      <c r="M69" s="50"/>
      <c r="N69" s="50"/>
      <c r="O69" s="50"/>
      <c r="P69" s="221"/>
      <c r="Q69" s="50"/>
      <c r="R69" s="50"/>
      <c r="S69" s="50"/>
      <c r="T69" s="50"/>
      <c r="U69" s="50"/>
      <c r="V69" s="50"/>
      <c r="W69" s="50"/>
    </row>
    <row r="70" spans="1:35" ht="17.25" customHeight="1" x14ac:dyDescent="0.25">
      <c r="B70" s="380"/>
      <c r="C70" s="69"/>
      <c r="D70" s="69"/>
      <c r="E70" s="69"/>
      <c r="F70" s="69"/>
      <c r="G70" s="69"/>
      <c r="H70" s="50"/>
      <c r="I70" s="50"/>
      <c r="J70" s="50"/>
      <c r="K70" s="50"/>
      <c r="L70" s="50"/>
      <c r="M70" s="50"/>
      <c r="N70" s="50"/>
      <c r="O70" s="50"/>
      <c r="P70" s="221"/>
      <c r="Q70" s="50"/>
      <c r="R70" s="50"/>
      <c r="S70" s="50"/>
      <c r="T70" s="50"/>
      <c r="U70" s="50"/>
      <c r="V70" s="50"/>
      <c r="W70" s="50"/>
      <c r="X70" s="50"/>
      <c r="Y70" s="50"/>
      <c r="Z70" s="50"/>
      <c r="AA70" s="50"/>
      <c r="AB70" s="50"/>
      <c r="AC70" s="50"/>
      <c r="AD70" s="50"/>
      <c r="AE70" s="50"/>
      <c r="AF70" s="50"/>
      <c r="AG70" s="50"/>
      <c r="AH70" s="50"/>
      <c r="AI70" s="50"/>
    </row>
    <row r="71" spans="1:35" ht="17.25" customHeight="1" x14ac:dyDescent="0.25">
      <c r="B71" s="369" t="s">
        <v>375</v>
      </c>
      <c r="C71" s="69"/>
      <c r="D71" s="69"/>
      <c r="E71" s="69"/>
      <c r="F71" s="69"/>
      <c r="G71" s="69"/>
      <c r="H71" s="50"/>
      <c r="I71" s="50"/>
      <c r="J71" s="50"/>
      <c r="K71" s="50"/>
      <c r="L71" s="50"/>
      <c r="M71" s="50"/>
      <c r="N71" s="50"/>
      <c r="O71" s="50"/>
      <c r="P71" s="221"/>
      <c r="Q71" s="50"/>
      <c r="R71" s="50"/>
      <c r="S71" s="50"/>
      <c r="T71" s="50"/>
      <c r="U71" s="50"/>
      <c r="V71" s="50"/>
      <c r="W71" s="50"/>
      <c r="X71" s="50"/>
      <c r="Y71" s="50"/>
      <c r="Z71" s="50"/>
      <c r="AA71" s="50"/>
      <c r="AB71" s="50"/>
      <c r="AC71" s="50"/>
      <c r="AD71" s="50"/>
      <c r="AE71" s="50"/>
      <c r="AF71" s="50"/>
      <c r="AG71" s="50"/>
      <c r="AH71" s="50"/>
      <c r="AI71" s="50"/>
    </row>
    <row r="72" spans="1:35" ht="14.85" customHeight="1" x14ac:dyDescent="0.25">
      <c r="B72" s="1293" t="s">
        <v>376</v>
      </c>
      <c r="C72" s="1294"/>
      <c r="D72" s="1297" t="s">
        <v>280</v>
      </c>
      <c r="E72" s="1310"/>
      <c r="F72" s="1310"/>
      <c r="G72" s="1310"/>
      <c r="H72" s="1310"/>
      <c r="I72" s="1310"/>
      <c r="J72" s="1310"/>
      <c r="K72" s="1310"/>
      <c r="L72" s="1310"/>
      <c r="M72" s="1310"/>
      <c r="N72" s="1310"/>
      <c r="O72" s="1310"/>
      <c r="P72" s="1310"/>
      <c r="Q72" s="1310"/>
      <c r="R72" s="1310"/>
      <c r="S72" s="1310"/>
      <c r="T72" s="1310"/>
      <c r="U72" s="1310"/>
      <c r="V72" s="1298"/>
      <c r="W72" s="1340" t="s">
        <v>281</v>
      </c>
      <c r="X72" s="1330"/>
      <c r="Y72" s="1330"/>
      <c r="Z72" s="1330"/>
      <c r="AA72" s="1330"/>
      <c r="AB72" s="1330"/>
      <c r="AC72" s="1330"/>
      <c r="AD72" s="1330"/>
      <c r="AE72" s="1330"/>
      <c r="AF72" s="1330"/>
      <c r="AG72" s="1330"/>
      <c r="AH72" s="190"/>
      <c r="AI72" s="190"/>
    </row>
    <row r="73" spans="1:35" x14ac:dyDescent="0.25">
      <c r="B73" s="1295"/>
      <c r="C73" s="1296"/>
      <c r="D73" s="209">
        <v>2018</v>
      </c>
      <c r="E73" s="1302">
        <v>2019</v>
      </c>
      <c r="F73" s="1303"/>
      <c r="G73" s="1303"/>
      <c r="H73" s="1304"/>
      <c r="I73" s="1302">
        <v>2020</v>
      </c>
      <c r="J73" s="1303"/>
      <c r="K73" s="1303"/>
      <c r="L73" s="1303"/>
      <c r="M73" s="1302">
        <v>2021</v>
      </c>
      <c r="N73" s="1303"/>
      <c r="O73" s="1303"/>
      <c r="P73" s="1303"/>
      <c r="Q73" s="1319">
        <v>2022</v>
      </c>
      <c r="R73" s="1320"/>
      <c r="S73" s="278"/>
      <c r="T73" s="278"/>
      <c r="U73" s="229"/>
      <c r="V73" s="278">
        <v>2023</v>
      </c>
      <c r="W73" s="279"/>
      <c r="X73" s="250"/>
      <c r="Y73" s="1300">
        <v>2024</v>
      </c>
      <c r="Z73" s="1312"/>
      <c r="AA73" s="1312"/>
      <c r="AB73" s="1301"/>
      <c r="AC73" s="1299">
        <v>2025</v>
      </c>
      <c r="AD73" s="1300"/>
      <c r="AE73" s="1300"/>
      <c r="AF73" s="1301"/>
      <c r="AG73" s="330">
        <v>2026</v>
      </c>
      <c r="AH73" s="230"/>
      <c r="AI73" s="230"/>
    </row>
    <row r="74" spans="1:35" x14ac:dyDescent="0.25">
      <c r="B74" s="1297"/>
      <c r="C74" s="1298"/>
      <c r="D74" s="204" t="s">
        <v>282</v>
      </c>
      <c r="E74" s="204" t="s">
        <v>283</v>
      </c>
      <c r="F74" s="205" t="s">
        <v>284</v>
      </c>
      <c r="G74" s="205" t="s">
        <v>238</v>
      </c>
      <c r="H74" s="206" t="s">
        <v>282</v>
      </c>
      <c r="I74" s="205" t="s">
        <v>283</v>
      </c>
      <c r="J74" s="205" t="s">
        <v>284</v>
      </c>
      <c r="K74" s="205" t="s">
        <v>238</v>
      </c>
      <c r="L74" s="205" t="s">
        <v>282</v>
      </c>
      <c r="M74" s="204" t="s">
        <v>283</v>
      </c>
      <c r="N74" s="205" t="s">
        <v>284</v>
      </c>
      <c r="O74" s="205" t="s">
        <v>238</v>
      </c>
      <c r="P74" s="205" t="s">
        <v>282</v>
      </c>
      <c r="Q74" s="204" t="s">
        <v>283</v>
      </c>
      <c r="R74" s="205" t="s">
        <v>284</v>
      </c>
      <c r="S74" s="205" t="s">
        <v>238</v>
      </c>
      <c r="T74" s="205" t="s">
        <v>282</v>
      </c>
      <c r="U74" s="275" t="s">
        <v>283</v>
      </c>
      <c r="V74" s="276" t="s">
        <v>284</v>
      </c>
      <c r="W74" s="260" t="s">
        <v>238</v>
      </c>
      <c r="X74" s="261" t="s">
        <v>282</v>
      </c>
      <c r="Y74" s="260" t="s">
        <v>283</v>
      </c>
      <c r="Z74" s="257" t="s">
        <v>284</v>
      </c>
      <c r="AA74" s="260" t="s">
        <v>238</v>
      </c>
      <c r="AB74" s="260" t="s">
        <v>282</v>
      </c>
      <c r="AC74" s="259" t="s">
        <v>283</v>
      </c>
      <c r="AD74" s="257" t="s">
        <v>284</v>
      </c>
      <c r="AE74" s="260" t="s">
        <v>238</v>
      </c>
      <c r="AF74" s="261" t="s">
        <v>282</v>
      </c>
      <c r="AG74" s="331" t="s">
        <v>283</v>
      </c>
      <c r="AH74" s="35"/>
      <c r="AI74" s="35"/>
    </row>
    <row r="75" spans="1:35" ht="29.25" customHeight="1" x14ac:dyDescent="0.25">
      <c r="B75" s="341" t="s">
        <v>377</v>
      </c>
      <c r="C75" s="408"/>
      <c r="D75" s="342"/>
      <c r="E75" s="343"/>
      <c r="F75" s="343"/>
      <c r="G75" s="343"/>
      <c r="H75" s="344">
        <f t="shared" ref="H75:O75" si="26">SUM(H77:H85)</f>
        <v>206.82899999999995</v>
      </c>
      <c r="I75" s="344">
        <f t="shared" si="26"/>
        <v>214.11100000000005</v>
      </c>
      <c r="J75" s="344">
        <f t="shared" si="26"/>
        <v>320.24999999999989</v>
      </c>
      <c r="K75" s="344">
        <f t="shared" si="26"/>
        <v>298.13400000000001</v>
      </c>
      <c r="L75" s="344">
        <f t="shared" si="26"/>
        <v>289.54399999999998</v>
      </c>
      <c r="M75" s="344">
        <f t="shared" si="26"/>
        <v>320.34099999999995</v>
      </c>
      <c r="N75" s="344">
        <f t="shared" si="26"/>
        <v>354.35800000000017</v>
      </c>
      <c r="O75" s="344">
        <f t="shared" si="26"/>
        <v>375.57600000000008</v>
      </c>
      <c r="P75" s="424">
        <f>SUM(P77:P86)</f>
        <v>396.106852</v>
      </c>
      <c r="Q75" s="344">
        <f>SUM(Q77:Q86)</f>
        <v>433.66327480000001</v>
      </c>
      <c r="R75" s="344">
        <f>SUM(R77:R86)</f>
        <v>500.88603199999994</v>
      </c>
      <c r="S75" s="344">
        <f>SUM(S77:S86)</f>
        <v>486.87586800000008</v>
      </c>
      <c r="T75" s="363">
        <f t="shared" ref="T75:AF75" si="27">SUM(T77:T86)</f>
        <v>445.45392800000008</v>
      </c>
      <c r="U75" s="310">
        <f>SUM(U77:U86)</f>
        <v>439.61154320000009</v>
      </c>
      <c r="V75" s="310">
        <f>SUM(V77:V86)</f>
        <v>429.15772000000004</v>
      </c>
      <c r="W75" s="310">
        <f>SUM(W77:W86)</f>
        <v>415.61894400000006</v>
      </c>
      <c r="X75" s="310">
        <f t="shared" si="27"/>
        <v>427.53694400000006</v>
      </c>
      <c r="Y75" s="402">
        <f t="shared" si="27"/>
        <v>427.26494400000001</v>
      </c>
      <c r="Z75" s="402">
        <f t="shared" si="27"/>
        <v>418.03001728324807</v>
      </c>
      <c r="AA75" s="402">
        <f t="shared" si="27"/>
        <v>422.5102225824408</v>
      </c>
      <c r="AB75" s="402">
        <f t="shared" si="27"/>
        <v>427.2815256817579</v>
      </c>
      <c r="AC75" s="317">
        <f t="shared" si="27"/>
        <v>410.47107700000004</v>
      </c>
      <c r="AD75" s="317">
        <f t="shared" si="27"/>
        <v>405.8184041145779</v>
      </c>
      <c r="AE75" s="317">
        <f>SUM(AE77:AE86)</f>
        <v>408.36749628573835</v>
      </c>
      <c r="AF75" s="317">
        <f t="shared" si="27"/>
        <v>407.0560067810282</v>
      </c>
      <c r="AG75" s="315">
        <f>SUM(AG77:AG86)</f>
        <v>409.781722</v>
      </c>
      <c r="AH75" s="329"/>
      <c r="AI75" s="329"/>
    </row>
    <row r="76" spans="1:35" ht="19.350000000000001" customHeight="1" x14ac:dyDescent="0.25">
      <c r="B76" s="416" t="s">
        <v>378</v>
      </c>
      <c r="C76" s="220"/>
      <c r="D76" s="264"/>
      <c r="E76" s="220"/>
      <c r="F76" s="220"/>
      <c r="G76" s="220"/>
      <c r="H76" s="310"/>
      <c r="I76" s="310"/>
      <c r="J76" s="310"/>
      <c r="K76" s="310"/>
      <c r="L76" s="310"/>
      <c r="M76" s="310"/>
      <c r="N76" s="310"/>
      <c r="O76" s="310"/>
      <c r="P76" s="216"/>
      <c r="Q76" s="310"/>
      <c r="R76" s="310"/>
      <c r="S76" s="310"/>
      <c r="T76" s="310"/>
      <c r="U76" s="310"/>
      <c r="V76" s="310"/>
      <c r="W76" s="310"/>
      <c r="X76" s="310"/>
      <c r="Y76" s="318"/>
      <c r="Z76" s="318"/>
      <c r="AA76" s="318"/>
      <c r="AB76" s="318"/>
      <c r="AC76" s="318"/>
      <c r="AD76" s="318"/>
      <c r="AE76" s="318"/>
      <c r="AF76" s="318"/>
      <c r="AG76" s="318"/>
      <c r="AH76" s="329"/>
      <c r="AI76" s="329"/>
    </row>
    <row r="77" spans="1:35" x14ac:dyDescent="0.25">
      <c r="B77" s="353" t="s">
        <v>152</v>
      </c>
      <c r="C77" s="49"/>
      <c r="D77" s="349"/>
      <c r="E77" s="49"/>
      <c r="F77" s="49"/>
      <c r="G77" s="49"/>
      <c r="H77" s="310"/>
      <c r="I77" s="310"/>
      <c r="J77" s="310">
        <f>J14</f>
        <v>64.400000000000006</v>
      </c>
      <c r="K77" s="310">
        <f>K14</f>
        <v>23.4</v>
      </c>
      <c r="L77" s="310">
        <f>L14</f>
        <v>13.8</v>
      </c>
      <c r="M77" s="310">
        <f>M14</f>
        <v>12</v>
      </c>
      <c r="N77" s="310">
        <f>N14</f>
        <v>7.5</v>
      </c>
      <c r="O77" s="310">
        <f>O14</f>
        <v>10.5</v>
      </c>
      <c r="P77" s="216">
        <f>P14</f>
        <v>18</v>
      </c>
      <c r="Q77" s="310">
        <f>Q14</f>
        <v>15</v>
      </c>
      <c r="R77" s="310">
        <f>R14</f>
        <v>11.2</v>
      </c>
      <c r="S77" s="310">
        <f>S14</f>
        <v>7.5</v>
      </c>
      <c r="T77" s="310">
        <f>T14</f>
        <v>6.2</v>
      </c>
      <c r="U77" s="310">
        <f>U14</f>
        <v>0</v>
      </c>
      <c r="V77" s="310">
        <f>V14</f>
        <v>0</v>
      </c>
      <c r="W77" s="310">
        <f>W14</f>
        <v>0</v>
      </c>
      <c r="X77" s="310">
        <f>X14</f>
        <v>0</v>
      </c>
      <c r="Y77" s="318">
        <f>Y14</f>
        <v>0</v>
      </c>
      <c r="Z77" s="318">
        <f>Z14</f>
        <v>0</v>
      </c>
      <c r="AA77" s="318">
        <f>AA14</f>
        <v>0</v>
      </c>
      <c r="AB77" s="318">
        <f>AB14</f>
        <v>0</v>
      </c>
      <c r="AC77" s="318">
        <f>AC14</f>
        <v>0</v>
      </c>
      <c r="AD77" s="318">
        <f>AD14</f>
        <v>0</v>
      </c>
      <c r="AE77" s="318">
        <f>AE14</f>
        <v>0</v>
      </c>
      <c r="AF77" s="318">
        <f>AF14</f>
        <v>0</v>
      </c>
      <c r="AG77" s="318">
        <f>AG14</f>
        <v>0</v>
      </c>
      <c r="AH77" s="310"/>
      <c r="AI77" s="310"/>
    </row>
    <row r="78" spans="1:35" x14ac:dyDescent="0.25">
      <c r="B78" s="353" t="s">
        <v>343</v>
      </c>
      <c r="C78" s="49"/>
      <c r="D78" s="349"/>
      <c r="E78" s="49"/>
      <c r="F78" s="49"/>
      <c r="G78" s="49"/>
      <c r="H78" s="310"/>
      <c r="I78" s="310"/>
      <c r="J78" s="310"/>
      <c r="K78" s="310"/>
      <c r="L78" s="310"/>
      <c r="M78" s="310">
        <f>M30</f>
        <v>9.6666666666666661</v>
      </c>
      <c r="N78" s="310">
        <f t="shared" ref="N78:AC78" si="28">N30</f>
        <v>9.6666666666666661</v>
      </c>
      <c r="O78" s="310">
        <f t="shared" si="28"/>
        <v>9.6666666666666661</v>
      </c>
      <c r="P78" s="216">
        <f t="shared" si="28"/>
        <v>9.6666666666666661</v>
      </c>
      <c r="Q78" s="310">
        <f>Q30</f>
        <v>9.6666666666666661</v>
      </c>
      <c r="R78" s="310">
        <f>R30</f>
        <v>9.6666666666666661</v>
      </c>
      <c r="S78" s="310">
        <f>S30</f>
        <v>9.6666666666666661</v>
      </c>
      <c r="T78" s="310">
        <f t="shared" si="28"/>
        <v>9.6666666666666661</v>
      </c>
      <c r="U78" s="310">
        <f t="shared" si="28"/>
        <v>9.6666666666666661</v>
      </c>
      <c r="V78" s="310">
        <f t="shared" si="28"/>
        <v>9.6666666666666661</v>
      </c>
      <c r="W78" s="310">
        <f t="shared" si="28"/>
        <v>9.6666666666666661</v>
      </c>
      <c r="X78" s="310">
        <f t="shared" si="28"/>
        <v>9.6666666666666661</v>
      </c>
      <c r="Y78" s="318">
        <f t="shared" si="28"/>
        <v>0</v>
      </c>
      <c r="Z78" s="318">
        <f t="shared" si="28"/>
        <v>0</v>
      </c>
      <c r="AA78" s="318">
        <f t="shared" si="28"/>
        <v>0</v>
      </c>
      <c r="AB78" s="318">
        <f t="shared" si="28"/>
        <v>0</v>
      </c>
      <c r="AC78" s="318">
        <f t="shared" si="28"/>
        <v>0</v>
      </c>
      <c r="AD78" s="318">
        <f t="shared" ref="AD78:AG78" si="29">AD30</f>
        <v>0</v>
      </c>
      <c r="AE78" s="318">
        <f t="shared" si="29"/>
        <v>0</v>
      </c>
      <c r="AF78" s="318">
        <f t="shared" si="29"/>
        <v>0</v>
      </c>
      <c r="AG78" s="318">
        <f t="shared" si="29"/>
        <v>0</v>
      </c>
      <c r="AH78" s="310"/>
      <c r="AI78" s="310"/>
    </row>
    <row r="79" spans="1:35" x14ac:dyDescent="0.25">
      <c r="B79" s="353" t="s">
        <v>379</v>
      </c>
      <c r="C79" s="49"/>
      <c r="D79" s="349"/>
      <c r="E79" s="49"/>
      <c r="F79" s="49"/>
      <c r="G79" s="49"/>
      <c r="H79" s="310"/>
      <c r="I79" s="310"/>
      <c r="J79" s="310"/>
      <c r="K79" s="310"/>
      <c r="L79" s="310"/>
      <c r="M79" s="310">
        <f>M16</f>
        <v>12</v>
      </c>
      <c r="N79" s="310">
        <f>N16</f>
        <v>12</v>
      </c>
      <c r="O79" s="310">
        <f>O16</f>
        <v>12</v>
      </c>
      <c r="P79" s="216">
        <f>P16</f>
        <v>12</v>
      </c>
      <c r="Q79" s="310">
        <f>Q16</f>
        <v>12</v>
      </c>
      <c r="R79" s="310">
        <f>R16</f>
        <v>12</v>
      </c>
      <c r="S79" s="310">
        <f>S16</f>
        <v>12</v>
      </c>
      <c r="T79" s="310">
        <f>T16</f>
        <v>12</v>
      </c>
      <c r="U79" s="310">
        <f>U16</f>
        <v>12</v>
      </c>
      <c r="V79" s="310">
        <f>V16</f>
        <v>12</v>
      </c>
      <c r="W79" s="310">
        <f>W16</f>
        <v>12</v>
      </c>
      <c r="X79" s="310">
        <f>X16</f>
        <v>12</v>
      </c>
      <c r="Y79" s="318">
        <f>Y16</f>
        <v>0</v>
      </c>
      <c r="Z79" s="318">
        <f>Z16</f>
        <v>0</v>
      </c>
      <c r="AA79" s="318">
        <f>AA16</f>
        <v>0</v>
      </c>
      <c r="AB79" s="318">
        <f>AB16</f>
        <v>0</v>
      </c>
      <c r="AC79" s="318">
        <f>AC16</f>
        <v>0</v>
      </c>
      <c r="AD79" s="318">
        <f>AD16</f>
        <v>0</v>
      </c>
      <c r="AE79" s="318">
        <f>AE16</f>
        <v>0</v>
      </c>
      <c r="AF79" s="318">
        <f>AF16</f>
        <v>0</v>
      </c>
      <c r="AG79" s="318">
        <f>AG16</f>
        <v>0</v>
      </c>
      <c r="AH79" s="310"/>
      <c r="AI79" s="310"/>
    </row>
    <row r="80" spans="1:35" x14ac:dyDescent="0.25">
      <c r="B80" s="353" t="s">
        <v>380</v>
      </c>
      <c r="C80" s="49"/>
      <c r="D80" s="349"/>
      <c r="E80" s="49"/>
      <c r="F80" s="49"/>
      <c r="G80" s="49"/>
      <c r="H80" s="52">
        <f>H20</f>
        <v>206.82899999999995</v>
      </c>
      <c r="I80" s="52">
        <f>I20</f>
        <v>214.11100000000005</v>
      </c>
      <c r="J80" s="52">
        <f>J20</f>
        <v>192.44999999999993</v>
      </c>
      <c r="K80" s="52">
        <f>K20</f>
        <v>213.93400000000003</v>
      </c>
      <c r="L80" s="52">
        <f>L20</f>
        <v>215.54399999999998</v>
      </c>
      <c r="M80" s="52">
        <f>M20</f>
        <v>217.77433333333329</v>
      </c>
      <c r="N80" s="52">
        <f>N20</f>
        <v>217.59133333333352</v>
      </c>
      <c r="O80" s="52">
        <f>O20</f>
        <v>222.7093333333334</v>
      </c>
      <c r="P80" s="308">
        <f>P20</f>
        <v>244.61933333333332</v>
      </c>
      <c r="Q80" s="52">
        <f>Q20</f>
        <v>248.60033333333331</v>
      </c>
      <c r="R80" s="52">
        <f>R20</f>
        <v>262.76933333333329</v>
      </c>
      <c r="S80" s="52">
        <f>S20</f>
        <v>260.1133333333334</v>
      </c>
      <c r="T80" s="52">
        <f>T20</f>
        <v>222.98033333333342</v>
      </c>
      <c r="U80" s="339">
        <f>U20</f>
        <v>236.8250000000001</v>
      </c>
      <c r="V80" s="52">
        <f>V20</f>
        <v>227.57700000000006</v>
      </c>
      <c r="W80" s="52">
        <f>W20</f>
        <v>220.74100000000004</v>
      </c>
      <c r="X80" s="52">
        <f>X20</f>
        <v>243.04900000000009</v>
      </c>
      <c r="Y80" s="319">
        <f>Y20</f>
        <v>258.27700000000004</v>
      </c>
      <c r="Z80" s="319">
        <f>Z20</f>
        <v>260.82190828324809</v>
      </c>
      <c r="AA80" s="319">
        <f>AA20</f>
        <v>263.39189258244079</v>
      </c>
      <c r="AB80" s="319">
        <f>AB20</f>
        <v>265.9871999817579</v>
      </c>
      <c r="AC80" s="319">
        <f>AC20</f>
        <v>268.60808000000003</v>
      </c>
      <c r="AD80" s="319">
        <f>AD20</f>
        <v>271.25478461457794</v>
      </c>
      <c r="AE80" s="319">
        <f>AE20</f>
        <v>273.92756828573835</v>
      </c>
      <c r="AF80" s="319">
        <f>AF20</f>
        <v>276.62668798102817</v>
      </c>
      <c r="AG80" s="319">
        <f>AG20</f>
        <v>279.35240319999997</v>
      </c>
      <c r="AH80" s="52"/>
      <c r="AI80" s="52"/>
    </row>
    <row r="81" spans="2:35" x14ac:dyDescent="0.25">
      <c r="B81" s="353" t="s">
        <v>1185</v>
      </c>
      <c r="C81" s="49"/>
      <c r="D81" s="349"/>
      <c r="E81" s="49"/>
      <c r="F81" s="49"/>
      <c r="G81" s="49"/>
      <c r="H81" s="52"/>
      <c r="I81" s="52"/>
      <c r="J81" s="52"/>
      <c r="K81" s="52"/>
      <c r="L81" s="52"/>
      <c r="M81" s="52"/>
      <c r="N81" s="52"/>
      <c r="O81" s="52"/>
      <c r="P81" s="308"/>
      <c r="Q81" s="52"/>
      <c r="R81" s="52"/>
      <c r="S81" s="312">
        <f>'IRA and CHIPS'!E184</f>
        <v>0</v>
      </c>
      <c r="T81" s="312">
        <f>'IRA and CHIPS'!F184</f>
        <v>6.8000000000000005E-2</v>
      </c>
      <c r="U81" s="312">
        <f>'IRA and CHIPS'!G184</f>
        <v>6.8000000000000005E-2</v>
      </c>
      <c r="V81" s="312">
        <f>'IRA and CHIPS'!H184</f>
        <v>6.8000000000000005E-2</v>
      </c>
      <c r="W81" s="312">
        <f>'IRA and CHIPS'!I184</f>
        <v>6.8000000000000005E-2</v>
      </c>
      <c r="X81" s="312">
        <f>'IRA and CHIPS'!J184</f>
        <v>1.363</v>
      </c>
      <c r="Y81" s="334">
        <f>'IRA and CHIPS'!K184</f>
        <v>1.363</v>
      </c>
      <c r="Z81" s="334">
        <f>'IRA and CHIPS'!L184</f>
        <v>1.363</v>
      </c>
      <c r="AA81" s="334">
        <f>'IRA and CHIPS'!M184</f>
        <v>1.363</v>
      </c>
      <c r="AB81" s="334">
        <f>'IRA and CHIPS'!N184</f>
        <v>2.4329999999999998</v>
      </c>
      <c r="AC81" s="334">
        <f>'IRA and CHIPS'!O184</f>
        <v>2.4329999999999998</v>
      </c>
      <c r="AD81" s="334">
        <f>'IRA and CHIPS'!P184</f>
        <v>2.4329999999999998</v>
      </c>
      <c r="AE81" s="334">
        <f>'IRA and CHIPS'!Q184</f>
        <v>2.4329999999999998</v>
      </c>
      <c r="AF81" s="334">
        <f>'IRA and CHIPS'!R184</f>
        <v>2.8029999999999999</v>
      </c>
      <c r="AG81" s="334">
        <f>'IRA and CHIPS'!S184</f>
        <v>2.8029999999999999</v>
      </c>
      <c r="AH81" s="52"/>
      <c r="AI81" s="52"/>
    </row>
    <row r="82" spans="2:35" ht="14.85" customHeight="1" x14ac:dyDescent="0.25">
      <c r="B82" s="394" t="s">
        <v>381</v>
      </c>
      <c r="C82" s="49"/>
      <c r="D82" s="349"/>
      <c r="E82" s="49"/>
      <c r="F82" s="49"/>
      <c r="G82" s="49"/>
      <c r="H82" s="310"/>
      <c r="I82" s="310"/>
      <c r="J82" s="310"/>
      <c r="K82" s="310"/>
      <c r="L82" s="310"/>
      <c r="M82" s="310"/>
      <c r="N82" s="310"/>
      <c r="O82" s="310"/>
      <c r="P82" s="216"/>
      <c r="Q82" s="310"/>
      <c r="R82" s="310"/>
      <c r="S82" s="310"/>
      <c r="T82" s="310"/>
      <c r="U82" s="310"/>
      <c r="V82" s="310"/>
      <c r="W82" s="310"/>
      <c r="X82" s="310"/>
      <c r="Y82" s="318"/>
      <c r="Z82" s="318"/>
      <c r="AA82" s="318"/>
      <c r="AB82" s="318"/>
      <c r="AC82" s="318"/>
      <c r="AD82" s="318"/>
      <c r="AE82" s="318"/>
      <c r="AF82" s="318"/>
      <c r="AG82" s="318"/>
      <c r="AH82" s="310"/>
      <c r="AI82" s="310"/>
    </row>
    <row r="83" spans="2:35" ht="14.85" customHeight="1" x14ac:dyDescent="0.25">
      <c r="B83" s="353" t="s">
        <v>150</v>
      </c>
      <c r="C83" s="49"/>
      <c r="D83" s="349"/>
      <c r="E83" s="49"/>
      <c r="F83" s="49"/>
      <c r="G83" s="49"/>
      <c r="H83" s="310"/>
      <c r="I83" s="310"/>
      <c r="J83" s="310">
        <f>J13</f>
        <v>28.4</v>
      </c>
      <c r="K83" s="310">
        <f>K13</f>
        <v>15.8</v>
      </c>
      <c r="L83" s="310">
        <f>L13</f>
        <v>15.2</v>
      </c>
      <c r="M83" s="310">
        <f>M13</f>
        <v>28.9</v>
      </c>
      <c r="N83" s="310">
        <f>N13</f>
        <v>67.599999999999994</v>
      </c>
      <c r="O83" s="310">
        <f>O13</f>
        <v>80.7</v>
      </c>
      <c r="P83" s="216">
        <f>P13</f>
        <v>87.2</v>
      </c>
      <c r="Q83" s="310">
        <f>Q13</f>
        <v>72.400000000000006</v>
      </c>
      <c r="R83" s="310">
        <f>R13</f>
        <v>85.9</v>
      </c>
      <c r="S83" s="345">
        <f>S13</f>
        <v>68.3</v>
      </c>
      <c r="T83" s="345">
        <f>T13</f>
        <v>64</v>
      </c>
      <c r="U83" s="345">
        <f>U13</f>
        <v>60.929333333333297</v>
      </c>
      <c r="V83" s="345">
        <f>V13</f>
        <v>60.929333333333297</v>
      </c>
      <c r="W83" s="345">
        <f>W13</f>
        <v>60.929333333333297</v>
      </c>
      <c r="X83" s="345">
        <f>X13</f>
        <v>54.244333333333302</v>
      </c>
      <c r="Y83" s="345">
        <f>Y13</f>
        <v>50.911000000000001</v>
      </c>
      <c r="Z83" s="318">
        <f>Z27+Z31+'ARP Quarterly'!P28</f>
        <v>44.428388999999996</v>
      </c>
      <c r="AA83" s="318">
        <f>AA27+AA31+'ARP Quarterly'!Q28</f>
        <v>46.338610000000003</v>
      </c>
      <c r="AB83" s="318">
        <f>AB27+AB31+'ARP Quarterly'!R28</f>
        <v>47.279744500000007</v>
      </c>
      <c r="AC83" s="318">
        <f>AC27+AC31+'ARP Quarterly'!S28</f>
        <v>46.283419000000009</v>
      </c>
      <c r="AD83" s="318">
        <f>AD27+AD31+'ARP Quarterly'!T28</f>
        <v>45.578489500000011</v>
      </c>
      <c r="AE83" s="318">
        <f>AE27+AE31+'ARP Quarterly'!U28</f>
        <v>45.454798000000011</v>
      </c>
      <c r="AF83" s="318">
        <f>AF27+AF31+'ARP Quarterly'!V28</f>
        <v>45.360580000000013</v>
      </c>
      <c r="AG83" s="315">
        <f>AF83</f>
        <v>45.360580000000013</v>
      </c>
      <c r="AH83" s="332"/>
      <c r="AI83" s="310"/>
    </row>
    <row r="84" spans="2:35" x14ac:dyDescent="0.25">
      <c r="B84" s="353" t="s">
        <v>149</v>
      </c>
      <c r="C84" s="52"/>
      <c r="D84" s="420"/>
      <c r="E84" s="52"/>
      <c r="F84" s="52"/>
      <c r="G84" s="52"/>
      <c r="H84" s="310"/>
      <c r="I84" s="310"/>
      <c r="J84" s="310">
        <v>35</v>
      </c>
      <c r="K84" s="310">
        <v>45</v>
      </c>
      <c r="L84" s="310">
        <v>45</v>
      </c>
      <c r="M84" s="310">
        <v>40</v>
      </c>
      <c r="N84" s="310">
        <v>40</v>
      </c>
      <c r="O84" s="310">
        <v>40</v>
      </c>
      <c r="P84" s="216">
        <v>40</v>
      </c>
      <c r="Q84" s="310">
        <v>50</v>
      </c>
      <c r="R84" s="310">
        <v>50</v>
      </c>
      <c r="S84" s="310">
        <v>50</v>
      </c>
      <c r="T84" s="310">
        <v>50</v>
      </c>
      <c r="U84" s="340">
        <v>40</v>
      </c>
      <c r="V84" s="310">
        <v>30</v>
      </c>
      <c r="W84" s="310">
        <v>20</v>
      </c>
      <c r="X84" s="310">
        <v>15</v>
      </c>
      <c r="Y84" s="318">
        <v>10</v>
      </c>
      <c r="Z84" s="318">
        <v>0</v>
      </c>
      <c r="AA84" s="318">
        <v>0</v>
      </c>
      <c r="AB84" s="318">
        <v>0</v>
      </c>
      <c r="AC84" s="318">
        <v>0</v>
      </c>
      <c r="AD84" s="318">
        <v>0</v>
      </c>
      <c r="AE84" s="318">
        <v>0</v>
      </c>
      <c r="AF84" s="318">
        <v>0</v>
      </c>
      <c r="AG84" s="318">
        <v>0</v>
      </c>
      <c r="AH84" s="115"/>
    </row>
    <row r="85" spans="2:35" ht="28.5" customHeight="1" x14ac:dyDescent="0.25">
      <c r="B85" s="366" t="s">
        <v>382</v>
      </c>
      <c r="C85" s="379"/>
      <c r="D85" s="349"/>
      <c r="E85" s="49"/>
      <c r="F85" s="49"/>
      <c r="G85" s="49"/>
      <c r="H85" s="310"/>
      <c r="I85" s="310"/>
      <c r="J85" s="310"/>
      <c r="K85" s="310"/>
      <c r="L85" s="310"/>
      <c r="M85" s="310"/>
      <c r="N85" s="310">
        <f>'ARP Quarterly'!D47</f>
        <v>0</v>
      </c>
      <c r="O85" s="310">
        <f>'ARP Quarterly'!E47</f>
        <v>0</v>
      </c>
      <c r="P85" s="216">
        <f>'ARP Quarterly'!F47</f>
        <v>34.620851999999999</v>
      </c>
      <c r="Q85" s="310">
        <f>'ARP Quarterly'!G47</f>
        <v>50.996274799999995</v>
      </c>
      <c r="R85" s="310">
        <f>'ARP Quarterly'!H47</f>
        <v>69.350031999999999</v>
      </c>
      <c r="S85" s="310">
        <f>'ARP Quarterly'!I47</f>
        <v>79.295867999999999</v>
      </c>
      <c r="T85" s="310">
        <f>'ARP Quarterly'!J47</f>
        <v>80.538927999999999</v>
      </c>
      <c r="U85" s="310">
        <f>'ARP Quarterly'!K47</f>
        <v>80.122543199999996</v>
      </c>
      <c r="V85" s="310">
        <f>'ARP Quarterly'!L47</f>
        <v>88.916719999999998</v>
      </c>
      <c r="W85" s="311">
        <f>'ARP Quarterly'!M47</f>
        <v>92.213943999999998</v>
      </c>
      <c r="X85" s="311">
        <f>'ARP Quarterly'!N47</f>
        <v>92.213943999999998</v>
      </c>
      <c r="Y85" s="405">
        <f>'ARP Quarterly'!O47</f>
        <v>94.213943999999998</v>
      </c>
      <c r="Z85" s="405">
        <f>'ARP Quarterly'!P47</f>
        <v>98.916719999999998</v>
      </c>
      <c r="AA85" s="405">
        <f>'ARP Quarterly'!Q47</f>
        <v>98.916719999999998</v>
      </c>
      <c r="AB85" s="405">
        <f>'ARP Quarterly'!R47</f>
        <v>99.081581199999988</v>
      </c>
      <c r="AC85" s="318">
        <f>'ARP Quarterly'!S47</f>
        <v>93.146578000000005</v>
      </c>
      <c r="AD85" s="318">
        <f>'ARP Quarterly'!T47</f>
        <v>86.552129999999991</v>
      </c>
      <c r="AE85" s="318">
        <f>'ARP Quarterly'!U47</f>
        <v>86.552129999999991</v>
      </c>
      <c r="AF85" s="318">
        <f>'ARP Quarterly'!V47</f>
        <v>82.265738799999994</v>
      </c>
      <c r="AG85" s="315">
        <f>AF85</f>
        <v>82.265738799999994</v>
      </c>
      <c r="AH85" s="392"/>
    </row>
    <row r="86" spans="2:35" ht="55.35" customHeight="1" x14ac:dyDescent="0.25">
      <c r="B86" s="373" t="s">
        <v>829</v>
      </c>
      <c r="C86" s="374"/>
      <c r="D86" s="347"/>
      <c r="E86" s="348"/>
      <c r="F86" s="348"/>
      <c r="G86" s="348"/>
      <c r="H86" s="348"/>
      <c r="I86" s="374"/>
      <c r="J86" s="374"/>
      <c r="K86" s="374"/>
      <c r="L86" s="374"/>
      <c r="M86" s="374"/>
      <c r="N86" s="374"/>
      <c r="O86" s="374"/>
      <c r="P86" s="374">
        <v>-50</v>
      </c>
      <c r="Q86" s="374">
        <v>-25</v>
      </c>
      <c r="R86" s="374"/>
      <c r="S86" s="374"/>
      <c r="T86" s="374"/>
      <c r="U86" s="421"/>
      <c r="V86" s="348"/>
      <c r="W86" s="374"/>
      <c r="X86" s="374"/>
      <c r="Y86" s="374">
        <v>12.5</v>
      </c>
      <c r="Z86" s="374">
        <v>12.5</v>
      </c>
      <c r="AA86" s="374">
        <v>12.5</v>
      </c>
      <c r="AB86" s="374">
        <v>12.5</v>
      </c>
      <c r="AC86" s="421"/>
      <c r="AD86" s="230"/>
      <c r="AE86" s="230"/>
      <c r="AF86" s="230"/>
      <c r="AG86" s="230"/>
    </row>
    <row r="87" spans="2:35" x14ac:dyDescent="0.25">
      <c r="B87" s="273"/>
      <c r="C87" s="230"/>
      <c r="D87" s="230"/>
      <c r="E87" s="230"/>
      <c r="F87" s="230"/>
      <c r="G87" s="230"/>
      <c r="H87" s="230"/>
      <c r="I87" s="230"/>
      <c r="J87" s="230"/>
      <c r="K87" s="230"/>
      <c r="L87" s="230"/>
      <c r="M87" s="230"/>
      <c r="Z87" s="230"/>
      <c r="AA87" s="230"/>
      <c r="AB87" s="230"/>
      <c r="AC87" s="230"/>
      <c r="AD87" s="230"/>
      <c r="AE87" s="230"/>
      <c r="AF87" s="230"/>
      <c r="AG87" s="230"/>
    </row>
    <row r="88" spans="2:35" x14ac:dyDescent="0.25">
      <c r="B88" s="273"/>
      <c r="C88" s="230"/>
      <c r="D88" s="230"/>
      <c r="E88" s="230"/>
      <c r="F88" s="230"/>
      <c r="G88" s="230"/>
      <c r="H88" s="230"/>
      <c r="I88" s="230"/>
      <c r="J88" s="230"/>
      <c r="K88" s="230"/>
      <c r="L88" s="230"/>
      <c r="M88" s="230"/>
      <c r="N88" s="230"/>
      <c r="O88" s="230"/>
      <c r="P88" s="230"/>
      <c r="Q88" s="230"/>
      <c r="R88" s="230"/>
      <c r="S88" s="230"/>
      <c r="T88" s="230"/>
      <c r="U88" s="230"/>
      <c r="V88" s="230"/>
      <c r="W88" s="230"/>
      <c r="X88" s="230"/>
      <c r="Y88" s="230"/>
      <c r="Z88" s="230"/>
      <c r="AA88" s="230"/>
      <c r="AB88" s="230"/>
      <c r="AC88" s="230"/>
      <c r="AD88" s="230"/>
      <c r="AE88" s="230"/>
      <c r="AF88" s="230"/>
      <c r="AG88" s="230"/>
    </row>
    <row r="89" spans="2:35" ht="14.45" customHeight="1" x14ac:dyDescent="0.25">
      <c r="B89" s="273"/>
      <c r="C89" s="230"/>
      <c r="D89" s="230"/>
      <c r="E89" s="230"/>
      <c r="F89" s="230"/>
      <c r="G89" s="230"/>
      <c r="H89" s="230"/>
      <c r="I89" s="230"/>
      <c r="J89" s="230"/>
      <c r="K89" s="230"/>
      <c r="L89" s="230"/>
      <c r="M89" s="230"/>
      <c r="N89" s="230"/>
      <c r="O89" s="230"/>
      <c r="P89" s="230"/>
      <c r="Q89" s="230"/>
      <c r="R89" s="230"/>
      <c r="S89" s="230"/>
      <c r="T89" s="230"/>
      <c r="U89" s="230"/>
      <c r="V89" s="230"/>
      <c r="W89" s="230"/>
      <c r="X89" s="230"/>
      <c r="Y89" s="230"/>
      <c r="Z89" s="230"/>
      <c r="AA89" s="230"/>
      <c r="AB89" s="230"/>
      <c r="AC89" s="230"/>
      <c r="AD89" s="230"/>
      <c r="AE89" s="230"/>
      <c r="AF89" s="230"/>
      <c r="AG89" s="230"/>
    </row>
    <row r="90" spans="2:35" x14ac:dyDescent="0.25">
      <c r="B90" s="1288" t="s">
        <v>134</v>
      </c>
      <c r="C90" s="1288"/>
      <c r="D90" s="1288"/>
      <c r="E90" s="1288"/>
      <c r="F90" s="1288"/>
      <c r="G90" s="1288"/>
      <c r="H90" s="1288"/>
      <c r="I90" s="1288"/>
      <c r="J90" s="1288"/>
      <c r="K90" s="1288"/>
      <c r="L90" s="1288"/>
      <c r="M90" s="1288"/>
      <c r="N90" s="1288"/>
      <c r="O90" s="1288"/>
      <c r="P90" s="1288"/>
      <c r="Q90" s="1288"/>
      <c r="R90" s="1288"/>
      <c r="S90" s="1288"/>
      <c r="T90" s="1288"/>
      <c r="U90" s="1288"/>
      <c r="V90" s="1288"/>
      <c r="W90" s="1288"/>
      <c r="X90" s="1288"/>
      <c r="Y90" s="1288"/>
      <c r="Z90" s="202"/>
      <c r="AA90" s="202"/>
      <c r="AB90" s="202"/>
      <c r="AC90" s="202"/>
      <c r="AD90" s="202"/>
      <c r="AE90" s="202"/>
      <c r="AF90" s="202"/>
      <c r="AG90" s="202"/>
      <c r="AH90" s="190"/>
      <c r="AI90" s="190"/>
    </row>
    <row r="91" spans="2:35" ht="19.350000000000001" customHeight="1" x14ac:dyDescent="0.25">
      <c r="B91" s="1289" t="s">
        <v>1835</v>
      </c>
      <c r="C91" s="1289"/>
      <c r="D91" s="1289"/>
      <c r="E91" s="1289"/>
      <c r="F91" s="1289"/>
      <c r="G91" s="1289"/>
      <c r="H91" s="1289"/>
      <c r="I91" s="1289"/>
      <c r="J91" s="1289"/>
      <c r="K91" s="1289"/>
      <c r="L91" s="1289"/>
      <c r="M91" s="1289"/>
      <c r="N91" s="1289"/>
      <c r="O91" s="1289"/>
      <c r="P91" s="1289"/>
      <c r="Q91" s="1289"/>
      <c r="R91" s="1289"/>
      <c r="S91" s="1289"/>
      <c r="T91" s="1289"/>
      <c r="U91" s="1289"/>
      <c r="V91" s="1289"/>
      <c r="W91" s="1289"/>
      <c r="X91" s="1289"/>
      <c r="Y91" s="1289"/>
      <c r="Z91" s="1289"/>
      <c r="AA91" s="1289"/>
      <c r="AB91" s="1289"/>
      <c r="AC91" s="1289"/>
      <c r="AD91" s="203"/>
      <c r="AE91" s="203"/>
      <c r="AF91" s="203"/>
      <c r="AG91" s="203"/>
      <c r="AH91" s="203"/>
      <c r="AI91" s="203"/>
    </row>
    <row r="92" spans="2:35" ht="11.85" customHeight="1" x14ac:dyDescent="0.25">
      <c r="B92" s="237"/>
      <c r="C92" s="237"/>
      <c r="D92" s="237"/>
      <c r="E92" s="237"/>
      <c r="F92" s="237"/>
      <c r="G92" s="237"/>
      <c r="H92" s="237"/>
      <c r="I92" s="237"/>
      <c r="J92" s="237"/>
      <c r="K92" s="237"/>
      <c r="L92" s="237"/>
      <c r="M92" s="237"/>
      <c r="V92" s="224"/>
      <c r="W92" s="224"/>
      <c r="X92" s="224"/>
      <c r="Y92" s="224"/>
      <c r="Z92" s="224"/>
      <c r="AA92" s="224"/>
      <c r="AB92" s="224"/>
      <c r="AC92" s="224"/>
      <c r="AD92" s="224"/>
      <c r="AE92" s="224"/>
      <c r="AF92" s="224"/>
      <c r="AG92" s="224"/>
      <c r="AH92" s="224"/>
      <c r="AI92" s="224"/>
    </row>
    <row r="93" spans="2:35" ht="14.85" customHeight="1" x14ac:dyDescent="0.25">
      <c r="B93" s="1293" t="s">
        <v>279</v>
      </c>
      <c r="C93" s="1294"/>
      <c r="D93" s="1297" t="s">
        <v>280</v>
      </c>
      <c r="E93" s="1310"/>
      <c r="F93" s="1310"/>
      <c r="G93" s="1310"/>
      <c r="H93" s="1310"/>
      <c r="I93" s="1310"/>
      <c r="J93" s="1310"/>
      <c r="K93" s="1310"/>
      <c r="L93" s="1310"/>
      <c r="M93" s="1310"/>
      <c r="N93" s="1310"/>
      <c r="O93" s="1310"/>
      <c r="P93" s="1310"/>
      <c r="Q93" s="1310"/>
      <c r="R93" s="1310"/>
      <c r="S93" s="1310"/>
      <c r="T93" s="1310"/>
      <c r="U93" s="1311"/>
      <c r="V93" s="1296"/>
      <c r="W93" s="1328" t="s">
        <v>281</v>
      </c>
      <c r="X93" s="1329"/>
      <c r="Y93" s="1330"/>
      <c r="Z93" s="1330"/>
      <c r="AA93" s="1330"/>
      <c r="AB93" s="1330"/>
      <c r="AC93" s="1330"/>
      <c r="AD93" s="1330"/>
      <c r="AE93" s="1330"/>
      <c r="AF93" s="1330"/>
      <c r="AG93" s="1330"/>
      <c r="AH93" s="190"/>
      <c r="AI93" s="190"/>
    </row>
    <row r="94" spans="2:35" x14ac:dyDescent="0.25">
      <c r="B94" s="1295"/>
      <c r="C94" s="1296"/>
      <c r="D94" s="210">
        <v>2018</v>
      </c>
      <c r="E94" s="1302">
        <v>2019</v>
      </c>
      <c r="F94" s="1303"/>
      <c r="G94" s="1303"/>
      <c r="H94" s="1304"/>
      <c r="I94" s="1302">
        <v>2020</v>
      </c>
      <c r="J94" s="1303"/>
      <c r="K94" s="1303"/>
      <c r="L94" s="1303"/>
      <c r="M94" s="1302">
        <v>2021</v>
      </c>
      <c r="N94" s="1303"/>
      <c r="O94" s="1303"/>
      <c r="P94" s="1303"/>
      <c r="Q94" s="1302">
        <v>2022</v>
      </c>
      <c r="R94" s="1325"/>
      <c r="S94" s="1325"/>
      <c r="T94" s="1325"/>
      <c r="U94" s="229"/>
      <c r="V94" s="278">
        <v>2023</v>
      </c>
      <c r="W94" s="279"/>
      <c r="X94" s="250"/>
      <c r="Y94" s="1300">
        <v>2024</v>
      </c>
      <c r="Z94" s="1312"/>
      <c r="AA94" s="1312"/>
      <c r="AB94" s="1300"/>
      <c r="AC94" s="1299">
        <v>2025</v>
      </c>
      <c r="AD94" s="1300"/>
      <c r="AE94" s="1300"/>
      <c r="AF94" s="1301"/>
      <c r="AG94" s="330">
        <v>2026</v>
      </c>
      <c r="AH94" s="224"/>
      <c r="AI94" s="224"/>
    </row>
    <row r="95" spans="2:35" x14ac:dyDescent="0.25">
      <c r="B95" s="1295"/>
      <c r="C95" s="1296"/>
      <c r="D95" s="205" t="s">
        <v>282</v>
      </c>
      <c r="E95" s="204" t="s">
        <v>283</v>
      </c>
      <c r="F95" s="205" t="s">
        <v>284</v>
      </c>
      <c r="G95" s="205" t="s">
        <v>238</v>
      </c>
      <c r="H95" s="206" t="s">
        <v>282</v>
      </c>
      <c r="I95" s="205" t="s">
        <v>283</v>
      </c>
      <c r="J95" s="205" t="s">
        <v>284</v>
      </c>
      <c r="K95" s="205" t="s">
        <v>238</v>
      </c>
      <c r="L95" s="205" t="s">
        <v>282</v>
      </c>
      <c r="M95" s="204" t="s">
        <v>283</v>
      </c>
      <c r="N95" s="205" t="s">
        <v>284</v>
      </c>
      <c r="O95" s="205" t="s">
        <v>238</v>
      </c>
      <c r="P95" s="205" t="s">
        <v>282</v>
      </c>
      <c r="Q95" s="204" t="s">
        <v>283</v>
      </c>
      <c r="R95" s="205" t="s">
        <v>284</v>
      </c>
      <c r="S95" s="205" t="s">
        <v>238</v>
      </c>
      <c r="T95" s="205" t="s">
        <v>282</v>
      </c>
      <c r="U95" s="204" t="s">
        <v>283</v>
      </c>
      <c r="V95" s="205" t="s">
        <v>284</v>
      </c>
      <c r="W95" s="316" t="s">
        <v>238</v>
      </c>
      <c r="X95" s="422" t="s">
        <v>282</v>
      </c>
      <c r="Y95" s="316" t="s">
        <v>283</v>
      </c>
      <c r="Z95" s="323" t="s">
        <v>284</v>
      </c>
      <c r="AA95" s="316" t="s">
        <v>238</v>
      </c>
      <c r="AB95" s="316" t="s">
        <v>282</v>
      </c>
      <c r="AC95" s="423" t="s">
        <v>283</v>
      </c>
      <c r="AD95" s="323" t="s">
        <v>284</v>
      </c>
      <c r="AE95" s="316" t="s">
        <v>238</v>
      </c>
      <c r="AF95" s="422" t="s">
        <v>282</v>
      </c>
      <c r="AG95" s="333" t="s">
        <v>283</v>
      </c>
      <c r="AH95" s="224"/>
      <c r="AI95" s="224"/>
    </row>
    <row r="96" spans="2:35" ht="14.85" customHeight="1" x14ac:dyDescent="0.25">
      <c r="B96" s="419" t="s">
        <v>383</v>
      </c>
      <c r="C96" s="359" t="s">
        <v>384</v>
      </c>
      <c r="D96" s="360"/>
      <c r="E96" s="361"/>
      <c r="F96" s="361"/>
      <c r="G96" s="361"/>
      <c r="H96" s="313">
        <f>'Haver Pivoted'!GS41</f>
        <v>72.156000000000006</v>
      </c>
      <c r="I96" s="313">
        <f>'Haver Pivoted'!GT41</f>
        <v>75.245999999999995</v>
      </c>
      <c r="J96" s="313">
        <f>'Haver Pivoted'!GU41</f>
        <v>75.986000000000004</v>
      </c>
      <c r="K96" s="313">
        <f>'Haver Pivoted'!GV41</f>
        <v>79.650999999999996</v>
      </c>
      <c r="L96" s="313">
        <f>'Haver Pivoted'!GW41</f>
        <v>75.400999999999996</v>
      </c>
      <c r="M96" s="313">
        <f>'Haver Pivoted'!GX41</f>
        <v>73.034999999999997</v>
      </c>
      <c r="N96" s="313">
        <f>'Haver Pivoted'!GY41</f>
        <v>75.13</v>
      </c>
      <c r="O96" s="313">
        <f>'Haver Pivoted'!GZ41</f>
        <v>70.191999999999993</v>
      </c>
      <c r="P96" s="313">
        <f>'Haver Pivoted'!HA41</f>
        <v>72.266999999999996</v>
      </c>
      <c r="Q96" s="313">
        <f>'Haver Pivoted'!HB41</f>
        <v>74.974000000000004</v>
      </c>
      <c r="R96" s="313">
        <f t="shared" ref="R96:S96" si="30">AVERAGE($H$96:$N$96)</f>
        <v>75.229285714285723</v>
      </c>
      <c r="S96" s="313">
        <f t="shared" si="30"/>
        <v>75.229285714285723</v>
      </c>
      <c r="T96" s="313">
        <f t="shared" ref="T96:AC96" si="31">AVERAGE($H$96:$N$96)+T97</f>
        <v>76.048285714285726</v>
      </c>
      <c r="U96" s="313">
        <f t="shared" si="31"/>
        <v>76.048285714285726</v>
      </c>
      <c r="V96" s="313">
        <f t="shared" si="31"/>
        <v>76.048285714285726</v>
      </c>
      <c r="W96" s="313">
        <f t="shared" si="31"/>
        <v>76.048285714285726</v>
      </c>
      <c r="X96" s="351">
        <f t="shared" si="31"/>
        <v>77.707285714285717</v>
      </c>
      <c r="Y96" s="351">
        <f t="shared" si="31"/>
        <v>77.707285714285717</v>
      </c>
      <c r="Z96" s="351">
        <f t="shared" si="31"/>
        <v>77.707285714285717</v>
      </c>
      <c r="AA96" s="351">
        <f t="shared" si="31"/>
        <v>77.707285714285717</v>
      </c>
      <c r="AB96" s="351">
        <f t="shared" si="31"/>
        <v>79.301285714285726</v>
      </c>
      <c r="AC96" s="351">
        <f t="shared" si="31"/>
        <v>79.301285714285726</v>
      </c>
      <c r="AD96" s="351">
        <f>AVERAGE($H$96:$N$96)+AD97</f>
        <v>75.229285714285723</v>
      </c>
      <c r="AE96" s="351">
        <f t="shared" ref="AE96:AG96" si="32">AVERAGE($H$96:$N$96)+AE97</f>
        <v>75.229285714285723</v>
      </c>
      <c r="AF96" s="351">
        <f t="shared" si="32"/>
        <v>75.229285714285723</v>
      </c>
      <c r="AG96" s="351">
        <f t="shared" si="32"/>
        <v>75.229285714285723</v>
      </c>
      <c r="AH96" s="218"/>
      <c r="AI96" s="218"/>
    </row>
    <row r="97" spans="2:33" x14ac:dyDescent="0.25">
      <c r="B97" s="309" t="s">
        <v>1184</v>
      </c>
      <c r="C97" s="36"/>
      <c r="D97" s="309"/>
      <c r="E97" s="36"/>
      <c r="F97" s="36"/>
      <c r="G97" s="36"/>
      <c r="H97" s="36"/>
      <c r="I97" s="36"/>
      <c r="J97" s="36"/>
      <c r="K97" s="36"/>
      <c r="L97" s="36"/>
      <c r="M97" s="36"/>
      <c r="N97" s="36"/>
      <c r="O97" s="36"/>
      <c r="P97" s="36"/>
      <c r="Q97" s="36"/>
      <c r="R97" s="36"/>
      <c r="S97" s="314">
        <f>'IRA and CHIPS'!E185</f>
        <v>0</v>
      </c>
      <c r="T97" s="314">
        <f>'IRA and CHIPS'!F185</f>
        <v>0.81899999999999995</v>
      </c>
      <c r="U97" s="314">
        <f>'IRA and CHIPS'!G185</f>
        <v>0.81899999999999995</v>
      </c>
      <c r="V97" s="314">
        <f>'IRA and CHIPS'!H185</f>
        <v>0.81899999999999995</v>
      </c>
      <c r="W97" s="314">
        <f>'IRA and CHIPS'!I185</f>
        <v>0.81899999999999995</v>
      </c>
      <c r="X97" s="350">
        <f>'IRA and CHIPS'!J185</f>
        <v>2.4780000000000002</v>
      </c>
      <c r="Y97" s="350">
        <f>'IRA and CHIPS'!K185</f>
        <v>2.4780000000000002</v>
      </c>
      <c r="Z97" s="350">
        <f>'IRA and CHIPS'!L185</f>
        <v>2.4780000000000002</v>
      </c>
      <c r="AA97" s="350">
        <f>'IRA and CHIPS'!M185</f>
        <v>2.4780000000000002</v>
      </c>
      <c r="AB97" s="350">
        <f>'IRA and CHIPS'!N185</f>
        <v>4.0720000000000001</v>
      </c>
      <c r="AC97" s="350">
        <f>'IRA and CHIPS'!O185</f>
        <v>4.0720000000000001</v>
      </c>
      <c r="AD97" s="350">
        <f>'IRA and CHIPS'!T185</f>
        <v>0</v>
      </c>
      <c r="AE97" s="350">
        <v>0</v>
      </c>
      <c r="AF97" s="350">
        <v>0</v>
      </c>
      <c r="AG97" s="352">
        <v>0</v>
      </c>
    </row>
    <row r="98" spans="2:33" ht="18.75" customHeight="1" x14ac:dyDescent="0.25"/>
    <row r="99" spans="2:33" ht="21.75" customHeight="1" x14ac:dyDescent="0.25"/>
  </sheetData>
  <mergeCells count="42">
    <mergeCell ref="A66:A67"/>
    <mergeCell ref="B91:AC91"/>
    <mergeCell ref="Y73:AB73"/>
    <mergeCell ref="B72:C74"/>
    <mergeCell ref="I73:L73"/>
    <mergeCell ref="B90:Y90"/>
    <mergeCell ref="E73:H73"/>
    <mergeCell ref="M73:P73"/>
    <mergeCell ref="AC73:AF73"/>
    <mergeCell ref="D72:V72"/>
    <mergeCell ref="W72:AG72"/>
    <mergeCell ref="AI25:AJ25"/>
    <mergeCell ref="AI29:AJ30"/>
    <mergeCell ref="AI35:AJ35"/>
    <mergeCell ref="B24:AC24"/>
    <mergeCell ref="Q73:R73"/>
    <mergeCell ref="Q48:AL48"/>
    <mergeCell ref="Q49:S49"/>
    <mergeCell ref="T49:Y49"/>
    <mergeCell ref="AH49:AK49"/>
    <mergeCell ref="B93:C95"/>
    <mergeCell ref="I94:L94"/>
    <mergeCell ref="E94:H94"/>
    <mergeCell ref="Y94:AB94"/>
    <mergeCell ref="B1:Y1"/>
    <mergeCell ref="B6:C8"/>
    <mergeCell ref="I7:L7"/>
    <mergeCell ref="M94:P94"/>
    <mergeCell ref="Q94:T94"/>
    <mergeCell ref="AC94:AF94"/>
    <mergeCell ref="W93:AG93"/>
    <mergeCell ref="D93:V93"/>
    <mergeCell ref="AH6:AH8"/>
    <mergeCell ref="AI6:AI8"/>
    <mergeCell ref="E7:H7"/>
    <mergeCell ref="Y7:AB7"/>
    <mergeCell ref="B2:AC4"/>
    <mergeCell ref="M7:P7"/>
    <mergeCell ref="Q7:T7"/>
    <mergeCell ref="D6:V6"/>
    <mergeCell ref="W6:AG6"/>
    <mergeCell ref="AC7:AF7"/>
  </mergeCells>
  <pageMargins left="0.7" right="0.7" top="0.75" bottom="0.75" header="0.3" footer="0.3"/>
  <pageSetup orientation="portrait"/>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P60"/>
  <sheetViews>
    <sheetView topLeftCell="A32" zoomScale="93" zoomScaleNormal="110" workbookViewId="0">
      <selection activeCell="D26" sqref="D26"/>
    </sheetView>
  </sheetViews>
  <sheetFormatPr defaultColWidth="10.85546875" defaultRowHeight="15" x14ac:dyDescent="0.25"/>
  <cols>
    <col min="2" max="2" width="56.85546875" customWidth="1"/>
    <col min="3" max="3" width="18" customWidth="1"/>
    <col min="4" max="7" width="10" customWidth="1"/>
    <col min="8" max="8" width="14.140625" customWidth="1"/>
    <col min="9" max="9" width="10.140625" customWidth="1"/>
    <col min="10" max="10" width="11.85546875" customWidth="1"/>
    <col min="11" max="11" width="13.42578125" customWidth="1"/>
    <col min="12" max="12" width="11.42578125" customWidth="1"/>
    <col min="13" max="13" width="12" customWidth="1"/>
    <col min="14" max="14" width="9" customWidth="1"/>
    <col min="15" max="16" width="10.140625" customWidth="1"/>
    <col min="17" max="17" width="12.140625" customWidth="1"/>
    <col min="18" max="18" width="10" customWidth="1"/>
    <col min="19" max="19" width="9" customWidth="1"/>
    <col min="20" max="26" width="8.85546875" customWidth="1"/>
    <col min="37" max="37" width="14.140625" customWidth="1"/>
    <col min="43" max="43" width="31.85546875" customWidth="1"/>
    <col min="45" max="45" width="10.140625" customWidth="1"/>
  </cols>
  <sheetData>
    <row r="1" spans="2:68" ht="20.25" customHeight="1" x14ac:dyDescent="0.25">
      <c r="B1" s="1288" t="s">
        <v>385</v>
      </c>
      <c r="C1" s="1288"/>
      <c r="D1" s="1288"/>
      <c r="E1" s="1288"/>
      <c r="F1" s="1288"/>
      <c r="G1" s="1288"/>
      <c r="H1" s="1288"/>
      <c r="I1" s="1288"/>
      <c r="J1" s="1288"/>
      <c r="K1" s="1288"/>
      <c r="L1" s="1288"/>
      <c r="M1" s="1288"/>
      <c r="N1" s="1288"/>
      <c r="O1" s="1288"/>
      <c r="P1" s="1288"/>
      <c r="Q1" s="1288"/>
      <c r="R1" s="1288"/>
      <c r="S1" s="1288"/>
      <c r="T1" s="1288"/>
      <c r="U1" s="1288"/>
      <c r="V1" s="1288"/>
      <c r="W1" s="1288"/>
      <c r="X1" s="1288"/>
      <c r="Y1" s="1288"/>
      <c r="Z1" s="1288"/>
      <c r="AA1" s="1288"/>
      <c r="AB1" s="1288"/>
      <c r="AC1" s="1288"/>
      <c r="AD1" s="202"/>
      <c r="AE1" s="202"/>
      <c r="AF1" s="202"/>
      <c r="AG1" s="202"/>
    </row>
    <row r="2" spans="2:68" ht="14.25" customHeight="1" x14ac:dyDescent="0.25">
      <c r="B2" s="1332" t="s">
        <v>386</v>
      </c>
      <c r="C2" s="1332"/>
      <c r="D2" s="1332"/>
      <c r="E2" s="1332"/>
      <c r="F2" s="1332"/>
      <c r="G2" s="1332"/>
      <c r="H2" s="1332"/>
      <c r="I2" s="1332"/>
      <c r="J2" s="1332"/>
      <c r="K2" s="1332"/>
      <c r="L2" s="1332"/>
      <c r="M2" s="1332"/>
      <c r="N2" s="1332"/>
      <c r="O2" s="1332"/>
      <c r="P2" s="1332"/>
      <c r="Q2" s="1332"/>
      <c r="R2" s="1332"/>
      <c r="S2" s="1332"/>
      <c r="T2" s="1332"/>
      <c r="U2" s="1332"/>
      <c r="V2" s="1332"/>
      <c r="W2" s="1332"/>
      <c r="X2" s="1332"/>
      <c r="Y2" s="1332"/>
      <c r="Z2" s="1332"/>
      <c r="AA2" s="1332"/>
      <c r="AB2" s="1332"/>
      <c r="AC2" s="1332"/>
      <c r="AD2" s="237"/>
      <c r="AE2" s="237"/>
      <c r="AF2" s="237"/>
      <c r="AG2" s="237"/>
    </row>
    <row r="3" spans="2:68" ht="9" customHeight="1" x14ac:dyDescent="0.25">
      <c r="B3" s="1332"/>
      <c r="C3" s="1332"/>
      <c r="D3" s="1332"/>
      <c r="E3" s="1332"/>
      <c r="F3" s="1332"/>
      <c r="G3" s="1332"/>
      <c r="H3" s="1332"/>
      <c r="I3" s="1332"/>
      <c r="J3" s="1332"/>
      <c r="K3" s="1332"/>
      <c r="L3" s="1332"/>
      <c r="M3" s="1332"/>
      <c r="N3" s="1332"/>
      <c r="O3" s="1332"/>
      <c r="P3" s="1332"/>
      <c r="Q3" s="1332"/>
      <c r="R3" s="1332"/>
      <c r="S3" s="1332"/>
      <c r="T3" s="1332"/>
      <c r="U3" s="1332"/>
      <c r="V3" s="1332"/>
      <c r="W3" s="1332"/>
      <c r="X3" s="1332"/>
      <c r="Y3" s="1332"/>
      <c r="Z3" s="1332"/>
      <c r="AA3" s="1332"/>
      <c r="AB3" s="1332"/>
      <c r="AC3" s="1332"/>
      <c r="AD3" s="237"/>
      <c r="AE3" s="237"/>
      <c r="AF3" s="237"/>
      <c r="AG3" s="237"/>
    </row>
    <row r="4" spans="2:68" ht="27" customHeight="1" x14ac:dyDescent="0.25">
      <c r="B4" s="1332"/>
      <c r="C4" s="1332"/>
      <c r="D4" s="1332"/>
      <c r="E4" s="1332"/>
      <c r="F4" s="1332"/>
      <c r="G4" s="1332"/>
      <c r="H4" s="1332"/>
      <c r="I4" s="1332"/>
      <c r="J4" s="1332"/>
      <c r="K4" s="1332"/>
      <c r="L4" s="1332"/>
      <c r="M4" s="1332"/>
      <c r="N4" s="1332"/>
      <c r="O4" s="1332"/>
      <c r="P4" s="1332"/>
      <c r="Q4" s="1332"/>
      <c r="R4" s="1332"/>
      <c r="S4" s="1332"/>
      <c r="T4" s="1332"/>
      <c r="U4" s="1332"/>
      <c r="V4" s="1332"/>
      <c r="W4" s="1332"/>
      <c r="X4" s="1332"/>
      <c r="Y4" s="1332"/>
      <c r="Z4" s="1332"/>
      <c r="AA4" s="1332"/>
      <c r="AB4" s="1332"/>
      <c r="AC4" s="1332"/>
      <c r="AD4" s="237"/>
      <c r="AE4" s="237"/>
      <c r="AF4" s="237"/>
      <c r="AG4" s="237"/>
      <c r="AI4" s="477"/>
      <c r="AJ4" s="477"/>
      <c r="AK4" s="477"/>
      <c r="AL4" s="477"/>
      <c r="AM4" s="477"/>
      <c r="AN4" s="477"/>
      <c r="AO4" s="477"/>
      <c r="AP4" s="477"/>
      <c r="AQ4" s="477"/>
    </row>
    <row r="5" spans="2:68" x14ac:dyDescent="0.25">
      <c r="B5" s="273"/>
      <c r="AC5" s="213"/>
      <c r="AD5" s="213"/>
      <c r="AE5" s="213"/>
      <c r="AF5" s="213"/>
      <c r="AG5" s="213"/>
      <c r="AH5" s="213"/>
      <c r="AI5" s="213"/>
      <c r="AJ5" s="213"/>
    </row>
    <row r="6" spans="2:68" ht="14.85" customHeight="1" x14ac:dyDescent="0.25">
      <c r="B6" s="1341" t="s">
        <v>279</v>
      </c>
      <c r="C6" s="1342"/>
      <c r="D6" s="1349" t="s">
        <v>280</v>
      </c>
      <c r="E6" s="1350"/>
      <c r="F6" s="1350"/>
      <c r="G6" s="1350"/>
      <c r="H6" s="1350"/>
      <c r="I6" s="1350"/>
      <c r="J6" s="1350"/>
      <c r="K6" s="1350"/>
      <c r="L6" s="1350"/>
      <c r="M6" s="1350"/>
      <c r="N6" s="1350"/>
      <c r="O6" s="1350"/>
      <c r="P6" s="1350"/>
      <c r="Q6" s="1350"/>
      <c r="R6" s="1350"/>
      <c r="S6" s="1350"/>
      <c r="T6" s="1350"/>
      <c r="U6" s="1351"/>
      <c r="V6" s="1344"/>
      <c r="W6" s="1328" t="s">
        <v>281</v>
      </c>
      <c r="X6" s="1329"/>
      <c r="Y6" s="1330"/>
      <c r="Z6" s="1330"/>
      <c r="AA6" s="1330"/>
      <c r="AB6" s="1330"/>
      <c r="AC6" s="1330"/>
      <c r="AD6" s="1330"/>
      <c r="AE6" s="1330"/>
      <c r="AF6" s="1330"/>
      <c r="AG6" s="1330"/>
    </row>
    <row r="7" spans="2:68" ht="14.85" customHeight="1" x14ac:dyDescent="0.25">
      <c r="B7" s="1343"/>
      <c r="C7" s="1344"/>
      <c r="D7" s="427">
        <v>2018</v>
      </c>
      <c r="E7" s="1345">
        <v>2019</v>
      </c>
      <c r="F7" s="1346"/>
      <c r="G7" s="1346"/>
      <c r="H7" s="1347"/>
      <c r="I7" s="1345">
        <v>2020</v>
      </c>
      <c r="J7" s="1346"/>
      <c r="K7" s="1346"/>
      <c r="L7" s="1346"/>
      <c r="M7" s="1345">
        <v>2021</v>
      </c>
      <c r="N7" s="1346"/>
      <c r="O7" s="1346"/>
      <c r="P7" s="1346"/>
      <c r="Q7" s="1345">
        <v>2022</v>
      </c>
      <c r="R7" s="1348"/>
      <c r="S7" s="1348"/>
      <c r="T7" s="1348"/>
      <c r="U7" s="229"/>
      <c r="V7" s="278">
        <v>2023</v>
      </c>
      <c r="W7" s="279"/>
      <c r="X7" s="250"/>
      <c r="Y7" s="1300">
        <v>2024</v>
      </c>
      <c r="Z7" s="1312"/>
      <c r="AA7" s="1312"/>
      <c r="AB7" s="1301"/>
      <c r="AC7" s="1299">
        <v>2025</v>
      </c>
      <c r="AD7" s="1300"/>
      <c r="AE7" s="1300"/>
      <c r="AF7" s="1300"/>
      <c r="AG7" s="241">
        <v>2026</v>
      </c>
    </row>
    <row r="8" spans="2:68" x14ac:dyDescent="0.25">
      <c r="B8" s="1343"/>
      <c r="C8" s="1344"/>
      <c r="D8" s="463" t="s">
        <v>282</v>
      </c>
      <c r="E8" s="463" t="s">
        <v>283</v>
      </c>
      <c r="F8" s="448" t="s">
        <v>284</v>
      </c>
      <c r="G8" s="448" t="s">
        <v>238</v>
      </c>
      <c r="H8" s="464" t="s">
        <v>282</v>
      </c>
      <c r="I8" s="448" t="s">
        <v>283</v>
      </c>
      <c r="J8" s="448" t="s">
        <v>284</v>
      </c>
      <c r="K8" s="448" t="s">
        <v>238</v>
      </c>
      <c r="L8" s="448" t="s">
        <v>282</v>
      </c>
      <c r="M8" s="463" t="s">
        <v>283</v>
      </c>
      <c r="N8" s="448" t="s">
        <v>284</v>
      </c>
      <c r="O8" s="448" t="s">
        <v>238</v>
      </c>
      <c r="P8" s="448" t="s">
        <v>282</v>
      </c>
      <c r="Q8" s="463" t="s">
        <v>283</v>
      </c>
      <c r="R8" s="448" t="s">
        <v>284</v>
      </c>
      <c r="S8" s="448" t="s">
        <v>238</v>
      </c>
      <c r="T8" s="448" t="s">
        <v>282</v>
      </c>
      <c r="U8" s="204" t="s">
        <v>283</v>
      </c>
      <c r="V8" s="205" t="s">
        <v>284</v>
      </c>
      <c r="W8" s="316" t="s">
        <v>238</v>
      </c>
      <c r="X8" s="422" t="s">
        <v>282</v>
      </c>
      <c r="Y8" s="260" t="s">
        <v>283</v>
      </c>
      <c r="Z8" s="257" t="s">
        <v>284</v>
      </c>
      <c r="AA8" s="260" t="s">
        <v>238</v>
      </c>
      <c r="AB8" s="260" t="s">
        <v>282</v>
      </c>
      <c r="AC8" s="423" t="s">
        <v>283</v>
      </c>
      <c r="AD8" s="323" t="s">
        <v>284</v>
      </c>
      <c r="AE8" s="260" t="s">
        <v>238</v>
      </c>
      <c r="AF8" s="260" t="s">
        <v>282</v>
      </c>
      <c r="AG8" s="262" t="s">
        <v>283</v>
      </c>
    </row>
    <row r="9" spans="2:68" ht="18" customHeight="1" x14ac:dyDescent="0.25">
      <c r="B9" s="457" t="s">
        <v>2263</v>
      </c>
      <c r="C9" s="458"/>
      <c r="D9" s="459"/>
      <c r="E9" s="459"/>
      <c r="F9" s="459"/>
      <c r="G9" s="459"/>
      <c r="H9" s="459"/>
      <c r="I9" s="459"/>
      <c r="J9" s="459"/>
      <c r="K9" s="459"/>
      <c r="L9" s="459"/>
      <c r="M9" s="459">
        <v>1609.9</v>
      </c>
      <c r="N9" s="459">
        <v>1588.5</v>
      </c>
      <c r="O9" s="459">
        <v>1576.4</v>
      </c>
      <c r="P9" s="459">
        <v>1602.5</v>
      </c>
      <c r="Q9" s="429">
        <v>1601.7</v>
      </c>
      <c r="R9" s="429">
        <v>1612.3</v>
      </c>
      <c r="S9" s="429">
        <v>1636.3</v>
      </c>
      <c r="T9" s="429">
        <v>1691.8</v>
      </c>
      <c r="U9" s="429">
        <v>1730.6</v>
      </c>
      <c r="V9" s="429">
        <v>1744.3</v>
      </c>
      <c r="W9" s="429">
        <v>1791.6</v>
      </c>
      <c r="X9" s="429">
        <v>1795.9</v>
      </c>
      <c r="Y9" s="428">
        <v>1804.5</v>
      </c>
      <c r="Z9" s="428">
        <v>1815.8</v>
      </c>
      <c r="AA9" s="428">
        <v>1831.3</v>
      </c>
      <c r="AB9" s="428">
        <v>1845.1</v>
      </c>
      <c r="AC9" s="428">
        <v>1856.5</v>
      </c>
      <c r="AD9" s="428">
        <v>1868.4</v>
      </c>
      <c r="AE9" s="428">
        <v>1881.1</v>
      </c>
      <c r="AF9" s="428">
        <v>1895</v>
      </c>
      <c r="AG9" s="444">
        <v>1909</v>
      </c>
      <c r="AH9">
        <v>1923.3</v>
      </c>
      <c r="AI9">
        <v>1937.9</v>
      </c>
      <c r="AJ9">
        <v>1952.4</v>
      </c>
      <c r="AK9">
        <v>1965.7</v>
      </c>
      <c r="AL9">
        <v>1979.2</v>
      </c>
      <c r="AM9">
        <v>1992.8</v>
      </c>
      <c r="AN9">
        <v>2007</v>
      </c>
      <c r="AO9">
        <v>2020.8</v>
      </c>
      <c r="AP9">
        <v>2034.6</v>
      </c>
      <c r="AQ9">
        <v>2048.6</v>
      </c>
      <c r="AR9">
        <v>2062.9</v>
      </c>
      <c r="AS9">
        <v>2076.9</v>
      </c>
      <c r="AT9">
        <v>2091</v>
      </c>
      <c r="AU9">
        <v>2105.1999999999998</v>
      </c>
      <c r="AV9">
        <v>2119.5</v>
      </c>
      <c r="AW9">
        <v>2133.6999999999998</v>
      </c>
      <c r="AX9">
        <v>2147.9</v>
      </c>
      <c r="AY9">
        <v>2162.3000000000002</v>
      </c>
      <c r="AZ9">
        <v>2176.6</v>
      </c>
      <c r="BA9">
        <v>2190.6</v>
      </c>
      <c r="BB9">
        <v>2204.6</v>
      </c>
      <c r="BC9">
        <v>2219</v>
      </c>
      <c r="BD9">
        <v>2226.6999999999998</v>
      </c>
      <c r="BE9">
        <v>2235.3000000000002</v>
      </c>
      <c r="BF9">
        <v>2245.3000000000002</v>
      </c>
      <c r="BG9">
        <v>2259.1999999999998</v>
      </c>
      <c r="BH9">
        <v>2276.1</v>
      </c>
      <c r="BI9">
        <v>2292.3000000000002</v>
      </c>
      <c r="BJ9">
        <v>2308</v>
      </c>
      <c r="BK9">
        <v>2322.9</v>
      </c>
      <c r="BL9">
        <v>2337.9</v>
      </c>
      <c r="BM9">
        <v>2352.6999999999998</v>
      </c>
      <c r="BN9">
        <v>2367.6</v>
      </c>
      <c r="BO9">
        <v>2382.6</v>
      </c>
      <c r="BP9">
        <v>2398.1</v>
      </c>
    </row>
    <row r="10" spans="2:68" ht="17.25" customHeight="1" x14ac:dyDescent="0.25">
      <c r="B10" s="462" t="s">
        <v>2264</v>
      </c>
      <c r="C10" s="454"/>
      <c r="D10" s="454"/>
      <c r="E10" s="454"/>
      <c r="F10" s="454"/>
      <c r="G10" s="454"/>
      <c r="H10" s="455"/>
      <c r="I10" s="455"/>
      <c r="J10" s="455"/>
      <c r="K10" s="455"/>
      <c r="L10" s="455"/>
      <c r="M10" s="455">
        <v>22.143000000000001</v>
      </c>
      <c r="N10" s="455">
        <v>-5.2320000000000002</v>
      </c>
      <c r="O10" s="455">
        <v>-2.996</v>
      </c>
      <c r="P10" s="455">
        <v>6.7709999999999999</v>
      </c>
      <c r="Q10" s="213">
        <v>-0.192</v>
      </c>
      <c r="R10" s="213">
        <v>2.6680000000000001</v>
      </c>
      <c r="S10" s="213">
        <v>6.1040000000000001</v>
      </c>
      <c r="T10" s="213">
        <v>14.257</v>
      </c>
      <c r="U10" s="213">
        <v>9.5150000000000006</v>
      </c>
      <c r="V10" s="213">
        <v>3.1989999999999998</v>
      </c>
      <c r="W10" s="213">
        <v>11.278</v>
      </c>
      <c r="X10" s="213">
        <v>0.98099999999999998</v>
      </c>
      <c r="Y10" s="1180">
        <v>1.93</v>
      </c>
      <c r="Z10" s="1180">
        <v>2.5139999999999998</v>
      </c>
      <c r="AA10" s="1180">
        <v>3.4710000000000001</v>
      </c>
      <c r="AB10" s="1180">
        <v>3.0489999999999999</v>
      </c>
      <c r="AC10" s="1180">
        <v>2.476</v>
      </c>
      <c r="AD10" s="1180">
        <v>2.597</v>
      </c>
      <c r="AE10" s="1180">
        <v>2.7549999999999999</v>
      </c>
      <c r="AF10" s="1180">
        <v>2.9870000000000001</v>
      </c>
      <c r="AG10" s="1180">
        <v>2.988</v>
      </c>
      <c r="AH10" s="1180">
        <v>3.0230000000000001</v>
      </c>
      <c r="AI10" s="1180">
        <v>3.0569999999999999</v>
      </c>
      <c r="AJ10" s="1180">
        <v>3.044</v>
      </c>
      <c r="AK10" s="1180">
        <v>2.7509999999999999</v>
      </c>
      <c r="AL10">
        <v>2.7629999999999999</v>
      </c>
      <c r="AM10">
        <v>2.7759999999999998</v>
      </c>
      <c r="AN10">
        <v>2.891</v>
      </c>
      <c r="AO10">
        <v>2.7650000000000001</v>
      </c>
      <c r="AP10">
        <v>2.7719999999999998</v>
      </c>
      <c r="AQ10">
        <v>2.778</v>
      </c>
      <c r="AR10">
        <v>2.827</v>
      </c>
      <c r="AS10">
        <v>2.74</v>
      </c>
      <c r="AT10">
        <v>2.7410000000000001</v>
      </c>
      <c r="AU10">
        <v>2.7450000000000001</v>
      </c>
      <c r="AV10">
        <v>2.746</v>
      </c>
      <c r="AW10">
        <v>2.698</v>
      </c>
      <c r="AX10">
        <v>2.6989999999999998</v>
      </c>
      <c r="AY10">
        <v>2.6989999999999998</v>
      </c>
      <c r="AZ10">
        <v>2.677</v>
      </c>
      <c r="BA10">
        <v>2.5880000000000001</v>
      </c>
      <c r="BB10">
        <v>2.5880000000000001</v>
      </c>
      <c r="BC10">
        <v>2.6259999999999999</v>
      </c>
      <c r="BD10">
        <v>1.411</v>
      </c>
      <c r="BE10">
        <v>1.542</v>
      </c>
      <c r="BF10">
        <v>1.8089999999999999</v>
      </c>
      <c r="BG10">
        <v>2.4870000000000001</v>
      </c>
      <c r="BH10">
        <v>3.0409999999999999</v>
      </c>
      <c r="BI10">
        <v>2.8620000000000001</v>
      </c>
      <c r="BJ10">
        <v>2.7770000000000001</v>
      </c>
      <c r="BK10">
        <v>2.6040000000000001</v>
      </c>
      <c r="BL10">
        <v>2.6080000000000001</v>
      </c>
      <c r="BM10">
        <v>2.5529999999999999</v>
      </c>
      <c r="BN10">
        <v>2.5569999999999999</v>
      </c>
      <c r="BO10">
        <v>2.5609999999999999</v>
      </c>
      <c r="BP10">
        <v>2.6230000000000002</v>
      </c>
    </row>
    <row r="11" spans="2:68" ht="17.25" customHeight="1" x14ac:dyDescent="0.25">
      <c r="B11" s="468" t="s">
        <v>195</v>
      </c>
      <c r="C11" s="454" t="s">
        <v>908</v>
      </c>
      <c r="D11" s="454"/>
      <c r="E11" s="454"/>
      <c r="F11" s="454"/>
      <c r="G11" s="454"/>
      <c r="H11" s="443">
        <f>'Haver Pivoted'!GS23</f>
        <v>1442</v>
      </c>
      <c r="I11" s="443">
        <f>'Haver Pivoted'!GT23</f>
        <v>1464.7</v>
      </c>
      <c r="J11" s="443">
        <f>'Haver Pivoted'!GU23</f>
        <v>1569.8</v>
      </c>
      <c r="K11" s="443">
        <f>'Haver Pivoted'!GV23</f>
        <v>1527.7</v>
      </c>
      <c r="L11" s="443">
        <f>'Haver Pivoted'!GW23</f>
        <v>1531.4</v>
      </c>
      <c r="M11" s="443">
        <f>'Haver Pivoted'!GX23</f>
        <v>1609.9</v>
      </c>
      <c r="N11" s="443">
        <f>'Haver Pivoted'!GY23</f>
        <v>1588.5</v>
      </c>
      <c r="O11" s="443">
        <f>'Haver Pivoted'!GZ23</f>
        <v>1576.4</v>
      </c>
      <c r="P11" s="443">
        <f>'Haver Pivoted'!HA23</f>
        <v>1602.5</v>
      </c>
      <c r="Q11" s="443">
        <f>'Haver Pivoted'!HB23</f>
        <v>1601.7</v>
      </c>
      <c r="R11" s="443">
        <f>'Haver Pivoted'!HC23</f>
        <v>1612.3</v>
      </c>
      <c r="S11" s="456">
        <f>'Haver Pivoted'!HD23</f>
        <v>1636.3</v>
      </c>
      <c r="T11" s="456">
        <f>'Haver Pivoted'!HE23</f>
        <v>1691.8</v>
      </c>
      <c r="U11" s="456">
        <f>'Haver Pivoted'!HF23</f>
        <v>1730.6</v>
      </c>
      <c r="V11" s="456">
        <f>'Haver Pivoted'!HG23</f>
        <v>1744.3</v>
      </c>
      <c r="W11" s="456">
        <f>'Haver Pivoted'!HH23</f>
        <v>1791.9</v>
      </c>
      <c r="X11" s="456">
        <f>'Haver Pivoted'!HI23</f>
        <v>1820</v>
      </c>
      <c r="Y11" s="456">
        <f>'Haver Pivoted'!HJ23</f>
        <v>1837.2</v>
      </c>
      <c r="Z11" s="446">
        <f t="shared" ref="Z11:AE11" si="0">(1+(Z10/100))^(1/4)*Y11</f>
        <v>1848.6395138374351</v>
      </c>
      <c r="AA11" s="446">
        <f t="shared" si="0"/>
        <v>1864.4764115111357</v>
      </c>
      <c r="AB11" s="446">
        <f t="shared" si="0"/>
        <v>1878.528717728633</v>
      </c>
      <c r="AC11" s="446">
        <f t="shared" si="0"/>
        <v>1890.0503769897132</v>
      </c>
      <c r="AD11" s="446">
        <f t="shared" si="0"/>
        <v>1902.2038020847165</v>
      </c>
      <c r="AE11" s="446">
        <f t="shared" si="0"/>
        <v>1915.1720115226869</v>
      </c>
      <c r="AF11" s="446">
        <f>(1+(AF10/100))^(1/4)*AE11</f>
        <v>1929.3160985174152</v>
      </c>
      <c r="AG11" s="446">
        <f>(1+(AG10/100))^(1/4)*AF11</f>
        <v>1943.569361563337</v>
      </c>
    </row>
    <row r="12" spans="2:68" x14ac:dyDescent="0.25">
      <c r="B12" s="465" t="s">
        <v>387</v>
      </c>
      <c r="C12" s="466"/>
      <c r="D12" s="466"/>
      <c r="E12" s="466"/>
      <c r="F12" s="466"/>
      <c r="G12" s="466"/>
      <c r="H12" s="441">
        <f t="shared" ref="H12:AB12" si="1">H11+H50</f>
        <v>1720.9849999999999</v>
      </c>
      <c r="I12" s="441">
        <f t="shared" si="1"/>
        <v>1754.057</v>
      </c>
      <c r="J12" s="441">
        <f t="shared" si="1"/>
        <v>1966.0359999999998</v>
      </c>
      <c r="K12" s="441">
        <f t="shared" si="1"/>
        <v>1905.4850000000001</v>
      </c>
      <c r="L12" s="441">
        <f t="shared" si="1"/>
        <v>1896.345</v>
      </c>
      <c r="M12" s="441">
        <f t="shared" si="1"/>
        <v>2003.2760000000001</v>
      </c>
      <c r="N12" s="441">
        <f t="shared" si="1"/>
        <v>2017.9880000000003</v>
      </c>
      <c r="O12" s="441">
        <f t="shared" si="1"/>
        <v>2022.1680000000001</v>
      </c>
      <c r="P12" s="441">
        <f t="shared" si="1"/>
        <v>2070.8738520000002</v>
      </c>
      <c r="Q12" s="441">
        <f t="shared" si="1"/>
        <v>2110.3372748000002</v>
      </c>
      <c r="R12" s="441">
        <f t="shared" si="1"/>
        <v>2188.4153177142857</v>
      </c>
      <c r="S12" s="441">
        <f t="shared" si="1"/>
        <v>2198.4051537142859</v>
      </c>
      <c r="T12" s="441">
        <f t="shared" si="1"/>
        <v>2213.3022137142857</v>
      </c>
      <c r="U12" s="442">
        <f t="shared" si="1"/>
        <v>2246.2598289142857</v>
      </c>
      <c r="V12" s="442">
        <f t="shared" si="1"/>
        <v>2249.5060057142855</v>
      </c>
      <c r="W12" s="442">
        <f t="shared" si="1"/>
        <v>2283.567229714286</v>
      </c>
      <c r="X12" s="442">
        <f t="shared" si="1"/>
        <v>2325.2442297142857</v>
      </c>
      <c r="Y12" s="467">
        <f t="shared" si="1"/>
        <v>2342.172229714286</v>
      </c>
      <c r="Z12" s="467">
        <f t="shared" si="1"/>
        <v>2344.3768168349688</v>
      </c>
      <c r="AA12" s="467">
        <f t="shared" si="1"/>
        <v>2364.6939198078621</v>
      </c>
      <c r="AB12" s="467">
        <f t="shared" si="1"/>
        <v>2385.1115291246765</v>
      </c>
      <c r="AC12" s="445">
        <f>AC11+AC50</f>
        <v>2379.8227397039991</v>
      </c>
      <c r="AD12" s="445"/>
      <c r="AE12" s="445"/>
      <c r="AF12" s="445"/>
      <c r="AG12" s="445"/>
      <c r="AH12" s="230" t="s">
        <v>388</v>
      </c>
    </row>
    <row r="13" spans="2:68" ht="15.75" customHeight="1" x14ac:dyDescent="0.25">
      <c r="B13" s="239"/>
      <c r="C13" s="239"/>
      <c r="D13" s="239"/>
      <c r="E13" s="239"/>
      <c r="F13" s="239"/>
      <c r="G13" s="239"/>
      <c r="H13" s="221"/>
      <c r="I13" s="221"/>
      <c r="J13" s="221"/>
      <c r="K13" s="221"/>
      <c r="L13" s="221"/>
      <c r="M13" s="221"/>
      <c r="N13" s="221"/>
      <c r="O13" s="221"/>
      <c r="AC13" s="35"/>
      <c r="AD13" s="35"/>
      <c r="AH13" s="230"/>
    </row>
    <row r="14" spans="2:68" x14ac:dyDescent="0.25">
      <c r="B14" s="239"/>
      <c r="C14" s="239"/>
      <c r="D14" s="239"/>
      <c r="E14" s="239"/>
      <c r="F14" s="239"/>
      <c r="G14" s="239"/>
      <c r="H14" s="221"/>
      <c r="I14" s="221"/>
      <c r="J14" s="221"/>
      <c r="K14" s="221"/>
      <c r="L14" s="221"/>
      <c r="M14" s="221"/>
      <c r="N14" s="221"/>
      <c r="O14" s="221"/>
      <c r="P14" s="474"/>
      <c r="Q14" s="474"/>
      <c r="R14" s="474"/>
      <c r="S14" s="474"/>
      <c r="T14" s="474"/>
      <c r="U14" s="474"/>
      <c r="V14" s="474"/>
      <c r="W14" s="474"/>
      <c r="X14" s="474"/>
      <c r="Y14" s="474"/>
      <c r="Z14" s="474"/>
      <c r="AA14" s="474"/>
      <c r="AB14" s="474"/>
      <c r="AC14" s="474"/>
      <c r="AD14" s="474"/>
      <c r="AE14" s="474"/>
      <c r="AF14" s="474"/>
      <c r="AG14" s="474"/>
    </row>
    <row r="15" spans="2:68" ht="21.75" customHeight="1" x14ac:dyDescent="0.25">
      <c r="B15" s="1288" t="s">
        <v>165</v>
      </c>
      <c r="C15" s="1288"/>
      <c r="D15" s="1288"/>
      <c r="E15" s="1288"/>
      <c r="F15" s="1288"/>
      <c r="G15" s="1288"/>
      <c r="H15" s="1288"/>
      <c r="I15" s="1288"/>
      <c r="J15" s="1288"/>
      <c r="K15" s="1288"/>
      <c r="L15" s="1288"/>
      <c r="M15" s="1288"/>
      <c r="N15" s="1288"/>
      <c r="O15" s="1288"/>
      <c r="P15" s="1288"/>
      <c r="Q15" s="1288"/>
      <c r="R15" s="1288"/>
      <c r="S15" s="1288"/>
      <c r="T15" s="1288"/>
      <c r="U15" s="1288"/>
      <c r="V15" s="1288"/>
      <c r="W15" s="1288"/>
      <c r="X15" s="1288"/>
      <c r="Y15" s="1288"/>
      <c r="Z15" s="1288"/>
      <c r="AA15" s="1288"/>
      <c r="AB15" s="1288"/>
      <c r="AC15" s="1288"/>
      <c r="AD15" s="202"/>
      <c r="AE15" s="202"/>
      <c r="AF15" s="202"/>
      <c r="AG15" s="202"/>
      <c r="AI15" s="73"/>
    </row>
    <row r="16" spans="2:68" ht="14.25" customHeight="1" x14ac:dyDescent="0.25">
      <c r="B16" s="1289" t="s">
        <v>389</v>
      </c>
      <c r="C16" s="1289"/>
      <c r="D16" s="1289"/>
      <c r="E16" s="1289"/>
      <c r="F16" s="1289"/>
      <c r="G16" s="1289"/>
      <c r="H16" s="1289"/>
      <c r="I16" s="1289"/>
      <c r="J16" s="1289"/>
      <c r="K16" s="1289"/>
      <c r="L16" s="1289"/>
      <c r="M16" s="1289"/>
      <c r="N16" s="1289"/>
      <c r="O16" s="1289"/>
      <c r="P16" s="1289"/>
      <c r="Q16" s="1289"/>
      <c r="R16" s="1289"/>
      <c r="S16" s="1289"/>
      <c r="T16" s="1289"/>
      <c r="U16" s="1289"/>
      <c r="V16" s="1289"/>
      <c r="W16" s="1289"/>
      <c r="X16" s="1289"/>
      <c r="Y16" s="1289"/>
      <c r="Z16" s="1289"/>
      <c r="AA16" s="1289"/>
      <c r="AB16" s="1289"/>
      <c r="AC16" s="1289"/>
      <c r="AD16" s="203"/>
      <c r="AE16" s="203"/>
      <c r="AF16" s="203"/>
      <c r="AG16" s="203"/>
      <c r="AI16" s="73"/>
    </row>
    <row r="17" spans="2:68" x14ac:dyDescent="0.25">
      <c r="B17" s="1289"/>
      <c r="C17" s="1289"/>
      <c r="D17" s="1289"/>
      <c r="E17" s="1289"/>
      <c r="F17" s="1289"/>
      <c r="G17" s="1289"/>
      <c r="H17" s="1289"/>
      <c r="I17" s="1289"/>
      <c r="J17" s="1289"/>
      <c r="K17" s="1289"/>
      <c r="L17" s="1289"/>
      <c r="M17" s="1289"/>
      <c r="N17" s="1289"/>
      <c r="O17" s="1289"/>
      <c r="P17" s="1289"/>
      <c r="Q17" s="1289"/>
      <c r="R17" s="1289"/>
      <c r="S17" s="1289"/>
      <c r="T17" s="1289"/>
      <c r="U17" s="1289"/>
      <c r="V17" s="1289"/>
      <c r="W17" s="1289"/>
      <c r="X17" s="1289"/>
      <c r="Y17" s="1289"/>
      <c r="Z17" s="1289"/>
      <c r="AA17" s="1289"/>
      <c r="AB17" s="1289"/>
      <c r="AC17" s="1289"/>
      <c r="AD17" s="203"/>
      <c r="AE17" s="203"/>
      <c r="AF17" s="203"/>
      <c r="AG17" s="203"/>
    </row>
    <row r="18" spans="2:68" x14ac:dyDescent="0.25">
      <c r="B18" s="1289"/>
      <c r="C18" s="1289"/>
      <c r="D18" s="1289"/>
      <c r="E18" s="1289"/>
      <c r="F18" s="1289"/>
      <c r="G18" s="1289"/>
      <c r="H18" s="1289"/>
      <c r="I18" s="1289"/>
      <c r="J18" s="1289"/>
      <c r="K18" s="1289"/>
      <c r="L18" s="1289"/>
      <c r="M18" s="1289"/>
      <c r="N18" s="1289"/>
      <c r="O18" s="1289"/>
      <c r="P18" s="1289"/>
      <c r="Q18" s="1289"/>
      <c r="R18" s="1289"/>
      <c r="S18" s="1289"/>
      <c r="T18" s="1289"/>
      <c r="U18" s="1289"/>
      <c r="V18" s="1289"/>
      <c r="W18" s="1289"/>
      <c r="X18" s="1289"/>
      <c r="Y18" s="1289"/>
      <c r="Z18" s="1289"/>
      <c r="AA18" s="1289"/>
      <c r="AB18" s="1289"/>
      <c r="AC18" s="1289"/>
      <c r="AD18" s="203"/>
      <c r="AE18" s="203"/>
      <c r="AF18" s="203"/>
      <c r="AG18" s="203"/>
    </row>
    <row r="20" spans="2:68" x14ac:dyDescent="0.25">
      <c r="B20" s="1293" t="s">
        <v>279</v>
      </c>
      <c r="C20" s="1294"/>
      <c r="D20" s="1295" t="s">
        <v>280</v>
      </c>
      <c r="E20" s="1311"/>
      <c r="F20" s="1311"/>
      <c r="G20" s="1311"/>
      <c r="H20" s="1311"/>
      <c r="I20" s="1311"/>
      <c r="J20" s="1311"/>
      <c r="K20" s="1311"/>
      <c r="L20" s="1311"/>
      <c r="M20" s="1311"/>
      <c r="N20" s="1311"/>
      <c r="O20" s="1311"/>
      <c r="P20" s="1311"/>
      <c r="Q20" s="1311"/>
      <c r="R20" s="1311"/>
      <c r="S20" s="1311"/>
      <c r="T20" s="1311"/>
      <c r="U20" s="1311"/>
      <c r="V20" s="1311"/>
      <c r="W20" s="1329" t="s">
        <v>281</v>
      </c>
      <c r="X20" s="1329"/>
      <c r="Y20" s="1329"/>
      <c r="Z20" s="1329"/>
      <c r="AA20" s="1329"/>
      <c r="AB20" s="1329"/>
      <c r="AC20" s="1329"/>
      <c r="AD20" s="1329"/>
      <c r="AE20" s="1329"/>
      <c r="AF20" s="1329"/>
      <c r="AG20" s="1329"/>
    </row>
    <row r="21" spans="2:68" x14ac:dyDescent="0.25">
      <c r="B21" s="1295"/>
      <c r="C21" s="1296"/>
      <c r="D21" s="209">
        <v>2018</v>
      </c>
      <c r="E21" s="1302">
        <v>2019</v>
      </c>
      <c r="F21" s="1325"/>
      <c r="G21" s="1325"/>
      <c r="H21" s="1304"/>
      <c r="I21" s="1302">
        <v>2020</v>
      </c>
      <c r="J21" s="1325"/>
      <c r="K21" s="1325"/>
      <c r="L21" s="1325"/>
      <c r="M21" s="1302">
        <v>2021</v>
      </c>
      <c r="N21" s="1325"/>
      <c r="O21" s="1325"/>
      <c r="P21" s="1325"/>
      <c r="Q21" s="1302">
        <v>2022</v>
      </c>
      <c r="R21" s="1325"/>
      <c r="S21" s="1325"/>
      <c r="T21" s="1304"/>
      <c r="U21" s="229"/>
      <c r="V21" s="278">
        <v>2023</v>
      </c>
      <c r="W21" s="279"/>
      <c r="X21" s="250"/>
      <c r="Y21" s="1299">
        <v>2024</v>
      </c>
      <c r="Z21" s="1300"/>
      <c r="AA21" s="1300"/>
      <c r="AB21" s="1301"/>
      <c r="AC21" s="1299">
        <v>2025</v>
      </c>
      <c r="AD21" s="1300"/>
      <c r="AE21" s="1300"/>
      <c r="AF21" s="1301"/>
      <c r="AG21" s="241">
        <v>2026</v>
      </c>
    </row>
    <row r="22" spans="2:68" x14ac:dyDescent="0.25">
      <c r="B22" s="1295"/>
      <c r="C22" s="1296"/>
      <c r="D22" s="204" t="s">
        <v>282</v>
      </c>
      <c r="E22" s="204" t="s">
        <v>283</v>
      </c>
      <c r="F22" s="205" t="s">
        <v>284</v>
      </c>
      <c r="G22" s="205" t="s">
        <v>238</v>
      </c>
      <c r="H22" s="206" t="s">
        <v>282</v>
      </c>
      <c r="I22" s="205" t="s">
        <v>283</v>
      </c>
      <c r="J22" s="205" t="s">
        <v>284</v>
      </c>
      <c r="K22" s="205" t="s">
        <v>238</v>
      </c>
      <c r="L22" s="205" t="s">
        <v>282</v>
      </c>
      <c r="M22" s="204" t="s">
        <v>283</v>
      </c>
      <c r="N22" s="205" t="s">
        <v>284</v>
      </c>
      <c r="O22" s="205" t="s">
        <v>238</v>
      </c>
      <c r="P22" s="205" t="s">
        <v>282</v>
      </c>
      <c r="Q22" s="204" t="s">
        <v>283</v>
      </c>
      <c r="R22" s="205" t="s">
        <v>284</v>
      </c>
      <c r="S22" s="205" t="s">
        <v>238</v>
      </c>
      <c r="T22" s="206" t="s">
        <v>282</v>
      </c>
      <c r="U22" s="275" t="s">
        <v>283</v>
      </c>
      <c r="V22" s="276" t="s">
        <v>284</v>
      </c>
      <c r="W22" s="260" t="s">
        <v>238</v>
      </c>
      <c r="X22" s="261" t="s">
        <v>282</v>
      </c>
      <c r="Y22" s="259" t="s">
        <v>283</v>
      </c>
      <c r="Z22" s="257" t="s">
        <v>284</v>
      </c>
      <c r="AA22" s="260" t="s">
        <v>238</v>
      </c>
      <c r="AB22" s="261" t="s">
        <v>282</v>
      </c>
      <c r="AC22" s="259" t="s">
        <v>283</v>
      </c>
      <c r="AD22" s="257" t="s">
        <v>284</v>
      </c>
      <c r="AE22" s="260" t="s">
        <v>238</v>
      </c>
      <c r="AF22" s="261" t="s">
        <v>282</v>
      </c>
      <c r="AG22" s="262" t="s">
        <v>283</v>
      </c>
    </row>
    <row r="23" spans="2:68" x14ac:dyDescent="0.25">
      <c r="B23" s="478" t="s">
        <v>111</v>
      </c>
      <c r="C23" s="472" t="s">
        <v>390</v>
      </c>
      <c r="D23" s="472"/>
      <c r="E23" s="472"/>
      <c r="F23" s="472"/>
      <c r="G23" s="472"/>
      <c r="H23" s="451">
        <f>'Haver Pivoted'!GS24</f>
        <v>2423.4</v>
      </c>
      <c r="I23" s="451">
        <f>'Haver Pivoted'!GT24</f>
        <v>2478.9</v>
      </c>
      <c r="J23" s="451">
        <f>'Haver Pivoted'!GU24</f>
        <v>2451.3000000000002</v>
      </c>
      <c r="K23" s="451">
        <f>'Haver Pivoted'!GV24</f>
        <v>2468.3000000000002</v>
      </c>
      <c r="L23" s="451">
        <f>'Haver Pivoted'!GW24</f>
        <v>2486.9</v>
      </c>
      <c r="M23" s="451">
        <f>'Haver Pivoted'!GX24</f>
        <v>2533.9</v>
      </c>
      <c r="N23" s="451">
        <f>'Haver Pivoted'!GY24</f>
        <v>2571.6999999999998</v>
      </c>
      <c r="O23" s="451">
        <f>'Haver Pivoted'!GZ24</f>
        <v>2625.1</v>
      </c>
      <c r="P23" s="451">
        <f>'Haver Pivoted'!HA24</f>
        <v>2664.2</v>
      </c>
      <c r="Q23" s="451">
        <f>'Haver Pivoted'!HB24</f>
        <v>2719.7</v>
      </c>
      <c r="R23" s="451">
        <f>'Haver Pivoted'!HC24</f>
        <v>2803.4</v>
      </c>
      <c r="S23" s="461">
        <f>'Haver Pivoted'!HD24</f>
        <v>2841.5</v>
      </c>
      <c r="T23" s="461">
        <f>'Haver Pivoted'!HE24</f>
        <v>2880.6</v>
      </c>
      <c r="U23" s="283">
        <f>'Haver Pivoted'!HF24</f>
        <v>2913.2</v>
      </c>
      <c r="V23" s="283">
        <f>'Haver Pivoted'!HG24</f>
        <v>2925.5</v>
      </c>
      <c r="W23" s="283">
        <f>'Haver Pivoted'!HH24</f>
        <v>3002.9</v>
      </c>
      <c r="X23" s="283">
        <f>'Haver Pivoted'!HI24</f>
        <v>3051.8</v>
      </c>
      <c r="Y23" s="283">
        <f>'Haver Pivoted'!HJ24</f>
        <v>3100.2</v>
      </c>
      <c r="Z23" s="226"/>
      <c r="AA23" s="226"/>
      <c r="AB23" s="226"/>
      <c r="AC23" s="226"/>
      <c r="AD23" s="226"/>
      <c r="AE23" s="226"/>
      <c r="AF23" s="226"/>
      <c r="AG23" s="226"/>
    </row>
    <row r="24" spans="2:68" ht="29.25" customHeight="1" x14ac:dyDescent="0.25">
      <c r="B24" s="481" t="s">
        <v>2265</v>
      </c>
      <c r="C24" s="460"/>
      <c r="D24" s="460"/>
      <c r="E24" s="460"/>
      <c r="F24" s="460"/>
      <c r="G24" s="460"/>
      <c r="H24" s="221"/>
      <c r="I24" s="221"/>
      <c r="J24" s="221"/>
      <c r="K24" s="221"/>
      <c r="L24" s="221"/>
      <c r="M24" s="221">
        <v>2533.9</v>
      </c>
      <c r="N24" s="221">
        <v>2571.6999999999998</v>
      </c>
      <c r="O24" s="221">
        <v>2625.1</v>
      </c>
      <c r="P24" s="221">
        <v>2664.2</v>
      </c>
      <c r="Q24" s="429">
        <v>2719.7</v>
      </c>
      <c r="R24" s="429">
        <v>2803.4</v>
      </c>
      <c r="S24" s="429">
        <v>2841.5</v>
      </c>
      <c r="T24" s="429">
        <v>2880.6</v>
      </c>
      <c r="U24" s="429">
        <v>2913.2</v>
      </c>
      <c r="V24" s="429">
        <v>2925.5</v>
      </c>
      <c r="W24" s="429">
        <v>3000.9</v>
      </c>
      <c r="X24" s="429">
        <v>3026.5</v>
      </c>
      <c r="Y24" s="1181">
        <v>3047.5</v>
      </c>
      <c r="Z24" s="1181">
        <v>3074.1</v>
      </c>
      <c r="AA24" s="1181">
        <v>3101.3</v>
      </c>
      <c r="AB24" s="1181">
        <v>3128.3</v>
      </c>
      <c r="AC24" s="1181">
        <v>3157.3</v>
      </c>
      <c r="AD24" s="1181">
        <v>3186.8</v>
      </c>
      <c r="AE24" s="1181">
        <v>3217</v>
      </c>
      <c r="AF24" s="1181">
        <v>3247.2</v>
      </c>
      <c r="AG24" s="1181">
        <v>3279</v>
      </c>
      <c r="AH24" s="1181">
        <v>3310.2</v>
      </c>
      <c r="AI24" s="1181">
        <v>3342.1</v>
      </c>
      <c r="AJ24" s="1181">
        <v>3373.9</v>
      </c>
      <c r="AK24" s="1181">
        <v>3405.1</v>
      </c>
      <c r="AL24">
        <v>3438.3</v>
      </c>
      <c r="AM24">
        <v>3471.3</v>
      </c>
      <c r="AN24">
        <v>3503.9</v>
      </c>
      <c r="AO24">
        <v>3536.5</v>
      </c>
      <c r="AP24">
        <v>3568.2</v>
      </c>
      <c r="AQ24">
        <v>3599.9</v>
      </c>
      <c r="AR24">
        <v>3631.6</v>
      </c>
      <c r="AS24">
        <v>3663.2</v>
      </c>
      <c r="AT24">
        <v>3695.4</v>
      </c>
      <c r="AU24">
        <v>3727</v>
      </c>
      <c r="AV24">
        <v>3758.7</v>
      </c>
      <c r="AW24">
        <v>3790.9</v>
      </c>
      <c r="AX24">
        <v>3823.3</v>
      </c>
      <c r="AY24">
        <v>3855.9</v>
      </c>
      <c r="AZ24">
        <v>3888.7</v>
      </c>
      <c r="BA24">
        <v>3921.6</v>
      </c>
      <c r="BB24">
        <v>3955</v>
      </c>
      <c r="BC24">
        <v>3988.6</v>
      </c>
      <c r="BD24">
        <v>4022.1</v>
      </c>
      <c r="BE24">
        <v>4056.2</v>
      </c>
      <c r="BF24">
        <v>4090.5</v>
      </c>
      <c r="BG24">
        <v>4125.2</v>
      </c>
      <c r="BH24">
        <v>4160.3</v>
      </c>
      <c r="BI24">
        <v>4195.3</v>
      </c>
      <c r="BJ24">
        <v>4230.6000000000004</v>
      </c>
      <c r="BK24">
        <v>4266</v>
      </c>
      <c r="BL24">
        <v>4301.8</v>
      </c>
      <c r="BM24">
        <v>4338</v>
      </c>
      <c r="BN24">
        <v>4374.6000000000004</v>
      </c>
      <c r="BO24">
        <v>4411.8</v>
      </c>
      <c r="BP24">
        <v>4449.3999999999996</v>
      </c>
    </row>
    <row r="25" spans="2:68" ht="29.25" customHeight="1" x14ac:dyDescent="0.25">
      <c r="B25" s="481" t="s">
        <v>2266</v>
      </c>
      <c r="C25" s="460"/>
      <c r="D25" s="460"/>
      <c r="E25" s="460"/>
      <c r="F25" s="460"/>
      <c r="G25" s="460"/>
      <c r="H25" s="221"/>
      <c r="I25" s="213"/>
      <c r="J25" s="213"/>
      <c r="K25" s="213"/>
      <c r="L25" s="213"/>
      <c r="M25" s="213">
        <v>7.7759999999999998</v>
      </c>
      <c r="N25" s="213">
        <v>6.1050000000000004</v>
      </c>
      <c r="O25" s="213">
        <v>8.5640000000000001</v>
      </c>
      <c r="P25" s="213">
        <v>6.0890000000000004</v>
      </c>
      <c r="Q25" s="213">
        <v>8.6</v>
      </c>
      <c r="R25" s="213">
        <v>12.888999999999999</v>
      </c>
      <c r="S25" s="213">
        <v>5.55</v>
      </c>
      <c r="T25" s="213">
        <v>5.62</v>
      </c>
      <c r="U25" s="213">
        <v>4.6040000000000001</v>
      </c>
      <c r="V25" s="213">
        <v>1.69</v>
      </c>
      <c r="W25" s="213">
        <v>10.717000000000001</v>
      </c>
      <c r="X25" s="213">
        <v>3.452</v>
      </c>
      <c r="Y25" s="1180">
        <v>2.8029999999999999</v>
      </c>
      <c r="Z25" s="1180">
        <v>3.5409999999999999</v>
      </c>
      <c r="AA25" s="1180">
        <v>3.5880000000000001</v>
      </c>
      <c r="AB25" s="1180">
        <v>3.5249999999999999</v>
      </c>
      <c r="AC25" s="1180">
        <v>3.76</v>
      </c>
      <c r="AD25" s="1180">
        <v>3.786</v>
      </c>
      <c r="AE25" s="1180">
        <v>3.8559999999999999</v>
      </c>
      <c r="AF25" s="1180">
        <v>3.8050000000000002</v>
      </c>
      <c r="AG25" s="1180">
        <v>3.9670000000000001</v>
      </c>
      <c r="AH25" s="1180">
        <v>3.8690000000000002</v>
      </c>
      <c r="AI25" s="1180">
        <v>3.907</v>
      </c>
      <c r="AJ25" s="1180">
        <v>3.859</v>
      </c>
      <c r="AK25" s="1180">
        <v>3.75</v>
      </c>
      <c r="AL25">
        <v>3.96</v>
      </c>
      <c r="AM25">
        <v>3.8849999999999998</v>
      </c>
      <c r="AN25">
        <v>3.82</v>
      </c>
      <c r="AO25">
        <v>3.7629999999999999</v>
      </c>
      <c r="AP25">
        <v>3.6389999999999998</v>
      </c>
      <c r="AQ25">
        <v>3.605</v>
      </c>
      <c r="AR25">
        <v>3.5670000000000002</v>
      </c>
      <c r="AS25">
        <v>3.52</v>
      </c>
      <c r="AT25">
        <v>3.5670000000000002</v>
      </c>
      <c r="AU25">
        <v>3.46</v>
      </c>
      <c r="AV25">
        <v>3.4460000000000002</v>
      </c>
      <c r="AW25">
        <v>3.4670000000000001</v>
      </c>
      <c r="AX25">
        <v>3.464</v>
      </c>
      <c r="AY25">
        <v>3.456</v>
      </c>
      <c r="AZ25">
        <v>3.4430000000000001</v>
      </c>
      <c r="BA25">
        <v>3.4279999999999999</v>
      </c>
      <c r="BB25">
        <v>3.452</v>
      </c>
      <c r="BC25">
        <v>3.4390000000000001</v>
      </c>
      <c r="BD25">
        <v>3.41</v>
      </c>
      <c r="BE25">
        <v>3.4249999999999998</v>
      </c>
      <c r="BF25">
        <v>3.431</v>
      </c>
      <c r="BG25">
        <v>3.4369999999999998</v>
      </c>
      <c r="BH25">
        <v>3.4420000000000002</v>
      </c>
      <c r="BI25">
        <v>3.4119999999999999</v>
      </c>
      <c r="BJ25">
        <v>3.4039999999999999</v>
      </c>
      <c r="BK25">
        <v>3.3929999999999998</v>
      </c>
      <c r="BL25">
        <v>3.395</v>
      </c>
      <c r="BM25">
        <v>3.4079999999999999</v>
      </c>
      <c r="BN25">
        <v>3.4220000000000002</v>
      </c>
      <c r="BO25">
        <v>3.4420000000000002</v>
      </c>
      <c r="BP25">
        <v>3.4470000000000001</v>
      </c>
    </row>
    <row r="26" spans="2:68" ht="21" customHeight="1" x14ac:dyDescent="0.25">
      <c r="B26" s="469" t="s">
        <v>2267</v>
      </c>
      <c r="C26" s="239"/>
      <c r="D26" s="239"/>
      <c r="E26" s="239"/>
      <c r="F26" s="239"/>
      <c r="G26" s="239"/>
      <c r="H26" s="216"/>
      <c r="I26" s="216"/>
      <c r="J26" s="216"/>
      <c r="K26" s="216"/>
      <c r="L26" s="216"/>
      <c r="M26" s="216">
        <f t="shared" ref="M26:V26" si="2">((M23/L23)^4-1)*100</f>
        <v>7.7766292401933779</v>
      </c>
      <c r="N26" s="216">
        <f t="shared" si="2"/>
        <v>6.101942113226988</v>
      </c>
      <c r="O26" s="216">
        <f t="shared" si="2"/>
        <v>8.5680877371025801</v>
      </c>
      <c r="P26" s="216">
        <f t="shared" si="2"/>
        <v>6.0923056825790356</v>
      </c>
      <c r="Q26" s="216">
        <f t="shared" si="2"/>
        <v>8.5967202401499456</v>
      </c>
      <c r="R26" s="216">
        <f t="shared" si="2"/>
        <v>12.890207409855471</v>
      </c>
      <c r="S26" s="216">
        <f t="shared" si="2"/>
        <v>5.5480867891862351</v>
      </c>
      <c r="T26" s="216">
        <f t="shared" si="2"/>
        <v>5.618789054672324</v>
      </c>
      <c r="U26" s="216">
        <f t="shared" si="2"/>
        <v>4.6042619795704454</v>
      </c>
      <c r="V26" s="216">
        <f t="shared" si="2"/>
        <v>1.6995906045958797</v>
      </c>
      <c r="W26" s="430">
        <f>((W23/V23)^4-1)*100</f>
        <v>11.010247254253724</v>
      </c>
      <c r="X26" s="430">
        <f>((X23/W23)^4-1)*100</f>
        <v>6.6745439826610298</v>
      </c>
      <c r="Y26" s="430">
        <f>((Y23/X23)^4-1)*100</f>
        <v>6.4963131502058014</v>
      </c>
      <c r="Z26" s="226">
        <f>Z25+0.5</f>
        <v>4.0410000000000004</v>
      </c>
      <c r="AA26" s="226">
        <f>AA25+0.2</f>
        <v>3.7880000000000003</v>
      </c>
      <c r="AB26" s="226">
        <f>AB25+0.3</f>
        <v>3.8249999999999997</v>
      </c>
      <c r="AC26" s="226">
        <f t="shared" ref="AC26:AD26" si="3">AC25</f>
        <v>3.76</v>
      </c>
      <c r="AD26" s="226">
        <f t="shared" si="3"/>
        <v>3.786</v>
      </c>
      <c r="AE26" s="226">
        <f>AE25</f>
        <v>3.8559999999999999</v>
      </c>
      <c r="AF26" s="226">
        <f>AF25</f>
        <v>3.8050000000000002</v>
      </c>
      <c r="AG26" s="226">
        <f t="shared" ref="AG26" si="4">AG25</f>
        <v>3.9670000000000001</v>
      </c>
      <c r="AH26" s="477" t="s">
        <v>391</v>
      </c>
    </row>
    <row r="27" spans="2:68" ht="17.850000000000001" customHeight="1" x14ac:dyDescent="0.25">
      <c r="B27" s="480" t="s">
        <v>392</v>
      </c>
      <c r="C27" s="245"/>
      <c r="D27" s="245"/>
      <c r="E27" s="245"/>
      <c r="F27" s="245"/>
      <c r="G27" s="245"/>
      <c r="H27" s="219">
        <f t="shared" ref="H27:T27" si="5">H23</f>
        <v>2423.4</v>
      </c>
      <c r="I27" s="219">
        <f t="shared" si="5"/>
        <v>2478.9</v>
      </c>
      <c r="J27" s="219">
        <f t="shared" si="5"/>
        <v>2451.3000000000002</v>
      </c>
      <c r="K27" s="219">
        <f t="shared" si="5"/>
        <v>2468.3000000000002</v>
      </c>
      <c r="L27" s="219">
        <f t="shared" si="5"/>
        <v>2486.9</v>
      </c>
      <c r="M27" s="219">
        <f t="shared" si="5"/>
        <v>2533.9</v>
      </c>
      <c r="N27" s="219">
        <f t="shared" si="5"/>
        <v>2571.6999999999998</v>
      </c>
      <c r="O27" s="219">
        <f t="shared" si="5"/>
        <v>2625.1</v>
      </c>
      <c r="P27" s="219">
        <f t="shared" si="5"/>
        <v>2664.2</v>
      </c>
      <c r="Q27" s="219">
        <f t="shared" si="5"/>
        <v>2719.7</v>
      </c>
      <c r="R27" s="219">
        <f t="shared" si="5"/>
        <v>2803.4</v>
      </c>
      <c r="S27" s="284">
        <f t="shared" si="5"/>
        <v>2841.5</v>
      </c>
      <c r="T27" s="284">
        <f t="shared" si="5"/>
        <v>2880.6</v>
      </c>
      <c r="U27" s="284">
        <f>U23</f>
        <v>2913.2</v>
      </c>
      <c r="V27" s="284">
        <f>V23</f>
        <v>2925.5</v>
      </c>
      <c r="W27" s="284">
        <f>W23</f>
        <v>3002.9</v>
      </c>
      <c r="X27" s="284">
        <f>X23</f>
        <v>3051.8</v>
      </c>
      <c r="Y27" s="284">
        <f>Y23</f>
        <v>3100.2</v>
      </c>
      <c r="Z27" s="449">
        <f t="shared" ref="Z27:AA27" si="6">Y27*((1+Z26/100)^0.25)</f>
        <v>3131.0560446291206</v>
      </c>
      <c r="AA27" s="449">
        <f t="shared" si="6"/>
        <v>3160.2950227752217</v>
      </c>
      <c r="AB27" s="449">
        <f>AA27*((1+AB26/100)^0.25)</f>
        <v>3190.091295801712</v>
      </c>
      <c r="AC27" s="449">
        <f>AB27*((1+AC26/100)^0.25)</f>
        <v>3219.6643798566629</v>
      </c>
      <c r="AD27" s="449">
        <f>AC27*((1+AD26/100)^0.25)</f>
        <v>3249.7151602080339</v>
      </c>
      <c r="AE27" s="449">
        <f t="shared" ref="AE27:AF27" si="7">AD27*((1+AE26/100)^0.25)</f>
        <v>3280.5993490219689</v>
      </c>
      <c r="AF27" s="449">
        <f t="shared" si="7"/>
        <v>3311.3704017044197</v>
      </c>
      <c r="AG27" s="449">
        <f>AF27*((1+AG26/100)^0.25)</f>
        <v>3343.733379810219</v>
      </c>
    </row>
    <row r="28" spans="2:68" x14ac:dyDescent="0.25">
      <c r="B28" s="470" t="s">
        <v>393</v>
      </c>
      <c r="C28" s="471"/>
      <c r="D28" s="471"/>
      <c r="E28" s="471"/>
      <c r="F28" s="471"/>
      <c r="G28" s="471"/>
      <c r="H28" s="476">
        <f t="shared" ref="H28:P28" si="8">H23-H50</f>
        <v>2144.415</v>
      </c>
      <c r="I28" s="476">
        <f t="shared" si="8"/>
        <v>2189.5430000000001</v>
      </c>
      <c r="J28" s="476">
        <f t="shared" si="8"/>
        <v>2055.0640000000003</v>
      </c>
      <c r="K28" s="476">
        <f t="shared" si="8"/>
        <v>2090.5150000000003</v>
      </c>
      <c r="L28" s="476">
        <f t="shared" si="8"/>
        <v>2121.9549999999999</v>
      </c>
      <c r="M28" s="476">
        <f t="shared" si="8"/>
        <v>2140.5240000000003</v>
      </c>
      <c r="N28" s="476">
        <f t="shared" si="8"/>
        <v>2142.2119999999995</v>
      </c>
      <c r="O28" s="476">
        <f t="shared" si="8"/>
        <v>2179.3319999999999</v>
      </c>
      <c r="P28" s="476">
        <f t="shared" si="8"/>
        <v>2195.8261479999996</v>
      </c>
      <c r="Q28" s="476">
        <f t="shared" ref="Q28:AC28" si="9">Q27-Q50</f>
        <v>2211.0627251999999</v>
      </c>
      <c r="R28" s="476">
        <f t="shared" si="9"/>
        <v>2227.2846822857146</v>
      </c>
      <c r="S28" s="476">
        <f t="shared" si="9"/>
        <v>2279.3948462857143</v>
      </c>
      <c r="T28" s="476">
        <f t="shared" si="9"/>
        <v>2359.0977862857144</v>
      </c>
      <c r="U28" s="476">
        <f t="shared" si="9"/>
        <v>2397.5401710857141</v>
      </c>
      <c r="V28" s="221">
        <f t="shared" si="9"/>
        <v>2420.2939942857142</v>
      </c>
      <c r="W28" s="221">
        <f t="shared" si="9"/>
        <v>2511.2327702857142</v>
      </c>
      <c r="X28" s="221">
        <f t="shared" si="9"/>
        <v>2546.5557702857145</v>
      </c>
      <c r="Y28" s="323">
        <f t="shared" si="9"/>
        <v>2595.2277702857141</v>
      </c>
      <c r="Z28" s="323">
        <f t="shared" si="9"/>
        <v>2635.3187416315868</v>
      </c>
      <c r="AA28" s="323">
        <f t="shared" si="9"/>
        <v>2660.0775144784952</v>
      </c>
      <c r="AB28" s="323">
        <f t="shared" si="9"/>
        <v>2683.5084844056682</v>
      </c>
      <c r="AC28" s="323">
        <f t="shared" si="9"/>
        <v>2729.892017142377</v>
      </c>
      <c r="AD28" s="323"/>
      <c r="AE28" s="323"/>
      <c r="AF28" s="323"/>
      <c r="AG28" s="323"/>
      <c r="AH28" s="230" t="s">
        <v>394</v>
      </c>
    </row>
    <row r="29" spans="2:68" x14ac:dyDescent="0.25">
      <c r="B29" s="35"/>
      <c r="C29" s="35"/>
      <c r="D29" s="35"/>
      <c r="E29" s="35"/>
      <c r="F29" s="35"/>
      <c r="G29" s="35"/>
      <c r="H29" s="35"/>
      <c r="I29" s="35"/>
      <c r="J29" s="35"/>
      <c r="K29" s="35"/>
      <c r="L29" s="35"/>
      <c r="M29" s="73"/>
      <c r="N29" s="73"/>
      <c r="O29" s="73"/>
      <c r="P29" s="73"/>
      <c r="Q29" s="73"/>
      <c r="R29" s="73"/>
      <c r="S29" s="185"/>
      <c r="T29" s="185"/>
      <c r="U29" s="185"/>
      <c r="V29" s="185"/>
      <c r="Y29" s="185"/>
      <c r="Z29" s="185"/>
      <c r="AA29" s="185"/>
      <c r="AB29" s="185"/>
      <c r="AC29" s="185"/>
      <c r="AD29" s="185"/>
      <c r="AE29" s="185"/>
      <c r="AF29" s="185"/>
      <c r="AG29" s="185"/>
    </row>
    <row r="30" spans="2:68" x14ac:dyDescent="0.25">
      <c r="B30" s="35"/>
      <c r="C30" s="35"/>
      <c r="D30" s="35"/>
      <c r="E30" s="35"/>
      <c r="F30" s="35"/>
      <c r="G30" s="35"/>
      <c r="H30" s="35"/>
      <c r="I30" s="35"/>
      <c r="J30" s="35"/>
      <c r="K30" s="35"/>
      <c r="L30" s="35"/>
      <c r="M30" s="73"/>
      <c r="N30" s="73"/>
      <c r="O30" s="73"/>
      <c r="P30" s="73"/>
      <c r="Q30" s="73"/>
      <c r="R30" s="73"/>
      <c r="S30" s="185"/>
      <c r="T30" s="185"/>
      <c r="U30" s="185"/>
      <c r="V30" s="185"/>
      <c r="Y30" s="185"/>
      <c r="Z30" s="185"/>
      <c r="AA30" s="185"/>
      <c r="AB30" s="185"/>
      <c r="AC30" s="185"/>
      <c r="AD30" s="185"/>
      <c r="AE30" s="185"/>
      <c r="AF30" s="185"/>
      <c r="AG30" s="185"/>
    </row>
    <row r="31" spans="2:68" x14ac:dyDescent="0.25">
      <c r="B31" s="239"/>
      <c r="C31" s="239"/>
      <c r="D31" s="239"/>
      <c r="E31" s="239"/>
      <c r="F31" s="239"/>
      <c r="G31" s="239"/>
      <c r="H31" s="221"/>
      <c r="I31" s="221"/>
      <c r="J31" s="221"/>
      <c r="K31" s="221"/>
      <c r="L31" s="221"/>
      <c r="M31" s="221"/>
      <c r="N31" s="221"/>
      <c r="O31" s="221"/>
      <c r="P31" s="221"/>
      <c r="Q31" s="475"/>
      <c r="R31" s="221"/>
      <c r="S31" s="221"/>
      <c r="T31" s="221"/>
      <c r="U31" s="221"/>
      <c r="V31" s="221"/>
      <c r="W31" s="221"/>
      <c r="X31" s="221"/>
      <c r="Y31" s="221"/>
      <c r="Z31" s="221"/>
    </row>
    <row r="32" spans="2:68" ht="85.35" customHeight="1" x14ac:dyDescent="0.25">
      <c r="B32" s="433" t="s">
        <v>882</v>
      </c>
      <c r="C32" s="436" t="s">
        <v>881</v>
      </c>
      <c r="D32" s="434">
        <v>44197</v>
      </c>
      <c r="E32" s="435">
        <v>44228</v>
      </c>
      <c r="F32" s="435">
        <v>44256</v>
      </c>
      <c r="G32" s="435">
        <v>44287</v>
      </c>
      <c r="H32" s="435">
        <v>44317</v>
      </c>
      <c r="I32" s="435">
        <v>44348</v>
      </c>
      <c r="J32" s="435">
        <v>44378</v>
      </c>
      <c r="K32" s="435">
        <v>44409</v>
      </c>
      <c r="L32" s="435">
        <v>44440</v>
      </c>
      <c r="M32" s="435">
        <v>44470</v>
      </c>
      <c r="N32" s="435">
        <v>44501</v>
      </c>
      <c r="O32" s="435">
        <v>44531</v>
      </c>
      <c r="P32" s="82">
        <v>44562</v>
      </c>
      <c r="Q32" s="432">
        <v>44593</v>
      </c>
      <c r="R32" s="82">
        <v>44621</v>
      </c>
      <c r="S32" s="82">
        <v>44652</v>
      </c>
      <c r="T32" s="82">
        <v>44682</v>
      </c>
      <c r="U32" s="82">
        <v>44713</v>
      </c>
      <c r="V32" s="82">
        <v>44743</v>
      </c>
      <c r="W32" s="82">
        <v>44774</v>
      </c>
      <c r="X32" s="82">
        <v>44805</v>
      </c>
      <c r="Y32" s="82">
        <v>44835</v>
      </c>
      <c r="Z32" s="82">
        <v>44866</v>
      </c>
      <c r="AA32" s="82">
        <v>44896</v>
      </c>
      <c r="AB32" s="82">
        <v>44927</v>
      </c>
      <c r="AC32" s="82">
        <v>44958</v>
      </c>
      <c r="AD32" s="82">
        <v>44986</v>
      </c>
      <c r="AE32" s="82">
        <v>45017</v>
      </c>
      <c r="AF32" s="82">
        <v>45047</v>
      </c>
      <c r="AG32" s="82">
        <v>45078</v>
      </c>
      <c r="AH32" s="82">
        <v>45108</v>
      </c>
      <c r="AI32" s="82">
        <v>45139</v>
      </c>
      <c r="AJ32" s="82">
        <v>45170</v>
      </c>
      <c r="AK32" s="82">
        <v>45200</v>
      </c>
      <c r="AL32" s="82">
        <v>45231</v>
      </c>
      <c r="AM32" s="82">
        <v>45261</v>
      </c>
      <c r="AN32" s="82">
        <v>45292</v>
      </c>
      <c r="AO32" s="82">
        <v>45323</v>
      </c>
      <c r="AP32" s="82">
        <v>45352</v>
      </c>
      <c r="AQ32" s="82">
        <v>45383</v>
      </c>
    </row>
    <row r="33" spans="2:43" ht="19.5" customHeight="1" x14ac:dyDescent="0.25">
      <c r="B33" s="341" t="s">
        <v>395</v>
      </c>
      <c r="C33" s="431" t="s">
        <v>396</v>
      </c>
      <c r="D33" s="35">
        <v>5159</v>
      </c>
      <c r="E33" s="35">
        <v>5166</v>
      </c>
      <c r="F33" s="35">
        <v>5196</v>
      </c>
      <c r="G33" s="35">
        <v>5189</v>
      </c>
      <c r="H33" s="35">
        <v>5174</v>
      </c>
      <c r="I33" s="35">
        <v>5188</v>
      </c>
      <c r="J33" s="35">
        <v>5164</v>
      </c>
      <c r="K33" s="35">
        <v>5150</v>
      </c>
      <c r="L33" s="35">
        <v>5141</v>
      </c>
      <c r="M33" s="35">
        <v>5136</v>
      </c>
      <c r="N33" s="35">
        <v>5123</v>
      </c>
      <c r="O33" s="35">
        <v>5121</v>
      </c>
      <c r="P33" s="35">
        <v>5094</v>
      </c>
      <c r="Q33" s="35">
        <v>5083</v>
      </c>
      <c r="R33" s="35">
        <v>5065</v>
      </c>
      <c r="S33" s="35">
        <v>5080</v>
      </c>
      <c r="T33" s="35">
        <v>5096</v>
      </c>
      <c r="U33" s="35">
        <v>5103</v>
      </c>
      <c r="V33" s="35">
        <v>5129</v>
      </c>
      <c r="W33" s="35">
        <v>5139</v>
      </c>
      <c r="X33" s="35">
        <v>5148</v>
      </c>
      <c r="Y33" s="438">
        <v>5143</v>
      </c>
      <c r="Z33" s="439">
        <v>5161</v>
      </c>
      <c r="AA33" s="438">
        <v>5131</v>
      </c>
      <c r="AB33" s="438">
        <v>5206</v>
      </c>
      <c r="AC33" s="438">
        <v>5229</v>
      </c>
      <c r="AD33" s="438">
        <v>5249</v>
      </c>
      <c r="AE33" s="438">
        <v>5263</v>
      </c>
      <c r="AF33" s="438">
        <v>5280</v>
      </c>
      <c r="AG33" s="438">
        <v>5301</v>
      </c>
      <c r="AH33" s="437">
        <v>5301</v>
      </c>
      <c r="AI33">
        <v>5329</v>
      </c>
      <c r="AJ33">
        <v>5346</v>
      </c>
      <c r="AK33">
        <v>5375</v>
      </c>
      <c r="AL33">
        <v>5383</v>
      </c>
      <c r="AM33">
        <v>5404</v>
      </c>
      <c r="AN33">
        <v>5420</v>
      </c>
      <c r="AO33">
        <v>5434</v>
      </c>
      <c r="AP33">
        <v>5445</v>
      </c>
      <c r="AQ33">
        <v>5451</v>
      </c>
    </row>
    <row r="34" spans="2:43" ht="18" customHeight="1" x14ac:dyDescent="0.25">
      <c r="B34" s="238" t="s">
        <v>397</v>
      </c>
      <c r="C34" s="230" t="s">
        <v>398</v>
      </c>
      <c r="D34" s="35">
        <v>13746</v>
      </c>
      <c r="E34" s="35">
        <v>13733</v>
      </c>
      <c r="F34" s="35">
        <v>13781</v>
      </c>
      <c r="G34" s="35">
        <v>13830</v>
      </c>
      <c r="H34" s="35">
        <v>13854</v>
      </c>
      <c r="I34" s="35">
        <v>13941</v>
      </c>
      <c r="J34" s="35">
        <v>14023</v>
      </c>
      <c r="K34" s="35">
        <v>14053</v>
      </c>
      <c r="L34" s="35">
        <v>14047</v>
      </c>
      <c r="M34" s="35">
        <v>14022</v>
      </c>
      <c r="N34" s="35">
        <v>14028</v>
      </c>
      <c r="O34" s="35">
        <v>14063</v>
      </c>
      <c r="P34" s="35">
        <v>14084</v>
      </c>
      <c r="Q34" s="35">
        <v>14099</v>
      </c>
      <c r="R34" s="440">
        <v>14118</v>
      </c>
      <c r="S34" s="440">
        <v>14140</v>
      </c>
      <c r="T34" s="440">
        <v>14153</v>
      </c>
      <c r="U34" s="440">
        <v>14161</v>
      </c>
      <c r="V34" s="440">
        <v>14272</v>
      </c>
      <c r="W34" s="440">
        <v>14266</v>
      </c>
      <c r="X34" s="440">
        <v>14260</v>
      </c>
      <c r="Y34" s="440">
        <v>14287</v>
      </c>
      <c r="Z34" s="440">
        <v>14328</v>
      </c>
      <c r="AA34" s="440">
        <v>14360</v>
      </c>
      <c r="AB34" s="440">
        <v>14402</v>
      </c>
      <c r="AC34" s="440">
        <v>14430</v>
      </c>
      <c r="AD34" s="440">
        <v>14457</v>
      </c>
      <c r="AE34" s="440">
        <v>14482</v>
      </c>
      <c r="AF34" s="440">
        <v>14508</v>
      </c>
      <c r="AG34" s="440">
        <v>14536</v>
      </c>
      <c r="AH34" s="440">
        <v>14564</v>
      </c>
      <c r="AI34" s="440">
        <v>14585</v>
      </c>
      <c r="AJ34" s="440">
        <v>14612</v>
      </c>
      <c r="AK34" s="440">
        <v>14642</v>
      </c>
      <c r="AL34" s="440">
        <v>14665</v>
      </c>
      <c r="AM34" s="440">
        <v>14711</v>
      </c>
      <c r="AN34" s="440">
        <v>14742</v>
      </c>
      <c r="AO34" s="440">
        <v>14776</v>
      </c>
      <c r="AP34">
        <v>14827</v>
      </c>
      <c r="AQ34" s="440">
        <v>14827</v>
      </c>
    </row>
    <row r="35" spans="2:43" ht="18" customHeight="1" x14ac:dyDescent="0.25">
      <c r="B35" s="238" t="s">
        <v>1923</v>
      </c>
      <c r="C35" s="230"/>
      <c r="D35" s="35"/>
      <c r="E35" s="35"/>
      <c r="F35" s="35"/>
      <c r="G35" s="35"/>
      <c r="H35" s="35"/>
      <c r="I35" s="35"/>
      <c r="J35" s="35"/>
      <c r="K35" s="35"/>
      <c r="L35" s="35"/>
      <c r="M35" s="35"/>
      <c r="N35" s="35"/>
      <c r="O35" s="35"/>
      <c r="P35" s="35"/>
      <c r="Q35" s="35"/>
      <c r="R35" s="440"/>
      <c r="S35" s="440"/>
      <c r="T35" s="440"/>
      <c r="U35" s="440"/>
      <c r="V35" s="440">
        <f>V33+V34</f>
        <v>19401</v>
      </c>
      <c r="W35" s="440">
        <f t="shared" ref="W35:AQ35" si="10">W33+W34</f>
        <v>19405</v>
      </c>
      <c r="X35" s="440">
        <f t="shared" si="10"/>
        <v>19408</v>
      </c>
      <c r="Y35" s="440">
        <f t="shared" si="10"/>
        <v>19430</v>
      </c>
      <c r="Z35" s="440">
        <f t="shared" si="10"/>
        <v>19489</v>
      </c>
      <c r="AA35" s="440">
        <f t="shared" si="10"/>
        <v>19491</v>
      </c>
      <c r="AB35" s="440">
        <f t="shared" si="10"/>
        <v>19608</v>
      </c>
      <c r="AC35" s="440">
        <f t="shared" si="10"/>
        <v>19659</v>
      </c>
      <c r="AD35" s="440">
        <f t="shared" si="10"/>
        <v>19706</v>
      </c>
      <c r="AE35" s="440">
        <f t="shared" si="10"/>
        <v>19745</v>
      </c>
      <c r="AF35" s="440">
        <f t="shared" si="10"/>
        <v>19788</v>
      </c>
      <c r="AG35" s="440">
        <f t="shared" si="10"/>
        <v>19837</v>
      </c>
      <c r="AH35" s="440">
        <f t="shared" si="10"/>
        <v>19865</v>
      </c>
      <c r="AI35" s="440">
        <f t="shared" si="10"/>
        <v>19914</v>
      </c>
      <c r="AJ35" s="440">
        <f t="shared" si="10"/>
        <v>19958</v>
      </c>
      <c r="AK35" s="440">
        <f t="shared" si="10"/>
        <v>20017</v>
      </c>
      <c r="AL35" s="440">
        <f t="shared" si="10"/>
        <v>20048</v>
      </c>
      <c r="AM35" s="440">
        <f t="shared" si="10"/>
        <v>20115</v>
      </c>
      <c r="AN35" s="440">
        <f t="shared" si="10"/>
        <v>20162</v>
      </c>
      <c r="AO35" s="440">
        <f t="shared" si="10"/>
        <v>20210</v>
      </c>
      <c r="AP35" s="440">
        <f t="shared" si="10"/>
        <v>20272</v>
      </c>
      <c r="AQ35" s="440">
        <f t="shared" si="10"/>
        <v>20278</v>
      </c>
    </row>
    <row r="36" spans="2:43" ht="19.5" customHeight="1" x14ac:dyDescent="0.25">
      <c r="B36" s="470" t="s">
        <v>399</v>
      </c>
      <c r="C36" s="348" t="s">
        <v>400</v>
      </c>
      <c r="D36" s="35">
        <v>345102</v>
      </c>
      <c r="E36" s="440">
        <v>335151</v>
      </c>
      <c r="F36" s="440">
        <v>336955</v>
      </c>
      <c r="G36" s="440">
        <v>335574</v>
      </c>
      <c r="H36" s="440">
        <v>338521</v>
      </c>
      <c r="I36" s="440">
        <v>329746</v>
      </c>
      <c r="J36" s="440">
        <v>328919</v>
      </c>
      <c r="K36" s="440">
        <v>333989</v>
      </c>
      <c r="L36" s="440">
        <v>326840</v>
      </c>
      <c r="M36" s="440">
        <v>327373</v>
      </c>
      <c r="N36" s="440">
        <v>331380</v>
      </c>
      <c r="O36" s="440">
        <v>331492</v>
      </c>
      <c r="P36" s="440">
        <v>334244</v>
      </c>
      <c r="Q36" s="440">
        <v>338416</v>
      </c>
      <c r="R36" s="440">
        <v>339417</v>
      </c>
      <c r="S36" s="440">
        <v>345062</v>
      </c>
      <c r="T36" s="440">
        <v>339178</v>
      </c>
      <c r="U36" s="440">
        <v>342484</v>
      </c>
      <c r="V36" s="440">
        <v>350972</v>
      </c>
      <c r="W36" s="440">
        <v>350286</v>
      </c>
      <c r="X36" s="440">
        <v>355116</v>
      </c>
      <c r="Y36" s="440">
        <v>354474</v>
      </c>
      <c r="Z36" s="440">
        <v>359543</v>
      </c>
      <c r="AA36" s="440">
        <v>361033</v>
      </c>
      <c r="AB36" s="440">
        <v>364867</v>
      </c>
      <c r="AC36" s="440">
        <v>371673</v>
      </c>
      <c r="AD36" s="440">
        <v>374555</v>
      </c>
      <c r="AE36" s="440">
        <v>382073</v>
      </c>
      <c r="AF36" s="440">
        <v>388978</v>
      </c>
      <c r="AG36" s="440">
        <v>396538</v>
      </c>
      <c r="AH36" s="440">
        <v>404059</v>
      </c>
      <c r="AI36" s="440">
        <v>407847</v>
      </c>
      <c r="AJ36" s="440">
        <v>418897</v>
      </c>
      <c r="AK36" s="230">
        <v>432334</v>
      </c>
      <c r="AL36" s="440">
        <v>440095</v>
      </c>
      <c r="AM36" s="440">
        <v>446894</v>
      </c>
      <c r="AN36" s="440">
        <v>445408</v>
      </c>
      <c r="AO36">
        <v>444717</v>
      </c>
      <c r="AP36" s="440">
        <v>447315</v>
      </c>
    </row>
    <row r="37" spans="2:43" ht="15.6" customHeight="1" x14ac:dyDescent="0.25">
      <c r="B37" s="245"/>
      <c r="C37" s="239"/>
      <c r="D37" t="e">
        <f>(D36/C36)^3</f>
        <v>#VALUE!</v>
      </c>
      <c r="E37">
        <f>(E36/D36)^3-1</f>
        <v>-8.4034470816570894E-2</v>
      </c>
      <c r="F37">
        <f t="shared" ref="F37:AJ37" si="11">(F36/E36)^3-1</f>
        <v>1.6235019917463678E-2</v>
      </c>
      <c r="G37">
        <f t="shared" si="11"/>
        <v>-1.2245086838220676E-2</v>
      </c>
      <c r="H37">
        <f t="shared" si="11"/>
        <v>2.657794899790078E-2</v>
      </c>
      <c r="I37">
        <f t="shared" si="11"/>
        <v>-7.576637938265407E-2</v>
      </c>
      <c r="J37">
        <f t="shared" si="11"/>
        <v>-7.5051187161534472E-3</v>
      </c>
      <c r="K37">
        <f t="shared" si="11"/>
        <v>4.6958836417060335E-2</v>
      </c>
      <c r="L37">
        <f t="shared" si="11"/>
        <v>-6.2849987986868472E-2</v>
      </c>
      <c r="M37">
        <f t="shared" si="11"/>
        <v>4.9002845871091161E-3</v>
      </c>
      <c r="N37">
        <f t="shared" si="11"/>
        <v>3.7170859154568525E-2</v>
      </c>
      <c r="O37">
        <f t="shared" si="11"/>
        <v>1.014284429549317E-3</v>
      </c>
      <c r="P37">
        <f t="shared" si="11"/>
        <v>2.5112913198612752E-2</v>
      </c>
      <c r="Q37">
        <f t="shared" si="11"/>
        <v>3.791503644644223E-2</v>
      </c>
      <c r="R37">
        <f t="shared" si="11"/>
        <v>8.899967275538323E-3</v>
      </c>
      <c r="S37">
        <f t="shared" si="11"/>
        <v>5.0728794373513075E-2</v>
      </c>
      <c r="T37">
        <f t="shared" si="11"/>
        <v>-5.02886694287622E-2</v>
      </c>
      <c r="U37">
        <f t="shared" si="11"/>
        <v>2.9527226919363381E-2</v>
      </c>
      <c r="V37">
        <f t="shared" si="11"/>
        <v>7.6208827772647814E-2</v>
      </c>
      <c r="W37">
        <f t="shared" si="11"/>
        <v>-5.8522620375497381E-3</v>
      </c>
      <c r="X37">
        <f t="shared" si="11"/>
        <v>4.1939206989926925E-2</v>
      </c>
      <c r="Y37">
        <f t="shared" si="11"/>
        <v>-5.4137807364055268E-3</v>
      </c>
      <c r="Z37">
        <f t="shared" si="11"/>
        <v>4.3516584020125482E-2</v>
      </c>
      <c r="AA37">
        <f t="shared" si="11"/>
        <v>1.248404207060072E-2</v>
      </c>
      <c r="AB37">
        <f t="shared" si="11"/>
        <v>3.2198104290543039E-2</v>
      </c>
      <c r="AC37">
        <f t="shared" si="11"/>
        <v>5.7010452280555901E-2</v>
      </c>
      <c r="AD37">
        <f t="shared" si="11"/>
        <v>2.3443229599369841E-2</v>
      </c>
      <c r="AE37">
        <f t="shared" si="11"/>
        <v>6.1432175866859451E-2</v>
      </c>
      <c r="AF37">
        <f t="shared" si="11"/>
        <v>5.5203132206688155E-2</v>
      </c>
      <c r="AG37">
        <f t="shared" si="11"/>
        <v>5.9447202443772218E-2</v>
      </c>
      <c r="AH37">
        <f t="shared" si="11"/>
        <v>5.7985994352212078E-2</v>
      </c>
      <c r="AI37">
        <f t="shared" si="11"/>
        <v>2.8389093984368063E-2</v>
      </c>
      <c r="AJ37">
        <f t="shared" si="11"/>
        <v>8.3502540511725343E-2</v>
      </c>
      <c r="AK37" s="230">
        <f>(AK35/AJ35)^12</f>
        <v>1.0360570030341696</v>
      </c>
      <c r="AL37" s="230">
        <f t="shared" ref="AL37:AM37" si="12">(AL35/AK35)^12</f>
        <v>1.01874331923136</v>
      </c>
      <c r="AM37" s="230">
        <f t="shared" si="12"/>
        <v>1.0408491672630216</v>
      </c>
      <c r="AN37" s="230">
        <f>(AN35/AM35)^12</f>
        <v>1.0284019275837375</v>
      </c>
      <c r="AO37" s="230">
        <f>(AO35/AN35)^12</f>
        <v>1.0289456543406541</v>
      </c>
    </row>
    <row r="38" spans="2:43" ht="12.75" customHeight="1" x14ac:dyDescent="0.25">
      <c r="AE38">
        <f>AVERAGE(AE35:AG35)</f>
        <v>19790</v>
      </c>
      <c r="AH38">
        <f>AVERAGE(AH35:AJ35)</f>
        <v>19912.333333333332</v>
      </c>
      <c r="AK38" s="230">
        <f>(AK34/AJ34)^3</f>
        <v>1.0061719755057918</v>
      </c>
    </row>
    <row r="39" spans="2:43" x14ac:dyDescent="0.25">
      <c r="B39" s="1353" t="s">
        <v>401</v>
      </c>
      <c r="C39" s="1353"/>
      <c r="D39" s="1353"/>
      <c r="E39" s="1353"/>
      <c r="F39" s="1353"/>
      <c r="G39" s="1353"/>
      <c r="H39" s="1353"/>
      <c r="I39" s="1353"/>
      <c r="J39" s="1353"/>
      <c r="K39" s="1353"/>
      <c r="L39" s="1353"/>
      <c r="M39" s="1353"/>
      <c r="N39" s="1353"/>
      <c r="O39" s="1353"/>
      <c r="P39" s="1353"/>
      <c r="Q39" s="1353"/>
      <c r="R39" s="1353"/>
      <c r="S39" s="1353"/>
      <c r="T39" s="1353"/>
      <c r="U39" s="1353"/>
      <c r="V39" s="1353"/>
      <c r="W39" s="1353"/>
      <c r="X39" s="1353"/>
      <c r="Y39" s="1353"/>
      <c r="Z39" s="1353"/>
      <c r="AA39" s="1353"/>
      <c r="AB39" s="1353"/>
      <c r="AC39" s="1353"/>
      <c r="AD39" s="202"/>
      <c r="AE39">
        <f>AVERAGE(AE36:AG36)</f>
        <v>389196.33333333331</v>
      </c>
      <c r="AF39" s="202"/>
      <c r="AG39" s="202"/>
      <c r="AH39">
        <f>AVERAGE(AH36:AJ36)</f>
        <v>410267.66666666669</v>
      </c>
      <c r="AK39" s="230"/>
    </row>
    <row r="40" spans="2:43" ht="20.25" customHeight="1" x14ac:dyDescent="0.25">
      <c r="B40" s="1353"/>
      <c r="C40" s="1353"/>
      <c r="D40" s="1353"/>
      <c r="E40" s="1353"/>
      <c r="F40" s="1353"/>
      <c r="G40" s="1353"/>
      <c r="H40" s="1353"/>
      <c r="I40" s="1353"/>
      <c r="J40" s="1353"/>
      <c r="K40" s="1353"/>
      <c r="L40" s="1353"/>
      <c r="M40" s="1353"/>
      <c r="N40" s="1353"/>
      <c r="O40" s="1353"/>
      <c r="P40" s="1353"/>
      <c r="Q40" s="1353"/>
      <c r="R40" s="1353"/>
      <c r="S40" s="1353"/>
      <c r="T40" s="1353"/>
      <c r="U40" s="1353"/>
      <c r="V40" s="1353"/>
      <c r="W40" s="1353"/>
      <c r="X40" s="1353"/>
      <c r="Y40" s="1353"/>
      <c r="Z40" s="1353"/>
      <c r="AA40" s="1353"/>
      <c r="AB40" s="1353"/>
      <c r="AC40" s="1353"/>
      <c r="AD40" s="202"/>
      <c r="AE40" s="202"/>
      <c r="AF40" s="202"/>
      <c r="AG40" s="202"/>
      <c r="AH40">
        <f>AH38/AE38</f>
        <v>1.0061815731851103</v>
      </c>
      <c r="AK40" s="230"/>
    </row>
    <row r="41" spans="2:43" ht="14.25" customHeight="1" x14ac:dyDescent="0.25">
      <c r="B41" s="1352" t="s">
        <v>402</v>
      </c>
      <c r="C41" s="1352"/>
      <c r="D41" s="1352"/>
      <c r="E41" s="1352"/>
      <c r="F41" s="1352"/>
      <c r="G41" s="1352"/>
      <c r="H41" s="1352"/>
      <c r="I41" s="1352"/>
      <c r="J41" s="1352"/>
      <c r="K41" s="1352"/>
      <c r="L41" s="1352"/>
      <c r="M41" s="1352"/>
      <c r="N41" s="1352"/>
      <c r="O41" s="1352"/>
      <c r="P41" s="1352"/>
      <c r="Q41" s="1352"/>
      <c r="R41" s="1352"/>
      <c r="S41" s="1352"/>
      <c r="T41" s="1352"/>
      <c r="U41" s="1352"/>
      <c r="V41" s="1352"/>
      <c r="W41" s="1352"/>
      <c r="X41" s="1352"/>
      <c r="Y41" s="1352"/>
      <c r="Z41" s="1352"/>
      <c r="AA41" s="1352"/>
      <c r="AB41" s="1352"/>
      <c r="AC41" s="1352"/>
      <c r="AD41" s="369"/>
      <c r="AE41" s="369"/>
      <c r="AF41" s="369"/>
      <c r="AG41" s="369"/>
      <c r="AH41">
        <f>AH39/AE39</f>
        <v>1.0541406265389621</v>
      </c>
      <c r="AK41" s="230"/>
    </row>
    <row r="42" spans="2:43" x14ac:dyDescent="0.25">
      <c r="B42" s="1352"/>
      <c r="C42" s="1352"/>
      <c r="D42" s="1352"/>
      <c r="E42" s="1352"/>
      <c r="F42" s="1352"/>
      <c r="G42" s="1352"/>
      <c r="H42" s="1352"/>
      <c r="I42" s="1352"/>
      <c r="J42" s="1352"/>
      <c r="K42" s="1352"/>
      <c r="L42" s="1352"/>
      <c r="M42" s="1352"/>
      <c r="N42" s="1352"/>
      <c r="O42" s="1352"/>
      <c r="P42" s="1352"/>
      <c r="Q42" s="1352"/>
      <c r="R42" s="1352"/>
      <c r="S42" s="1352"/>
      <c r="T42" s="1352"/>
      <c r="U42" s="1352"/>
      <c r="V42" s="1352"/>
      <c r="W42" s="1352"/>
      <c r="X42" s="1352"/>
      <c r="Y42" s="1352"/>
      <c r="Z42" s="1352"/>
      <c r="AA42" s="1352"/>
      <c r="AB42" s="1352"/>
      <c r="AC42" s="1352"/>
      <c r="AD42" s="369"/>
      <c r="AE42" s="369"/>
      <c r="AF42" s="369"/>
      <c r="AG42" s="369"/>
      <c r="AK42" s="230"/>
    </row>
    <row r="43" spans="2:43" ht="8.85" customHeight="1" x14ac:dyDescent="0.25">
      <c r="B43" s="1352"/>
      <c r="C43" s="1352"/>
      <c r="D43" s="1352"/>
      <c r="E43" s="1352"/>
      <c r="F43" s="1352"/>
      <c r="G43" s="1352"/>
      <c r="H43" s="1352"/>
      <c r="I43" s="1352"/>
      <c r="J43" s="1352"/>
      <c r="K43" s="1352"/>
      <c r="L43" s="1352"/>
      <c r="M43" s="1352"/>
      <c r="N43" s="1352"/>
      <c r="O43" s="1352"/>
      <c r="P43" s="1352"/>
      <c r="Q43" s="1352"/>
      <c r="R43" s="1352"/>
      <c r="S43" s="1352"/>
      <c r="T43" s="1352"/>
      <c r="U43" s="1352"/>
      <c r="V43" s="1352"/>
      <c r="W43" s="1352"/>
      <c r="X43" s="1352"/>
      <c r="Y43" s="1352"/>
      <c r="Z43" s="1352"/>
      <c r="AA43" s="1352"/>
      <c r="AB43" s="1352"/>
      <c r="AC43" s="1352"/>
      <c r="AD43" s="369"/>
      <c r="AE43" s="369"/>
      <c r="AF43" s="369"/>
      <c r="AG43" s="369"/>
      <c r="AK43" s="230"/>
    </row>
    <row r="44" spans="2:43" ht="12.75" customHeight="1" x14ac:dyDescent="0.25">
      <c r="AK44" s="230"/>
    </row>
    <row r="45" spans="2:43" ht="30.75" customHeight="1" x14ac:dyDescent="0.25">
      <c r="B45" s="1293" t="s">
        <v>279</v>
      </c>
      <c r="C45" s="1354"/>
      <c r="D45" s="1297" t="s">
        <v>280</v>
      </c>
      <c r="E45" s="1310"/>
      <c r="F45" s="1310"/>
      <c r="G45" s="1310"/>
      <c r="H45" s="1310"/>
      <c r="I45" s="1310"/>
      <c r="J45" s="1310"/>
      <c r="K45" s="1310"/>
      <c r="L45" s="1310"/>
      <c r="M45" s="1310"/>
      <c r="N45" s="1310"/>
      <c r="O45" s="1310"/>
      <c r="P45" s="1310"/>
      <c r="Q45" s="1310"/>
      <c r="R45" s="1310"/>
      <c r="S45" s="1310"/>
      <c r="T45" s="1310"/>
      <c r="U45" s="1311"/>
      <c r="V45" s="1296"/>
      <c r="W45" s="1328" t="s">
        <v>281</v>
      </c>
      <c r="X45" s="1329"/>
      <c r="Y45" s="1329"/>
      <c r="Z45" s="1329"/>
      <c r="AA45" s="1329"/>
      <c r="AB45" s="1329"/>
      <c r="AC45" s="1329"/>
      <c r="AD45" s="1329"/>
      <c r="AE45" s="1329"/>
      <c r="AF45" s="1329"/>
      <c r="AG45" s="1329"/>
      <c r="AK45" s="230"/>
    </row>
    <row r="46" spans="2:43" x14ac:dyDescent="0.25">
      <c r="B46" s="1295"/>
      <c r="C46" s="1311"/>
      <c r="D46" s="209">
        <v>2018</v>
      </c>
      <c r="E46" s="1302">
        <v>2019</v>
      </c>
      <c r="F46" s="1303"/>
      <c r="G46" s="1303"/>
      <c r="H46" s="1304"/>
      <c r="I46" s="1302">
        <v>2020</v>
      </c>
      <c r="J46" s="1303"/>
      <c r="K46" s="1303"/>
      <c r="L46" s="1303"/>
      <c r="M46" s="1302">
        <v>2021</v>
      </c>
      <c r="N46" s="1303"/>
      <c r="O46" s="1303"/>
      <c r="P46" s="1303"/>
      <c r="Q46" s="1302">
        <v>2022</v>
      </c>
      <c r="R46" s="1325"/>
      <c r="S46" s="1325"/>
      <c r="T46" s="1325"/>
      <c r="U46" s="229"/>
      <c r="V46" s="278">
        <v>2023</v>
      </c>
      <c r="W46" s="279"/>
      <c r="X46" s="250"/>
      <c r="Y46" s="1299">
        <v>2024</v>
      </c>
      <c r="Z46" s="1300"/>
      <c r="AA46" s="1300"/>
      <c r="AB46" s="1301"/>
      <c r="AC46" s="1299">
        <v>2025</v>
      </c>
      <c r="AD46" s="1300"/>
      <c r="AE46" s="1300"/>
      <c r="AF46" s="1301"/>
      <c r="AG46" s="241">
        <v>2026</v>
      </c>
      <c r="AK46" s="230"/>
    </row>
    <row r="47" spans="2:43" x14ac:dyDescent="0.25">
      <c r="B47" s="1297"/>
      <c r="C47" s="1310"/>
      <c r="D47" s="204" t="s">
        <v>282</v>
      </c>
      <c r="E47" s="204" t="s">
        <v>283</v>
      </c>
      <c r="F47" s="205" t="s">
        <v>284</v>
      </c>
      <c r="G47" s="205" t="s">
        <v>238</v>
      </c>
      <c r="H47" s="206" t="s">
        <v>282</v>
      </c>
      <c r="I47" s="205" t="s">
        <v>283</v>
      </c>
      <c r="J47" s="205" t="s">
        <v>284</v>
      </c>
      <c r="K47" s="205" t="s">
        <v>238</v>
      </c>
      <c r="L47" s="205" t="s">
        <v>282</v>
      </c>
      <c r="M47" s="204" t="s">
        <v>283</v>
      </c>
      <c r="N47" s="205" t="s">
        <v>284</v>
      </c>
      <c r="O47" s="205" t="s">
        <v>238</v>
      </c>
      <c r="P47" s="205" t="s">
        <v>282</v>
      </c>
      <c r="Q47" s="204" t="s">
        <v>283</v>
      </c>
      <c r="R47" s="205" t="s">
        <v>284</v>
      </c>
      <c r="S47" s="205" t="s">
        <v>238</v>
      </c>
      <c r="T47" s="205" t="s">
        <v>282</v>
      </c>
      <c r="U47" s="275" t="s">
        <v>283</v>
      </c>
      <c r="V47" s="276" t="s">
        <v>284</v>
      </c>
      <c r="W47" s="260" t="s">
        <v>238</v>
      </c>
      <c r="X47" s="261" t="s">
        <v>282</v>
      </c>
      <c r="Y47" s="259" t="s">
        <v>283</v>
      </c>
      <c r="Z47" s="257" t="s">
        <v>284</v>
      </c>
      <c r="AA47" s="260" t="s">
        <v>238</v>
      </c>
      <c r="AB47" s="261" t="s">
        <v>282</v>
      </c>
      <c r="AC47" s="259" t="s">
        <v>283</v>
      </c>
      <c r="AD47" s="257" t="s">
        <v>284</v>
      </c>
      <c r="AE47" s="260" t="s">
        <v>238</v>
      </c>
      <c r="AF47" s="261" t="s">
        <v>282</v>
      </c>
      <c r="AG47" s="262" t="s">
        <v>283</v>
      </c>
      <c r="AK47" s="230"/>
    </row>
    <row r="48" spans="2:43" x14ac:dyDescent="0.25">
      <c r="B48" s="478" t="s">
        <v>134</v>
      </c>
      <c r="C48" s="263"/>
      <c r="D48" s="240"/>
      <c r="E48" s="472"/>
      <c r="F48" s="472"/>
      <c r="G48" s="472"/>
      <c r="H48" s="424">
        <f>Grants!H96</f>
        <v>72.156000000000006</v>
      </c>
      <c r="I48" s="424">
        <f>Grants!I96</f>
        <v>75.245999999999995</v>
      </c>
      <c r="J48" s="424">
        <f>Grants!J96</f>
        <v>75.986000000000004</v>
      </c>
      <c r="K48" s="424">
        <f>Grants!K96</f>
        <v>79.650999999999996</v>
      </c>
      <c r="L48" s="424">
        <f>Grants!L96</f>
        <v>75.400999999999996</v>
      </c>
      <c r="M48" s="424">
        <f>Grants!M96</f>
        <v>73.034999999999997</v>
      </c>
      <c r="N48" s="424">
        <f>Grants!N96</f>
        <v>75.13</v>
      </c>
      <c r="O48" s="424">
        <f>Grants!O96</f>
        <v>70.191999999999993</v>
      </c>
      <c r="P48" s="424">
        <f>Grants!P96</f>
        <v>72.266999999999996</v>
      </c>
      <c r="Q48" s="424">
        <f>Grants!Q96</f>
        <v>74.974000000000004</v>
      </c>
      <c r="R48" s="424">
        <f>Grants!R96</f>
        <v>75.229285714285723</v>
      </c>
      <c r="S48" s="473">
        <f>Grants!S96</f>
        <v>75.229285714285723</v>
      </c>
      <c r="T48" s="452">
        <f>Grants!T96</f>
        <v>76.048285714285726</v>
      </c>
      <c r="U48" s="216">
        <f>Grants!U96</f>
        <v>76.048285714285726</v>
      </c>
      <c r="V48" s="216">
        <f>Grants!V96</f>
        <v>76.048285714285726</v>
      </c>
      <c r="W48" s="216">
        <f>Grants!W96</f>
        <v>76.048285714285726</v>
      </c>
      <c r="X48" s="226">
        <f>Grants!X96</f>
        <v>77.707285714285717</v>
      </c>
      <c r="Y48" s="226">
        <f>Grants!Y96</f>
        <v>77.707285714285717</v>
      </c>
      <c r="Z48" s="226">
        <f>Grants!Z96</f>
        <v>77.707285714285717</v>
      </c>
      <c r="AA48" s="226">
        <f>Grants!AA96</f>
        <v>77.707285714285717</v>
      </c>
      <c r="AB48" s="226">
        <f>Grants!AB96</f>
        <v>79.301285714285726</v>
      </c>
      <c r="AC48" s="226">
        <f>Grants!AC96</f>
        <v>79.301285714285726</v>
      </c>
      <c r="AD48" s="226">
        <f>Grants!AD96</f>
        <v>75.229285714285723</v>
      </c>
      <c r="AE48" s="226">
        <f>Grants!AE96</f>
        <v>75.229285714285723</v>
      </c>
      <c r="AF48" s="226">
        <f>Grants!AF96</f>
        <v>75.229285714285723</v>
      </c>
      <c r="AG48" s="226">
        <f>Grants!AG96</f>
        <v>75.229285714285723</v>
      </c>
    </row>
    <row r="49" spans="2:62" x14ac:dyDescent="0.25">
      <c r="B49" s="469" t="s">
        <v>192</v>
      </c>
      <c r="C49" s="460"/>
      <c r="D49" s="450"/>
      <c r="E49" s="460"/>
      <c r="F49" s="460"/>
      <c r="G49" s="460"/>
      <c r="H49" s="216">
        <f>Grants!H75</f>
        <v>206.82899999999995</v>
      </c>
      <c r="I49" s="216">
        <f>Grants!I75</f>
        <v>214.11100000000005</v>
      </c>
      <c r="J49" s="216">
        <f>Grants!J75</f>
        <v>320.24999999999989</v>
      </c>
      <c r="K49" s="216">
        <f>Grants!K75</f>
        <v>298.13400000000001</v>
      </c>
      <c r="L49" s="216">
        <f>Grants!L75</f>
        <v>289.54399999999998</v>
      </c>
      <c r="M49" s="216">
        <f>Grants!M75</f>
        <v>320.34099999999995</v>
      </c>
      <c r="N49" s="216">
        <f>Grants!N75</f>
        <v>354.35800000000017</v>
      </c>
      <c r="O49" s="216">
        <f>Grants!O75</f>
        <v>375.57600000000008</v>
      </c>
      <c r="P49" s="216">
        <f>Grants!P75</f>
        <v>396.106852</v>
      </c>
      <c r="Q49" s="216">
        <f>Grants!Q75</f>
        <v>433.66327480000001</v>
      </c>
      <c r="R49" s="216">
        <f>Grants!R75</f>
        <v>500.88603199999994</v>
      </c>
      <c r="S49" s="216">
        <f>Grants!S75</f>
        <v>486.87586800000008</v>
      </c>
      <c r="T49" s="216">
        <f>Grants!T75</f>
        <v>445.45392800000008</v>
      </c>
      <c r="U49" s="447">
        <f>Grants!U75</f>
        <v>439.61154320000009</v>
      </c>
      <c r="V49" s="447">
        <f>Grants!V75</f>
        <v>429.15772000000004</v>
      </c>
      <c r="W49" s="447">
        <f>Grants!W75</f>
        <v>415.61894400000006</v>
      </c>
      <c r="X49" s="447">
        <f>Grants!X75</f>
        <v>427.53694400000006</v>
      </c>
      <c r="Y49" s="447">
        <f>Grants!Y75</f>
        <v>427.26494400000001</v>
      </c>
      <c r="Z49" s="447">
        <f>Grants!Z75</f>
        <v>418.03001728324807</v>
      </c>
      <c r="AA49" s="447">
        <f>Grants!AA75</f>
        <v>422.5102225824408</v>
      </c>
      <c r="AB49" s="447">
        <f>Grants!AB75</f>
        <v>427.2815256817579</v>
      </c>
      <c r="AC49" s="447">
        <f>Grants!AC75</f>
        <v>410.47107700000004</v>
      </c>
      <c r="AD49" s="447">
        <f>Grants!AD75</f>
        <v>405.8184041145779</v>
      </c>
      <c r="AE49" s="447">
        <f>Grants!AE75</f>
        <v>408.36749628573835</v>
      </c>
      <c r="AF49" s="447">
        <f>Grants!AF75</f>
        <v>407.0560067810282</v>
      </c>
      <c r="AG49" s="447">
        <f>Grants!AG75</f>
        <v>409.781722</v>
      </c>
    </row>
    <row r="50" spans="2:62" x14ac:dyDescent="0.25">
      <c r="B50" s="479" t="s">
        <v>403</v>
      </c>
      <c r="C50" s="471"/>
      <c r="D50" s="470"/>
      <c r="E50" s="471"/>
      <c r="F50" s="471"/>
      <c r="G50" s="471"/>
      <c r="H50" s="453">
        <f>H48+H49</f>
        <v>278.98499999999996</v>
      </c>
      <c r="I50" s="453">
        <f t="shared" ref="I50:AG50" si="13">I48+I49</f>
        <v>289.35700000000003</v>
      </c>
      <c r="J50" s="453">
        <f t="shared" si="13"/>
        <v>396.23599999999988</v>
      </c>
      <c r="K50" s="453">
        <f t="shared" si="13"/>
        <v>377.78500000000003</v>
      </c>
      <c r="L50" s="453">
        <f t="shared" si="13"/>
        <v>364.94499999999999</v>
      </c>
      <c r="M50" s="453">
        <f t="shared" si="13"/>
        <v>393.37599999999998</v>
      </c>
      <c r="N50" s="453">
        <f t="shared" si="13"/>
        <v>429.48800000000017</v>
      </c>
      <c r="O50" s="453">
        <f t="shared" si="13"/>
        <v>445.76800000000009</v>
      </c>
      <c r="P50" s="453">
        <f t="shared" si="13"/>
        <v>468.373852</v>
      </c>
      <c r="Q50" s="453">
        <f t="shared" si="13"/>
        <v>508.6372748</v>
      </c>
      <c r="R50" s="453">
        <f t="shared" si="13"/>
        <v>576.11531771428565</v>
      </c>
      <c r="S50" s="453">
        <f t="shared" si="13"/>
        <v>562.10515371428585</v>
      </c>
      <c r="T50" s="453">
        <f t="shared" si="13"/>
        <v>521.50221371428574</v>
      </c>
      <c r="U50" s="453">
        <f t="shared" si="13"/>
        <v>515.65982891428575</v>
      </c>
      <c r="V50" s="216">
        <f t="shared" si="13"/>
        <v>505.20600571428577</v>
      </c>
      <c r="W50" s="216">
        <f t="shared" si="13"/>
        <v>491.66722971428578</v>
      </c>
      <c r="X50" s="226">
        <f t="shared" si="13"/>
        <v>505.24422971428578</v>
      </c>
      <c r="Y50" s="226">
        <f t="shared" si="13"/>
        <v>504.97222971428573</v>
      </c>
      <c r="Z50" s="226">
        <f t="shared" si="13"/>
        <v>495.73730299753379</v>
      </c>
      <c r="AA50" s="226">
        <f t="shared" si="13"/>
        <v>500.21750829672652</v>
      </c>
      <c r="AB50" s="226">
        <f t="shared" si="13"/>
        <v>506.58281139604361</v>
      </c>
      <c r="AC50" s="226">
        <f t="shared" si="13"/>
        <v>489.77236271428575</v>
      </c>
      <c r="AD50" s="226">
        <f t="shared" si="13"/>
        <v>481.04768982886361</v>
      </c>
      <c r="AE50" s="226">
        <f t="shared" si="13"/>
        <v>483.59678200002406</v>
      </c>
      <c r="AF50" s="226">
        <f t="shared" si="13"/>
        <v>482.28529249531391</v>
      </c>
      <c r="AG50" s="226">
        <f t="shared" si="13"/>
        <v>485.01100771428571</v>
      </c>
    </row>
    <row r="52" spans="2:62" x14ac:dyDescent="0.25">
      <c r="S52" s="115"/>
      <c r="T52" s="115"/>
      <c r="U52" s="115"/>
      <c r="V52" s="115"/>
      <c r="W52" s="115"/>
      <c r="X52" s="115"/>
      <c r="Y52" s="115"/>
      <c r="Z52" s="115"/>
      <c r="AA52" s="115"/>
      <c r="AB52" s="115"/>
      <c r="AC52" s="115"/>
      <c r="AD52" s="115"/>
      <c r="AE52" s="115"/>
      <c r="AF52" s="115"/>
      <c r="AG52" s="115"/>
    </row>
    <row r="53" spans="2:62" x14ac:dyDescent="0.25">
      <c r="S53" s="115"/>
      <c r="T53" s="115"/>
      <c r="U53" s="115"/>
      <c r="V53" s="115"/>
      <c r="W53" s="115"/>
      <c r="X53" s="115"/>
      <c r="Y53" s="115"/>
      <c r="Z53" s="115"/>
      <c r="AA53" s="115"/>
      <c r="AB53" s="115"/>
      <c r="AC53" s="115"/>
      <c r="AD53" s="115"/>
      <c r="AE53" s="115"/>
      <c r="AF53" s="115"/>
      <c r="AG53" s="115"/>
    </row>
    <row r="54" spans="2:62" ht="27.6" customHeight="1" x14ac:dyDescent="0.25">
      <c r="S54" s="115"/>
      <c r="T54" s="115"/>
      <c r="U54" s="115"/>
      <c r="V54" s="115"/>
      <c r="W54" s="115"/>
      <c r="X54" s="115"/>
      <c r="Y54" s="115"/>
      <c r="Z54" s="115"/>
      <c r="AA54" s="115"/>
      <c r="AB54" s="115"/>
      <c r="AC54" s="115"/>
      <c r="AD54" s="115"/>
      <c r="AE54" s="115"/>
      <c r="AF54" s="115"/>
      <c r="AG54" s="115"/>
    </row>
    <row r="55" spans="2:62" ht="27.6" customHeight="1" x14ac:dyDescent="0.25"/>
    <row r="56" spans="2:62" ht="27.6" customHeight="1" x14ac:dyDescent="0.25">
      <c r="BH56" s="429"/>
      <c r="BI56" s="429"/>
      <c r="BJ56" s="429"/>
    </row>
    <row r="58" spans="2:62" ht="27.6" customHeight="1" x14ac:dyDescent="0.25"/>
    <row r="59" spans="2:62" ht="27.6" customHeight="1" x14ac:dyDescent="0.25"/>
    <row r="60" spans="2:62" ht="27.6" customHeight="1" x14ac:dyDescent="0.25"/>
  </sheetData>
  <mergeCells count="33">
    <mergeCell ref="W45:AG45"/>
    <mergeCell ref="D45:V45"/>
    <mergeCell ref="AC46:AF46"/>
    <mergeCell ref="M46:P46"/>
    <mergeCell ref="Q21:T21"/>
    <mergeCell ref="Q46:T46"/>
    <mergeCell ref="Y21:AB21"/>
    <mergeCell ref="Y46:AB46"/>
    <mergeCell ref="B41:AC43"/>
    <mergeCell ref="B39:AC40"/>
    <mergeCell ref="B45:C47"/>
    <mergeCell ref="I46:L46"/>
    <mergeCell ref="E21:H21"/>
    <mergeCell ref="E46:H46"/>
    <mergeCell ref="B20:C22"/>
    <mergeCell ref="M21:P21"/>
    <mergeCell ref="W20:AG20"/>
    <mergeCell ref="AC21:AF21"/>
    <mergeCell ref="D20:V20"/>
    <mergeCell ref="I21:L21"/>
    <mergeCell ref="B15:AC15"/>
    <mergeCell ref="B16:AC18"/>
    <mergeCell ref="B1:AC1"/>
    <mergeCell ref="B6:C8"/>
    <mergeCell ref="E7:H7"/>
    <mergeCell ref="I7:L7"/>
    <mergeCell ref="Y7:AB7"/>
    <mergeCell ref="B2:AC4"/>
    <mergeCell ref="Q7:T7"/>
    <mergeCell ref="AC7:AF7"/>
    <mergeCell ref="W6:AG6"/>
    <mergeCell ref="D6:V6"/>
    <mergeCell ref="M7:P7"/>
  </mergeCells>
  <pageMargins left="0.7" right="0.7" top="0.75" bottom="0.75" header="0.3" footer="0.3"/>
  <pageSetup orientation="portrait"/>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Z84"/>
  <sheetViews>
    <sheetView zoomScale="89" zoomScaleNormal="100" workbookViewId="0">
      <pane xSplit="3" ySplit="10" topLeftCell="K74" activePane="bottomRight" state="frozen"/>
      <selection pane="topRight" activeCell="D1" sqref="D1"/>
      <selection pane="bottomLeft" activeCell="A11" sqref="A11"/>
      <selection pane="bottomRight" activeCell="B26" sqref="B26"/>
    </sheetView>
  </sheetViews>
  <sheetFormatPr defaultColWidth="10.85546875" defaultRowHeight="15" x14ac:dyDescent="0.25"/>
  <cols>
    <col min="2" max="2" width="49.42578125" customWidth="1"/>
    <col min="6" max="25" width="6.42578125" customWidth="1"/>
    <col min="27" max="27" width="10.140625" customWidth="1"/>
  </cols>
  <sheetData>
    <row r="1" spans="2:36" x14ac:dyDescent="0.25">
      <c r="B1" s="1288" t="s">
        <v>52</v>
      </c>
      <c r="C1" s="1288"/>
      <c r="D1" s="1288"/>
      <c r="E1" s="1288"/>
      <c r="F1" s="1288"/>
      <c r="G1" s="1288"/>
      <c r="H1" s="1288"/>
      <c r="I1" s="1288"/>
      <c r="J1" s="1288"/>
      <c r="K1" s="1288"/>
      <c r="L1" s="1288"/>
      <c r="M1" s="1288"/>
      <c r="N1" s="1288"/>
      <c r="O1" s="1288"/>
      <c r="P1" s="1288"/>
      <c r="Q1" s="1288"/>
      <c r="R1" s="1288"/>
      <c r="S1" s="1288"/>
      <c r="T1" s="1288"/>
      <c r="U1" s="1288"/>
      <c r="V1" s="1288"/>
      <c r="W1" s="1288"/>
      <c r="X1" s="1288"/>
      <c r="Y1" s="1288"/>
      <c r="Z1" s="1288"/>
      <c r="AA1" s="1288"/>
      <c r="AB1" s="1288"/>
      <c r="AC1" s="1288"/>
    </row>
    <row r="2" spans="2:36" ht="14.85" customHeight="1" x14ac:dyDescent="0.25">
      <c r="B2" s="1289" t="s">
        <v>858</v>
      </c>
      <c r="C2" s="1289"/>
      <c r="D2" s="1289"/>
      <c r="E2" s="1289"/>
      <c r="F2" s="1289"/>
      <c r="G2" s="1289"/>
      <c r="H2" s="1289"/>
      <c r="I2" s="1289"/>
      <c r="J2" s="1289"/>
      <c r="K2" s="1289"/>
      <c r="L2" s="1289"/>
      <c r="M2" s="1289"/>
      <c r="N2" s="1289"/>
      <c r="O2" s="1289"/>
      <c r="P2" s="1289"/>
      <c r="Q2" s="1289"/>
      <c r="R2" s="1289"/>
      <c r="S2" s="1289"/>
      <c r="T2" s="1289"/>
      <c r="U2" s="1289"/>
      <c r="V2" s="1289"/>
      <c r="W2" s="1289"/>
      <c r="X2" s="1289"/>
      <c r="Y2" s="1289"/>
      <c r="Z2" s="1289"/>
      <c r="AA2" s="1289"/>
      <c r="AB2" s="1289"/>
      <c r="AC2" s="1289"/>
    </row>
    <row r="3" spans="2:36" ht="14.85" customHeight="1" x14ac:dyDescent="0.25">
      <c r="B3" s="1289"/>
      <c r="C3" s="1289"/>
      <c r="D3" s="1289"/>
      <c r="E3" s="1289"/>
      <c r="F3" s="1289"/>
      <c r="G3" s="1289"/>
      <c r="H3" s="1289"/>
      <c r="I3" s="1289"/>
      <c r="J3" s="1289"/>
      <c r="K3" s="1289"/>
      <c r="L3" s="1289"/>
      <c r="M3" s="1289"/>
      <c r="N3" s="1289"/>
      <c r="O3" s="1289"/>
      <c r="P3" s="1289"/>
      <c r="Q3" s="1289"/>
      <c r="R3" s="1289"/>
      <c r="S3" s="1289"/>
      <c r="T3" s="1289"/>
      <c r="U3" s="1289"/>
      <c r="V3" s="1289"/>
      <c r="W3" s="1289"/>
      <c r="X3" s="1289"/>
      <c r="Y3" s="1289"/>
      <c r="Z3" s="1289"/>
      <c r="AA3" s="1289"/>
      <c r="AB3" s="1289"/>
      <c r="AC3" s="1289"/>
    </row>
    <row r="4" spans="2:36" ht="5.85" customHeight="1" x14ac:dyDescent="0.25">
      <c r="B4" s="1289"/>
      <c r="C4" s="1289"/>
      <c r="D4" s="1289"/>
      <c r="E4" s="1289"/>
      <c r="F4" s="1289"/>
      <c r="G4" s="1289"/>
      <c r="H4" s="1289"/>
      <c r="I4" s="1289"/>
      <c r="J4" s="1289"/>
      <c r="K4" s="1289"/>
      <c r="L4" s="1289"/>
      <c r="M4" s="1289"/>
      <c r="N4" s="1289"/>
      <c r="O4" s="1289"/>
      <c r="P4" s="1289"/>
      <c r="Q4" s="1289"/>
      <c r="R4" s="1289"/>
      <c r="S4" s="1289"/>
      <c r="T4" s="1289"/>
      <c r="U4" s="1289"/>
      <c r="V4" s="1289"/>
      <c r="W4" s="1289"/>
      <c r="X4" s="1289"/>
      <c r="Y4" s="1289"/>
      <c r="Z4" s="1289"/>
      <c r="AA4" s="1289"/>
      <c r="AB4" s="1289"/>
      <c r="AC4" s="1289"/>
    </row>
    <row r="5" spans="2:36" ht="1.5" customHeight="1" x14ac:dyDescent="0.25">
      <c r="B5" s="1289"/>
      <c r="C5" s="1289"/>
      <c r="D5" s="1289"/>
      <c r="E5" s="1289"/>
      <c r="F5" s="1289"/>
      <c r="G5" s="1289"/>
      <c r="H5" s="1289"/>
      <c r="I5" s="1289"/>
      <c r="J5" s="1289"/>
      <c r="K5" s="1289"/>
      <c r="L5" s="1289"/>
      <c r="M5" s="1289"/>
      <c r="N5" s="1289"/>
      <c r="O5" s="1289"/>
      <c r="P5" s="1289"/>
      <c r="Q5" s="1289"/>
      <c r="R5" s="1289"/>
      <c r="S5" s="1289"/>
      <c r="T5" s="1289"/>
      <c r="U5" s="1289"/>
      <c r="V5" s="1289"/>
      <c r="W5" s="1289"/>
      <c r="X5" s="1289"/>
      <c r="Y5" s="1289"/>
      <c r="Z5" s="1289"/>
      <c r="AA5" s="1289"/>
      <c r="AB5" s="1289"/>
      <c r="AC5" s="1289"/>
    </row>
    <row r="6" spans="2:36" ht="14.85" customHeight="1" x14ac:dyDescent="0.25">
      <c r="B6" s="1289"/>
      <c r="C6" s="1289"/>
      <c r="D6" s="1289"/>
      <c r="E6" s="1289"/>
      <c r="F6" s="1289"/>
      <c r="G6" s="1289"/>
      <c r="H6" s="1289"/>
      <c r="I6" s="1289"/>
      <c r="J6" s="1289"/>
      <c r="K6" s="1289"/>
      <c r="L6" s="1289"/>
      <c r="M6" s="1289"/>
      <c r="N6" s="1289"/>
      <c r="O6" s="1289"/>
      <c r="P6" s="1289"/>
      <c r="Q6" s="1289"/>
      <c r="R6" s="1289"/>
      <c r="S6" s="1289"/>
      <c r="T6" s="1289"/>
      <c r="U6" s="1289"/>
      <c r="V6" s="1289"/>
      <c r="W6" s="1289"/>
      <c r="X6" s="1289"/>
      <c r="Y6" s="1289"/>
      <c r="Z6" s="1289"/>
      <c r="AA6" s="1289"/>
      <c r="AB6" s="1289"/>
      <c r="AC6" s="1289"/>
    </row>
    <row r="7" spans="2:36" ht="33.75" customHeight="1" x14ac:dyDescent="0.25">
      <c r="B7" s="69"/>
      <c r="C7" s="69"/>
      <c r="D7" s="69"/>
      <c r="E7" s="69"/>
      <c r="F7" s="69"/>
      <c r="G7" s="69"/>
      <c r="H7" s="69"/>
      <c r="I7" s="69"/>
      <c r="J7" s="69"/>
      <c r="K7" s="69"/>
      <c r="L7" s="69"/>
      <c r="M7" s="69"/>
      <c r="N7" s="69"/>
      <c r="O7" s="69"/>
      <c r="P7" s="69"/>
      <c r="Q7" s="69"/>
      <c r="R7" s="69"/>
      <c r="S7" s="69"/>
      <c r="T7" s="69"/>
      <c r="U7" s="69"/>
      <c r="V7" s="69"/>
      <c r="W7" s="69"/>
      <c r="X7" s="69"/>
      <c r="Y7" s="69"/>
    </row>
    <row r="8" spans="2:36" ht="14.85" customHeight="1" x14ac:dyDescent="0.25">
      <c r="B8" s="1293" t="s">
        <v>404</v>
      </c>
      <c r="C8" s="1294"/>
      <c r="D8" s="1359" t="s">
        <v>280</v>
      </c>
      <c r="E8" s="1360"/>
      <c r="F8" s="1360"/>
      <c r="G8" s="1360"/>
      <c r="H8" s="1360"/>
      <c r="I8" s="1360"/>
      <c r="J8" s="1360"/>
      <c r="K8" s="1360"/>
      <c r="L8" s="1360"/>
      <c r="M8" s="1360"/>
      <c r="N8" s="1360"/>
      <c r="O8" s="1360"/>
      <c r="P8" s="1360"/>
      <c r="Q8" s="1360"/>
      <c r="R8" s="1360"/>
      <c r="S8" s="1360"/>
      <c r="T8" s="1360"/>
      <c r="U8" s="1361"/>
      <c r="V8" s="1294"/>
      <c r="W8" s="1340" t="s">
        <v>281</v>
      </c>
      <c r="X8" s="1330"/>
      <c r="Y8" s="1330"/>
      <c r="Z8" s="1330"/>
      <c r="AA8" s="1330"/>
      <c r="AB8" s="1330"/>
      <c r="AC8" s="1330"/>
      <c r="AD8" s="1330"/>
      <c r="AE8" s="1330"/>
      <c r="AF8" s="1330"/>
      <c r="AG8" s="1330"/>
    </row>
    <row r="9" spans="2:36" x14ac:dyDescent="0.25">
      <c r="B9" s="1295"/>
      <c r="C9" s="1296"/>
      <c r="D9" s="204">
        <v>2018</v>
      </c>
      <c r="E9" s="1290">
        <v>2019</v>
      </c>
      <c r="F9" s="1291"/>
      <c r="G9" s="1291"/>
      <c r="H9" s="1292"/>
      <c r="I9" s="1290">
        <v>2020</v>
      </c>
      <c r="J9" s="1291"/>
      <c r="K9" s="1291"/>
      <c r="L9" s="1291"/>
      <c r="M9" s="1290">
        <v>2021</v>
      </c>
      <c r="N9" s="1291"/>
      <c r="O9" s="1291"/>
      <c r="P9" s="1291"/>
      <c r="Q9" s="1302">
        <v>2022</v>
      </c>
      <c r="R9" s="1325"/>
      <c r="S9" s="1325"/>
      <c r="T9" s="1325"/>
      <c r="U9" s="229"/>
      <c r="V9" s="278">
        <v>2023</v>
      </c>
      <c r="W9" s="279"/>
      <c r="X9" s="250"/>
      <c r="Y9" s="1299">
        <v>2024</v>
      </c>
      <c r="Z9" s="1312"/>
      <c r="AA9" s="1312"/>
      <c r="AB9" s="1301"/>
      <c r="AC9" s="1299">
        <v>2025</v>
      </c>
      <c r="AD9" s="1312"/>
      <c r="AE9" s="1312"/>
      <c r="AF9" s="1301"/>
      <c r="AG9" s="493">
        <v>2026</v>
      </c>
      <c r="AH9" s="230"/>
      <c r="AI9" s="230"/>
      <c r="AJ9" s="230"/>
    </row>
    <row r="10" spans="2:36" x14ac:dyDescent="0.25">
      <c r="B10" s="1297"/>
      <c r="C10" s="1298"/>
      <c r="D10" s="204" t="s">
        <v>282</v>
      </c>
      <c r="E10" s="204" t="s">
        <v>283</v>
      </c>
      <c r="F10" s="205" t="s">
        <v>284</v>
      </c>
      <c r="G10" s="205" t="s">
        <v>238</v>
      </c>
      <c r="H10" s="206" t="s">
        <v>282</v>
      </c>
      <c r="I10" s="205" t="s">
        <v>283</v>
      </c>
      <c r="J10" s="205" t="s">
        <v>284</v>
      </c>
      <c r="K10" s="205" t="s">
        <v>238</v>
      </c>
      <c r="L10" s="205" t="s">
        <v>282</v>
      </c>
      <c r="M10" s="204" t="s">
        <v>283</v>
      </c>
      <c r="N10" s="205" t="s">
        <v>284</v>
      </c>
      <c r="O10" s="205" t="s">
        <v>238</v>
      </c>
      <c r="P10" s="205" t="s">
        <v>282</v>
      </c>
      <c r="Q10" s="204" t="s">
        <v>283</v>
      </c>
      <c r="R10" s="205" t="s">
        <v>284</v>
      </c>
      <c r="S10" s="205" t="s">
        <v>238</v>
      </c>
      <c r="T10" s="205" t="s">
        <v>282</v>
      </c>
      <c r="U10" s="275" t="s">
        <v>283</v>
      </c>
      <c r="V10" s="276" t="s">
        <v>284</v>
      </c>
      <c r="W10" s="260" t="s">
        <v>238</v>
      </c>
      <c r="X10" s="261" t="s">
        <v>282</v>
      </c>
      <c r="Y10" s="259" t="s">
        <v>283</v>
      </c>
      <c r="Z10" s="257" t="s">
        <v>284</v>
      </c>
      <c r="AA10" s="260" t="s">
        <v>238</v>
      </c>
      <c r="AB10" s="260" t="s">
        <v>282</v>
      </c>
      <c r="AC10" s="259" t="s">
        <v>283</v>
      </c>
      <c r="AD10" s="257" t="s">
        <v>284</v>
      </c>
      <c r="AE10" s="260" t="s">
        <v>238</v>
      </c>
      <c r="AF10" s="260" t="s">
        <v>282</v>
      </c>
      <c r="AG10" s="259" t="s">
        <v>283</v>
      </c>
    </row>
    <row r="11" spans="2:36" x14ac:dyDescent="0.25">
      <c r="B11" s="515" t="s">
        <v>864</v>
      </c>
      <c r="C11" s="69" t="s">
        <v>519</v>
      </c>
      <c r="D11" s="482"/>
      <c r="E11" s="521"/>
      <c r="F11" s="525">
        <v>60.5</v>
      </c>
      <c r="G11" s="525">
        <v>81.400000000000006</v>
      </c>
      <c r="H11" s="525">
        <f>'Haver Pivoted'!GS42</f>
        <v>82.1</v>
      </c>
      <c r="I11" s="525">
        <f>'Haver Pivoted'!GT42</f>
        <v>80</v>
      </c>
      <c r="J11" s="525">
        <f>'Haver Pivoted'!GU42</f>
        <v>975.8</v>
      </c>
      <c r="K11" s="525">
        <f>'Haver Pivoted'!GV42</f>
        <v>1108.4000000000001</v>
      </c>
      <c r="L11" s="525">
        <f>'Haver Pivoted'!GW42</f>
        <v>460.7</v>
      </c>
      <c r="M11" s="525">
        <f>'Haver Pivoted'!GX42</f>
        <v>385.5</v>
      </c>
      <c r="N11" s="525">
        <f>'Haver Pivoted'!GY42</f>
        <v>692.7</v>
      </c>
      <c r="O11" s="525">
        <f>'Haver Pivoted'!GZ42</f>
        <v>547.1</v>
      </c>
      <c r="P11" s="525">
        <f>'Haver Pivoted'!HA42</f>
        <v>293.2</v>
      </c>
      <c r="Q11" s="525">
        <f>'Haver Pivoted'!HB42</f>
        <v>151.4</v>
      </c>
      <c r="R11" s="525">
        <f>'Haver Pivoted'!HC42</f>
        <v>129.5</v>
      </c>
      <c r="S11" s="526">
        <f>'Haver Pivoted'!HD42</f>
        <v>117.7</v>
      </c>
      <c r="T11" s="526">
        <f>'Haver Pivoted'!HE42</f>
        <v>108.6</v>
      </c>
      <c r="U11" s="320">
        <f>'Haver Pivoted'!HF42</f>
        <v>100.7</v>
      </c>
      <c r="V11" s="320">
        <f>'Haver Pivoted'!HG42</f>
        <v>99.2</v>
      </c>
      <c r="W11" s="320">
        <f>'Haver Pivoted'!HH42</f>
        <v>102.4</v>
      </c>
      <c r="X11" s="320">
        <f>'Haver Pivoted'!HI42</f>
        <v>99.3</v>
      </c>
      <c r="Y11" s="320">
        <f>'Haver Pivoted'!HJ42</f>
        <v>96.5</v>
      </c>
      <c r="Z11" s="533">
        <f t="shared" ref="Z11:AC11" si="0">Z12+Z13</f>
        <v>96.5</v>
      </c>
      <c r="AA11" s="533">
        <f t="shared" si="0"/>
        <v>96.5</v>
      </c>
      <c r="AB11" s="533">
        <f t="shared" si="0"/>
        <v>101.333</v>
      </c>
      <c r="AC11" s="500">
        <f t="shared" si="0"/>
        <v>101.333</v>
      </c>
      <c r="AD11" s="500">
        <f t="shared" ref="AD11:AE11" si="1">AD12+AD13</f>
        <v>94.311000000000007</v>
      </c>
      <c r="AE11" s="500">
        <f t="shared" si="1"/>
        <v>95.311000000000007</v>
      </c>
      <c r="AF11" s="500">
        <f t="shared" ref="AF11:AG11" si="2">AF12+AF13</f>
        <v>99.400999999999996</v>
      </c>
      <c r="AG11" s="500">
        <f t="shared" si="2"/>
        <v>100.401</v>
      </c>
    </row>
    <row r="12" spans="2:36" ht="16.5" customHeight="1" x14ac:dyDescent="0.25">
      <c r="B12" s="415" t="s">
        <v>405</v>
      </c>
      <c r="C12" s="69"/>
      <c r="D12" s="515"/>
      <c r="E12" s="69"/>
      <c r="F12" s="68">
        <f>F11</f>
        <v>60.5</v>
      </c>
      <c r="G12" s="68">
        <f>G11</f>
        <v>81.400000000000006</v>
      </c>
      <c r="H12" s="68">
        <f t="shared" ref="H12:M12" si="3">H11-H13</f>
        <v>82.1</v>
      </c>
      <c r="I12" s="68">
        <f t="shared" si="3"/>
        <v>80</v>
      </c>
      <c r="J12" s="68">
        <f>J11-J13</f>
        <v>-13.700000000000045</v>
      </c>
      <c r="K12" s="68">
        <f t="shared" si="3"/>
        <v>-18.199999999999818</v>
      </c>
      <c r="L12" s="68">
        <f>L11-L13</f>
        <v>-77.700000000000102</v>
      </c>
      <c r="M12" s="68">
        <f t="shared" si="3"/>
        <v>77.699999999999989</v>
      </c>
      <c r="N12" s="68">
        <f t="shared" ref="N12:T12" si="4">N11-N13</f>
        <v>89.100000000000023</v>
      </c>
      <c r="O12" s="68">
        <f t="shared" si="4"/>
        <v>91.083520000000021</v>
      </c>
      <c r="P12" s="68">
        <f t="shared" si="4"/>
        <v>88.299999999999983</v>
      </c>
      <c r="Q12" s="68">
        <f t="shared" si="4"/>
        <v>90.7</v>
      </c>
      <c r="R12" s="68">
        <f t="shared" si="4"/>
        <v>76</v>
      </c>
      <c r="S12" s="320">
        <f t="shared" si="4"/>
        <v>75</v>
      </c>
      <c r="T12" s="320">
        <f t="shared" si="4"/>
        <v>76.777999999999992</v>
      </c>
      <c r="U12" s="320">
        <f t="shared" ref="U12:V12" si="5">U11-U13</f>
        <v>88.192000000000007</v>
      </c>
      <c r="V12" s="320">
        <f t="shared" si="5"/>
        <v>86.692000000000007</v>
      </c>
      <c r="W12" s="320">
        <f>W11-W13</f>
        <v>89.891999999999996</v>
      </c>
      <c r="X12" s="320">
        <f>X11-X13</f>
        <v>89.668999999999997</v>
      </c>
      <c r="Y12" s="320">
        <f>Y11-Y13</f>
        <v>86.869</v>
      </c>
      <c r="Z12" s="324">
        <f>Y12</f>
        <v>86.869</v>
      </c>
      <c r="AA12" s="324">
        <f t="shared" ref="AA12:AG12" si="6">Z12</f>
        <v>86.869</v>
      </c>
      <c r="AB12" s="324">
        <f t="shared" si="6"/>
        <v>86.869</v>
      </c>
      <c r="AC12" s="324">
        <f t="shared" si="6"/>
        <v>86.869</v>
      </c>
      <c r="AD12" s="324">
        <f t="shared" si="6"/>
        <v>86.869</v>
      </c>
      <c r="AE12" s="324">
        <f t="shared" si="6"/>
        <v>86.869</v>
      </c>
      <c r="AF12" s="324">
        <f t="shared" si="6"/>
        <v>86.869</v>
      </c>
      <c r="AG12" s="324">
        <f t="shared" si="6"/>
        <v>86.869</v>
      </c>
    </row>
    <row r="13" spans="2:36" x14ac:dyDescent="0.25">
      <c r="B13" s="414" t="s">
        <v>406</v>
      </c>
      <c r="C13" s="69"/>
      <c r="D13" s="515"/>
      <c r="E13" s="69"/>
      <c r="F13" s="523"/>
      <c r="G13" s="523"/>
      <c r="H13" s="68">
        <f>SUM(H16:H25)</f>
        <v>0</v>
      </c>
      <c r="I13" s="68">
        <f>SUM(I16:I25)</f>
        <v>0</v>
      </c>
      <c r="J13" s="68">
        <f t="shared" ref="J13:S13" si="7">SUM(J16:J25)+J14</f>
        <v>989.5</v>
      </c>
      <c r="K13" s="68">
        <f t="shared" si="7"/>
        <v>1126.5999999999999</v>
      </c>
      <c r="L13" s="68">
        <f t="shared" si="7"/>
        <v>538.40000000000009</v>
      </c>
      <c r="M13" s="68">
        <f t="shared" si="7"/>
        <v>307.8</v>
      </c>
      <c r="N13" s="50">
        <f t="shared" si="7"/>
        <v>603.6</v>
      </c>
      <c r="O13" s="50">
        <f>SUM(O16:O25)+O14</f>
        <v>456.01648</v>
      </c>
      <c r="P13" s="50">
        <f>SUM(P16:P25)+P14</f>
        <v>204.9</v>
      </c>
      <c r="Q13" s="50">
        <f t="shared" si="7"/>
        <v>60.7</v>
      </c>
      <c r="R13" s="50">
        <f t="shared" si="7"/>
        <v>53.5</v>
      </c>
      <c r="S13" s="50">
        <f t="shared" si="7"/>
        <v>42.7</v>
      </c>
      <c r="T13" s="50">
        <f t="shared" ref="T13:AC13" si="8">SUM(T16:T27)+T14</f>
        <v>31.822000000000003</v>
      </c>
      <c r="U13" s="50">
        <f t="shared" si="8"/>
        <v>12.508000000000003</v>
      </c>
      <c r="V13" s="50">
        <f t="shared" si="8"/>
        <v>12.508000000000003</v>
      </c>
      <c r="W13" s="50">
        <f>SUM(W16:W27)+W14</f>
        <v>12.508000000000003</v>
      </c>
      <c r="X13" s="50">
        <f>SUM(X16:X27)+X14</f>
        <v>9.6310000000000002</v>
      </c>
      <c r="Y13" s="324">
        <f t="shared" si="8"/>
        <v>9.6310000000000002</v>
      </c>
      <c r="Z13" s="324">
        <f t="shared" si="8"/>
        <v>9.6310000000000002</v>
      </c>
      <c r="AA13" s="324">
        <f t="shared" si="8"/>
        <v>9.6310000000000002</v>
      </c>
      <c r="AB13" s="324">
        <f t="shared" si="8"/>
        <v>14.464</v>
      </c>
      <c r="AC13" s="324">
        <f t="shared" si="8"/>
        <v>14.464</v>
      </c>
      <c r="AD13" s="324">
        <f t="shared" ref="AD13:AE13" si="9">SUM(AD16:AD27)+AD14</f>
        <v>7.4420000000000002</v>
      </c>
      <c r="AE13" s="324">
        <f t="shared" si="9"/>
        <v>8.4420000000000002</v>
      </c>
      <c r="AF13" s="324">
        <f t="shared" ref="AF13:AG13" si="10">SUM(AF16:AF27)+AF14</f>
        <v>12.532</v>
      </c>
      <c r="AG13" s="324">
        <f t="shared" si="10"/>
        <v>13.532</v>
      </c>
    </row>
    <row r="14" spans="2:36" x14ac:dyDescent="0.25">
      <c r="B14" s="353" t="s">
        <v>50</v>
      </c>
      <c r="C14" s="49" t="s">
        <v>329</v>
      </c>
      <c r="D14" s="349"/>
      <c r="E14" s="49"/>
      <c r="F14" s="68"/>
      <c r="G14" s="68"/>
      <c r="H14" s="68">
        <f>'Haver Pivoted'!GS49</f>
        <v>0</v>
      </c>
      <c r="I14" s="68">
        <f>'Haver Pivoted'!GT49</f>
        <v>0</v>
      </c>
      <c r="J14" s="68">
        <f>'Haver Pivoted'!GU49</f>
        <v>576.9</v>
      </c>
      <c r="K14" s="68">
        <f>'Haver Pivoted'!GV49</f>
        <v>819.5</v>
      </c>
      <c r="L14" s="68">
        <f>'Haver Pivoted'!GW49</f>
        <v>246.3</v>
      </c>
      <c r="M14" s="68">
        <f>'Haver Pivoted'!GX49</f>
        <v>197</v>
      </c>
      <c r="N14" s="68">
        <f>'Haver Pivoted'!GY49</f>
        <v>441.2</v>
      </c>
      <c r="O14" s="68">
        <f>'Haver Pivoted'!GZ49</f>
        <v>276.7</v>
      </c>
      <c r="P14" s="68">
        <f>'Haver Pivoted'!HA49</f>
        <v>28.2</v>
      </c>
      <c r="Q14" s="68">
        <f>'Haver Pivoted'!HB49</f>
        <v>0</v>
      </c>
      <c r="R14" s="68">
        <f>'Haver Pivoted'!HC49</f>
        <v>0</v>
      </c>
      <c r="S14" s="320">
        <f>'Haver Pivoted'!HD49</f>
        <v>0</v>
      </c>
      <c r="T14" s="320">
        <f>'Haver Pivoted'!HE49</f>
        <v>0</v>
      </c>
      <c r="U14" s="320">
        <f>'Haver Pivoted'!HF49</f>
        <v>0</v>
      </c>
      <c r="V14" s="320">
        <f>'Haver Pivoted'!HG49</f>
        <v>0</v>
      </c>
      <c r="W14" s="534">
        <f>'Haver Pivoted'!HH49</f>
        <v>0</v>
      </c>
      <c r="X14" s="534">
        <f>'Haver Pivoted'!HI49</f>
        <v>0</v>
      </c>
      <c r="Y14" s="534">
        <f>'Haver Pivoted'!HJ49</f>
        <v>0</v>
      </c>
      <c r="Z14" s="495"/>
      <c r="AA14" s="495"/>
      <c r="AB14" s="495"/>
      <c r="AC14" s="495"/>
      <c r="AD14" s="495"/>
      <c r="AE14" s="495"/>
      <c r="AF14" s="495"/>
      <c r="AG14" s="495"/>
    </row>
    <row r="15" spans="2:36" x14ac:dyDescent="0.25">
      <c r="B15" s="414" t="s">
        <v>407</v>
      </c>
      <c r="C15" s="69"/>
      <c r="D15" s="515"/>
      <c r="E15" s="69"/>
      <c r="F15" s="523"/>
      <c r="G15" s="523"/>
      <c r="H15" s="68">
        <f t="shared" ref="H15:AC15" si="11">SUM(H16:H25)</f>
        <v>0</v>
      </c>
      <c r="I15" s="68">
        <f t="shared" si="11"/>
        <v>0</v>
      </c>
      <c r="J15" s="68">
        <f t="shared" si="11"/>
        <v>412.6</v>
      </c>
      <c r="K15" s="68">
        <f t="shared" si="11"/>
        <v>307.10000000000002</v>
      </c>
      <c r="L15" s="68">
        <f t="shared" si="11"/>
        <v>292.10000000000002</v>
      </c>
      <c r="M15" s="68">
        <f t="shared" si="11"/>
        <v>110.8</v>
      </c>
      <c r="N15" s="68">
        <f t="shared" si="11"/>
        <v>162.4</v>
      </c>
      <c r="O15" s="68">
        <f t="shared" si="11"/>
        <v>179.31648000000001</v>
      </c>
      <c r="P15" s="68">
        <f>SUM(P16:P25)</f>
        <v>176.70000000000002</v>
      </c>
      <c r="Q15" s="68">
        <f t="shared" si="11"/>
        <v>60.7</v>
      </c>
      <c r="R15" s="68">
        <f t="shared" si="11"/>
        <v>53.5</v>
      </c>
      <c r="S15" s="68">
        <f t="shared" si="11"/>
        <v>42.7</v>
      </c>
      <c r="T15" s="68">
        <f t="shared" si="11"/>
        <v>28.200000000000003</v>
      </c>
      <c r="U15" s="68">
        <f t="shared" si="11"/>
        <v>8.886000000000001</v>
      </c>
      <c r="V15" s="68">
        <f t="shared" si="11"/>
        <v>8.886000000000001</v>
      </c>
      <c r="W15" s="391">
        <f t="shared" si="11"/>
        <v>8.886000000000001</v>
      </c>
      <c r="X15" s="68">
        <f t="shared" si="11"/>
        <v>0.2</v>
      </c>
      <c r="Y15" s="501">
        <f t="shared" si="11"/>
        <v>0.2</v>
      </c>
      <c r="Z15" s="501">
        <f t="shared" si="11"/>
        <v>0.2</v>
      </c>
      <c r="AA15" s="501">
        <f t="shared" si="11"/>
        <v>0.2</v>
      </c>
      <c r="AB15" s="501">
        <f t="shared" si="11"/>
        <v>0</v>
      </c>
      <c r="AC15" s="501">
        <f t="shared" si="11"/>
        <v>0</v>
      </c>
      <c r="AD15" s="501">
        <f t="shared" ref="AD15:AE15" si="12">SUM(AD16:AD25)</f>
        <v>1</v>
      </c>
      <c r="AE15" s="501">
        <f t="shared" si="12"/>
        <v>2</v>
      </c>
      <c r="AF15" s="501">
        <f t="shared" ref="AF15:AG15" si="13">SUM(AF16:AF25)</f>
        <v>3</v>
      </c>
      <c r="AG15" s="501">
        <f t="shared" si="13"/>
        <v>4</v>
      </c>
    </row>
    <row r="16" spans="2:36" x14ac:dyDescent="0.25">
      <c r="B16" s="511" t="s">
        <v>145</v>
      </c>
      <c r="C16" s="52" t="s">
        <v>408</v>
      </c>
      <c r="D16" s="420"/>
      <c r="E16" s="52"/>
      <c r="F16" s="68"/>
      <c r="G16" s="68"/>
      <c r="H16" s="68">
        <f>'Haver Pivoted'!GS53</f>
        <v>0</v>
      </c>
      <c r="I16" s="68">
        <f>'Haver Pivoted'!GT53</f>
        <v>0</v>
      </c>
      <c r="J16" s="68">
        <f>'Haver Pivoted'!GU53</f>
        <v>16.899999999999999</v>
      </c>
      <c r="K16" s="68">
        <f>'Haver Pivoted'!GV53</f>
        <v>18.399999999999999</v>
      </c>
      <c r="L16" s="68">
        <f>'Haver Pivoted'!GW53</f>
        <v>46.2</v>
      </c>
      <c r="M16" s="68">
        <f>'Haver Pivoted'!GX53</f>
        <v>0.9</v>
      </c>
      <c r="N16" s="68">
        <f>'Haver Pivoted'!GY53</f>
        <v>14.1</v>
      </c>
      <c r="O16" s="68">
        <f>'Haver Pivoted'!GZ53</f>
        <v>8.6</v>
      </c>
      <c r="P16" s="68">
        <f>'Haver Pivoted'!HA53</f>
        <v>1.2</v>
      </c>
      <c r="Q16" s="68">
        <f>'Haver Pivoted'!HB53</f>
        <v>0.6</v>
      </c>
      <c r="R16" s="68">
        <f>'Haver Pivoted'!HC53</f>
        <v>0</v>
      </c>
      <c r="S16" s="320">
        <f>'Haver Pivoted'!HD53</f>
        <v>0</v>
      </c>
      <c r="T16" s="320">
        <f>'Haver Pivoted'!HE53</f>
        <v>0</v>
      </c>
      <c r="U16" s="320">
        <f>'Haver Pivoted'!HF53</f>
        <v>0</v>
      </c>
      <c r="V16" s="320">
        <f>'Haver Pivoted'!HG53</f>
        <v>0</v>
      </c>
      <c r="W16" s="534">
        <f>'Haver Pivoted'!HH53</f>
        <v>0</v>
      </c>
      <c r="X16" s="534">
        <f>'Haver Pivoted'!HI53</f>
        <v>0</v>
      </c>
      <c r="Y16" s="534">
        <f>'Haver Pivoted'!HJ53</f>
        <v>0</v>
      </c>
      <c r="Z16" s="495"/>
      <c r="AA16" s="495"/>
      <c r="AB16" s="495"/>
      <c r="AC16" s="495"/>
      <c r="AD16" s="495"/>
      <c r="AE16" s="495"/>
      <c r="AF16" s="495"/>
      <c r="AG16" s="495"/>
    </row>
    <row r="17" spans="2:34" x14ac:dyDescent="0.25">
      <c r="B17" s="511" t="s">
        <v>143</v>
      </c>
      <c r="C17" s="52" t="s">
        <v>409</v>
      </c>
      <c r="D17" s="420"/>
      <c r="E17" s="52"/>
      <c r="F17" s="68"/>
      <c r="G17" s="68"/>
      <c r="H17" s="68">
        <f>'Haver Pivoted'!GS51</f>
        <v>0</v>
      </c>
      <c r="I17" s="68">
        <f>'Haver Pivoted'!GT51</f>
        <v>0</v>
      </c>
      <c r="J17" s="68">
        <f>'Haver Pivoted'!GU51</f>
        <v>73.3</v>
      </c>
      <c r="K17" s="68">
        <f>'Haver Pivoted'!GV51</f>
        <v>73.3</v>
      </c>
      <c r="L17" s="68">
        <f>'Haver Pivoted'!GW51</f>
        <v>73.3</v>
      </c>
      <c r="M17" s="68">
        <f>'Haver Pivoted'!GX51</f>
        <v>39.799999999999997</v>
      </c>
      <c r="N17" s="68">
        <f>'Haver Pivoted'!GY51</f>
        <v>43</v>
      </c>
      <c r="O17" s="68">
        <f>'Haver Pivoted'!GZ51</f>
        <v>45.7</v>
      </c>
      <c r="P17" s="68">
        <f>'Haver Pivoted'!HA51</f>
        <v>51.5</v>
      </c>
      <c r="Q17" s="68">
        <f>'Haver Pivoted'!HB51</f>
        <v>0</v>
      </c>
      <c r="R17" s="68">
        <f>'Haver Pivoted'!HC51</f>
        <v>0</v>
      </c>
      <c r="S17" s="320">
        <f>'Haver Pivoted'!HD51</f>
        <v>0</v>
      </c>
      <c r="T17" s="320">
        <f>'Haver Pivoted'!HE51</f>
        <v>0</v>
      </c>
      <c r="U17" s="320">
        <f>'Haver Pivoted'!HF51</f>
        <v>0</v>
      </c>
      <c r="V17" s="320">
        <f>'Haver Pivoted'!HG51</f>
        <v>0</v>
      </c>
      <c r="W17" s="534">
        <f>'Haver Pivoted'!HH51</f>
        <v>0</v>
      </c>
      <c r="X17" s="534">
        <f>'Haver Pivoted'!HI51</f>
        <v>0</v>
      </c>
      <c r="Y17" s="534">
        <f>'Haver Pivoted'!HJ51</f>
        <v>0</v>
      </c>
      <c r="Z17" s="324">
        <f t="shared" ref="Z17:AD17" si="14">Y17</f>
        <v>0</v>
      </c>
      <c r="AA17" s="324">
        <f t="shared" si="14"/>
        <v>0</v>
      </c>
      <c r="AB17" s="324">
        <f t="shared" si="14"/>
        <v>0</v>
      </c>
      <c r="AC17" s="324">
        <f t="shared" si="14"/>
        <v>0</v>
      </c>
      <c r="AD17" s="324">
        <f t="shared" si="14"/>
        <v>0</v>
      </c>
      <c r="AE17" s="324">
        <f t="shared" ref="AE17" si="15">AD17</f>
        <v>0</v>
      </c>
      <c r="AF17" s="324">
        <f t="shared" ref="AF17" si="16">AE17</f>
        <v>0</v>
      </c>
      <c r="AG17" s="324">
        <f t="shared" ref="AG17" si="17">AF17</f>
        <v>0</v>
      </c>
    </row>
    <row r="18" spans="2:34" x14ac:dyDescent="0.25">
      <c r="B18" s="511" t="s">
        <v>142</v>
      </c>
      <c r="C18" s="49" t="s">
        <v>410</v>
      </c>
      <c r="D18" s="349"/>
      <c r="E18" s="49"/>
      <c r="F18" s="68"/>
      <c r="G18" s="68"/>
      <c r="H18" s="68">
        <f>'Haver Pivoted'!GS50</f>
        <v>0</v>
      </c>
      <c r="I18" s="68">
        <f>'Haver Pivoted'!GT50</f>
        <v>0</v>
      </c>
      <c r="J18" s="68">
        <f>'Haver Pivoted'!GU50</f>
        <v>63.8</v>
      </c>
      <c r="K18" s="68">
        <f>'Haver Pivoted'!GV50</f>
        <v>15</v>
      </c>
      <c r="L18" s="68">
        <f>'Haver Pivoted'!GW50</f>
        <v>0.1</v>
      </c>
      <c r="M18" s="68">
        <f>'Haver Pivoted'!GX50</f>
        <v>38</v>
      </c>
      <c r="N18" s="68">
        <f>'Haver Pivoted'!GY50</f>
        <v>47.3</v>
      </c>
      <c r="O18" s="68">
        <f>'Haver Pivoted'!GZ50</f>
        <v>0.7</v>
      </c>
      <c r="P18" s="68">
        <f>'Haver Pivoted'!HA50</f>
        <v>0</v>
      </c>
      <c r="Q18" s="68">
        <f>'Haver Pivoted'!HB50</f>
        <v>0.3</v>
      </c>
      <c r="R18" s="68">
        <f>'Haver Pivoted'!HC50</f>
        <v>0.2</v>
      </c>
      <c r="S18" s="320">
        <f>'Haver Pivoted'!HD50</f>
        <v>0.3</v>
      </c>
      <c r="T18" s="320">
        <f>'Haver Pivoted'!HE50</f>
        <v>0.4</v>
      </c>
      <c r="U18" s="320">
        <f>'Haver Pivoted'!HF50</f>
        <v>0</v>
      </c>
      <c r="V18" s="320">
        <f>'Haver Pivoted'!HG50</f>
        <v>0</v>
      </c>
      <c r="W18" s="534">
        <f>'Haver Pivoted'!HH50</f>
        <v>0</v>
      </c>
      <c r="X18" s="534">
        <f>'Haver Pivoted'!HI50</f>
        <v>0</v>
      </c>
      <c r="Y18" s="534">
        <f>'Haver Pivoted'!HJ50</f>
        <v>0</v>
      </c>
      <c r="Z18" s="324">
        <f t="shared" ref="Z18:AC18" si="18">Z30</f>
        <v>0</v>
      </c>
      <c r="AA18" s="324">
        <f t="shared" si="18"/>
        <v>0</v>
      </c>
      <c r="AB18" s="324">
        <f t="shared" si="18"/>
        <v>0</v>
      </c>
      <c r="AC18" s="324">
        <f t="shared" si="18"/>
        <v>0</v>
      </c>
      <c r="AD18" s="324">
        <f t="shared" ref="AD18:AE18" si="19">AD30</f>
        <v>0</v>
      </c>
      <c r="AE18" s="324">
        <f t="shared" si="19"/>
        <v>0</v>
      </c>
      <c r="AF18" s="324">
        <f t="shared" ref="AF18:AG18" si="20">AF30</f>
        <v>0</v>
      </c>
      <c r="AG18" s="324">
        <f t="shared" si="20"/>
        <v>0</v>
      </c>
    </row>
    <row r="19" spans="2:34" x14ac:dyDescent="0.25">
      <c r="B19" s="511" t="s">
        <v>411</v>
      </c>
      <c r="C19" s="49" t="s">
        <v>309</v>
      </c>
      <c r="D19" s="349"/>
      <c r="E19" s="49"/>
      <c r="F19" s="68"/>
      <c r="G19" s="68"/>
      <c r="H19" s="68">
        <f>'Haver Pivoted'!GS54</f>
        <v>0</v>
      </c>
      <c r="I19" s="68">
        <f>'Haver Pivoted'!GT54</f>
        <v>0</v>
      </c>
      <c r="J19" s="68">
        <f>'Haver Pivoted'!GU54</f>
        <v>96.6</v>
      </c>
      <c r="K19" s="68">
        <f>'Haver Pivoted'!GV54</f>
        <v>35.1</v>
      </c>
      <c r="L19" s="68">
        <f>'Haver Pivoted'!GW54</f>
        <v>20.7</v>
      </c>
      <c r="M19" s="68">
        <f>'Haver Pivoted'!GX54</f>
        <v>15.4</v>
      </c>
      <c r="N19" s="68">
        <f>'Haver Pivoted'!GY54</f>
        <v>9.6</v>
      </c>
      <c r="O19" s="68">
        <f>'Haver Pivoted'!GZ54</f>
        <v>13.5</v>
      </c>
      <c r="P19" s="68">
        <f>'Haver Pivoted'!HA54</f>
        <v>23.2</v>
      </c>
      <c r="Q19" s="68">
        <f>'Haver Pivoted'!HB54</f>
        <v>19.3</v>
      </c>
      <c r="R19" s="68">
        <f>'Haver Pivoted'!HC54</f>
        <v>14.4</v>
      </c>
      <c r="S19" s="320">
        <f>'Haver Pivoted'!HD54</f>
        <v>5.9</v>
      </c>
      <c r="T19" s="320">
        <f>'Haver Pivoted'!HE54</f>
        <v>3.6</v>
      </c>
      <c r="U19" s="320">
        <f>'Haver Pivoted'!HF54</f>
        <v>0</v>
      </c>
      <c r="V19" s="320">
        <f>'Haver Pivoted'!HG54</f>
        <v>0</v>
      </c>
      <c r="W19" s="534">
        <f>'Haver Pivoted'!HH54</f>
        <v>0</v>
      </c>
      <c r="X19" s="534">
        <f>'Haver Pivoted'!HI54</f>
        <v>0</v>
      </c>
      <c r="Y19" s="534">
        <f>'Haver Pivoted'!HJ54</f>
        <v>0</v>
      </c>
      <c r="Z19" s="495"/>
      <c r="AA19" s="495"/>
      <c r="AB19" s="495"/>
      <c r="AC19" s="495"/>
      <c r="AD19" s="495"/>
      <c r="AE19" s="495"/>
      <c r="AF19" s="495"/>
      <c r="AG19" s="495"/>
    </row>
    <row r="20" spans="2:34" x14ac:dyDescent="0.25">
      <c r="B20" s="511" t="s">
        <v>144</v>
      </c>
      <c r="C20" s="49" t="s">
        <v>412</v>
      </c>
      <c r="D20" s="349"/>
      <c r="E20" s="49"/>
      <c r="F20" s="68"/>
      <c r="G20" s="68"/>
      <c r="H20" s="68">
        <f>'Haver Pivoted'!GS52</f>
        <v>0</v>
      </c>
      <c r="I20" s="68">
        <f>'Haver Pivoted'!GT52</f>
        <v>0</v>
      </c>
      <c r="J20" s="68">
        <f>'Haver Pivoted'!GU52</f>
        <v>22</v>
      </c>
      <c r="K20" s="68">
        <f>'Haver Pivoted'!GV52</f>
        <v>25.3</v>
      </c>
      <c r="L20" s="68">
        <f>'Haver Pivoted'!GW52</f>
        <v>11.8</v>
      </c>
      <c r="M20" s="68">
        <f>'Haver Pivoted'!GX52</f>
        <v>11.9</v>
      </c>
      <c r="N20" s="68">
        <f>'Haver Pivoted'!GY52</f>
        <v>11.3</v>
      </c>
      <c r="O20" s="68">
        <f>'Haver Pivoted'!GZ52</f>
        <v>13.6</v>
      </c>
      <c r="P20" s="68">
        <f>'Haver Pivoted'!HA52</f>
        <v>19</v>
      </c>
      <c r="Q20" s="68">
        <f>'Haver Pivoted'!HB52</f>
        <v>21.8</v>
      </c>
      <c r="R20" s="68">
        <f>'Haver Pivoted'!HC52</f>
        <v>22.3</v>
      </c>
      <c r="S20" s="320">
        <f>'Haver Pivoted'!HD52</f>
        <v>20.2</v>
      </c>
      <c r="T20" s="320">
        <f>'Haver Pivoted'!HE52</f>
        <v>15.8</v>
      </c>
      <c r="U20" s="50">
        <f t="shared" ref="U20:AC20" si="21">U37</f>
        <v>0.48599999999999993</v>
      </c>
      <c r="V20" s="50">
        <f t="shared" si="21"/>
        <v>0.48599999999999993</v>
      </c>
      <c r="W20" s="391">
        <f t="shared" si="21"/>
        <v>0.48599999999999993</v>
      </c>
      <c r="X20" s="50">
        <f t="shared" si="21"/>
        <v>0</v>
      </c>
      <c r="Y20" s="324">
        <f t="shared" si="21"/>
        <v>0</v>
      </c>
      <c r="Z20" s="324">
        <f t="shared" si="21"/>
        <v>0</v>
      </c>
      <c r="AA20" s="324">
        <f t="shared" si="21"/>
        <v>0</v>
      </c>
      <c r="AB20" s="324">
        <f t="shared" si="21"/>
        <v>0</v>
      </c>
      <c r="AC20" s="324">
        <f t="shared" si="21"/>
        <v>0</v>
      </c>
      <c r="AD20" s="324">
        <f t="shared" ref="AD20:AE20" si="22">AD37</f>
        <v>0</v>
      </c>
      <c r="AE20" s="324">
        <f t="shared" si="22"/>
        <v>0</v>
      </c>
      <c r="AF20" s="324">
        <f t="shared" ref="AF20:AG20" si="23">AF37</f>
        <v>0</v>
      </c>
      <c r="AG20" s="324">
        <f t="shared" si="23"/>
        <v>0</v>
      </c>
      <c r="AH20" s="74"/>
    </row>
    <row r="21" spans="2:34" x14ac:dyDescent="0.25">
      <c r="B21" s="511" t="s">
        <v>148</v>
      </c>
      <c r="C21" s="49" t="s">
        <v>413</v>
      </c>
      <c r="D21" s="349"/>
      <c r="E21" s="49"/>
      <c r="F21" s="68"/>
      <c r="G21" s="68"/>
      <c r="H21" s="68">
        <f>'Haver Pivoted'!GS55</f>
        <v>0</v>
      </c>
      <c r="I21" s="68">
        <f>'Haver Pivoted'!GT55</f>
        <v>0</v>
      </c>
      <c r="J21" s="68">
        <f>'Haver Pivoted'!GU55</f>
        <v>140</v>
      </c>
      <c r="K21" s="68">
        <f>'Haver Pivoted'!GV55</f>
        <v>140</v>
      </c>
      <c r="L21" s="68">
        <f>'Haver Pivoted'!GW55</f>
        <v>140</v>
      </c>
      <c r="M21" s="68">
        <f>'Haver Pivoted'!GX55</f>
        <v>4.8</v>
      </c>
      <c r="N21" s="68">
        <f>'Haver Pivoted'!GY55</f>
        <v>4.4000000000000004</v>
      </c>
      <c r="O21" s="68">
        <f>'Haver Pivoted'!GZ55</f>
        <v>5.3</v>
      </c>
      <c r="P21" s="68">
        <f>'Haver Pivoted'!HA55</f>
        <v>4.7</v>
      </c>
      <c r="Q21" s="68">
        <f>'Haver Pivoted'!HB55</f>
        <v>0</v>
      </c>
      <c r="R21" s="68">
        <f>'Haver Pivoted'!HC55</f>
        <v>0</v>
      </c>
      <c r="S21" s="320">
        <f>'Haver Pivoted'!HD55</f>
        <v>0</v>
      </c>
      <c r="T21" s="320">
        <f>'Haver Pivoted'!HE55</f>
        <v>0</v>
      </c>
      <c r="U21" s="320">
        <f>'Haver Pivoted'!HF55</f>
        <v>0</v>
      </c>
      <c r="V21" s="320">
        <f>'Haver Pivoted'!HG55</f>
        <v>0</v>
      </c>
      <c r="W21" s="534">
        <f>'Haver Pivoted'!HH55</f>
        <v>0</v>
      </c>
      <c r="X21" s="534">
        <f>'Haver Pivoted'!HI55</f>
        <v>0</v>
      </c>
      <c r="Y21" s="534">
        <f>'Haver Pivoted'!HJ55</f>
        <v>0</v>
      </c>
      <c r="Z21" s="324">
        <f t="shared" ref="Z21:AD21" si="24">Y21</f>
        <v>0</v>
      </c>
      <c r="AA21" s="324">
        <f t="shared" si="24"/>
        <v>0</v>
      </c>
      <c r="AB21" s="324">
        <f t="shared" si="24"/>
        <v>0</v>
      </c>
      <c r="AC21" s="324">
        <f t="shared" si="24"/>
        <v>0</v>
      </c>
      <c r="AD21" s="324">
        <f t="shared" si="24"/>
        <v>0</v>
      </c>
      <c r="AE21" s="324">
        <f t="shared" ref="AE21" si="25">AD21</f>
        <v>0</v>
      </c>
      <c r="AF21" s="324">
        <f t="shared" ref="AF21" si="26">AE21</f>
        <v>0</v>
      </c>
      <c r="AG21" s="324">
        <f t="shared" ref="AG21" si="27">AF21</f>
        <v>0</v>
      </c>
    </row>
    <row r="22" spans="2:34" x14ac:dyDescent="0.25">
      <c r="B22" s="511" t="s">
        <v>414</v>
      </c>
      <c r="C22" s="49" t="s">
        <v>787</v>
      </c>
      <c r="D22" s="362"/>
      <c r="E22" s="68"/>
      <c r="F22" s="68"/>
      <c r="G22" s="68"/>
      <c r="H22" s="68"/>
      <c r="I22" s="68"/>
      <c r="J22" s="68"/>
      <c r="K22" s="68"/>
      <c r="L22" s="68"/>
      <c r="M22" s="68"/>
      <c r="N22" s="68">
        <f>'Haver Pivoted'!GY87</f>
        <v>11.3</v>
      </c>
      <c r="O22" s="68">
        <f>'Haver Pivoted'!GZ87</f>
        <v>10.4</v>
      </c>
      <c r="P22" s="68">
        <f>'Haver Pivoted'!HA87</f>
        <v>5.3</v>
      </c>
      <c r="Q22" s="68">
        <f>'Haver Pivoted'!HB87</f>
        <v>2.4</v>
      </c>
      <c r="R22" s="68">
        <f>'Haver Pivoted'!HC87</f>
        <v>0.3</v>
      </c>
      <c r="S22" s="320">
        <f>'Haver Pivoted'!HD87</f>
        <v>0</v>
      </c>
      <c r="T22" s="320">
        <f>'Haver Pivoted'!HE87</f>
        <v>0</v>
      </c>
      <c r="U22" s="320">
        <f>'Haver Pivoted'!HF87</f>
        <v>0</v>
      </c>
      <c r="V22" s="320">
        <f>'Haver Pivoted'!HG87</f>
        <v>0</v>
      </c>
      <c r="W22" s="534">
        <f>'Haver Pivoted'!HH87</f>
        <v>0</v>
      </c>
      <c r="X22" s="534">
        <f>'Haver Pivoted'!HI87</f>
        <v>0</v>
      </c>
      <c r="Y22" s="534">
        <f>'Haver Pivoted'!HJ87</f>
        <v>0</v>
      </c>
      <c r="Z22" s="324">
        <v>0</v>
      </c>
      <c r="AA22" s="324">
        <v>0</v>
      </c>
      <c r="AB22" s="324">
        <v>0</v>
      </c>
      <c r="AC22" s="324">
        <v>0</v>
      </c>
      <c r="AD22" s="324">
        <v>1</v>
      </c>
      <c r="AE22" s="324">
        <v>2</v>
      </c>
      <c r="AF22" s="324">
        <v>3</v>
      </c>
      <c r="AG22" s="324">
        <v>4</v>
      </c>
    </row>
    <row r="23" spans="2:34" x14ac:dyDescent="0.25">
      <c r="B23" s="511" t="s">
        <v>415</v>
      </c>
      <c r="C23" s="49" t="s">
        <v>786</v>
      </c>
      <c r="D23" s="349"/>
      <c r="E23" s="49"/>
      <c r="F23" s="68"/>
      <c r="G23" s="524"/>
      <c r="H23" s="68"/>
      <c r="I23" s="68"/>
      <c r="J23" s="68"/>
      <c r="K23" s="68"/>
      <c r="L23" s="68"/>
      <c r="M23" s="68"/>
      <c r="N23" s="68">
        <f>'Haver Pivoted'!GY86</f>
        <v>21.4</v>
      </c>
      <c r="O23" s="68">
        <f>'Haver Pivoted'!GZ86</f>
        <v>57</v>
      </c>
      <c r="P23" s="68">
        <f>'Haver Pivoted'!HA86</f>
        <v>35.5</v>
      </c>
      <c r="Q23" s="68">
        <f>'Haver Pivoted'!HB86</f>
        <v>0</v>
      </c>
      <c r="R23" s="68">
        <f>'Haver Pivoted'!HC86</f>
        <v>0</v>
      </c>
      <c r="S23" s="320">
        <f>'Haver Pivoted'!HD86</f>
        <v>0</v>
      </c>
      <c r="T23" s="320">
        <f>'Haver Pivoted'!HE86</f>
        <v>0</v>
      </c>
      <c r="U23" s="320">
        <f>'Haver Pivoted'!HF86</f>
        <v>0</v>
      </c>
      <c r="V23" s="320">
        <f>'Haver Pivoted'!HG86</f>
        <v>0</v>
      </c>
      <c r="W23" s="534">
        <f>'Haver Pivoted'!HH86</f>
        <v>0</v>
      </c>
      <c r="X23" s="534">
        <f>'Haver Pivoted'!HI86</f>
        <v>0</v>
      </c>
      <c r="Y23" s="534">
        <f>'Haver Pivoted'!HJ86</f>
        <v>0</v>
      </c>
      <c r="Z23" s="324">
        <f t="shared" ref="Z23:AD23" si="28">Y23</f>
        <v>0</v>
      </c>
      <c r="AA23" s="324">
        <f t="shared" si="28"/>
        <v>0</v>
      </c>
      <c r="AB23" s="324">
        <f t="shared" si="28"/>
        <v>0</v>
      </c>
      <c r="AC23" s="324">
        <f t="shared" si="28"/>
        <v>0</v>
      </c>
      <c r="AD23" s="324">
        <f t="shared" si="28"/>
        <v>0</v>
      </c>
      <c r="AE23" s="324">
        <f t="shared" ref="AE23" si="29">AD23</f>
        <v>0</v>
      </c>
      <c r="AF23" s="324">
        <f t="shared" ref="AF23" si="30">AE23</f>
        <v>0</v>
      </c>
      <c r="AG23" s="324">
        <f t="shared" ref="AG23" si="31">AF23</f>
        <v>0</v>
      </c>
    </row>
    <row r="24" spans="2:34" x14ac:dyDescent="0.25">
      <c r="B24" s="511" t="s">
        <v>416</v>
      </c>
      <c r="C24" s="49"/>
      <c r="D24" s="349"/>
      <c r="E24" s="49"/>
      <c r="F24" s="68"/>
      <c r="G24" s="68"/>
      <c r="H24" s="68"/>
      <c r="I24" s="68"/>
      <c r="J24" s="68"/>
      <c r="K24" s="68"/>
      <c r="L24" s="68"/>
      <c r="M24" s="68"/>
      <c r="N24" s="68"/>
      <c r="O24" s="50">
        <f>O41+O42</f>
        <v>12.51648</v>
      </c>
      <c r="P24" s="50">
        <f>P41+P42</f>
        <v>11.3</v>
      </c>
      <c r="Q24" s="50">
        <f t="shared" ref="Q24:AC24" si="32">Q41+Q42</f>
        <v>11.3</v>
      </c>
      <c r="R24" s="50">
        <f t="shared" si="32"/>
        <v>11.3</v>
      </c>
      <c r="S24" s="50">
        <f t="shared" si="32"/>
        <v>11.3</v>
      </c>
      <c r="T24" s="50">
        <f t="shared" si="32"/>
        <v>8.4</v>
      </c>
      <c r="U24" s="50">
        <f t="shared" si="32"/>
        <v>8.4</v>
      </c>
      <c r="V24" s="50">
        <f t="shared" si="32"/>
        <v>8.4</v>
      </c>
      <c r="W24" s="391">
        <f t="shared" si="32"/>
        <v>8.4</v>
      </c>
      <c r="X24" s="50">
        <f t="shared" si="32"/>
        <v>0.2</v>
      </c>
      <c r="Y24" s="324">
        <f t="shared" si="32"/>
        <v>0.2</v>
      </c>
      <c r="Z24" s="324">
        <f t="shared" si="32"/>
        <v>0.2</v>
      </c>
      <c r="AA24" s="324">
        <f t="shared" si="32"/>
        <v>0.2</v>
      </c>
      <c r="AB24" s="324">
        <f t="shared" si="32"/>
        <v>0</v>
      </c>
      <c r="AC24" s="324">
        <f t="shared" si="32"/>
        <v>0</v>
      </c>
      <c r="AD24" s="324">
        <f t="shared" ref="AD24:AE24" si="33">AD41+AD42</f>
        <v>0</v>
      </c>
      <c r="AE24" s="324">
        <f t="shared" si="33"/>
        <v>0</v>
      </c>
      <c r="AF24" s="324">
        <f t="shared" ref="AF24:AG24" si="34">AF41+AF42</f>
        <v>0</v>
      </c>
      <c r="AG24" s="324">
        <f t="shared" si="34"/>
        <v>0</v>
      </c>
    </row>
    <row r="25" spans="2:34" x14ac:dyDescent="0.25">
      <c r="B25" s="511" t="s">
        <v>417</v>
      </c>
      <c r="C25" s="49"/>
      <c r="D25" s="349"/>
      <c r="E25" s="49"/>
      <c r="F25" s="50"/>
      <c r="G25" s="50"/>
      <c r="H25" s="220"/>
      <c r="I25" s="220"/>
      <c r="J25" s="220"/>
      <c r="K25" s="220"/>
      <c r="L25" s="220"/>
      <c r="M25" s="220"/>
      <c r="N25" s="50"/>
      <c r="O25" s="50">
        <f>O34</f>
        <v>12</v>
      </c>
      <c r="P25" s="50">
        <v>25</v>
      </c>
      <c r="Q25" s="50">
        <v>5</v>
      </c>
      <c r="R25" s="50">
        <v>5</v>
      </c>
      <c r="S25" s="50">
        <v>5</v>
      </c>
      <c r="T25" s="50">
        <f t="shared" ref="T25:AC25" si="35">T34</f>
        <v>0</v>
      </c>
      <c r="U25" s="50">
        <f t="shared" si="35"/>
        <v>0</v>
      </c>
      <c r="V25" s="50">
        <f t="shared" si="35"/>
        <v>0</v>
      </c>
      <c r="W25" s="391">
        <f t="shared" si="35"/>
        <v>0</v>
      </c>
      <c r="X25" s="50">
        <f t="shared" si="35"/>
        <v>0</v>
      </c>
      <c r="Y25" s="324">
        <f t="shared" si="35"/>
        <v>0</v>
      </c>
      <c r="Z25" s="324">
        <f t="shared" si="35"/>
        <v>0</v>
      </c>
      <c r="AA25" s="324">
        <f t="shared" si="35"/>
        <v>0</v>
      </c>
      <c r="AB25" s="324">
        <f t="shared" si="35"/>
        <v>0</v>
      </c>
      <c r="AC25" s="324">
        <f t="shared" si="35"/>
        <v>0</v>
      </c>
      <c r="AD25" s="324">
        <f t="shared" ref="AD25:AE25" si="36">AD34</f>
        <v>0</v>
      </c>
      <c r="AE25" s="324">
        <f t="shared" si="36"/>
        <v>0</v>
      </c>
      <c r="AF25" s="324">
        <f t="shared" ref="AF25:AG25" si="37">AF34</f>
        <v>0</v>
      </c>
      <c r="AG25" s="324">
        <f t="shared" si="37"/>
        <v>0</v>
      </c>
    </row>
    <row r="26" spans="2:34" x14ac:dyDescent="0.25">
      <c r="B26" s="511" t="s">
        <v>1377</v>
      </c>
      <c r="C26" s="49"/>
      <c r="D26" s="349"/>
      <c r="E26" s="49"/>
      <c r="F26" s="50"/>
      <c r="G26" s="50"/>
      <c r="H26" s="220"/>
      <c r="I26" s="220"/>
      <c r="J26" s="220"/>
      <c r="K26" s="220"/>
      <c r="L26" s="220"/>
      <c r="M26" s="220"/>
      <c r="N26" s="50"/>
      <c r="O26" s="50"/>
      <c r="P26" s="50"/>
      <c r="Q26" s="50"/>
      <c r="R26" s="50"/>
      <c r="S26" s="490">
        <f>'IRA and CHIPS'!E198</f>
        <v>0</v>
      </c>
      <c r="T26" s="490">
        <f>'IRA and CHIPS'!F198</f>
        <v>2.3250000000000002</v>
      </c>
      <c r="U26" s="490">
        <f>'IRA and CHIPS'!G198</f>
        <v>2.3250000000000002</v>
      </c>
      <c r="V26" s="490">
        <f>'IRA and CHIPS'!H198</f>
        <v>2.3250000000000002</v>
      </c>
      <c r="W26" s="486">
        <f>'IRA and CHIPS'!I198</f>
        <v>2.3250000000000002</v>
      </c>
      <c r="X26" s="490">
        <f>'IRA and CHIPS'!J198</f>
        <v>5.5830000000000002</v>
      </c>
      <c r="Y26" s="502">
        <f>'IRA and CHIPS'!K198</f>
        <v>5.5830000000000002</v>
      </c>
      <c r="Z26" s="502">
        <f>'IRA and CHIPS'!L198</f>
        <v>5.5830000000000002</v>
      </c>
      <c r="AA26" s="502">
        <f>'IRA and CHIPS'!M198</f>
        <v>5.5830000000000002</v>
      </c>
      <c r="AB26" s="502">
        <f>'IRA and CHIPS'!N198</f>
        <v>8.0220000000000002</v>
      </c>
      <c r="AC26" s="502">
        <f>'IRA and CHIPS'!O198</f>
        <v>8.0220000000000002</v>
      </c>
      <c r="AD26" s="502">
        <f>'IRA and CHIPS'!P198</f>
        <v>0</v>
      </c>
      <c r="AE26" s="502">
        <f>'IRA and CHIPS'!Q198</f>
        <v>0</v>
      </c>
      <c r="AF26" s="502">
        <f>'IRA and CHIPS'!R198</f>
        <v>0</v>
      </c>
      <c r="AG26" s="502">
        <f>'IRA and CHIPS'!S198</f>
        <v>0</v>
      </c>
    </row>
    <row r="27" spans="2:34" x14ac:dyDescent="0.25">
      <c r="B27" s="511" t="s">
        <v>1185</v>
      </c>
      <c r="C27" s="379"/>
      <c r="D27" s="377"/>
      <c r="E27" s="379"/>
      <c r="F27" s="384"/>
      <c r="G27" s="384"/>
      <c r="H27" s="512"/>
      <c r="I27" s="512"/>
      <c r="J27" s="512"/>
      <c r="K27" s="512"/>
      <c r="L27" s="512"/>
      <c r="M27" s="512"/>
      <c r="N27" s="384"/>
      <c r="O27" s="384"/>
      <c r="P27" s="384"/>
      <c r="Q27" s="384"/>
      <c r="R27" s="384"/>
      <c r="S27" s="491">
        <f>'IRA and CHIPS'!E187</f>
        <v>0</v>
      </c>
      <c r="T27" s="491">
        <f>'IRA and CHIPS'!F187</f>
        <v>1.2969999999999999</v>
      </c>
      <c r="U27" s="491">
        <f>'IRA and CHIPS'!G187</f>
        <v>1.2969999999999999</v>
      </c>
      <c r="V27" s="491">
        <f>'IRA and CHIPS'!H187</f>
        <v>1.2969999999999999</v>
      </c>
      <c r="W27" s="487">
        <f>'IRA and CHIPS'!I187</f>
        <v>1.2969999999999999</v>
      </c>
      <c r="X27" s="491">
        <f>'IRA and CHIPS'!J187</f>
        <v>3.8479999999999999</v>
      </c>
      <c r="Y27" s="513">
        <f>'IRA and CHIPS'!K187</f>
        <v>3.8479999999999999</v>
      </c>
      <c r="Z27" s="513">
        <f>'IRA and CHIPS'!L187</f>
        <v>3.8479999999999999</v>
      </c>
      <c r="AA27" s="513">
        <f>'IRA and CHIPS'!M187</f>
        <v>3.8479999999999999</v>
      </c>
      <c r="AB27" s="513">
        <f>'IRA and CHIPS'!N187</f>
        <v>6.4420000000000002</v>
      </c>
      <c r="AC27" s="513">
        <f>'IRA and CHIPS'!O187</f>
        <v>6.4420000000000002</v>
      </c>
      <c r="AD27" s="513">
        <f>'IRA and CHIPS'!P187</f>
        <v>6.4420000000000002</v>
      </c>
      <c r="AE27" s="513">
        <f>'IRA and CHIPS'!Q187</f>
        <v>6.4420000000000002</v>
      </c>
      <c r="AF27" s="513">
        <f>'IRA and CHIPS'!R187</f>
        <v>9.532</v>
      </c>
      <c r="AG27" s="513">
        <f>'IRA and CHIPS'!S187</f>
        <v>9.532</v>
      </c>
    </row>
    <row r="28" spans="2:34" ht="15" customHeight="1" x14ac:dyDescent="0.25">
      <c r="B28" s="1357" t="s">
        <v>418</v>
      </c>
      <c r="C28" s="1358"/>
      <c r="D28" s="514"/>
      <c r="E28" s="483"/>
      <c r="F28" s="483"/>
      <c r="G28" s="483"/>
      <c r="H28" s="50"/>
      <c r="I28" s="50"/>
      <c r="J28" s="50"/>
      <c r="K28" s="50"/>
      <c r="L28" s="50"/>
      <c r="M28" s="50"/>
      <c r="N28" s="50"/>
      <c r="O28" s="50"/>
      <c r="P28" s="425"/>
      <c r="Q28" s="50"/>
      <c r="R28" s="50"/>
      <c r="S28" s="50"/>
      <c r="T28" s="50"/>
      <c r="U28" s="50"/>
      <c r="V28" s="489"/>
      <c r="W28" s="489"/>
      <c r="X28" s="489"/>
      <c r="Y28" s="494"/>
      <c r="Z28" s="494"/>
      <c r="AA28" s="494"/>
      <c r="AB28" s="494"/>
      <c r="AC28" s="494"/>
      <c r="AD28" s="495"/>
      <c r="AE28" s="503"/>
      <c r="AF28" s="503"/>
      <c r="AG28" s="495"/>
    </row>
    <row r="29" spans="2:34" x14ac:dyDescent="0.25">
      <c r="B29" s="414" t="s">
        <v>419</v>
      </c>
      <c r="C29" s="273"/>
      <c r="D29" s="469"/>
      <c r="E29" s="273"/>
      <c r="F29" s="220"/>
      <c r="G29" s="220"/>
      <c r="H29" s="50"/>
      <c r="I29" s="50"/>
      <c r="J29" s="50"/>
      <c r="K29" s="50"/>
      <c r="L29" s="50"/>
      <c r="M29" s="50"/>
      <c r="N29" s="50">
        <f>SUM(N30:N34)</f>
        <v>23</v>
      </c>
      <c r="O29" s="50">
        <f>SUM(O30:O34)</f>
        <v>162</v>
      </c>
      <c r="P29" s="50"/>
      <c r="Q29" s="50"/>
      <c r="R29" s="50"/>
      <c r="S29" s="50"/>
      <c r="T29" s="50"/>
      <c r="U29" s="50"/>
      <c r="V29" s="35"/>
      <c r="W29" s="35"/>
      <c r="X29" s="35"/>
      <c r="Y29" s="495"/>
      <c r="Z29" s="495"/>
      <c r="AA29" s="495"/>
      <c r="AB29" s="495"/>
      <c r="AC29" s="495"/>
      <c r="AD29" s="495"/>
      <c r="AE29" s="503"/>
      <c r="AF29" s="503"/>
      <c r="AG29" s="495"/>
    </row>
    <row r="30" spans="2:34" x14ac:dyDescent="0.25">
      <c r="B30" s="353" t="s">
        <v>420</v>
      </c>
      <c r="C30" s="273"/>
      <c r="D30" s="469"/>
      <c r="E30" s="273"/>
      <c r="F30" s="220"/>
      <c r="G30" s="220"/>
      <c r="H30" s="50"/>
      <c r="I30" s="50"/>
      <c r="J30" s="50"/>
      <c r="K30" s="50"/>
      <c r="L30" s="518"/>
      <c r="M30" s="50"/>
      <c r="N30" s="50">
        <f>(4*'Response and Relief Act Score'!$F$15-$M$18)/2</f>
        <v>11</v>
      </c>
      <c r="O30" s="50">
        <f>(4*'Response and Relief Act Score'!$F$15-$M$18)/2</f>
        <v>11</v>
      </c>
      <c r="P30" s="50"/>
      <c r="Q30" s="50"/>
      <c r="R30" s="50"/>
      <c r="S30" s="50"/>
      <c r="T30" s="50"/>
      <c r="U30" s="50"/>
      <c r="V30" s="35"/>
      <c r="W30" s="35"/>
      <c r="X30" s="35"/>
      <c r="Y30" s="495"/>
      <c r="Z30" s="495"/>
      <c r="AA30" s="495"/>
      <c r="AB30" s="495"/>
      <c r="AC30" s="495"/>
      <c r="AD30" s="495"/>
      <c r="AE30" s="503"/>
      <c r="AF30" s="503"/>
      <c r="AG30" s="495"/>
    </row>
    <row r="31" spans="2:34" x14ac:dyDescent="0.25">
      <c r="B31" s="353" t="s">
        <v>417</v>
      </c>
      <c r="C31" s="273"/>
      <c r="D31" s="469"/>
      <c r="E31" s="273"/>
      <c r="F31" s="220"/>
      <c r="G31" s="220"/>
      <c r="H31" s="50"/>
      <c r="I31" s="50"/>
      <c r="J31" s="50"/>
      <c r="K31" s="50"/>
      <c r="L31" s="518"/>
      <c r="M31" s="50"/>
      <c r="N31" s="50"/>
      <c r="O31" s="50"/>
      <c r="P31" s="50"/>
      <c r="Q31" s="50"/>
      <c r="R31" s="50"/>
      <c r="S31" s="50"/>
      <c r="T31" s="50"/>
      <c r="U31" s="50"/>
      <c r="V31" s="35"/>
      <c r="W31" s="35"/>
      <c r="X31" s="35"/>
      <c r="Y31" s="495"/>
      <c r="Z31" s="495"/>
      <c r="AA31" s="495"/>
      <c r="AB31" s="495"/>
      <c r="AC31" s="495"/>
      <c r="AD31" s="495"/>
      <c r="AE31" s="503"/>
      <c r="AF31" s="503"/>
      <c r="AG31" s="495"/>
    </row>
    <row r="32" spans="2:34" x14ac:dyDescent="0.25">
      <c r="B32" s="531" t="s">
        <v>414</v>
      </c>
      <c r="C32" s="273"/>
      <c r="D32" s="469"/>
      <c r="E32" s="273"/>
      <c r="F32" s="220"/>
      <c r="G32" s="220"/>
      <c r="H32" s="50"/>
      <c r="I32" s="50"/>
      <c r="J32" s="50"/>
      <c r="K32" s="50"/>
      <c r="L32" s="50"/>
      <c r="M32" s="50"/>
      <c r="N32" s="50"/>
      <c r="O32" s="50">
        <v>79</v>
      </c>
      <c r="P32" s="50"/>
      <c r="Q32" s="391"/>
      <c r="R32" s="391"/>
      <c r="S32" s="391"/>
      <c r="T32" s="391"/>
      <c r="U32" s="391"/>
      <c r="V32" s="35"/>
      <c r="W32" s="35"/>
      <c r="X32" s="35"/>
      <c r="Y32" s="495"/>
      <c r="Z32" s="495"/>
      <c r="AA32" s="495"/>
      <c r="AB32" s="495"/>
      <c r="AC32" s="495"/>
      <c r="AD32" s="495"/>
      <c r="AE32" s="503"/>
      <c r="AF32" s="503"/>
      <c r="AG32" s="495"/>
    </row>
    <row r="33" spans="1:78" x14ac:dyDescent="0.25">
      <c r="B33" s="532" t="s">
        <v>421</v>
      </c>
      <c r="C33" s="273"/>
      <c r="D33" s="469"/>
      <c r="E33" s="273"/>
      <c r="F33" s="220"/>
      <c r="G33" s="220"/>
      <c r="H33" s="50"/>
      <c r="I33" s="50"/>
      <c r="J33" s="50"/>
      <c r="K33" s="50"/>
      <c r="L33" s="50"/>
      <c r="M33" s="50"/>
      <c r="N33" s="50"/>
      <c r="O33" s="50">
        <f>'Response and Relief Act Score'!F13*4</f>
        <v>60</v>
      </c>
      <c r="P33" s="50"/>
      <c r="Q33" s="391"/>
      <c r="R33" s="391"/>
      <c r="S33" s="391"/>
      <c r="T33" s="391"/>
      <c r="U33" s="391"/>
      <c r="V33" s="35"/>
      <c r="W33" s="35"/>
      <c r="X33" s="35"/>
      <c r="Y33" s="495"/>
      <c r="Z33" s="495"/>
      <c r="AA33" s="495"/>
      <c r="AB33" s="495"/>
      <c r="AC33" s="495"/>
      <c r="AD33" s="495"/>
      <c r="AE33" s="503"/>
      <c r="AF33" s="503"/>
      <c r="AG33" s="495"/>
    </row>
    <row r="34" spans="1:78" ht="27.6" customHeight="1" x14ac:dyDescent="0.25">
      <c r="B34" s="532" t="s">
        <v>422</v>
      </c>
      <c r="C34" s="273"/>
      <c r="D34" s="516"/>
      <c r="E34" s="517"/>
      <c r="F34" s="512"/>
      <c r="G34" s="512"/>
      <c r="H34" s="384"/>
      <c r="I34" s="384"/>
      <c r="J34" s="384"/>
      <c r="K34" s="384"/>
      <c r="L34" s="522"/>
      <c r="M34" s="384"/>
      <c r="N34" s="384">
        <f>'Response and Relief Act Score'!F14*4/2</f>
        <v>12</v>
      </c>
      <c r="O34" s="384">
        <f>'Response and Relief Act Score'!F14*4/2</f>
        <v>12</v>
      </c>
      <c r="P34" s="384"/>
      <c r="Q34" s="384"/>
      <c r="R34" s="384"/>
      <c r="S34" s="384"/>
      <c r="T34" s="384"/>
      <c r="U34" s="50"/>
      <c r="V34" s="35"/>
      <c r="W34" s="35"/>
      <c r="X34" s="35"/>
      <c r="Y34" s="495"/>
      <c r="Z34" s="495"/>
      <c r="AA34" s="495"/>
      <c r="AB34" s="495"/>
      <c r="AC34" s="495"/>
      <c r="AD34" s="495"/>
      <c r="AE34" s="503"/>
      <c r="AF34" s="503"/>
      <c r="AG34" s="495"/>
    </row>
    <row r="35" spans="1:78" ht="15" customHeight="1" x14ac:dyDescent="0.25">
      <c r="B35" s="1355" t="s">
        <v>423</v>
      </c>
      <c r="C35" s="1356"/>
      <c r="D35" s="469"/>
      <c r="E35" s="273"/>
      <c r="F35" s="220"/>
      <c r="G35" s="220"/>
      <c r="H35" s="50"/>
      <c r="I35" s="50"/>
      <c r="J35" s="50"/>
      <c r="K35" s="50"/>
      <c r="L35" s="518"/>
      <c r="M35" s="50"/>
      <c r="N35" s="50"/>
      <c r="O35" s="50"/>
      <c r="P35" s="50"/>
      <c r="Q35" s="50"/>
      <c r="R35" s="50"/>
      <c r="S35" s="50"/>
      <c r="T35" s="404"/>
      <c r="U35" s="497"/>
      <c r="V35" s="489"/>
      <c r="W35" s="489"/>
      <c r="X35" s="489"/>
      <c r="Y35" s="494"/>
      <c r="Z35" s="494"/>
      <c r="AA35" s="494"/>
      <c r="AB35" s="494"/>
      <c r="AC35" s="494"/>
      <c r="AD35" s="495"/>
      <c r="AE35" s="503"/>
      <c r="AF35" s="503"/>
      <c r="AG35" s="495"/>
    </row>
    <row r="36" spans="1:78" ht="13.5" customHeight="1" x14ac:dyDescent="0.25">
      <c r="B36" s="532" t="s">
        <v>143</v>
      </c>
      <c r="C36" s="273"/>
      <c r="D36" s="469"/>
      <c r="E36" s="273"/>
      <c r="F36" s="220"/>
      <c r="G36" s="220"/>
      <c r="H36" s="50"/>
      <c r="I36" s="50"/>
      <c r="J36" s="50"/>
      <c r="K36" s="50"/>
      <c r="L36" s="518"/>
      <c r="M36" s="50">
        <f>'ARP Quarterly'!C18</f>
        <v>0</v>
      </c>
      <c r="N36" s="50">
        <f>'ARP Quarterly'!D18</f>
        <v>2.2132800000000001</v>
      </c>
      <c r="O36" s="50">
        <f>'ARP Quarterly'!E18</f>
        <v>10.082720000000002</v>
      </c>
      <c r="P36" s="50">
        <f>'ARP Quarterly'!F18</f>
        <v>7.1439999999999992</v>
      </c>
      <c r="Q36" s="50">
        <f>'ARP Quarterly'!G18</f>
        <v>7.1439999999999992</v>
      </c>
      <c r="R36" s="50">
        <f>'ARP Quarterly'!H18</f>
        <v>7.1439999999999992</v>
      </c>
      <c r="S36" s="50">
        <f>'ARP Quarterly'!I18</f>
        <v>7.1439999999999992</v>
      </c>
      <c r="T36" s="50">
        <f>'ARP Quarterly'!J18</f>
        <v>0</v>
      </c>
      <c r="U36" s="50">
        <f>'ARP Quarterly'!K18</f>
        <v>0</v>
      </c>
      <c r="V36" s="50">
        <f>'ARP Quarterly'!L18</f>
        <v>0</v>
      </c>
      <c r="W36" s="50">
        <f>'ARP Quarterly'!M18</f>
        <v>0</v>
      </c>
      <c r="X36" s="50">
        <f>'ARP Quarterly'!N18</f>
        <v>0</v>
      </c>
      <c r="Y36" s="324">
        <f>'ARP Quarterly'!O18</f>
        <v>0</v>
      </c>
      <c r="Z36" s="324">
        <f>'ARP Quarterly'!P18</f>
        <v>0</v>
      </c>
      <c r="AA36" s="324">
        <f>'ARP Quarterly'!Q18</f>
        <v>0</v>
      </c>
      <c r="AB36" s="324">
        <f>'ARP Quarterly'!R18</f>
        <v>0</v>
      </c>
      <c r="AC36" s="324">
        <f>'ARP Quarterly'!S18</f>
        <v>0</v>
      </c>
      <c r="AD36" s="495"/>
      <c r="AE36" s="503"/>
      <c r="AF36" s="503"/>
      <c r="AG36" s="495"/>
    </row>
    <row r="37" spans="1:78" x14ac:dyDescent="0.25">
      <c r="B37" s="532" t="s">
        <v>424</v>
      </c>
      <c r="C37" s="273"/>
      <c r="D37" s="469"/>
      <c r="E37" s="273"/>
      <c r="F37" s="220"/>
      <c r="G37" s="220"/>
      <c r="H37" s="50"/>
      <c r="I37" s="50"/>
      <c r="J37" s="50"/>
      <c r="K37" s="50"/>
      <c r="L37" s="518"/>
      <c r="M37" s="50">
        <f>'ARP Quarterly'!C19</f>
        <v>0</v>
      </c>
      <c r="N37" s="50">
        <f>'ARP Quarterly'!D19</f>
        <v>15.128640000000001</v>
      </c>
      <c r="O37" s="50">
        <f>'ARP Quarterly'!E19</f>
        <v>68.919360000000012</v>
      </c>
      <c r="P37" s="50">
        <f>'ARP Quarterly'!F19</f>
        <v>5.6120000000000001</v>
      </c>
      <c r="Q37" s="50">
        <f>'ARP Quarterly'!G19</f>
        <v>5.6120000000000001</v>
      </c>
      <c r="R37" s="50">
        <f>'ARP Quarterly'!H19</f>
        <v>5.6120000000000001</v>
      </c>
      <c r="S37" s="50">
        <f>'ARP Quarterly'!I19</f>
        <v>5.6120000000000001</v>
      </c>
      <c r="T37" s="50">
        <f>'ARP Quarterly'!J19</f>
        <v>0.48599999999999993</v>
      </c>
      <c r="U37" s="50">
        <f>'ARP Quarterly'!K19</f>
        <v>0.48599999999999993</v>
      </c>
      <c r="V37" s="50">
        <f>'ARP Quarterly'!L19</f>
        <v>0.48599999999999993</v>
      </c>
      <c r="W37" s="50">
        <f>'ARP Quarterly'!M19</f>
        <v>0.48599999999999993</v>
      </c>
      <c r="X37" s="50">
        <f>'ARP Quarterly'!N19</f>
        <v>0</v>
      </c>
      <c r="Y37" s="324">
        <f>'ARP Quarterly'!O19</f>
        <v>0</v>
      </c>
      <c r="Z37" s="324">
        <f>'ARP Quarterly'!P19</f>
        <v>0</v>
      </c>
      <c r="AA37" s="324">
        <f>'ARP Quarterly'!Q19</f>
        <v>0</v>
      </c>
      <c r="AB37" s="324">
        <f>'ARP Quarterly'!R19</f>
        <v>0</v>
      </c>
      <c r="AC37" s="324">
        <f>'ARP Quarterly'!S19</f>
        <v>0</v>
      </c>
      <c r="AD37" s="495"/>
      <c r="AE37" s="503"/>
      <c r="AF37" s="503"/>
      <c r="AG37" s="495"/>
    </row>
    <row r="38" spans="1:78" x14ac:dyDescent="0.25">
      <c r="B38" s="532" t="s">
        <v>148</v>
      </c>
      <c r="C38" s="273"/>
      <c r="D38" s="469"/>
      <c r="E38" s="273"/>
      <c r="F38" s="220"/>
      <c r="G38" s="220"/>
      <c r="H38" s="50"/>
      <c r="I38" s="50"/>
      <c r="J38" s="50"/>
      <c r="K38" s="50"/>
      <c r="L38" s="518"/>
      <c r="M38" s="50">
        <f>'ARP Quarterly'!C20</f>
        <v>0</v>
      </c>
      <c r="N38" s="50">
        <f>'ARP Quarterly'!D20</f>
        <v>3.2479199999999997</v>
      </c>
      <c r="O38" s="50">
        <f>'ARP Quarterly'!E20</f>
        <v>14.796080000000002</v>
      </c>
      <c r="P38" s="50">
        <f>'ARP Quarterly'!F20</f>
        <v>1.7329999999999999</v>
      </c>
      <c r="Q38" s="50">
        <f>'ARP Quarterly'!G20</f>
        <v>1.7329999999999999</v>
      </c>
      <c r="R38" s="50">
        <f>'ARP Quarterly'!H20</f>
        <v>1.7329999999999999</v>
      </c>
      <c r="S38" s="50">
        <f>'ARP Quarterly'!I20</f>
        <v>1.7329999999999999</v>
      </c>
      <c r="T38" s="50">
        <f>'ARP Quarterly'!J20</f>
        <v>0</v>
      </c>
      <c r="U38" s="50">
        <f>'ARP Quarterly'!K20</f>
        <v>0</v>
      </c>
      <c r="V38" s="50">
        <f>'ARP Quarterly'!L20</f>
        <v>0</v>
      </c>
      <c r="W38" s="50">
        <f>'ARP Quarterly'!M20</f>
        <v>0</v>
      </c>
      <c r="X38" s="50">
        <f>'ARP Quarterly'!N20</f>
        <v>0</v>
      </c>
      <c r="Y38" s="324">
        <f>'ARP Quarterly'!O20</f>
        <v>0</v>
      </c>
      <c r="Z38" s="324">
        <f>'ARP Quarterly'!P20</f>
        <v>0</v>
      </c>
      <c r="AA38" s="324">
        <f>'ARP Quarterly'!Q20</f>
        <v>0</v>
      </c>
      <c r="AB38" s="324">
        <f>'ARP Quarterly'!R20</f>
        <v>0</v>
      </c>
      <c r="AC38" s="324">
        <f>'ARP Quarterly'!S20</f>
        <v>0</v>
      </c>
      <c r="AD38" s="495"/>
      <c r="AE38" s="503"/>
      <c r="AF38" s="503"/>
      <c r="AG38" s="495"/>
    </row>
    <row r="39" spans="1:78" x14ac:dyDescent="0.25">
      <c r="B39" s="532" t="s">
        <v>414</v>
      </c>
      <c r="C39" s="273"/>
      <c r="D39" s="469"/>
      <c r="E39" s="273"/>
      <c r="F39" s="220"/>
      <c r="G39" s="220"/>
      <c r="H39" s="50"/>
      <c r="I39" s="50"/>
      <c r="J39" s="50"/>
      <c r="K39" s="50"/>
      <c r="L39" s="518"/>
      <c r="M39" s="50">
        <f>'ARP Quarterly'!C21</f>
        <v>0</v>
      </c>
      <c r="N39" s="50">
        <f>'ARP Quarterly'!D21</f>
        <v>13.2921</v>
      </c>
      <c r="O39" s="50">
        <f>'ARP Quarterly'!E21</f>
        <v>60.552900000000008</v>
      </c>
      <c r="P39" s="50">
        <f>'ARP Quarterly'!F21</f>
        <v>1.0687500000000001</v>
      </c>
      <c r="Q39" s="50">
        <f>'ARP Quarterly'!G21</f>
        <v>1.0687500000000001</v>
      </c>
      <c r="R39" s="50">
        <f>'ARP Quarterly'!H21</f>
        <v>1.0687500000000001</v>
      </c>
      <c r="S39" s="50">
        <f>'ARP Quarterly'!I21</f>
        <v>1.0687500000000001</v>
      </c>
      <c r="T39" s="50">
        <f>'ARP Quarterly'!J21</f>
        <v>0.78750000000000009</v>
      </c>
      <c r="U39" s="50">
        <f>'ARP Quarterly'!K21</f>
        <v>0.78750000000000009</v>
      </c>
      <c r="V39" s="50">
        <f>'ARP Quarterly'!L21</f>
        <v>0.78750000000000009</v>
      </c>
      <c r="W39" s="50">
        <f>'ARP Quarterly'!M21</f>
        <v>0.78750000000000009</v>
      </c>
      <c r="X39" s="50">
        <f>'ARP Quarterly'!N21</f>
        <v>0</v>
      </c>
      <c r="Y39" s="324">
        <f>'ARP Quarterly'!O21</f>
        <v>0</v>
      </c>
      <c r="Z39" s="324">
        <f>'ARP Quarterly'!P21</f>
        <v>0</v>
      </c>
      <c r="AA39" s="324">
        <f>'ARP Quarterly'!Q21</f>
        <v>0</v>
      </c>
      <c r="AB39" s="324">
        <f>'ARP Quarterly'!R21</f>
        <v>0</v>
      </c>
      <c r="AC39" s="324">
        <f>'ARP Quarterly'!S21</f>
        <v>0</v>
      </c>
      <c r="AD39" s="495"/>
      <c r="AE39" s="503"/>
      <c r="AF39" s="503"/>
      <c r="AG39" s="495"/>
    </row>
    <row r="40" spans="1:78" ht="30" customHeight="1" x14ac:dyDescent="0.25">
      <c r="B40" s="532" t="s">
        <v>425</v>
      </c>
      <c r="C40" s="273"/>
      <c r="D40" s="469"/>
      <c r="E40" s="273"/>
      <c r="F40" s="220"/>
      <c r="G40" s="220"/>
      <c r="H40" s="50"/>
      <c r="I40" s="50"/>
      <c r="J40" s="50"/>
      <c r="K40" s="50"/>
      <c r="L40" s="518"/>
      <c r="M40" s="50">
        <f>'ARP Quarterly'!C22</f>
        <v>0</v>
      </c>
      <c r="N40" s="50">
        <f>'ARP Quarterly'!D22</f>
        <v>22.153499999999998</v>
      </c>
      <c r="O40" s="50">
        <f>'ARP Quarterly'!E22</f>
        <v>100.92150000000002</v>
      </c>
      <c r="P40" s="50">
        <f>'ARP Quarterly'!F22</f>
        <v>1.7812500000000002</v>
      </c>
      <c r="Q40" s="50">
        <f>'ARP Quarterly'!G22</f>
        <v>1.7812500000000002</v>
      </c>
      <c r="R40" s="50">
        <f>'ARP Quarterly'!H22</f>
        <v>1.7812500000000002</v>
      </c>
      <c r="S40" s="50">
        <f>'ARP Quarterly'!I22</f>
        <v>1.7812500000000002</v>
      </c>
      <c r="T40" s="50">
        <f>'ARP Quarterly'!J22</f>
        <v>1.3125000000000002</v>
      </c>
      <c r="U40" s="50">
        <f>'ARP Quarterly'!K22</f>
        <v>1.3125000000000002</v>
      </c>
      <c r="V40" s="50">
        <f>'ARP Quarterly'!L22</f>
        <v>1.3125000000000002</v>
      </c>
      <c r="W40" s="50">
        <f>'ARP Quarterly'!M22</f>
        <v>1.3125000000000002</v>
      </c>
      <c r="X40" s="50">
        <f>'ARP Quarterly'!N22</f>
        <v>0</v>
      </c>
      <c r="Y40" s="324">
        <f>'ARP Quarterly'!O22</f>
        <v>0</v>
      </c>
      <c r="Z40" s="324">
        <f>'ARP Quarterly'!P22</f>
        <v>0</v>
      </c>
      <c r="AA40" s="324">
        <f>'ARP Quarterly'!Q22</f>
        <v>0</v>
      </c>
      <c r="AB40" s="324">
        <f>'ARP Quarterly'!R22</f>
        <v>0</v>
      </c>
      <c r="AC40" s="324">
        <f>'ARP Quarterly'!S22</f>
        <v>0</v>
      </c>
      <c r="AD40" s="495"/>
      <c r="AE40" s="503"/>
      <c r="AF40" s="503"/>
      <c r="AG40" s="495"/>
    </row>
    <row r="41" spans="1:78" x14ac:dyDescent="0.25">
      <c r="B41" s="532" t="s">
        <v>426</v>
      </c>
      <c r="C41" s="273"/>
      <c r="D41" s="469"/>
      <c r="E41" s="273"/>
      <c r="F41" s="220"/>
      <c r="G41" s="220"/>
      <c r="H41" s="50"/>
      <c r="I41" s="50"/>
      <c r="J41" s="50"/>
      <c r="K41" s="50"/>
      <c r="L41" s="518"/>
      <c r="M41" s="50">
        <f>'ARP Quarterly'!C23</f>
        <v>0</v>
      </c>
      <c r="N41" s="50">
        <f>'ARP Quarterly'!D23</f>
        <v>2.9519999999999995</v>
      </c>
      <c r="O41" s="50">
        <f>'ARP Quarterly'!E23</f>
        <v>13.448</v>
      </c>
      <c r="P41" s="50">
        <f>'ARP Quarterly'!F23</f>
        <v>11.3</v>
      </c>
      <c r="Q41" s="50">
        <f>'ARP Quarterly'!G23</f>
        <v>11.3</v>
      </c>
      <c r="R41" s="50">
        <f>'ARP Quarterly'!H23</f>
        <v>11.3</v>
      </c>
      <c r="S41" s="50">
        <f>'ARP Quarterly'!I23</f>
        <v>11.3</v>
      </c>
      <c r="T41" s="50">
        <f>'ARP Quarterly'!J23</f>
        <v>8.4</v>
      </c>
      <c r="U41" s="50">
        <f>'ARP Quarterly'!K23</f>
        <v>8.4</v>
      </c>
      <c r="V41" s="50">
        <f>'ARP Quarterly'!L23</f>
        <v>8.4</v>
      </c>
      <c r="W41" s="50">
        <f>'ARP Quarterly'!M23</f>
        <v>8.4</v>
      </c>
      <c r="X41" s="50">
        <f>'ARP Quarterly'!N23</f>
        <v>0.2</v>
      </c>
      <c r="Y41" s="324">
        <f>'ARP Quarterly'!O23</f>
        <v>0.2</v>
      </c>
      <c r="Z41" s="324">
        <f>'ARP Quarterly'!P23</f>
        <v>0.2</v>
      </c>
      <c r="AA41" s="324">
        <f>'ARP Quarterly'!Q23</f>
        <v>0.2</v>
      </c>
      <c r="AB41" s="324">
        <f>'ARP Quarterly'!R23</f>
        <v>0</v>
      </c>
      <c r="AC41" s="324">
        <f>'ARP Quarterly'!S23</f>
        <v>0</v>
      </c>
      <c r="AD41" s="495"/>
      <c r="AE41" s="503"/>
      <c r="AF41" s="503"/>
      <c r="AG41" s="495"/>
    </row>
    <row r="42" spans="1:78" x14ac:dyDescent="0.25">
      <c r="B42" s="532" t="s">
        <v>427</v>
      </c>
      <c r="C42" s="273"/>
      <c r="D42" s="469"/>
      <c r="E42" s="273"/>
      <c r="F42" s="220"/>
      <c r="G42" s="220"/>
      <c r="H42" s="50"/>
      <c r="I42" s="50"/>
      <c r="J42" s="50"/>
      <c r="K42" s="50"/>
      <c r="L42" s="518"/>
      <c r="M42" s="50">
        <f>'ARP Quarterly'!C24</f>
        <v>0</v>
      </c>
      <c r="N42" s="50">
        <f>'ARP Quarterly'!D24</f>
        <v>-0.20447999999999997</v>
      </c>
      <c r="O42" s="50">
        <f>'ARP Quarterly'!E24</f>
        <v>-0.93152000000000001</v>
      </c>
      <c r="P42" s="50">
        <v>0</v>
      </c>
      <c r="Q42" s="50">
        <v>0</v>
      </c>
      <c r="R42" s="50">
        <v>0</v>
      </c>
      <c r="S42" s="50">
        <v>0</v>
      </c>
      <c r="T42" s="50">
        <v>0</v>
      </c>
      <c r="U42" s="50">
        <v>0</v>
      </c>
      <c r="V42" s="50">
        <v>0</v>
      </c>
      <c r="W42" s="50">
        <v>0</v>
      </c>
      <c r="X42" s="50">
        <v>0</v>
      </c>
      <c r="Y42" s="324">
        <v>0</v>
      </c>
      <c r="Z42" s="324">
        <v>0</v>
      </c>
      <c r="AA42" s="324">
        <v>0</v>
      </c>
      <c r="AB42" s="324">
        <v>0</v>
      </c>
      <c r="AC42" s="324">
        <v>0</v>
      </c>
      <c r="AD42" s="495"/>
      <c r="AE42" s="503"/>
      <c r="AF42" s="503"/>
      <c r="AG42" s="495"/>
    </row>
    <row r="43" spans="1:78" x14ac:dyDescent="0.25">
      <c r="B43" s="532" t="s">
        <v>312</v>
      </c>
      <c r="C43" s="273"/>
      <c r="D43" s="516"/>
      <c r="E43" s="517"/>
      <c r="F43" s="512"/>
      <c r="G43" s="512"/>
      <c r="H43" s="384"/>
      <c r="I43" s="384"/>
      <c r="J43" s="384"/>
      <c r="K43" s="384"/>
      <c r="L43" s="522"/>
      <c r="M43" s="384">
        <f>'ARP Quarterly'!C25</f>
        <v>0</v>
      </c>
      <c r="N43" s="384">
        <f>'ARP Quarterly'!D25</f>
        <v>58.782959999999996</v>
      </c>
      <c r="O43" s="384">
        <f>'ARP Quarterly'!E25</f>
        <v>267.78904000000006</v>
      </c>
      <c r="P43" s="384">
        <f>'ARP Quarterly'!F25</f>
        <v>110.24799999999999</v>
      </c>
      <c r="Q43" s="384">
        <f>'ARP Quarterly'!G25</f>
        <v>110.24799999999999</v>
      </c>
      <c r="R43" s="384">
        <f>'ARP Quarterly'!H25</f>
        <v>110.24799999999999</v>
      </c>
      <c r="S43" s="384">
        <f>'ARP Quarterly'!I25</f>
        <v>110.24799999999999</v>
      </c>
      <c r="T43" s="384">
        <f>'ARP Quarterly'!J25</f>
        <v>12.362</v>
      </c>
      <c r="U43" s="50">
        <f>'ARP Quarterly'!K25</f>
        <v>12.362</v>
      </c>
      <c r="V43" s="50">
        <f>'ARP Quarterly'!L25</f>
        <v>12.362</v>
      </c>
      <c r="W43" s="50">
        <f>'ARP Quarterly'!M25</f>
        <v>12.362</v>
      </c>
      <c r="X43" s="50">
        <f>'ARP Quarterly'!N25</f>
        <v>-0.67500000000000004</v>
      </c>
      <c r="Y43" s="324">
        <f>'ARP Quarterly'!O25</f>
        <v>-0.67500000000000004</v>
      </c>
      <c r="Z43" s="324">
        <f>'ARP Quarterly'!P25</f>
        <v>-0.67500000000000004</v>
      </c>
      <c r="AA43" s="324">
        <f>'ARP Quarterly'!Q25</f>
        <v>-0.67500000000000004</v>
      </c>
      <c r="AB43" s="324">
        <f>'ARP Quarterly'!R25</f>
        <v>0</v>
      </c>
      <c r="AC43" s="324">
        <f>'ARP Quarterly'!S25</f>
        <v>0</v>
      </c>
      <c r="AD43" s="495"/>
      <c r="AE43" s="503"/>
      <c r="AF43" s="503"/>
      <c r="AG43" s="495"/>
    </row>
    <row r="44" spans="1:78" ht="15" customHeight="1" x14ac:dyDescent="0.25">
      <c r="B44" s="1355" t="s">
        <v>428</v>
      </c>
      <c r="C44" s="1356"/>
      <c r="D44" s="515"/>
      <c r="E44" s="69"/>
      <c r="F44" s="220"/>
      <c r="G44" s="220"/>
      <c r="H44" s="50"/>
      <c r="I44" s="50"/>
      <c r="J44" s="50"/>
      <c r="K44" s="50"/>
      <c r="L44" s="518"/>
      <c r="M44" s="50"/>
      <c r="N44" s="50"/>
      <c r="O44" s="50"/>
      <c r="P44" s="50"/>
      <c r="Q44" s="50"/>
      <c r="R44" s="50"/>
      <c r="S44" s="50"/>
      <c r="T44" s="50"/>
      <c r="U44" s="497"/>
      <c r="V44" s="489"/>
      <c r="W44" s="489"/>
      <c r="X44" s="489"/>
      <c r="Y44" s="494"/>
      <c r="Z44" s="494"/>
      <c r="AA44" s="494"/>
      <c r="AB44" s="494"/>
      <c r="AC44" s="494"/>
      <c r="AD44" s="495"/>
      <c r="AE44" s="503"/>
      <c r="AF44" s="503"/>
      <c r="AG44" s="495"/>
    </row>
    <row r="45" spans="1:78" ht="21" customHeight="1" x14ac:dyDescent="0.25">
      <c r="B45" s="419" t="s">
        <v>429</v>
      </c>
      <c r="C45" s="519"/>
      <c r="D45" s="419"/>
      <c r="E45" s="519"/>
      <c r="F45" s="510"/>
      <c r="G45" s="510"/>
      <c r="H45" s="498"/>
      <c r="I45" s="498"/>
      <c r="J45" s="498"/>
      <c r="K45" s="498"/>
      <c r="L45" s="520"/>
      <c r="M45" s="498">
        <f>'ARP Quarterly'!C6</f>
        <v>0</v>
      </c>
      <c r="N45" s="498">
        <f>'ARP Quarterly'!D6</f>
        <v>58.782959999999989</v>
      </c>
      <c r="O45" s="498">
        <f>'ARP Quarterly'!E6</f>
        <v>267.78904</v>
      </c>
      <c r="P45" s="498">
        <f>'ARP Quarterly'!F6</f>
        <v>110.24799999999999</v>
      </c>
      <c r="Q45" s="498">
        <f>'ARP Quarterly'!G6</f>
        <v>110.24799999999999</v>
      </c>
      <c r="R45" s="498">
        <f>'ARP Quarterly'!H6</f>
        <v>110.24799999999999</v>
      </c>
      <c r="S45" s="498">
        <f>'ARP Quarterly'!I6</f>
        <v>110.24799999999999</v>
      </c>
      <c r="T45" s="498">
        <f>'ARP Quarterly'!J6</f>
        <v>12.726000000000001</v>
      </c>
      <c r="U45" s="498">
        <f>'ARP Quarterly'!K6</f>
        <v>12.726000000000001</v>
      </c>
      <c r="V45" s="498">
        <f>'ARP Quarterly'!L6</f>
        <v>12.726000000000001</v>
      </c>
      <c r="W45" s="498">
        <f>'ARP Quarterly'!M6</f>
        <v>12.726000000000001</v>
      </c>
      <c r="X45" s="498">
        <f>'ARP Quarterly'!N6</f>
        <v>1.365</v>
      </c>
      <c r="Y45" s="496">
        <f>'ARP Quarterly'!O6</f>
        <v>1.365</v>
      </c>
      <c r="Z45" s="496">
        <f>'ARP Quarterly'!P6</f>
        <v>1.365</v>
      </c>
      <c r="AA45" s="496">
        <f>'ARP Quarterly'!Q6</f>
        <v>1.365</v>
      </c>
      <c r="AB45" s="496">
        <f>'ARP Quarterly'!R6</f>
        <v>-0.90100000000000025</v>
      </c>
      <c r="AC45" s="496">
        <f>'ARP Quarterly'!S6</f>
        <v>-0.90100000000000025</v>
      </c>
      <c r="AD45" s="496">
        <f>'ARP Quarterly'!T6</f>
        <v>-0.90100000000000025</v>
      </c>
      <c r="AE45" s="496">
        <f>'ARP Quarterly'!U6</f>
        <v>-0.90100000000000025</v>
      </c>
      <c r="AF45" s="496">
        <f>'ARP Quarterly'!V6</f>
        <v>-2.1500000000000004</v>
      </c>
      <c r="AG45" s="492">
        <v>0</v>
      </c>
    </row>
    <row r="46" spans="1:78" ht="19.5" customHeight="1" x14ac:dyDescent="0.25">
      <c r="A46" s="488"/>
      <c r="B46" s="527" t="s">
        <v>199</v>
      </c>
      <c r="C46" s="528"/>
      <c r="D46" s="527"/>
      <c r="E46" s="528"/>
      <c r="F46" s="499">
        <f>F11-F45</f>
        <v>60.5</v>
      </c>
      <c r="G46" s="499">
        <f>G11-G45</f>
        <v>81.400000000000006</v>
      </c>
      <c r="H46" s="499">
        <f t="shared" ref="H46:AE46" si="38">H11-H45</f>
        <v>82.1</v>
      </c>
      <c r="I46" s="499">
        <f>I11-I45</f>
        <v>80</v>
      </c>
      <c r="J46" s="499">
        <f t="shared" si="38"/>
        <v>975.8</v>
      </c>
      <c r="K46" s="499">
        <f t="shared" si="38"/>
        <v>1108.4000000000001</v>
      </c>
      <c r="L46" s="499">
        <f>L11-L45</f>
        <v>460.7</v>
      </c>
      <c r="M46" s="499">
        <f>M11-M45</f>
        <v>385.5</v>
      </c>
      <c r="N46" s="499">
        <f t="shared" si="38"/>
        <v>633.91704000000004</v>
      </c>
      <c r="O46" s="499">
        <f>O11-O45</f>
        <v>279.31096000000002</v>
      </c>
      <c r="P46" s="499">
        <f>P11-P45</f>
        <v>182.952</v>
      </c>
      <c r="Q46" s="499">
        <f t="shared" si="38"/>
        <v>41.152000000000015</v>
      </c>
      <c r="R46" s="499">
        <f t="shared" si="38"/>
        <v>19.25200000000001</v>
      </c>
      <c r="S46" s="499">
        <f t="shared" si="38"/>
        <v>7.4520000000000124</v>
      </c>
      <c r="T46" s="499">
        <f t="shared" si="38"/>
        <v>95.873999999999995</v>
      </c>
      <c r="U46" s="499">
        <f t="shared" si="38"/>
        <v>87.974000000000004</v>
      </c>
      <c r="V46" s="499">
        <f>V11-V45</f>
        <v>86.474000000000004</v>
      </c>
      <c r="W46" s="499">
        <f t="shared" si="38"/>
        <v>89.674000000000007</v>
      </c>
      <c r="X46" s="499">
        <f>X11-X45</f>
        <v>97.935000000000002</v>
      </c>
      <c r="Y46" s="530">
        <f t="shared" si="38"/>
        <v>95.135000000000005</v>
      </c>
      <c r="Z46" s="530">
        <f t="shared" si="38"/>
        <v>95.135000000000005</v>
      </c>
      <c r="AA46" s="530">
        <f t="shared" si="38"/>
        <v>95.135000000000005</v>
      </c>
      <c r="AB46" s="530">
        <f t="shared" si="38"/>
        <v>102.23399999999999</v>
      </c>
      <c r="AC46" s="530">
        <f>AC11-AC45</f>
        <v>102.23399999999999</v>
      </c>
      <c r="AD46" s="530">
        <f t="shared" si="38"/>
        <v>95.212000000000003</v>
      </c>
      <c r="AE46" s="530">
        <f t="shared" si="38"/>
        <v>96.212000000000003</v>
      </c>
      <c r="AF46" s="530">
        <f>AF11-AF45</f>
        <v>101.551</v>
      </c>
      <c r="AG46" s="530">
        <f>AG11-AG45</f>
        <v>100.401</v>
      </c>
      <c r="AH46" s="488"/>
      <c r="AI46" s="488"/>
      <c r="AJ46" s="488"/>
      <c r="AK46" s="488"/>
      <c r="AL46" s="488"/>
      <c r="AM46" s="488"/>
      <c r="AN46" s="488"/>
      <c r="AO46" s="488"/>
      <c r="AP46" s="488"/>
      <c r="AQ46" s="488"/>
      <c r="AR46" s="488"/>
      <c r="AS46" s="488"/>
      <c r="AT46" s="488"/>
      <c r="AU46" s="488"/>
      <c r="AV46" s="488"/>
      <c r="AW46" s="488"/>
      <c r="AX46" s="488"/>
      <c r="AY46" s="488"/>
      <c r="AZ46" s="488"/>
      <c r="BA46" s="488"/>
      <c r="BB46" s="488"/>
      <c r="BC46" s="488"/>
      <c r="BD46" s="488"/>
      <c r="BE46" s="488"/>
      <c r="BF46" s="488"/>
      <c r="BG46" s="488"/>
      <c r="BH46" s="488"/>
      <c r="BI46" s="488"/>
      <c r="BJ46" s="488"/>
      <c r="BK46" s="488"/>
      <c r="BL46" s="488"/>
      <c r="BM46" s="488"/>
      <c r="BN46" s="488"/>
      <c r="BO46" s="488"/>
      <c r="BP46" s="488"/>
      <c r="BQ46" s="488"/>
      <c r="BR46" s="488"/>
      <c r="BS46" s="488"/>
      <c r="BT46" s="488"/>
      <c r="BU46" s="488"/>
      <c r="BV46" s="488"/>
      <c r="BW46" s="488"/>
      <c r="BX46" s="488"/>
      <c r="BY46" s="488"/>
      <c r="BZ46" s="488"/>
    </row>
    <row r="47" spans="1:78" ht="19.5" customHeight="1" x14ac:dyDescent="0.25">
      <c r="A47" s="488"/>
      <c r="B47" s="253"/>
      <c r="C47" s="253"/>
      <c r="D47" s="253"/>
      <c r="E47" s="253"/>
      <c r="F47" s="529"/>
      <c r="G47" s="529"/>
      <c r="H47" s="529"/>
      <c r="I47" s="529"/>
      <c r="J47" s="529"/>
      <c r="K47" s="529"/>
      <c r="L47" s="529"/>
      <c r="M47" s="529"/>
      <c r="N47" s="529"/>
      <c r="O47" s="529"/>
      <c r="P47" s="529"/>
      <c r="Q47" s="529"/>
      <c r="R47" s="529"/>
      <c r="S47" s="529"/>
      <c r="T47" s="529"/>
      <c r="U47" s="529"/>
      <c r="V47" s="529"/>
      <c r="W47" s="529"/>
      <c r="X47" s="529"/>
      <c r="Y47" s="529"/>
      <c r="Z47" s="529"/>
      <c r="AA47" s="529"/>
      <c r="AB47" s="529"/>
      <c r="AC47" s="529"/>
      <c r="AG47" s="488"/>
      <c r="AH47" s="488"/>
      <c r="AI47" s="488"/>
      <c r="AJ47" s="488"/>
      <c r="AK47" s="488"/>
      <c r="AL47" s="488"/>
      <c r="AM47" s="488"/>
      <c r="AN47" s="488"/>
      <c r="AO47" s="488"/>
      <c r="AP47" s="488"/>
      <c r="AQ47" s="488"/>
      <c r="AR47" s="488"/>
      <c r="AS47" s="488"/>
      <c r="AT47" s="488"/>
      <c r="AU47" s="488"/>
      <c r="AV47" s="488"/>
      <c r="AW47" s="488"/>
      <c r="AX47" s="488"/>
      <c r="AY47" s="488"/>
      <c r="AZ47" s="488"/>
      <c r="BA47" s="488"/>
      <c r="BB47" s="488"/>
      <c r="BC47" s="488"/>
      <c r="BD47" s="488"/>
      <c r="BE47" s="488"/>
      <c r="BF47" s="488"/>
      <c r="BG47" s="488"/>
      <c r="BH47" s="488"/>
      <c r="BI47" s="488"/>
      <c r="BJ47" s="488"/>
      <c r="BK47" s="488"/>
      <c r="BL47" s="488"/>
      <c r="BM47" s="488"/>
      <c r="BN47" s="488"/>
      <c r="BO47" s="488"/>
      <c r="BP47" s="488"/>
      <c r="BQ47" s="488"/>
      <c r="BR47" s="488"/>
      <c r="BS47" s="488"/>
      <c r="BT47" s="488"/>
      <c r="BU47" s="488"/>
      <c r="BV47" s="488"/>
      <c r="BW47" s="488"/>
      <c r="BX47" s="488"/>
      <c r="BY47" s="488"/>
      <c r="BZ47" s="488"/>
    </row>
    <row r="48" spans="1:78" ht="19.5" customHeight="1" x14ac:dyDescent="0.25">
      <c r="A48" s="488"/>
      <c r="B48" s="253" t="s">
        <v>864</v>
      </c>
      <c r="C48" s="253"/>
      <c r="D48" s="253"/>
      <c r="E48" s="253"/>
      <c r="F48" s="529"/>
      <c r="G48" s="529"/>
      <c r="H48" s="529"/>
      <c r="I48" s="529"/>
      <c r="J48" s="529"/>
      <c r="K48" s="529"/>
      <c r="L48" s="529"/>
      <c r="M48" s="529"/>
      <c r="N48" s="529"/>
      <c r="O48" s="529"/>
      <c r="P48" s="529"/>
      <c r="Q48" s="529"/>
      <c r="R48" s="529"/>
      <c r="S48" s="529"/>
      <c r="T48" s="529">
        <v>110.8</v>
      </c>
      <c r="U48" s="509">
        <v>96.021999999999991</v>
      </c>
      <c r="V48" s="219">
        <v>88.50800000000001</v>
      </c>
      <c r="W48" s="219">
        <v>88.50800000000001</v>
      </c>
      <c r="X48" s="219">
        <v>85.631</v>
      </c>
      <c r="Y48" s="219">
        <v>85.631</v>
      </c>
      <c r="Z48" s="219">
        <v>85.631</v>
      </c>
      <c r="AA48" s="219">
        <v>85.631</v>
      </c>
      <c r="AB48" s="219">
        <v>90.463999999999999</v>
      </c>
      <c r="AC48" s="219">
        <v>90.463999999999999</v>
      </c>
      <c r="AD48" s="508">
        <f>U11-U48</f>
        <v>4.6780000000000115</v>
      </c>
      <c r="AG48" s="488"/>
      <c r="AH48" s="488"/>
      <c r="AI48" s="488"/>
      <c r="AJ48" s="488"/>
      <c r="AK48" s="488"/>
      <c r="AL48" s="488"/>
      <c r="AM48" s="488"/>
      <c r="AN48" s="488"/>
      <c r="AO48" s="488"/>
      <c r="AP48" s="488"/>
      <c r="AQ48" s="488"/>
      <c r="AR48" s="488"/>
      <c r="AS48" s="488"/>
      <c r="AT48" s="488"/>
      <c r="AU48" s="488"/>
      <c r="AV48" s="488"/>
      <c r="AW48" s="488"/>
      <c r="AX48" s="488"/>
      <c r="AY48" s="488"/>
      <c r="AZ48" s="488"/>
      <c r="BA48" s="488"/>
      <c r="BB48" s="488"/>
      <c r="BC48" s="488"/>
      <c r="BD48" s="488"/>
      <c r="BE48" s="488"/>
      <c r="BF48" s="488"/>
      <c r="BG48" s="488"/>
      <c r="BH48" s="488"/>
      <c r="BI48" s="488"/>
      <c r="BJ48" s="488"/>
      <c r="BK48" s="488"/>
      <c r="BL48" s="488"/>
      <c r="BM48" s="488"/>
      <c r="BN48" s="488"/>
      <c r="BO48" s="488"/>
      <c r="BP48" s="488"/>
      <c r="BQ48" s="488"/>
      <c r="BR48" s="488"/>
      <c r="BS48" s="488"/>
      <c r="BT48" s="488"/>
      <c r="BU48" s="488"/>
      <c r="BV48" s="488"/>
      <c r="BW48" s="488"/>
      <c r="BX48" s="488"/>
      <c r="BY48" s="488"/>
      <c r="BZ48" s="488"/>
    </row>
    <row r="49" spans="2:30" x14ac:dyDescent="0.25">
      <c r="B49" s="504" t="s">
        <v>405</v>
      </c>
      <c r="C49" s="230"/>
      <c r="D49" s="230"/>
      <c r="E49" s="230"/>
      <c r="F49" s="230"/>
      <c r="G49" s="230"/>
      <c r="H49" s="230"/>
      <c r="I49" s="230"/>
      <c r="J49" s="230"/>
      <c r="K49" s="230"/>
      <c r="L49" s="230"/>
      <c r="M49" s="230"/>
      <c r="N49" s="230"/>
      <c r="O49" s="230"/>
      <c r="P49" s="474"/>
      <c r="Q49" s="474"/>
      <c r="R49" s="474"/>
      <c r="S49" s="474"/>
      <c r="T49" s="505">
        <v>78.977999999999994</v>
      </c>
      <c r="U49" s="506">
        <v>76</v>
      </c>
      <c r="V49" s="506">
        <v>76</v>
      </c>
      <c r="W49" s="506">
        <v>76</v>
      </c>
      <c r="X49" s="506">
        <v>76</v>
      </c>
      <c r="Y49" s="506">
        <v>76</v>
      </c>
      <c r="Z49" s="506">
        <v>76</v>
      </c>
      <c r="AA49" s="506">
        <v>76</v>
      </c>
      <c r="AB49" s="506">
        <v>76</v>
      </c>
      <c r="AC49" s="506">
        <v>76</v>
      </c>
      <c r="AD49" s="508">
        <f t="shared" ref="AD49:AD83" si="39">U12-U49</f>
        <v>12.192000000000007</v>
      </c>
    </row>
    <row r="50" spans="2:30" x14ac:dyDescent="0.25">
      <c r="B50" t="s">
        <v>406</v>
      </c>
      <c r="T50" s="191">
        <v>31.822000000000003</v>
      </c>
      <c r="U50" s="191">
        <v>20.021999999999998</v>
      </c>
      <c r="V50" s="191">
        <v>12.508000000000003</v>
      </c>
      <c r="W50" s="191">
        <v>12.508000000000003</v>
      </c>
      <c r="X50" s="191">
        <v>9.6310000000000002</v>
      </c>
      <c r="Y50" s="191">
        <v>9.6310000000000002</v>
      </c>
      <c r="Z50" s="191">
        <v>9.6310000000000002</v>
      </c>
      <c r="AA50" s="191">
        <v>9.6310000000000002</v>
      </c>
      <c r="AB50" s="191">
        <v>14.464</v>
      </c>
      <c r="AC50" s="191">
        <v>14.464</v>
      </c>
      <c r="AD50" s="508">
        <f t="shared" si="39"/>
        <v>-7.5139999999999958</v>
      </c>
    </row>
    <row r="51" spans="2:30" x14ac:dyDescent="0.25">
      <c r="B51" t="s">
        <v>50</v>
      </c>
      <c r="S51" s="35"/>
      <c r="T51" s="74">
        <v>0</v>
      </c>
      <c r="U51" s="191"/>
      <c r="V51" s="191"/>
      <c r="W51" s="191"/>
      <c r="X51" s="191"/>
      <c r="Y51" s="191"/>
      <c r="AD51" s="508">
        <f t="shared" si="39"/>
        <v>0</v>
      </c>
    </row>
    <row r="52" spans="2:30" x14ac:dyDescent="0.25">
      <c r="B52" t="s">
        <v>407</v>
      </c>
      <c r="T52" s="74">
        <v>28.200000000000003</v>
      </c>
      <c r="U52" s="74">
        <v>16.399999999999999</v>
      </c>
      <c r="V52" s="74">
        <v>8.886000000000001</v>
      </c>
      <c r="W52" s="74">
        <v>8.886000000000001</v>
      </c>
      <c r="X52" s="74">
        <v>0.2</v>
      </c>
      <c r="Y52" s="74">
        <v>0.2</v>
      </c>
      <c r="Z52" s="74">
        <v>0.2</v>
      </c>
      <c r="AA52" s="74">
        <v>0.2</v>
      </c>
      <c r="AB52" s="74">
        <v>0</v>
      </c>
      <c r="AC52" s="74">
        <v>0</v>
      </c>
      <c r="AD52" s="508">
        <f t="shared" si="39"/>
        <v>-7.5139999999999976</v>
      </c>
    </row>
    <row r="53" spans="2:30" x14ac:dyDescent="0.25">
      <c r="B53" t="s">
        <v>145</v>
      </c>
      <c r="T53" s="74">
        <v>0</v>
      </c>
      <c r="U53" s="191"/>
      <c r="V53" s="191"/>
      <c r="W53" s="191"/>
      <c r="X53" s="191"/>
      <c r="Y53" s="191"/>
      <c r="AD53" s="508">
        <f t="shared" si="39"/>
        <v>0</v>
      </c>
    </row>
    <row r="54" spans="2:30" x14ac:dyDescent="0.25">
      <c r="B54" t="s">
        <v>143</v>
      </c>
      <c r="T54" s="74">
        <v>0</v>
      </c>
      <c r="U54" s="191">
        <v>0</v>
      </c>
      <c r="V54" s="191">
        <v>0</v>
      </c>
      <c r="W54" s="191">
        <v>0</v>
      </c>
      <c r="X54" s="191">
        <v>0</v>
      </c>
      <c r="Y54" s="191">
        <v>0</v>
      </c>
      <c r="Z54" s="191">
        <v>0</v>
      </c>
      <c r="AA54" s="191">
        <v>0</v>
      </c>
      <c r="AB54" s="191">
        <v>0</v>
      </c>
      <c r="AC54" s="191">
        <v>0</v>
      </c>
      <c r="AD54" s="508">
        <f t="shared" si="39"/>
        <v>0</v>
      </c>
    </row>
    <row r="55" spans="2:30" x14ac:dyDescent="0.25">
      <c r="B55" t="s">
        <v>142</v>
      </c>
      <c r="T55" s="74">
        <v>0.4</v>
      </c>
      <c r="U55" s="191">
        <v>0</v>
      </c>
      <c r="V55" s="191">
        <v>0</v>
      </c>
      <c r="W55" s="191">
        <v>0</v>
      </c>
      <c r="X55" s="191">
        <v>0</v>
      </c>
      <c r="Y55" s="191">
        <v>0</v>
      </c>
      <c r="Z55" s="191">
        <v>0</v>
      </c>
      <c r="AA55" s="191">
        <v>0</v>
      </c>
      <c r="AB55" s="191">
        <v>0</v>
      </c>
      <c r="AC55" s="191">
        <v>0</v>
      </c>
      <c r="AD55" s="508">
        <f t="shared" si="39"/>
        <v>0</v>
      </c>
    </row>
    <row r="56" spans="2:30" x14ac:dyDescent="0.25">
      <c r="B56" t="s">
        <v>411</v>
      </c>
      <c r="T56" s="74">
        <v>3.6</v>
      </c>
      <c r="U56" s="191"/>
      <c r="V56" s="191"/>
      <c r="W56" s="191"/>
      <c r="X56" s="191"/>
      <c r="Y56" s="191"/>
      <c r="AD56" s="508">
        <f t="shared" si="39"/>
        <v>0</v>
      </c>
    </row>
    <row r="57" spans="2:30" x14ac:dyDescent="0.25">
      <c r="B57" t="s">
        <v>144</v>
      </c>
      <c r="T57" s="74">
        <v>15.8</v>
      </c>
      <c r="U57" s="191">
        <v>8</v>
      </c>
      <c r="V57" s="191">
        <v>0.48599999999999993</v>
      </c>
      <c r="W57" s="191">
        <v>0.48599999999999993</v>
      </c>
      <c r="X57" s="191">
        <v>0</v>
      </c>
      <c r="Y57" s="191">
        <v>0</v>
      </c>
      <c r="Z57" s="191">
        <v>0</v>
      </c>
      <c r="AA57" s="191">
        <v>0</v>
      </c>
      <c r="AB57" s="191">
        <v>0</v>
      </c>
      <c r="AC57" s="191">
        <v>0</v>
      </c>
      <c r="AD57" s="508">
        <f t="shared" si="39"/>
        <v>-7.5140000000000002</v>
      </c>
    </row>
    <row r="58" spans="2:30" x14ac:dyDescent="0.25">
      <c r="B58" t="s">
        <v>148</v>
      </c>
      <c r="T58" s="74">
        <v>0</v>
      </c>
      <c r="U58" s="191">
        <v>0</v>
      </c>
      <c r="V58" s="191">
        <v>0</v>
      </c>
      <c r="W58" s="191">
        <v>0</v>
      </c>
      <c r="X58" s="191">
        <v>0</v>
      </c>
      <c r="Y58" s="191">
        <v>0</v>
      </c>
      <c r="Z58" s="191">
        <v>0</v>
      </c>
      <c r="AA58" s="191">
        <v>0</v>
      </c>
      <c r="AB58" s="191">
        <v>0</v>
      </c>
      <c r="AC58" s="191">
        <v>0</v>
      </c>
      <c r="AD58" s="508">
        <f t="shared" si="39"/>
        <v>0</v>
      </c>
    </row>
    <row r="59" spans="2:30" x14ac:dyDescent="0.25">
      <c r="B59" t="s">
        <v>414</v>
      </c>
      <c r="T59" s="74">
        <v>0</v>
      </c>
      <c r="U59" s="191">
        <v>0</v>
      </c>
      <c r="V59" s="191">
        <v>0</v>
      </c>
      <c r="W59" s="191">
        <v>0</v>
      </c>
      <c r="X59" s="191">
        <v>0</v>
      </c>
      <c r="Y59" s="191">
        <v>0</v>
      </c>
      <c r="Z59" s="191">
        <v>0</v>
      </c>
      <c r="AA59" s="191">
        <v>0</v>
      </c>
      <c r="AB59" s="191">
        <v>0</v>
      </c>
      <c r="AC59" s="191">
        <v>0</v>
      </c>
      <c r="AD59" s="508">
        <f t="shared" si="39"/>
        <v>0</v>
      </c>
    </row>
    <row r="60" spans="2:30" x14ac:dyDescent="0.25">
      <c r="B60" t="s">
        <v>415</v>
      </c>
      <c r="T60" s="74">
        <v>0</v>
      </c>
      <c r="U60" s="191">
        <v>0</v>
      </c>
      <c r="V60" s="191">
        <v>0</v>
      </c>
      <c r="W60" s="191">
        <v>0</v>
      </c>
      <c r="X60" s="191">
        <v>0</v>
      </c>
      <c r="Y60" s="191">
        <v>0</v>
      </c>
      <c r="Z60" s="191">
        <v>0</v>
      </c>
      <c r="AA60" s="191">
        <v>0</v>
      </c>
      <c r="AB60" s="191">
        <v>0</v>
      </c>
      <c r="AC60" s="191">
        <v>0</v>
      </c>
      <c r="AD60" s="508">
        <f t="shared" si="39"/>
        <v>0</v>
      </c>
    </row>
    <row r="61" spans="2:30" x14ac:dyDescent="0.25">
      <c r="B61" t="s">
        <v>416</v>
      </c>
      <c r="T61" s="191">
        <v>8.4</v>
      </c>
      <c r="U61" s="191">
        <v>8.4</v>
      </c>
      <c r="V61" s="191">
        <v>8.4</v>
      </c>
      <c r="W61" s="191">
        <v>8.4</v>
      </c>
      <c r="X61" s="191">
        <v>0.2</v>
      </c>
      <c r="Y61" s="191">
        <v>0.2</v>
      </c>
      <c r="Z61" s="191">
        <v>0.2</v>
      </c>
      <c r="AA61" s="191">
        <v>0.2</v>
      </c>
      <c r="AB61" s="191">
        <v>0</v>
      </c>
      <c r="AC61" s="191">
        <v>0</v>
      </c>
      <c r="AD61" s="508">
        <f t="shared" si="39"/>
        <v>0</v>
      </c>
    </row>
    <row r="62" spans="2:30" x14ac:dyDescent="0.25">
      <c r="B62" t="s">
        <v>417</v>
      </c>
      <c r="T62" s="191">
        <v>0</v>
      </c>
      <c r="U62" s="191">
        <v>0</v>
      </c>
      <c r="V62" s="191">
        <v>0</v>
      </c>
      <c r="W62" s="191">
        <v>0</v>
      </c>
      <c r="X62" s="191">
        <v>0</v>
      </c>
      <c r="Y62" s="191">
        <v>0</v>
      </c>
      <c r="Z62" s="191">
        <v>0</v>
      </c>
      <c r="AA62" s="191">
        <v>0</v>
      </c>
      <c r="AB62" s="191">
        <v>0</v>
      </c>
      <c r="AC62" s="191">
        <v>0</v>
      </c>
      <c r="AD62" s="508">
        <f t="shared" si="39"/>
        <v>0</v>
      </c>
    </row>
    <row r="63" spans="2:30" x14ac:dyDescent="0.25">
      <c r="B63" t="s">
        <v>1377</v>
      </c>
      <c r="T63" s="191">
        <v>2.3250000000000002</v>
      </c>
      <c r="U63" s="191">
        <v>2.3250000000000002</v>
      </c>
      <c r="V63" s="191">
        <v>2.3250000000000002</v>
      </c>
      <c r="W63" s="191">
        <v>2.3250000000000002</v>
      </c>
      <c r="X63" s="191">
        <v>5.5830000000000002</v>
      </c>
      <c r="Y63" s="191">
        <v>5.5830000000000002</v>
      </c>
      <c r="Z63" s="191">
        <v>5.5830000000000002</v>
      </c>
      <c r="AA63" s="191">
        <v>5.5830000000000002</v>
      </c>
      <c r="AB63" s="191">
        <v>8.0220000000000002</v>
      </c>
      <c r="AC63" s="191">
        <v>8.0220000000000002</v>
      </c>
      <c r="AD63" s="508">
        <f t="shared" si="39"/>
        <v>0</v>
      </c>
    </row>
    <row r="64" spans="2:30" x14ac:dyDescent="0.25">
      <c r="B64" t="s">
        <v>1185</v>
      </c>
      <c r="T64" s="191">
        <v>1.2969999999999999</v>
      </c>
      <c r="U64" s="191">
        <v>1.2969999999999999</v>
      </c>
      <c r="V64" s="191">
        <v>1.2969999999999999</v>
      </c>
      <c r="W64" s="191">
        <v>1.2969999999999999</v>
      </c>
      <c r="X64" s="191">
        <v>3.8479999999999999</v>
      </c>
      <c r="Y64" s="191">
        <v>3.8479999999999999</v>
      </c>
      <c r="Z64" s="191">
        <v>3.8479999999999999</v>
      </c>
      <c r="AA64" s="191">
        <v>3.8479999999999999</v>
      </c>
      <c r="AB64" s="191">
        <v>6.4420000000000002</v>
      </c>
      <c r="AC64" s="191">
        <v>6.4420000000000002</v>
      </c>
      <c r="AD64" s="508">
        <f t="shared" si="39"/>
        <v>0</v>
      </c>
    </row>
    <row r="65" spans="2:30" x14ac:dyDescent="0.25">
      <c r="B65" t="s">
        <v>418</v>
      </c>
      <c r="T65" s="191"/>
      <c r="U65" s="191"/>
      <c r="AD65" s="508">
        <f t="shared" si="39"/>
        <v>0</v>
      </c>
    </row>
    <row r="66" spans="2:30" x14ac:dyDescent="0.25">
      <c r="B66" t="s">
        <v>419</v>
      </c>
      <c r="T66" s="191"/>
      <c r="U66" s="191"/>
      <c r="AD66" s="508">
        <f t="shared" si="39"/>
        <v>0</v>
      </c>
    </row>
    <row r="67" spans="2:30" x14ac:dyDescent="0.25">
      <c r="B67" t="s">
        <v>420</v>
      </c>
      <c r="T67" s="191"/>
      <c r="U67" s="191"/>
      <c r="AD67" s="508">
        <f t="shared" si="39"/>
        <v>0</v>
      </c>
    </row>
    <row r="68" spans="2:30" x14ac:dyDescent="0.25">
      <c r="B68" t="s">
        <v>417</v>
      </c>
      <c r="T68" s="191"/>
      <c r="U68" s="191"/>
      <c r="AD68" s="508">
        <f t="shared" si="39"/>
        <v>0</v>
      </c>
    </row>
    <row r="69" spans="2:30" x14ac:dyDescent="0.25">
      <c r="B69" t="s">
        <v>414</v>
      </c>
      <c r="T69" s="507"/>
      <c r="U69" s="507"/>
      <c r="AD69" s="508">
        <f t="shared" si="39"/>
        <v>0</v>
      </c>
    </row>
    <row r="70" spans="2:30" x14ac:dyDescent="0.25">
      <c r="B70" t="s">
        <v>421</v>
      </c>
      <c r="T70" s="507"/>
      <c r="U70" s="507"/>
      <c r="AD70" s="508">
        <f t="shared" si="39"/>
        <v>0</v>
      </c>
    </row>
    <row r="71" spans="2:30" x14ac:dyDescent="0.25">
      <c r="B71" t="s">
        <v>422</v>
      </c>
      <c r="T71" s="191"/>
      <c r="U71" s="191"/>
      <c r="AD71" s="508">
        <f t="shared" si="39"/>
        <v>0</v>
      </c>
    </row>
    <row r="72" spans="2:30" x14ac:dyDescent="0.25">
      <c r="B72" t="s">
        <v>423</v>
      </c>
      <c r="T72" s="191"/>
      <c r="U72" s="191"/>
      <c r="AD72" s="508">
        <f t="shared" si="39"/>
        <v>0</v>
      </c>
    </row>
    <row r="73" spans="2:30" x14ac:dyDescent="0.25">
      <c r="B73" t="s">
        <v>143</v>
      </c>
      <c r="T73" s="191">
        <v>0</v>
      </c>
      <c r="U73" s="191">
        <v>0</v>
      </c>
      <c r="V73" s="191">
        <v>0</v>
      </c>
      <c r="W73" s="191">
        <v>0</v>
      </c>
      <c r="X73" s="191">
        <v>0</v>
      </c>
      <c r="Y73" s="191">
        <v>0</v>
      </c>
      <c r="Z73" s="191">
        <v>0</v>
      </c>
      <c r="AA73" s="191">
        <v>0</v>
      </c>
      <c r="AB73" s="191">
        <v>0</v>
      </c>
      <c r="AC73" s="191">
        <v>0</v>
      </c>
      <c r="AD73" s="508">
        <f t="shared" si="39"/>
        <v>0</v>
      </c>
    </row>
    <row r="74" spans="2:30" x14ac:dyDescent="0.25">
      <c r="B74" t="s">
        <v>424</v>
      </c>
      <c r="T74" s="191">
        <v>0.48599999999999993</v>
      </c>
      <c r="U74" s="191">
        <v>0.48599999999999993</v>
      </c>
      <c r="V74" s="191">
        <v>0.48599999999999993</v>
      </c>
      <c r="W74" s="191">
        <v>0.48599999999999993</v>
      </c>
      <c r="X74" s="191">
        <v>0</v>
      </c>
      <c r="Y74" s="191">
        <v>0</v>
      </c>
      <c r="Z74" s="191">
        <v>0</v>
      </c>
      <c r="AA74" s="191">
        <v>0</v>
      </c>
      <c r="AB74" s="191">
        <v>0</v>
      </c>
      <c r="AC74" s="191">
        <v>0</v>
      </c>
      <c r="AD74" s="508">
        <f t="shared" si="39"/>
        <v>0</v>
      </c>
    </row>
    <row r="75" spans="2:30" x14ac:dyDescent="0.25">
      <c r="B75" t="s">
        <v>148</v>
      </c>
      <c r="T75" s="191">
        <v>0</v>
      </c>
      <c r="U75" s="191">
        <v>0</v>
      </c>
      <c r="V75" s="191">
        <v>0</v>
      </c>
      <c r="W75" s="191">
        <v>0</v>
      </c>
      <c r="X75" s="191">
        <v>0</v>
      </c>
      <c r="Y75" s="191">
        <v>0</v>
      </c>
      <c r="Z75" s="191">
        <v>0</v>
      </c>
      <c r="AA75" s="191">
        <v>0</v>
      </c>
      <c r="AB75" s="191">
        <v>0</v>
      </c>
      <c r="AC75" s="191">
        <v>0</v>
      </c>
      <c r="AD75" s="508">
        <f t="shared" si="39"/>
        <v>0</v>
      </c>
    </row>
    <row r="76" spans="2:30" x14ac:dyDescent="0.25">
      <c r="B76" t="s">
        <v>414</v>
      </c>
      <c r="T76" s="191">
        <v>0.78750000000000009</v>
      </c>
      <c r="U76" s="191">
        <v>0.78750000000000009</v>
      </c>
      <c r="V76" s="191">
        <v>0.78750000000000009</v>
      </c>
      <c r="W76" s="191">
        <v>0.78750000000000009</v>
      </c>
      <c r="X76" s="191">
        <v>0</v>
      </c>
      <c r="Y76" s="191">
        <v>0</v>
      </c>
      <c r="Z76" s="191">
        <v>0</v>
      </c>
      <c r="AA76" s="191">
        <v>0</v>
      </c>
      <c r="AB76" s="191">
        <v>0</v>
      </c>
      <c r="AC76" s="191">
        <v>0</v>
      </c>
      <c r="AD76" s="508">
        <f t="shared" si="39"/>
        <v>0</v>
      </c>
    </row>
    <row r="77" spans="2:30" x14ac:dyDescent="0.25">
      <c r="B77" t="s">
        <v>425</v>
      </c>
      <c r="T77" s="191">
        <v>1.3125000000000002</v>
      </c>
      <c r="U77" s="191">
        <v>1.3125000000000002</v>
      </c>
      <c r="V77" s="191">
        <v>1.3125000000000002</v>
      </c>
      <c r="W77" s="191">
        <v>1.3125000000000002</v>
      </c>
      <c r="X77" s="191">
        <v>0</v>
      </c>
      <c r="Y77" s="191">
        <v>0</v>
      </c>
      <c r="Z77" s="191">
        <v>0</v>
      </c>
      <c r="AA77" s="191">
        <v>0</v>
      </c>
      <c r="AB77" s="191">
        <v>0</v>
      </c>
      <c r="AC77" s="191">
        <v>0</v>
      </c>
      <c r="AD77" s="508">
        <f t="shared" si="39"/>
        <v>0</v>
      </c>
    </row>
    <row r="78" spans="2:30" x14ac:dyDescent="0.25">
      <c r="B78" t="s">
        <v>426</v>
      </c>
      <c r="T78" s="191">
        <v>8.4</v>
      </c>
      <c r="U78" s="191">
        <v>8.4</v>
      </c>
      <c r="V78" s="191">
        <v>8.4</v>
      </c>
      <c r="W78" s="191">
        <v>8.4</v>
      </c>
      <c r="X78" s="191">
        <v>0.2</v>
      </c>
      <c r="Y78" s="191">
        <v>0.2</v>
      </c>
      <c r="Z78" s="191">
        <v>0.2</v>
      </c>
      <c r="AA78" s="191">
        <v>0.2</v>
      </c>
      <c r="AB78" s="191">
        <v>0</v>
      </c>
      <c r="AC78" s="191">
        <v>0</v>
      </c>
      <c r="AD78" s="508">
        <f t="shared" si="39"/>
        <v>0</v>
      </c>
    </row>
    <row r="79" spans="2:30" x14ac:dyDescent="0.25">
      <c r="B79" t="s">
        <v>427</v>
      </c>
      <c r="T79" s="191">
        <v>0</v>
      </c>
      <c r="U79" s="191">
        <v>0</v>
      </c>
      <c r="V79" s="191">
        <v>0</v>
      </c>
      <c r="W79" s="191">
        <v>0</v>
      </c>
      <c r="X79" s="191">
        <v>0</v>
      </c>
      <c r="Y79" s="191">
        <v>0</v>
      </c>
      <c r="Z79" s="191">
        <v>0</v>
      </c>
      <c r="AA79" s="191">
        <v>0</v>
      </c>
      <c r="AB79" s="191">
        <v>0</v>
      </c>
      <c r="AC79" s="191">
        <v>0</v>
      </c>
      <c r="AD79" s="508">
        <f t="shared" si="39"/>
        <v>0</v>
      </c>
    </row>
    <row r="80" spans="2:30" x14ac:dyDescent="0.25">
      <c r="B80" t="s">
        <v>312</v>
      </c>
      <c r="T80" s="191">
        <v>12.362</v>
      </c>
      <c r="U80" s="191">
        <v>12.362</v>
      </c>
      <c r="V80" s="191">
        <v>12.362</v>
      </c>
      <c r="W80" s="191">
        <v>12.362</v>
      </c>
      <c r="X80" s="191">
        <v>-0.67500000000000004</v>
      </c>
      <c r="Y80" s="191">
        <v>-0.67500000000000004</v>
      </c>
      <c r="Z80" s="191">
        <v>-0.67500000000000004</v>
      </c>
      <c r="AA80" s="191">
        <v>-0.67500000000000004</v>
      </c>
      <c r="AB80" s="191">
        <v>0</v>
      </c>
      <c r="AC80" s="191">
        <v>0</v>
      </c>
      <c r="AD80" s="508">
        <f t="shared" si="39"/>
        <v>0</v>
      </c>
    </row>
    <row r="81" spans="2:30" x14ac:dyDescent="0.25">
      <c r="B81" t="s">
        <v>428</v>
      </c>
      <c r="T81" s="191"/>
      <c r="U81" s="191"/>
      <c r="AD81" s="508">
        <f t="shared" si="39"/>
        <v>0</v>
      </c>
    </row>
    <row r="82" spans="2:30" x14ac:dyDescent="0.25">
      <c r="B82" t="s">
        <v>429</v>
      </c>
      <c r="T82" s="191">
        <v>12.726000000000001</v>
      </c>
      <c r="U82" s="191">
        <v>12.726000000000001</v>
      </c>
      <c r="V82" s="191">
        <v>12.726000000000001</v>
      </c>
      <c r="W82" s="191">
        <v>12.726000000000001</v>
      </c>
      <c r="X82" s="191">
        <v>1.365</v>
      </c>
      <c r="Y82" s="191">
        <v>1.365</v>
      </c>
      <c r="Z82" s="191">
        <v>1.365</v>
      </c>
      <c r="AA82" s="191">
        <v>1.365</v>
      </c>
      <c r="AB82" s="191">
        <v>-0.90100000000000025</v>
      </c>
      <c r="AC82" s="191">
        <v>-0.90100000000000025</v>
      </c>
      <c r="AD82" s="508">
        <f t="shared" si="39"/>
        <v>0</v>
      </c>
    </row>
    <row r="83" spans="2:30" x14ac:dyDescent="0.25">
      <c r="B83" t="s">
        <v>199</v>
      </c>
      <c r="T83" s="74">
        <v>98.073999999999998</v>
      </c>
      <c r="U83" s="508">
        <v>83.295999999999992</v>
      </c>
      <c r="V83" s="74">
        <v>75.782000000000011</v>
      </c>
      <c r="W83" s="74">
        <v>75.782000000000011</v>
      </c>
      <c r="X83" s="74">
        <v>84.266000000000005</v>
      </c>
      <c r="Y83" s="74">
        <v>84.266000000000005</v>
      </c>
      <c r="Z83" s="74">
        <v>84.266000000000005</v>
      </c>
      <c r="AA83" s="74">
        <v>84.266000000000005</v>
      </c>
      <c r="AB83" s="74">
        <v>91.364999999999995</v>
      </c>
      <c r="AC83" s="74">
        <v>91.364999999999995</v>
      </c>
      <c r="AD83" s="508">
        <f t="shared" si="39"/>
        <v>4.6780000000000115</v>
      </c>
    </row>
    <row r="84" spans="2:30" x14ac:dyDescent="0.25">
      <c r="AD84" s="508"/>
    </row>
  </sheetData>
  <mergeCells count="14">
    <mergeCell ref="W8:AG8"/>
    <mergeCell ref="Q9:T9"/>
    <mergeCell ref="B1:AC1"/>
    <mergeCell ref="B44:C44"/>
    <mergeCell ref="B28:C28"/>
    <mergeCell ref="B8:C10"/>
    <mergeCell ref="I9:L9"/>
    <mergeCell ref="E9:H9"/>
    <mergeCell ref="B35:C35"/>
    <mergeCell ref="Y9:AB9"/>
    <mergeCell ref="M9:P9"/>
    <mergeCell ref="B2:AC6"/>
    <mergeCell ref="D8:V8"/>
    <mergeCell ref="AC9:AF9"/>
  </mergeCells>
  <pageMargins left="0.7" right="0.7" top="0.75" bottom="0.75" header="0.3" footer="0.3"/>
  <pageSetup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AJ49"/>
  <sheetViews>
    <sheetView topLeftCell="A7" zoomScale="90" zoomScaleNormal="90" workbookViewId="0">
      <selection activeCell="G16" sqref="G16"/>
    </sheetView>
  </sheetViews>
  <sheetFormatPr defaultColWidth="10.85546875" defaultRowHeight="15" x14ac:dyDescent="0.25"/>
  <cols>
    <col min="2" max="2" width="31.85546875" customWidth="1"/>
    <col min="6" max="6" width="9" customWidth="1"/>
    <col min="7" max="7" width="10.140625" customWidth="1"/>
    <col min="8" max="11" width="7.42578125" customWidth="1"/>
    <col min="13" max="13" width="8.42578125" customWidth="1"/>
    <col min="14" max="27" width="9.140625" customWidth="1"/>
    <col min="28" max="28" width="13" customWidth="1"/>
  </cols>
  <sheetData>
    <row r="1" spans="2:36" x14ac:dyDescent="0.25">
      <c r="B1" s="1288" t="s">
        <v>54</v>
      </c>
      <c r="C1" s="1288"/>
      <c r="D1" s="1288"/>
      <c r="E1" s="1288"/>
      <c r="F1" s="1288"/>
      <c r="G1" s="1288"/>
      <c r="H1" s="1288"/>
      <c r="I1" s="1288"/>
      <c r="J1" s="1288"/>
      <c r="K1" s="1288"/>
      <c r="L1" s="1288"/>
      <c r="M1" s="1288"/>
      <c r="N1" s="1288"/>
      <c r="O1" s="1288"/>
      <c r="P1" s="1288"/>
      <c r="Q1" s="1288"/>
      <c r="R1" s="1288"/>
      <c r="S1" s="1288"/>
      <c r="T1" s="1288"/>
      <c r="U1" s="1288"/>
      <c r="V1" s="1288"/>
      <c r="W1" s="1288"/>
      <c r="X1" s="1288"/>
      <c r="Y1" s="1288"/>
      <c r="Z1" s="1288"/>
      <c r="AA1" s="1288"/>
      <c r="AB1" s="1288"/>
      <c r="AC1" s="1288"/>
      <c r="AD1" s="202"/>
      <c r="AE1" s="202"/>
      <c r="AF1" s="202"/>
      <c r="AG1" s="202"/>
    </row>
    <row r="2" spans="2:36" ht="14.25" customHeight="1" x14ac:dyDescent="0.25">
      <c r="B2" s="1363" t="s">
        <v>859</v>
      </c>
      <c r="C2" s="1363"/>
      <c r="D2" s="1363"/>
      <c r="E2" s="1363"/>
      <c r="F2" s="1363"/>
      <c r="G2" s="1363"/>
      <c r="H2" s="1363"/>
      <c r="I2" s="1363"/>
      <c r="J2" s="1363"/>
      <c r="K2" s="1363"/>
      <c r="L2" s="1363"/>
      <c r="M2" s="1363"/>
      <c r="N2" s="1363"/>
      <c r="O2" s="1363"/>
      <c r="P2" s="1363"/>
      <c r="Q2" s="1363"/>
      <c r="R2" s="1363"/>
      <c r="S2" s="1363"/>
      <c r="T2" s="1363"/>
      <c r="U2" s="1363"/>
      <c r="V2" s="1362" t="s">
        <v>910</v>
      </c>
      <c r="W2" s="1362"/>
      <c r="X2" s="1362"/>
      <c r="Y2" s="1362"/>
      <c r="Z2" s="1362"/>
      <c r="AA2" s="1362"/>
      <c r="AB2" s="1362"/>
      <c r="AC2" s="586"/>
      <c r="AD2" s="586"/>
      <c r="AE2" s="586"/>
      <c r="AF2" s="586"/>
      <c r="AG2" s="586"/>
    </row>
    <row r="3" spans="2:36" ht="59.85" customHeight="1" x14ac:dyDescent="0.25">
      <c r="B3" s="1363"/>
      <c r="C3" s="1363"/>
      <c r="D3" s="1363"/>
      <c r="E3" s="1363"/>
      <c r="F3" s="1363"/>
      <c r="G3" s="1363"/>
      <c r="H3" s="1363"/>
      <c r="I3" s="1363"/>
      <c r="J3" s="1363"/>
      <c r="K3" s="1363"/>
      <c r="L3" s="1363"/>
      <c r="M3" s="1363"/>
      <c r="N3" s="1363"/>
      <c r="O3" s="1363"/>
      <c r="P3" s="1363"/>
      <c r="Q3" s="1363"/>
      <c r="R3" s="1363"/>
      <c r="S3" s="1363"/>
      <c r="T3" s="1363"/>
      <c r="U3" s="1363"/>
      <c r="V3" s="1362"/>
      <c r="W3" s="1362"/>
      <c r="X3" s="1362"/>
      <c r="Y3" s="1362"/>
      <c r="Z3" s="1362"/>
      <c r="AA3" s="1362"/>
      <c r="AB3" s="1362"/>
      <c r="AC3" s="586"/>
      <c r="AD3" s="586"/>
      <c r="AE3" s="586"/>
      <c r="AF3" s="586"/>
      <c r="AG3" s="586"/>
    </row>
    <row r="4" spans="2:36" ht="88.5" customHeight="1" x14ac:dyDescent="0.25">
      <c r="B4" s="1363"/>
      <c r="C4" s="1363"/>
      <c r="D4" s="1363"/>
      <c r="E4" s="1363"/>
      <c r="F4" s="1363"/>
      <c r="G4" s="1363"/>
      <c r="H4" s="1363"/>
      <c r="I4" s="1363"/>
      <c r="J4" s="1363"/>
      <c r="K4" s="1363"/>
      <c r="L4" s="1363"/>
      <c r="M4" s="1363"/>
      <c r="N4" s="1363"/>
      <c r="O4" s="1363"/>
      <c r="P4" s="1363"/>
      <c r="Q4" s="1363"/>
      <c r="R4" s="1363"/>
      <c r="S4" s="1363"/>
      <c r="T4" s="1363"/>
      <c r="U4" s="1363"/>
      <c r="V4" s="1362"/>
      <c r="W4" s="1362"/>
      <c r="X4" s="1362"/>
      <c r="Y4" s="1362"/>
      <c r="Z4" s="1362"/>
      <c r="AA4" s="1362"/>
      <c r="AB4" s="1362"/>
      <c r="AC4" s="586"/>
      <c r="AD4" s="586"/>
      <c r="AE4" s="586"/>
      <c r="AF4" s="586"/>
      <c r="AG4" s="586"/>
    </row>
    <row r="5" spans="2:36" ht="33" customHeight="1" x14ac:dyDescent="0.25">
      <c r="B5" s="586"/>
      <c r="C5" s="586"/>
      <c r="D5" s="586"/>
      <c r="E5" s="586"/>
      <c r="F5" s="586"/>
      <c r="G5" s="586"/>
      <c r="H5" s="586"/>
      <c r="I5" s="586"/>
      <c r="J5" s="586"/>
      <c r="K5" s="586"/>
      <c r="L5" s="586"/>
      <c r="M5" s="586"/>
      <c r="N5" s="586"/>
      <c r="O5" s="586"/>
      <c r="P5" s="586"/>
      <c r="Q5" s="586"/>
      <c r="R5" s="586"/>
      <c r="S5" s="586"/>
      <c r="T5" s="586"/>
      <c r="U5" s="586"/>
      <c r="V5" s="586"/>
      <c r="W5" s="586"/>
      <c r="X5" s="586"/>
      <c r="Y5" s="586"/>
      <c r="Z5" s="586"/>
      <c r="AA5" s="586"/>
      <c r="AB5" s="586"/>
      <c r="AC5" s="586"/>
      <c r="AD5" s="586"/>
      <c r="AE5" s="586"/>
      <c r="AF5" s="586"/>
      <c r="AG5" s="586"/>
    </row>
    <row r="6" spans="2:36" x14ac:dyDescent="0.25">
      <c r="B6" s="586"/>
      <c r="C6" s="586"/>
      <c r="D6" s="586"/>
      <c r="E6" s="586"/>
      <c r="F6" s="586"/>
      <c r="G6" s="586"/>
      <c r="H6" s="586"/>
      <c r="I6" s="586"/>
      <c r="J6" s="586"/>
      <c r="K6" s="586"/>
      <c r="L6" s="586"/>
      <c r="M6" s="586"/>
      <c r="N6" s="586"/>
      <c r="O6" s="586"/>
      <c r="P6" s="586"/>
      <c r="Q6" s="586"/>
      <c r="R6" s="586"/>
      <c r="S6" s="586"/>
      <c r="T6" s="586"/>
      <c r="U6" s="586"/>
      <c r="V6" s="586"/>
      <c r="W6" s="586"/>
      <c r="X6" s="586"/>
      <c r="Y6" s="586"/>
      <c r="Z6" s="586"/>
      <c r="AA6" s="586"/>
      <c r="AB6" s="586"/>
      <c r="AC6" s="586"/>
      <c r="AD6" s="586"/>
      <c r="AE6" s="586"/>
      <c r="AF6" s="586"/>
      <c r="AG6" s="586"/>
    </row>
    <row r="7" spans="2:36" ht="14.85" customHeight="1" x14ac:dyDescent="0.25">
      <c r="B7" s="1293" t="s">
        <v>404</v>
      </c>
      <c r="C7" s="1294"/>
      <c r="D7" s="1297" t="s">
        <v>280</v>
      </c>
      <c r="E7" s="1310"/>
      <c r="F7" s="1310"/>
      <c r="G7" s="1310"/>
      <c r="H7" s="1310"/>
      <c r="I7" s="1310"/>
      <c r="J7" s="1310"/>
      <c r="K7" s="1310"/>
      <c r="L7" s="1310"/>
      <c r="M7" s="1310"/>
      <c r="N7" s="1310"/>
      <c r="O7" s="1310"/>
      <c r="P7" s="1310"/>
      <c r="Q7" s="1310"/>
      <c r="R7" s="1310"/>
      <c r="S7" s="1310"/>
      <c r="T7" s="1310"/>
      <c r="U7" s="1310"/>
      <c r="V7" s="1298"/>
      <c r="W7" s="1340" t="s">
        <v>281</v>
      </c>
      <c r="X7" s="1330"/>
      <c r="Y7" s="1330"/>
      <c r="Z7" s="1330"/>
      <c r="AA7" s="1330"/>
      <c r="AB7" s="1330"/>
      <c r="AC7" s="1330"/>
      <c r="AD7" s="1330"/>
      <c r="AE7" s="1330"/>
      <c r="AF7" s="1330"/>
      <c r="AG7" s="1330"/>
    </row>
    <row r="8" spans="2:36" x14ac:dyDescent="0.25">
      <c r="B8" s="1295"/>
      <c r="C8" s="1311"/>
      <c r="D8" s="209">
        <v>2018</v>
      </c>
      <c r="E8" s="1302">
        <v>2019</v>
      </c>
      <c r="F8" s="1303"/>
      <c r="G8" s="1303"/>
      <c r="H8" s="1304"/>
      <c r="I8" s="1302">
        <v>2020</v>
      </c>
      <c r="J8" s="1303"/>
      <c r="K8" s="1303"/>
      <c r="L8" s="1303"/>
      <c r="M8" s="1302">
        <v>2021</v>
      </c>
      <c r="N8" s="1303"/>
      <c r="O8" s="1303"/>
      <c r="P8" s="1303"/>
      <c r="Q8" s="1302">
        <v>2022</v>
      </c>
      <c r="R8" s="1325"/>
      <c r="S8" s="1325"/>
      <c r="T8" s="1304"/>
      <c r="U8" s="278"/>
      <c r="V8" s="278">
        <v>2023</v>
      </c>
      <c r="W8" s="543"/>
      <c r="X8" s="250"/>
      <c r="Y8" s="1299">
        <v>2024</v>
      </c>
      <c r="Z8" s="1312"/>
      <c r="AA8" s="1312"/>
      <c r="AB8" s="1301"/>
      <c r="AC8" s="1299">
        <v>2025</v>
      </c>
      <c r="AD8" s="1312"/>
      <c r="AE8" s="1312"/>
      <c r="AF8" s="1301"/>
      <c r="AG8" s="493">
        <v>2026</v>
      </c>
      <c r="AH8" s="230"/>
      <c r="AI8" s="230"/>
      <c r="AJ8" s="230"/>
    </row>
    <row r="9" spans="2:36" x14ac:dyDescent="0.25">
      <c r="B9" s="1295"/>
      <c r="C9" s="1311"/>
      <c r="D9" s="204" t="s">
        <v>282</v>
      </c>
      <c r="E9" s="204" t="s">
        <v>283</v>
      </c>
      <c r="F9" s="205" t="s">
        <v>284</v>
      </c>
      <c r="G9" s="205" t="s">
        <v>238</v>
      </c>
      <c r="H9" s="206" t="s">
        <v>282</v>
      </c>
      <c r="I9" s="205" t="s">
        <v>283</v>
      </c>
      <c r="J9" s="205" t="s">
        <v>284</v>
      </c>
      <c r="K9" s="205" t="s">
        <v>238</v>
      </c>
      <c r="L9" s="205" t="s">
        <v>282</v>
      </c>
      <c r="M9" s="204" t="s">
        <v>283</v>
      </c>
      <c r="N9" s="205" t="s">
        <v>284</v>
      </c>
      <c r="O9" s="205" t="s">
        <v>238</v>
      </c>
      <c r="P9" s="205" t="s">
        <v>282</v>
      </c>
      <c r="Q9" s="204" t="s">
        <v>283</v>
      </c>
      <c r="R9" s="205" t="s">
        <v>284</v>
      </c>
      <c r="S9" s="205" t="s">
        <v>238</v>
      </c>
      <c r="T9" s="206" t="s">
        <v>282</v>
      </c>
      <c r="U9" s="205" t="s">
        <v>283</v>
      </c>
      <c r="V9" s="276" t="s">
        <v>284</v>
      </c>
      <c r="W9" s="260" t="s">
        <v>238</v>
      </c>
      <c r="X9" s="261" t="s">
        <v>282</v>
      </c>
      <c r="Y9" s="259" t="s">
        <v>283</v>
      </c>
      <c r="Z9" s="257" t="s">
        <v>284</v>
      </c>
      <c r="AA9" s="260" t="s">
        <v>238</v>
      </c>
      <c r="AB9" s="260" t="s">
        <v>282</v>
      </c>
      <c r="AC9" s="259" t="s">
        <v>283</v>
      </c>
      <c r="AD9" s="257" t="s">
        <v>284</v>
      </c>
      <c r="AE9" s="260" t="s">
        <v>238</v>
      </c>
      <c r="AF9" s="260" t="s">
        <v>282</v>
      </c>
      <c r="AG9" s="259" t="s">
        <v>283</v>
      </c>
      <c r="AH9" s="221"/>
      <c r="AI9" s="224"/>
      <c r="AJ9" s="224"/>
    </row>
    <row r="10" spans="2:36" x14ac:dyDescent="0.25">
      <c r="B10" s="552" t="s">
        <v>101</v>
      </c>
      <c r="C10" s="431" t="s">
        <v>430</v>
      </c>
      <c r="D10" s="561">
        <f>'Haver Pivoted'!GO13</f>
        <v>589.5</v>
      </c>
      <c r="E10" s="562">
        <f>'Haver Pivoted'!GP13</f>
        <v>598.70000000000005</v>
      </c>
      <c r="F10" s="562">
        <f>'Haver Pivoted'!GQ13</f>
        <v>614.4</v>
      </c>
      <c r="G10" s="562">
        <f>'Haver Pivoted'!GR13</f>
        <v>622.4</v>
      </c>
      <c r="H10" s="562">
        <f>'Haver Pivoted'!GS13</f>
        <v>620.6</v>
      </c>
      <c r="I10" s="562">
        <f>'Haver Pivoted'!GT13</f>
        <v>606.4</v>
      </c>
      <c r="J10" s="562">
        <f>'Haver Pivoted'!GU13</f>
        <v>654.6</v>
      </c>
      <c r="K10" s="562">
        <f>'Haver Pivoted'!GV13</f>
        <v>690.8</v>
      </c>
      <c r="L10" s="562">
        <f>'Haver Pivoted'!GW13</f>
        <v>678.6</v>
      </c>
      <c r="M10" s="562">
        <f>'Haver Pivoted'!GX13</f>
        <v>705</v>
      </c>
      <c r="N10" s="562">
        <f>'Haver Pivoted'!GY13</f>
        <v>745.7</v>
      </c>
      <c r="O10" s="562">
        <f>'Haver Pivoted'!GZ13</f>
        <v>749.2</v>
      </c>
      <c r="P10" s="562">
        <f>'Haver Pivoted'!HA13</f>
        <v>746.1</v>
      </c>
      <c r="Q10" s="562">
        <f>'Haver Pivoted'!HB13</f>
        <v>791.4</v>
      </c>
      <c r="R10" s="562">
        <f>'Haver Pivoted'!HC13</f>
        <v>818.7</v>
      </c>
      <c r="S10" s="563">
        <f>'Haver Pivoted'!HD13</f>
        <v>819</v>
      </c>
      <c r="T10" s="550">
        <f>'Haver Pivoted'!HE13</f>
        <v>828.4</v>
      </c>
      <c r="U10" s="563">
        <f>'Haver Pivoted'!HF13</f>
        <v>871.5</v>
      </c>
      <c r="V10" s="563">
        <f>'Haver Pivoted'!HG13</f>
        <v>911.4</v>
      </c>
      <c r="W10" s="563">
        <f>'Haver Pivoted'!HH13</f>
        <v>880.6</v>
      </c>
      <c r="X10" s="563">
        <f>'Haver Pivoted'!HI13</f>
        <v>868.3</v>
      </c>
      <c r="Y10" s="563">
        <f>'Haver Pivoted'!HJ13</f>
        <v>922.3</v>
      </c>
      <c r="Z10" s="281"/>
      <c r="AA10" s="281"/>
      <c r="AB10" s="281"/>
      <c r="AC10" s="207"/>
      <c r="AD10" s="316"/>
      <c r="AE10" s="316"/>
      <c r="AF10" s="316"/>
      <c r="AG10" s="316"/>
      <c r="AH10" t="s">
        <v>1825</v>
      </c>
    </row>
    <row r="11" spans="2:36" x14ac:dyDescent="0.25">
      <c r="B11" s="538" t="s">
        <v>431</v>
      </c>
      <c r="C11" s="230" t="s">
        <v>339</v>
      </c>
      <c r="D11" s="582">
        <f>'Haver Pivoted'!GO40</f>
        <v>391.92099999999999</v>
      </c>
      <c r="E11" s="542">
        <f>'Haver Pivoted'!GP40</f>
        <v>406.23</v>
      </c>
      <c r="F11" s="542">
        <f>'Haver Pivoted'!GQ40</f>
        <v>414.87200000000001</v>
      </c>
      <c r="G11" s="542">
        <f>'Haver Pivoted'!GR40</f>
        <v>418.36200000000002</v>
      </c>
      <c r="H11" s="542">
        <f>'Haver Pivoted'!GS40</f>
        <v>414.971</v>
      </c>
      <c r="I11" s="542">
        <f>'Haver Pivoted'!GT40</f>
        <v>424.089</v>
      </c>
      <c r="J11" s="542">
        <f>'Haver Pivoted'!GU40</f>
        <v>505.45</v>
      </c>
      <c r="K11" s="542">
        <f>'Haver Pivoted'!GV40</f>
        <v>483.86599999999999</v>
      </c>
      <c r="L11" s="542">
        <f>'Haver Pivoted'!GW40</f>
        <v>506.75599999999997</v>
      </c>
      <c r="M11" s="542">
        <f>'Haver Pivoted'!GX40</f>
        <v>501.459</v>
      </c>
      <c r="N11" s="542">
        <f>'Haver Pivoted'!GY40</f>
        <v>526.38599999999997</v>
      </c>
      <c r="O11" s="542">
        <f>'Haver Pivoted'!GZ40</f>
        <v>541.66800000000001</v>
      </c>
      <c r="P11" s="542">
        <f>'Haver Pivoted'!HA40</f>
        <v>563.64300000000003</v>
      </c>
      <c r="Q11" s="542">
        <f>'Haver Pivoted'!HB40</f>
        <v>594.56200000000001</v>
      </c>
      <c r="R11" s="542">
        <f>'Haver Pivoted'!HC40</f>
        <v>595.59299999999996</v>
      </c>
      <c r="S11" s="545">
        <f>'Haver Pivoted'!HD40</f>
        <v>607.94899999999996</v>
      </c>
      <c r="T11" s="545">
        <f>'Haver Pivoted'!HE40</f>
        <v>607.13699999999994</v>
      </c>
      <c r="U11" s="545">
        <f>'Haver Pivoted'!HF40</f>
        <v>630.96299999999997</v>
      </c>
      <c r="V11" s="545">
        <f>'Haver Pivoted'!HG40</f>
        <v>639.71100000000001</v>
      </c>
      <c r="W11" s="545">
        <f>'Haver Pivoted'!HH40</f>
        <v>590.947</v>
      </c>
      <c r="X11" s="545">
        <f>'Haver Pivoted'!HI40</f>
        <v>616.99699999999996</v>
      </c>
      <c r="Y11" s="545">
        <f>'Haver Pivoted'!HJ40</f>
        <v>613.56899999999996</v>
      </c>
      <c r="Z11" s="316"/>
      <c r="AA11" s="316"/>
      <c r="AB11" s="316"/>
      <c r="AC11" s="316"/>
      <c r="AD11" s="316"/>
      <c r="AE11" s="316"/>
      <c r="AF11" s="316"/>
      <c r="AG11" s="316"/>
    </row>
    <row r="12" spans="2:36" ht="27.6" customHeight="1" x14ac:dyDescent="0.25">
      <c r="B12" s="516" t="s">
        <v>893</v>
      </c>
      <c r="C12" s="36"/>
      <c r="D12" s="585">
        <f t="shared" ref="D12:N12" si="0">D11/D10</f>
        <v>0.66483630195080579</v>
      </c>
      <c r="E12" s="569">
        <f t="shared" si="0"/>
        <v>0.67852012694170705</v>
      </c>
      <c r="F12" s="569">
        <f t="shared" si="0"/>
        <v>0.67524739583333337</v>
      </c>
      <c r="G12" s="569">
        <f t="shared" si="0"/>
        <v>0.67217544987146538</v>
      </c>
      <c r="H12" s="569">
        <f t="shared" si="0"/>
        <v>0.66866097325169194</v>
      </c>
      <c r="I12" s="569">
        <f t="shared" si="0"/>
        <v>0.69935521108179421</v>
      </c>
      <c r="J12" s="569">
        <f t="shared" si="0"/>
        <v>0.77215093186678885</v>
      </c>
      <c r="K12" s="569">
        <f t="shared" si="0"/>
        <v>0.70044296467863354</v>
      </c>
      <c r="L12" s="569">
        <f t="shared" si="0"/>
        <v>0.74676687297376942</v>
      </c>
      <c r="M12" s="569">
        <f t="shared" si="0"/>
        <v>0.71128936170212764</v>
      </c>
      <c r="N12" s="569">
        <f t="shared" si="0"/>
        <v>0.70589513209065302</v>
      </c>
      <c r="O12" s="569">
        <f t="shared" ref="O12:T12" si="1">O11/O10</f>
        <v>0.72299519487453279</v>
      </c>
      <c r="P12" s="569">
        <f t="shared" si="1"/>
        <v>0.75545235223160434</v>
      </c>
      <c r="Q12" s="569">
        <f t="shared" si="1"/>
        <v>0.75127874652514537</v>
      </c>
      <c r="R12" s="569">
        <f t="shared" si="1"/>
        <v>0.72748625870282146</v>
      </c>
      <c r="S12" s="564">
        <f>S11/S10</f>
        <v>0.74230647130647121</v>
      </c>
      <c r="T12" s="564">
        <f t="shared" si="1"/>
        <v>0.73290318686624811</v>
      </c>
      <c r="U12" s="564">
        <f t="shared" ref="U12:W12" si="2">U11/U10</f>
        <v>0.72399655765920823</v>
      </c>
      <c r="V12" s="564">
        <f t="shared" si="2"/>
        <v>0.70189927583936806</v>
      </c>
      <c r="W12" s="564">
        <f t="shared" si="2"/>
        <v>0.6710731319554849</v>
      </c>
      <c r="X12" s="564">
        <f>X11/X10</f>
        <v>0.71058044454681557</v>
      </c>
      <c r="Y12" s="564">
        <f>Y11/Y10</f>
        <v>0.66525967689471976</v>
      </c>
      <c r="Z12" s="588">
        <f t="shared" ref="Z12" si="3">Y12</f>
        <v>0.66525967689471976</v>
      </c>
      <c r="AA12" s="588">
        <f t="shared" ref="AA12" si="4">Z12</f>
        <v>0.66525967689471976</v>
      </c>
      <c r="AB12" s="588">
        <f>AA12</f>
        <v>0.66525967689471976</v>
      </c>
      <c r="AC12" s="588">
        <f t="shared" ref="AC12" si="5">AB12</f>
        <v>0.66525967689471976</v>
      </c>
      <c r="AD12" s="588">
        <f t="shared" ref="AD12" si="6">AC12</f>
        <v>0.66525967689471976</v>
      </c>
      <c r="AE12" s="588">
        <f t="shared" ref="AE12" si="7">AD12</f>
        <v>0.66525967689471976</v>
      </c>
      <c r="AF12" s="588">
        <f t="shared" ref="AF12" si="8">AE12</f>
        <v>0.66525967689471976</v>
      </c>
      <c r="AG12" s="588">
        <f t="shared" ref="AG12" si="9">AF12</f>
        <v>0.66525967689471976</v>
      </c>
    </row>
    <row r="13" spans="2:36" ht="27.6" customHeight="1" x14ac:dyDescent="0.25">
      <c r="O13" s="35"/>
      <c r="P13" s="35"/>
      <c r="Q13" s="35"/>
      <c r="R13" s="35"/>
      <c r="S13" s="35"/>
      <c r="T13" s="35"/>
      <c r="Y13" s="546"/>
      <c r="Z13" s="546"/>
      <c r="AA13" s="546"/>
      <c r="AB13" s="546"/>
      <c r="AC13" s="546"/>
      <c r="AD13" s="546"/>
      <c r="AE13" s="546"/>
      <c r="AF13" s="546"/>
      <c r="AG13" s="546"/>
      <c r="AH13" s="35"/>
    </row>
    <row r="14" spans="2:36" x14ac:dyDescent="0.25">
      <c r="O14" s="35"/>
      <c r="P14" s="230"/>
      <c r="Q14" s="35"/>
      <c r="R14" s="35"/>
      <c r="S14" s="35"/>
      <c r="T14" s="542"/>
      <c r="Y14" s="224"/>
      <c r="Z14" s="224"/>
      <c r="AA14" s="224"/>
      <c r="AB14" s="224"/>
      <c r="AC14" s="224"/>
      <c r="AD14" s="224"/>
      <c r="AE14" s="224"/>
      <c r="AF14" s="224"/>
      <c r="AG14" s="224"/>
      <c r="AH14" s="35"/>
    </row>
    <row r="15" spans="2:36" x14ac:dyDescent="0.25">
      <c r="B15" s="504" t="s">
        <v>352</v>
      </c>
      <c r="G15" t="s">
        <v>2272</v>
      </c>
      <c r="O15" s="35"/>
      <c r="P15" s="230"/>
      <c r="Q15" s="35"/>
      <c r="R15" s="35"/>
      <c r="S15" s="35"/>
      <c r="T15" s="542"/>
      <c r="Y15" s="224"/>
      <c r="Z15" s="224"/>
      <c r="AA15" s="224"/>
      <c r="AB15" s="224"/>
      <c r="AC15" s="224"/>
      <c r="AD15" s="224"/>
      <c r="AE15" s="224"/>
      <c r="AF15" s="224"/>
      <c r="AG15" s="224"/>
      <c r="AH15" s="35"/>
    </row>
    <row r="16" spans="2:36" ht="25.35" customHeight="1" x14ac:dyDescent="0.25">
      <c r="B16" s="556" t="s">
        <v>432</v>
      </c>
      <c r="C16" s="554">
        <v>2020</v>
      </c>
      <c r="D16" s="554">
        <v>2021</v>
      </c>
      <c r="E16" s="554">
        <v>2022</v>
      </c>
      <c r="F16" s="554">
        <v>2023</v>
      </c>
      <c r="G16" s="554">
        <v>2024</v>
      </c>
      <c r="H16" s="554">
        <v>2025</v>
      </c>
      <c r="I16" s="554">
        <v>2026</v>
      </c>
      <c r="J16" s="555">
        <v>2027</v>
      </c>
      <c r="O16" s="35"/>
      <c r="P16" s="230"/>
      <c r="Q16" s="35"/>
      <c r="R16" s="35"/>
      <c r="S16" s="35"/>
      <c r="T16" s="546"/>
      <c r="U16" s="546"/>
      <c r="V16" s="546"/>
      <c r="W16" s="546"/>
      <c r="X16" s="546"/>
      <c r="Y16" s="546"/>
      <c r="Z16" s="546"/>
      <c r="AA16" s="546"/>
      <c r="AB16" s="546"/>
      <c r="AC16" s="546"/>
      <c r="AD16" s="546"/>
      <c r="AE16" s="546"/>
      <c r="AF16" s="546"/>
      <c r="AG16" s="546"/>
      <c r="AH16" s="35"/>
    </row>
    <row r="17" spans="2:34" ht="31.5" customHeight="1" x14ac:dyDescent="0.25">
      <c r="B17" s="584" t="s">
        <v>2269</v>
      </c>
      <c r="C17" s="242">
        <v>458.46800000000002</v>
      </c>
      <c r="D17" s="256">
        <v>520.58799999999997</v>
      </c>
      <c r="E17" s="256">
        <v>591.94899999999996</v>
      </c>
      <c r="F17" s="1451">
        <v>615.77200000000005</v>
      </c>
      <c r="G17" s="1451">
        <v>606.89800000000002</v>
      </c>
      <c r="H17" s="1451">
        <v>600.45899999999995</v>
      </c>
      <c r="I17" s="1451">
        <v>614.44100000000003</v>
      </c>
      <c r="J17" s="1451">
        <v>642.08799999999997</v>
      </c>
      <c r="K17" s="1451">
        <v>679.89200000000005</v>
      </c>
      <c r="L17" s="1451">
        <v>717.14099999999996</v>
      </c>
      <c r="M17" s="1451">
        <v>756.26</v>
      </c>
      <c r="N17" s="1451">
        <v>795.53099999999995</v>
      </c>
      <c r="O17" s="1451">
        <v>837.52499999999998</v>
      </c>
      <c r="P17" s="1451">
        <v>885.98900000000003</v>
      </c>
      <c r="Q17" s="1451">
        <v>932.56399999999996</v>
      </c>
      <c r="R17" s="35"/>
      <c r="S17" s="35"/>
      <c r="T17" s="35"/>
      <c r="U17" s="35"/>
      <c r="V17" s="35"/>
      <c r="W17" s="35"/>
      <c r="X17" s="35"/>
      <c r="Y17" s="35"/>
      <c r="Z17" s="35"/>
      <c r="AA17" s="35"/>
      <c r="AB17" s="35"/>
      <c r="AC17" s="35"/>
      <c r="AD17" s="35"/>
      <c r="AE17" s="35"/>
      <c r="AF17" s="35"/>
      <c r="AG17" s="35"/>
      <c r="AH17" s="35"/>
    </row>
    <row r="18" spans="2:34" x14ac:dyDescent="0.25">
      <c r="B18" s="538" t="s">
        <v>433</v>
      </c>
      <c r="C18" s="546">
        <f>AVERAGE(H12:K12)</f>
        <v>0.71015252021972719</v>
      </c>
      <c r="D18" s="546">
        <f>AVERAGE(L12:O12)</f>
        <v>0.72173664041027075</v>
      </c>
      <c r="E18" s="546">
        <f>AVERAGE(P12:S12)</f>
        <v>0.74413095719151068</v>
      </c>
      <c r="F18" s="546">
        <f>AVERAGE(T12:W12)</f>
        <v>0.70746803808007741</v>
      </c>
      <c r="G18" s="546">
        <f>AVERAGE(X12:AA12)</f>
        <v>0.67658986880774363</v>
      </c>
      <c r="H18" s="546">
        <f>AVERAGE(Y12:AB12)</f>
        <v>0.66525967689471976</v>
      </c>
      <c r="I18" s="546">
        <f>AVERAGE(Z12:AC12)</f>
        <v>0.66525967689471976</v>
      </c>
      <c r="J18" s="568">
        <f>AVERAGE(AA12:AH12)</f>
        <v>0.66525967689471976</v>
      </c>
    </row>
    <row r="19" spans="2:34" x14ac:dyDescent="0.25">
      <c r="B19" s="538" t="s">
        <v>434</v>
      </c>
      <c r="C19" s="224">
        <f>C17/C18</f>
        <v>645.59089342969048</v>
      </c>
      <c r="D19" s="224">
        <f>D17/D18</f>
        <v>721.29911501246772</v>
      </c>
      <c r="E19" s="224">
        <f>E17/E18</f>
        <v>795.49035593697931</v>
      </c>
      <c r="F19" s="224">
        <f>F17/F18</f>
        <v>870.3884371526924</v>
      </c>
      <c r="G19" s="224">
        <f>G17/G18</f>
        <v>896.99539998943305</v>
      </c>
      <c r="H19" s="224">
        <f t="shared" ref="H19:J19" si="10">H17/H18</f>
        <v>902.59340954318077</v>
      </c>
      <c r="I19" s="224">
        <f t="shared" si="10"/>
        <v>923.61076635227664</v>
      </c>
      <c r="J19" s="559">
        <f t="shared" si="10"/>
        <v>965.16897431258735</v>
      </c>
    </row>
    <row r="20" spans="2:34" ht="32.25" customHeight="1" x14ac:dyDescent="0.25">
      <c r="B20" s="516" t="s">
        <v>435</v>
      </c>
      <c r="C20" s="553"/>
      <c r="D20" s="569">
        <f>D19/C19-1</f>
        <v>0.11726965537041356</v>
      </c>
      <c r="E20" s="569">
        <f t="shared" ref="E20" si="11">E19/D19-1</f>
        <v>0.1028578011262764</v>
      </c>
      <c r="F20" s="569">
        <f>F19/E19-1</f>
        <v>9.4153349134564079E-2</v>
      </c>
      <c r="G20" s="569">
        <f>G19/F19-1+0.01</f>
        <v>4.0569067442784761E-2</v>
      </c>
      <c r="H20" s="569">
        <f>H19/G19-1+0.024</f>
        <v>3.0240845330771628E-2</v>
      </c>
      <c r="I20" s="569">
        <f t="shared" ref="I20" si="12">I19/H19-1</f>
        <v>2.3285519910601904E-2</v>
      </c>
      <c r="J20" s="587">
        <f t="shared" ref="J20" si="13">J19/I19-1</f>
        <v>4.4995369775128635E-2</v>
      </c>
      <c r="K20" s="571"/>
      <c r="L20" s="571"/>
      <c r="R20" s="35"/>
      <c r="S20" s="507"/>
      <c r="T20" s="507"/>
      <c r="U20" s="507"/>
    </row>
    <row r="21" spans="2:34" ht="32.25" customHeight="1" x14ac:dyDescent="0.25">
      <c r="B21" s="273"/>
      <c r="C21" s="224"/>
      <c r="D21" s="546"/>
      <c r="E21" s="546"/>
      <c r="F21" s="546"/>
      <c r="G21" s="546"/>
      <c r="H21" s="546"/>
      <c r="I21" s="546"/>
      <c r="J21" s="546"/>
      <c r="K21" s="571"/>
      <c r="L21" s="571"/>
      <c r="R21" s="35"/>
      <c r="S21" s="507"/>
      <c r="T21" s="507"/>
      <c r="U21" s="507"/>
    </row>
    <row r="23" spans="2:34" x14ac:dyDescent="0.25">
      <c r="B23" s="504" t="s">
        <v>365</v>
      </c>
    </row>
    <row r="24" spans="2:34" x14ac:dyDescent="0.25">
      <c r="B24" s="1293" t="s">
        <v>436</v>
      </c>
      <c r="C24" s="1354"/>
      <c r="D24" s="1297" t="s">
        <v>280</v>
      </c>
      <c r="E24" s="1310"/>
      <c r="F24" s="1310"/>
      <c r="G24" s="1310"/>
      <c r="H24" s="1310"/>
      <c r="I24" s="1310"/>
      <c r="J24" s="1310"/>
      <c r="K24" s="1310"/>
      <c r="L24" s="1310"/>
      <c r="M24" s="1310"/>
      <c r="N24" s="1310"/>
      <c r="O24" s="1310"/>
      <c r="P24" s="1310"/>
      <c r="Q24" s="1310"/>
      <c r="R24" s="1310"/>
      <c r="S24" s="1310"/>
      <c r="T24" s="1310"/>
      <c r="U24" s="1310"/>
      <c r="V24" s="1298"/>
      <c r="W24" s="1328" t="s">
        <v>281</v>
      </c>
      <c r="X24" s="1329"/>
      <c r="Y24" s="1329"/>
      <c r="Z24" s="1329"/>
      <c r="AA24" s="1329"/>
      <c r="AB24" s="1329"/>
      <c r="AC24" s="1329"/>
      <c r="AD24" s="1329"/>
      <c r="AE24" s="1329"/>
      <c r="AF24" s="1329"/>
      <c r="AG24" s="1329"/>
    </row>
    <row r="25" spans="2:34" x14ac:dyDescent="0.25">
      <c r="B25" s="1295"/>
      <c r="C25" s="1311"/>
      <c r="D25" s="209">
        <v>2018</v>
      </c>
      <c r="E25" s="1302">
        <v>2019</v>
      </c>
      <c r="F25" s="1303"/>
      <c r="G25" s="1303"/>
      <c r="H25" s="1304"/>
      <c r="I25" s="1302">
        <v>2020</v>
      </c>
      <c r="J25" s="1303"/>
      <c r="K25" s="1303"/>
      <c r="L25" s="1303"/>
      <c r="M25" s="1302">
        <v>2021</v>
      </c>
      <c r="N25" s="1303"/>
      <c r="O25" s="1303"/>
      <c r="P25" s="1303"/>
      <c r="Q25" s="1302">
        <v>2022</v>
      </c>
      <c r="R25" s="1325"/>
      <c r="S25" s="1325"/>
      <c r="T25" s="1304"/>
      <c r="U25" s="229"/>
      <c r="V25" s="547">
        <v>2023</v>
      </c>
      <c r="W25" s="543"/>
      <c r="X25" s="250"/>
      <c r="Y25" s="1299">
        <v>2024</v>
      </c>
      <c r="Z25" s="1312"/>
      <c r="AA25" s="1312"/>
      <c r="AB25" s="1301"/>
      <c r="AC25" s="1299">
        <v>2025</v>
      </c>
      <c r="AD25" s="1312"/>
      <c r="AE25" s="1312"/>
      <c r="AF25" s="1301"/>
      <c r="AG25" s="493">
        <v>2026</v>
      </c>
    </row>
    <row r="26" spans="2:34" x14ac:dyDescent="0.25">
      <c r="B26" s="1297"/>
      <c r="C26" s="1310"/>
      <c r="D26" s="204" t="s">
        <v>282</v>
      </c>
      <c r="E26" s="204" t="s">
        <v>283</v>
      </c>
      <c r="F26" s="205" t="s">
        <v>284</v>
      </c>
      <c r="G26" s="205" t="s">
        <v>238</v>
      </c>
      <c r="H26" s="206" t="s">
        <v>282</v>
      </c>
      <c r="I26" s="205" t="s">
        <v>283</v>
      </c>
      <c r="J26" s="205" t="s">
        <v>284</v>
      </c>
      <c r="K26" s="205" t="s">
        <v>238</v>
      </c>
      <c r="L26" s="205" t="s">
        <v>282</v>
      </c>
      <c r="M26" s="204" t="s">
        <v>283</v>
      </c>
      <c r="N26" s="205" t="s">
        <v>284</v>
      </c>
      <c r="O26" s="205" t="s">
        <v>238</v>
      </c>
      <c r="P26" s="205" t="s">
        <v>282</v>
      </c>
      <c r="Q26" s="204" t="s">
        <v>283</v>
      </c>
      <c r="R26" s="205" t="s">
        <v>284</v>
      </c>
      <c r="S26" s="205" t="s">
        <v>238</v>
      </c>
      <c r="T26" s="206" t="s">
        <v>282</v>
      </c>
      <c r="U26" s="275" t="s">
        <v>283</v>
      </c>
      <c r="V26" s="548" t="s">
        <v>284</v>
      </c>
      <c r="W26" s="260" t="s">
        <v>238</v>
      </c>
      <c r="X26" s="260" t="s">
        <v>282</v>
      </c>
      <c r="Y26" s="259" t="s">
        <v>283</v>
      </c>
      <c r="Z26" s="257" t="s">
        <v>284</v>
      </c>
      <c r="AA26" s="260" t="s">
        <v>238</v>
      </c>
      <c r="AB26" s="260" t="s">
        <v>282</v>
      </c>
      <c r="AC26" s="259" t="s">
        <v>283</v>
      </c>
      <c r="AD26" s="257" t="s">
        <v>284</v>
      </c>
      <c r="AE26" s="260" t="s">
        <v>238</v>
      </c>
      <c r="AF26" s="260" t="s">
        <v>282</v>
      </c>
      <c r="AG26" s="259" t="s">
        <v>283</v>
      </c>
    </row>
    <row r="27" spans="2:34" ht="19.5" customHeight="1" x14ac:dyDescent="0.25">
      <c r="B27" s="579" t="s">
        <v>437</v>
      </c>
      <c r="C27" s="580"/>
      <c r="D27" s="565">
        <f t="shared" ref="D27:X27" si="14">D10</f>
        <v>589.5</v>
      </c>
      <c r="E27" s="566">
        <f t="shared" si="14"/>
        <v>598.70000000000005</v>
      </c>
      <c r="F27" s="566">
        <f t="shared" si="14"/>
        <v>614.4</v>
      </c>
      <c r="G27" s="566">
        <f t="shared" si="14"/>
        <v>622.4</v>
      </c>
      <c r="H27" s="566">
        <f t="shared" si="14"/>
        <v>620.6</v>
      </c>
      <c r="I27" s="566">
        <f t="shared" si="14"/>
        <v>606.4</v>
      </c>
      <c r="J27" s="566">
        <f t="shared" si="14"/>
        <v>654.6</v>
      </c>
      <c r="K27" s="566">
        <f t="shared" si="14"/>
        <v>690.8</v>
      </c>
      <c r="L27" s="566">
        <f t="shared" si="14"/>
        <v>678.6</v>
      </c>
      <c r="M27" s="566">
        <f t="shared" si="14"/>
        <v>705</v>
      </c>
      <c r="N27" s="566">
        <f t="shared" si="14"/>
        <v>745.7</v>
      </c>
      <c r="O27" s="566">
        <f t="shared" si="14"/>
        <v>749.2</v>
      </c>
      <c r="P27" s="566">
        <f t="shared" si="14"/>
        <v>746.1</v>
      </c>
      <c r="Q27" s="566">
        <f t="shared" si="14"/>
        <v>791.4</v>
      </c>
      <c r="R27" s="566">
        <f t="shared" si="14"/>
        <v>818.7</v>
      </c>
      <c r="S27" s="567">
        <f t="shared" si="14"/>
        <v>819</v>
      </c>
      <c r="T27" s="551">
        <f t="shared" si="14"/>
        <v>828.4</v>
      </c>
      <c r="U27" s="567">
        <f t="shared" si="14"/>
        <v>871.5</v>
      </c>
      <c r="V27" s="567">
        <f t="shared" si="14"/>
        <v>911.4</v>
      </c>
      <c r="W27" s="567">
        <f t="shared" si="14"/>
        <v>880.6</v>
      </c>
      <c r="X27" s="567">
        <f t="shared" si="14"/>
        <v>868.3</v>
      </c>
      <c r="Y27" s="567">
        <f>Y10</f>
        <v>922.3</v>
      </c>
      <c r="Z27" s="578">
        <f>Y27*(1+$G$20)^0.25+Z28</f>
        <v>980.51517997305109</v>
      </c>
      <c r="AA27" s="578">
        <f>Z27*(1+$G$20)^0.25+AA28</f>
        <v>1002.3120181490897</v>
      </c>
      <c r="AB27" s="557">
        <f>AA27*(1+$H$20)^0.25+AB28</f>
        <v>1009.8052605024984</v>
      </c>
      <c r="AC27" s="578">
        <f t="shared" ref="AC27:AE27" si="15">AB27*(1+$H$20)^0.25+AC28</f>
        <v>1017.354522019551</v>
      </c>
      <c r="AD27" s="578">
        <f t="shared" si="15"/>
        <v>1024.960221497151</v>
      </c>
      <c r="AE27" s="578">
        <f t="shared" si="15"/>
        <v>1032.6227808631102</v>
      </c>
      <c r="AF27" s="540">
        <f>AE27*(1+$I$20)^0.25+AF28</f>
        <v>1038.5822812212114</v>
      </c>
      <c r="AG27" s="549">
        <f>AF27*(1+$I$20)^0.25+AG28</f>
        <v>1044.5761752080184</v>
      </c>
      <c r="AH27" s="558" t="s">
        <v>1836</v>
      </c>
    </row>
    <row r="28" spans="2:34" ht="19.5" customHeight="1" x14ac:dyDescent="0.25">
      <c r="B28" s="570" t="s">
        <v>1704</v>
      </c>
      <c r="C28" s="253"/>
      <c r="D28" s="581"/>
      <c r="E28" s="539"/>
      <c r="F28" s="539"/>
      <c r="G28" s="539"/>
      <c r="H28" s="539"/>
      <c r="I28" s="539"/>
      <c r="J28" s="539"/>
      <c r="K28" s="539"/>
      <c r="L28" s="539"/>
      <c r="M28" s="539"/>
      <c r="N28" s="539"/>
      <c r="O28" s="539"/>
      <c r="P28" s="539"/>
      <c r="Q28" s="539"/>
      <c r="R28" s="539"/>
      <c r="S28" s="539"/>
      <c r="T28" s="539"/>
      <c r="U28" s="539"/>
      <c r="V28" s="539"/>
      <c r="W28" s="539"/>
      <c r="X28" s="539">
        <v>-11</v>
      </c>
      <c r="Y28" s="544">
        <v>49</v>
      </c>
      <c r="Z28" s="544">
        <v>49</v>
      </c>
      <c r="AA28" s="544">
        <v>12</v>
      </c>
      <c r="AB28" s="544"/>
      <c r="AC28" s="544"/>
      <c r="AD28" s="544"/>
      <c r="AE28" s="544"/>
      <c r="AF28" s="544"/>
      <c r="AG28" s="544"/>
    </row>
    <row r="29" spans="2:34" ht="19.350000000000001" customHeight="1" x14ac:dyDescent="0.25">
      <c r="B29" s="570" t="s">
        <v>207</v>
      </c>
      <c r="C29" s="253"/>
      <c r="D29" s="581">
        <f t="shared" ref="D29:Q29" si="16">D10*D12</f>
        <v>391.92099999999999</v>
      </c>
      <c r="E29" s="539">
        <f t="shared" si="16"/>
        <v>406.23</v>
      </c>
      <c r="F29" s="539">
        <f t="shared" si="16"/>
        <v>414.87200000000001</v>
      </c>
      <c r="G29" s="539">
        <f t="shared" si="16"/>
        <v>418.36200000000002</v>
      </c>
      <c r="H29" s="539">
        <f t="shared" si="16"/>
        <v>414.971</v>
      </c>
      <c r="I29" s="539">
        <f t="shared" si="16"/>
        <v>424.089</v>
      </c>
      <c r="J29" s="539">
        <f t="shared" si="16"/>
        <v>505.45</v>
      </c>
      <c r="K29" s="539">
        <f t="shared" si="16"/>
        <v>483.86600000000004</v>
      </c>
      <c r="L29" s="539">
        <f t="shared" si="16"/>
        <v>506.75599999999997</v>
      </c>
      <c r="M29" s="539">
        <f t="shared" si="16"/>
        <v>501.459</v>
      </c>
      <c r="N29" s="539">
        <f t="shared" si="16"/>
        <v>526.38599999999997</v>
      </c>
      <c r="O29" s="539">
        <f t="shared" si="16"/>
        <v>541.66800000000001</v>
      </c>
      <c r="P29" s="539">
        <f t="shared" si="16"/>
        <v>563.64300000000003</v>
      </c>
      <c r="Q29" s="539">
        <f t="shared" si="16"/>
        <v>594.56200000000001</v>
      </c>
      <c r="R29" s="539">
        <f t="shared" ref="R29:AG29" si="17">R27*R12</f>
        <v>595.59299999999996</v>
      </c>
      <c r="S29" s="539">
        <f t="shared" si="17"/>
        <v>607.94899999999996</v>
      </c>
      <c r="T29" s="539">
        <f t="shared" si="17"/>
        <v>607.13699999999994</v>
      </c>
      <c r="U29" s="539">
        <f t="shared" si="17"/>
        <v>630.96299999999997</v>
      </c>
      <c r="V29" s="539">
        <f t="shared" si="17"/>
        <v>639.71100000000001</v>
      </c>
      <c r="W29" s="539">
        <f t="shared" si="17"/>
        <v>590.947</v>
      </c>
      <c r="X29" s="539">
        <f t="shared" si="17"/>
        <v>616.99699999999996</v>
      </c>
      <c r="Y29" s="544">
        <f>Y27*Y12</f>
        <v>613.56899999999996</v>
      </c>
      <c r="Z29" s="544">
        <f t="shared" si="17"/>
        <v>652.29721181923992</v>
      </c>
      <c r="AA29" s="544">
        <f t="shared" si="17"/>
        <v>666.79776934155791</v>
      </c>
      <c r="AB29" s="544">
        <f t="shared" si="17"/>
        <v>671.78272132848042</v>
      </c>
      <c r="AC29" s="544">
        <f t="shared" si="17"/>
        <v>676.80494060610863</v>
      </c>
      <c r="AD29" s="544">
        <f t="shared" si="17"/>
        <v>681.86470578313504</v>
      </c>
      <c r="AE29" s="544">
        <f t="shared" si="17"/>
        <v>686.96229755111972</v>
      </c>
      <c r="AF29" s="544">
        <f t="shared" si="17"/>
        <v>690.92691283380407</v>
      </c>
      <c r="AG29" s="544">
        <f t="shared" si="17"/>
        <v>694.91440881080848</v>
      </c>
    </row>
    <row r="30" spans="2:34" ht="19.350000000000001" customHeight="1" x14ac:dyDescent="0.25">
      <c r="B30" s="347" t="s">
        <v>438</v>
      </c>
      <c r="C30" s="348"/>
      <c r="D30" s="583">
        <f t="shared" ref="D30:G30" si="18">D27-D29</f>
        <v>197.57900000000001</v>
      </c>
      <c r="E30" s="541">
        <f t="shared" si="18"/>
        <v>192.47000000000003</v>
      </c>
      <c r="F30" s="541">
        <f t="shared" si="18"/>
        <v>199.52799999999996</v>
      </c>
      <c r="G30" s="541">
        <f t="shared" si="18"/>
        <v>204.03799999999995</v>
      </c>
      <c r="H30" s="541">
        <f t="shared" ref="H30:AC30" si="19">H27-H29</f>
        <v>205.62900000000002</v>
      </c>
      <c r="I30" s="541">
        <f t="shared" si="19"/>
        <v>182.31099999999998</v>
      </c>
      <c r="J30" s="541">
        <f t="shared" si="19"/>
        <v>149.15000000000003</v>
      </c>
      <c r="K30" s="541">
        <f t="shared" si="19"/>
        <v>206.93399999999991</v>
      </c>
      <c r="L30" s="541">
        <f t="shared" si="19"/>
        <v>171.84400000000005</v>
      </c>
      <c r="M30" s="541">
        <f t="shared" si="19"/>
        <v>203.541</v>
      </c>
      <c r="N30" s="541">
        <f t="shared" si="19"/>
        <v>219.31400000000008</v>
      </c>
      <c r="O30" s="541">
        <f>O27-O29</f>
        <v>207.53200000000004</v>
      </c>
      <c r="P30" s="541">
        <f>P27-P29</f>
        <v>182.45699999999999</v>
      </c>
      <c r="Q30" s="541">
        <f t="shared" si="19"/>
        <v>196.83799999999997</v>
      </c>
      <c r="R30" s="541">
        <f t="shared" si="19"/>
        <v>223.10700000000008</v>
      </c>
      <c r="S30" s="541">
        <f t="shared" si="19"/>
        <v>211.05100000000004</v>
      </c>
      <c r="T30" s="541">
        <f t="shared" si="19"/>
        <v>221.26300000000003</v>
      </c>
      <c r="U30" s="541">
        <f t="shared" si="19"/>
        <v>240.53700000000003</v>
      </c>
      <c r="V30" s="541">
        <f t="shared" si="19"/>
        <v>271.68899999999996</v>
      </c>
      <c r="W30" s="541">
        <f t="shared" si="19"/>
        <v>289.65300000000002</v>
      </c>
      <c r="X30" s="541">
        <f t="shared" si="19"/>
        <v>251.303</v>
      </c>
      <c r="Y30" s="577">
        <f t="shared" si="19"/>
        <v>308.73099999999999</v>
      </c>
      <c r="Z30" s="577">
        <f t="shared" si="19"/>
        <v>328.21796815381117</v>
      </c>
      <c r="AA30" s="577">
        <f t="shared" si="19"/>
        <v>335.51424880753177</v>
      </c>
      <c r="AB30" s="577">
        <f t="shared" si="19"/>
        <v>338.02253917401799</v>
      </c>
      <c r="AC30" s="577">
        <f t="shared" si="19"/>
        <v>340.54958141344241</v>
      </c>
      <c r="AD30" s="577">
        <f t="shared" ref="AD30:AG30" si="20">AD27-AD29</f>
        <v>343.09551571401596</v>
      </c>
      <c r="AE30" s="577">
        <f t="shared" si="20"/>
        <v>345.66048331199045</v>
      </c>
      <c r="AF30" s="577">
        <f t="shared" si="20"/>
        <v>347.65536838740729</v>
      </c>
      <c r="AG30" s="577">
        <f t="shared" si="20"/>
        <v>349.66176639720993</v>
      </c>
    </row>
    <row r="31" spans="2:34" ht="19.350000000000001" customHeight="1" x14ac:dyDescent="0.25">
      <c r="B31" s="230"/>
      <c r="C31" s="230"/>
      <c r="D31" s="542"/>
      <c r="E31" s="542"/>
      <c r="F31" s="542"/>
      <c r="G31" s="542"/>
      <c r="H31" s="542"/>
      <c r="I31" s="542"/>
      <c r="J31" s="542"/>
      <c r="K31" s="542"/>
      <c r="L31" s="542"/>
      <c r="M31" s="542"/>
      <c r="N31" s="542"/>
      <c r="O31" s="542"/>
      <c r="P31" s="542"/>
      <c r="Q31" s="542"/>
      <c r="R31" s="542"/>
      <c r="S31" s="542"/>
      <c r="T31" s="542"/>
      <c r="Y31" s="542"/>
      <c r="Z31" s="542"/>
      <c r="AA31" s="542"/>
      <c r="AB31" s="542"/>
      <c r="AC31" s="542"/>
      <c r="AD31" s="542"/>
      <c r="AE31" s="542"/>
      <c r="AF31" s="542"/>
      <c r="AG31" s="542"/>
    </row>
    <row r="32" spans="2:34" ht="19.350000000000001" customHeight="1" x14ac:dyDescent="0.25">
      <c r="B32" s="230"/>
      <c r="C32" s="230"/>
      <c r="D32" s="542"/>
      <c r="E32" s="542"/>
      <c r="F32" s="542"/>
      <c r="G32" s="542"/>
      <c r="H32" s="542"/>
      <c r="I32" s="542"/>
      <c r="J32" s="542"/>
      <c r="K32" s="542"/>
      <c r="L32" s="542"/>
      <c r="M32" s="542"/>
      <c r="N32" s="542"/>
      <c r="O32" s="542"/>
      <c r="AG32" s="542"/>
    </row>
    <row r="33" spans="2:33" ht="19.350000000000001" customHeight="1" x14ac:dyDescent="0.25">
      <c r="B33" s="230"/>
      <c r="C33" s="230"/>
      <c r="D33" s="542"/>
      <c r="E33" s="542"/>
      <c r="F33" s="542"/>
      <c r="G33" s="542"/>
      <c r="H33" s="542"/>
      <c r="I33" s="542"/>
      <c r="J33" s="542"/>
      <c r="K33" s="542"/>
      <c r="L33" s="542"/>
      <c r="M33" s="542"/>
      <c r="N33" s="542"/>
      <c r="O33" s="542"/>
      <c r="AG33" s="542"/>
    </row>
    <row r="34" spans="2:33" ht="19.350000000000001" customHeight="1" x14ac:dyDescent="0.25">
      <c r="B34" s="230"/>
      <c r="C34" s="230"/>
      <c r="D34" s="542"/>
      <c r="E34" s="542"/>
      <c r="F34" s="542"/>
      <c r="G34" s="542"/>
      <c r="H34" s="542"/>
      <c r="I34" s="542"/>
      <c r="J34" s="542"/>
      <c r="K34" s="542"/>
      <c r="L34" s="542"/>
      <c r="M34" s="542"/>
      <c r="N34" s="542"/>
      <c r="O34" s="542"/>
      <c r="P34" s="542"/>
      <c r="Q34" s="542"/>
      <c r="R34" s="542"/>
      <c r="S34" s="542"/>
      <c r="T34" s="542"/>
      <c r="Y34" s="542"/>
      <c r="Z34" s="542"/>
      <c r="AA34" s="542"/>
      <c r="AB34" s="542"/>
      <c r="AC34" s="542"/>
      <c r="AD34" s="542"/>
      <c r="AE34" s="542"/>
      <c r="AF34" s="542"/>
      <c r="AG34" s="542"/>
    </row>
    <row r="35" spans="2:33" ht="14.85" customHeight="1" x14ac:dyDescent="0.25">
      <c r="B35" s="572" t="s">
        <v>439</v>
      </c>
      <c r="C35" s="573"/>
      <c r="D35" s="573"/>
      <c r="E35" s="574"/>
      <c r="F35" s="575">
        <v>2021</v>
      </c>
      <c r="G35" s="575">
        <v>2022</v>
      </c>
      <c r="H35" s="575">
        <v>2023</v>
      </c>
      <c r="I35" s="575">
        <v>2024</v>
      </c>
      <c r="J35" s="575">
        <v>2025</v>
      </c>
      <c r="K35" s="575">
        <v>2025</v>
      </c>
      <c r="L35" s="575">
        <v>2027</v>
      </c>
      <c r="M35" s="575">
        <v>2028</v>
      </c>
      <c r="N35" s="575">
        <v>2029</v>
      </c>
      <c r="O35" s="575">
        <v>2030</v>
      </c>
      <c r="P35" s="576">
        <v>2031</v>
      </c>
    </row>
    <row r="36" spans="2:33" ht="15" customHeight="1" x14ac:dyDescent="0.25">
      <c r="B36" s="1379" t="s">
        <v>440</v>
      </c>
      <c r="C36" s="1380"/>
      <c r="D36" s="1380"/>
      <c r="E36" s="1381"/>
      <c r="F36" s="224">
        <v>287</v>
      </c>
      <c r="G36" s="224">
        <v>534</v>
      </c>
      <c r="H36" s="224">
        <v>247</v>
      </c>
      <c r="I36" s="224">
        <v>63</v>
      </c>
      <c r="J36" s="224"/>
      <c r="K36" s="224"/>
      <c r="L36" s="224"/>
      <c r="M36" s="224"/>
      <c r="N36" s="224"/>
      <c r="O36" s="224"/>
      <c r="P36" s="559"/>
    </row>
    <row r="37" spans="2:33" ht="15" customHeight="1" x14ac:dyDescent="0.25">
      <c r="B37" s="1370" t="s">
        <v>441</v>
      </c>
      <c r="C37" s="1371"/>
      <c r="D37" s="1371"/>
      <c r="E37" s="1372"/>
      <c r="F37" s="224">
        <v>0</v>
      </c>
      <c r="G37" s="224">
        <v>0</v>
      </c>
      <c r="H37" s="224">
        <v>756</v>
      </c>
      <c r="I37" s="224">
        <v>1249</v>
      </c>
      <c r="J37" s="224">
        <v>1417</v>
      </c>
      <c r="K37" s="224">
        <v>1522</v>
      </c>
      <c r="L37" s="224">
        <v>1107</v>
      </c>
      <c r="M37" s="224"/>
      <c r="N37" s="224"/>
      <c r="O37" s="224"/>
      <c r="P37" s="559"/>
    </row>
    <row r="38" spans="2:33" x14ac:dyDescent="0.25">
      <c r="B38" s="1370" t="s">
        <v>442</v>
      </c>
      <c r="C38" s="1371"/>
      <c r="D38" s="1371"/>
      <c r="E38" s="1372"/>
      <c r="F38" s="224">
        <v>0</v>
      </c>
      <c r="G38" s="224">
        <v>5</v>
      </c>
      <c r="H38" s="224">
        <v>77</v>
      </c>
      <c r="I38" s="224">
        <v>307</v>
      </c>
      <c r="J38" s="224">
        <v>332</v>
      </c>
      <c r="K38" s="224">
        <v>270</v>
      </c>
      <c r="L38" s="224">
        <v>25</v>
      </c>
      <c r="M38" s="224">
        <v>32</v>
      </c>
      <c r="N38" s="224">
        <v>40</v>
      </c>
      <c r="O38" s="224">
        <v>49</v>
      </c>
      <c r="P38" s="559">
        <v>58</v>
      </c>
    </row>
    <row r="39" spans="2:33" ht="32.85" customHeight="1" x14ac:dyDescent="0.25">
      <c r="B39" s="1376" t="s">
        <v>443</v>
      </c>
      <c r="C39" s="1377"/>
      <c r="D39" s="1377"/>
      <c r="E39" s="1378"/>
      <c r="F39" s="224">
        <v>0</v>
      </c>
      <c r="G39" s="224">
        <v>0</v>
      </c>
      <c r="H39" s="224">
        <v>3768</v>
      </c>
      <c r="I39" s="224">
        <v>3428</v>
      </c>
      <c r="J39" s="224">
        <v>2176</v>
      </c>
      <c r="K39" s="224">
        <v>2304</v>
      </c>
      <c r="L39" s="224">
        <v>2129</v>
      </c>
      <c r="M39" s="224">
        <v>1335</v>
      </c>
      <c r="N39" s="224">
        <v>478</v>
      </c>
      <c r="O39" s="224">
        <v>531</v>
      </c>
      <c r="P39" s="559">
        <v>212</v>
      </c>
    </row>
    <row r="40" spans="2:33" ht="32.85" customHeight="1" x14ac:dyDescent="0.25">
      <c r="B40" s="1376" t="s">
        <v>444</v>
      </c>
      <c r="C40" s="1377"/>
      <c r="D40" s="1377"/>
      <c r="E40" s="1378"/>
      <c r="F40" s="224">
        <v>38</v>
      </c>
      <c r="G40" s="224">
        <v>81</v>
      </c>
      <c r="H40" s="224">
        <v>43</v>
      </c>
      <c r="I40" s="224"/>
      <c r="J40" s="224"/>
      <c r="K40" s="224"/>
      <c r="L40" s="224"/>
      <c r="M40" s="224"/>
      <c r="N40" s="224"/>
      <c r="O40" s="224"/>
      <c r="P40" s="559"/>
    </row>
    <row r="41" spans="2:33" x14ac:dyDescent="0.25">
      <c r="B41" s="1370" t="s">
        <v>445</v>
      </c>
      <c r="C41" s="1371"/>
      <c r="D41" s="1371"/>
      <c r="E41" s="1372"/>
      <c r="F41" s="224"/>
      <c r="G41" s="224"/>
      <c r="H41" s="224"/>
      <c r="I41" s="224">
        <v>-184</v>
      </c>
      <c r="J41" s="224">
        <v>-1830</v>
      </c>
      <c r="K41" s="224">
        <v>-2406</v>
      </c>
      <c r="L41" s="224">
        <v>-2419</v>
      </c>
      <c r="M41" s="224">
        <v>-2467</v>
      </c>
      <c r="N41" s="224">
        <v>-2531</v>
      </c>
      <c r="O41" s="224">
        <v>-2667</v>
      </c>
      <c r="P41" s="559">
        <v>-2809</v>
      </c>
    </row>
    <row r="42" spans="2:33" ht="15.75" customHeight="1" x14ac:dyDescent="0.25">
      <c r="B42" s="1367" t="s">
        <v>446</v>
      </c>
      <c r="C42" s="1368"/>
      <c r="D42" s="1368"/>
      <c r="E42" s="1369"/>
      <c r="F42" s="224">
        <v>6524</v>
      </c>
      <c r="G42" s="224">
        <v>6143</v>
      </c>
      <c r="H42" s="224"/>
      <c r="I42" s="224"/>
      <c r="J42" s="224"/>
      <c r="K42" s="224"/>
      <c r="L42" s="224"/>
      <c r="M42" s="224"/>
      <c r="N42" s="224"/>
      <c r="O42" s="224"/>
      <c r="P42" s="559"/>
    </row>
    <row r="43" spans="2:33" x14ac:dyDescent="0.25">
      <c r="B43" s="1370" t="s">
        <v>447</v>
      </c>
      <c r="C43" s="1371"/>
      <c r="D43" s="1371"/>
      <c r="E43" s="1372"/>
      <c r="F43" s="224">
        <v>50</v>
      </c>
      <c r="G43" s="224">
        <v>175</v>
      </c>
      <c r="H43" s="224">
        <v>25</v>
      </c>
      <c r="I43" s="224"/>
      <c r="J43" s="224"/>
      <c r="K43" s="224"/>
      <c r="L43" s="224"/>
      <c r="M43" s="224"/>
      <c r="N43" s="224"/>
      <c r="O43" s="224"/>
      <c r="P43" s="559"/>
    </row>
    <row r="44" spans="2:33" x14ac:dyDescent="0.25">
      <c r="B44" s="1370" t="s">
        <v>448</v>
      </c>
      <c r="C44" s="1371"/>
      <c r="D44" s="1371"/>
      <c r="E44" s="1372"/>
      <c r="F44" s="224">
        <v>829</v>
      </c>
      <c r="G44" s="224">
        <v>844</v>
      </c>
      <c r="H44" s="224"/>
      <c r="I44" s="224"/>
      <c r="J44" s="224"/>
      <c r="K44" s="224"/>
      <c r="L44" s="224"/>
      <c r="M44" s="224"/>
      <c r="N44" s="224"/>
      <c r="O44" s="224"/>
      <c r="P44" s="559"/>
    </row>
    <row r="45" spans="2:33" x14ac:dyDescent="0.25">
      <c r="B45" s="1373" t="s">
        <v>449</v>
      </c>
      <c r="C45" s="1374"/>
      <c r="D45" s="1374"/>
      <c r="E45" s="1375"/>
      <c r="F45" s="224">
        <f t="shared" ref="F45:P45" si="21">SUM(F36:F44)</f>
        <v>7728</v>
      </c>
      <c r="G45" s="224">
        <f t="shared" si="21"/>
        <v>7782</v>
      </c>
      <c r="H45" s="224">
        <f t="shared" si="21"/>
        <v>4916</v>
      </c>
      <c r="I45" s="224">
        <f t="shared" si="21"/>
        <v>4863</v>
      </c>
      <c r="J45" s="224">
        <f t="shared" si="21"/>
        <v>2095</v>
      </c>
      <c r="K45" s="224">
        <f t="shared" si="21"/>
        <v>1690</v>
      </c>
      <c r="L45" s="224">
        <f t="shared" si="21"/>
        <v>842</v>
      </c>
      <c r="M45" s="224">
        <f t="shared" si="21"/>
        <v>-1100</v>
      </c>
      <c r="N45" s="224">
        <f t="shared" si="21"/>
        <v>-2013</v>
      </c>
      <c r="O45" s="224">
        <f t="shared" si="21"/>
        <v>-2087</v>
      </c>
      <c r="P45" s="559">
        <f t="shared" si="21"/>
        <v>-2539</v>
      </c>
    </row>
    <row r="46" spans="2:33" x14ac:dyDescent="0.25">
      <c r="B46" s="1367" t="s">
        <v>450</v>
      </c>
      <c r="C46" s="1368"/>
      <c r="D46" s="1368"/>
      <c r="E46" s="1369"/>
      <c r="F46" s="224">
        <f t="shared" ref="F46:P46" si="22">F42+F40+F39</f>
        <v>6562</v>
      </c>
      <c r="G46" s="224">
        <f t="shared" si="22"/>
        <v>6224</v>
      </c>
      <c r="H46" s="224">
        <f t="shared" si="22"/>
        <v>3811</v>
      </c>
      <c r="I46" s="224">
        <f t="shared" si="22"/>
        <v>3428</v>
      </c>
      <c r="J46" s="224">
        <f t="shared" si="22"/>
        <v>2176</v>
      </c>
      <c r="K46" s="224">
        <f t="shared" si="22"/>
        <v>2304</v>
      </c>
      <c r="L46" s="224">
        <f t="shared" si="22"/>
        <v>2129</v>
      </c>
      <c r="M46" s="224">
        <f t="shared" si="22"/>
        <v>1335</v>
      </c>
      <c r="N46" s="224">
        <f t="shared" si="22"/>
        <v>478</v>
      </c>
      <c r="O46" s="224">
        <f t="shared" si="22"/>
        <v>531</v>
      </c>
      <c r="P46" s="559">
        <f t="shared" si="22"/>
        <v>212</v>
      </c>
      <c r="Q46" s="230" t="s">
        <v>451</v>
      </c>
    </row>
    <row r="47" spans="2:33" x14ac:dyDescent="0.25">
      <c r="B47" s="1370" t="s">
        <v>452</v>
      </c>
      <c r="C47" s="1371"/>
      <c r="D47" s="1371"/>
      <c r="E47" s="1372"/>
      <c r="F47" s="224">
        <f>(F46/1000)/M27</f>
        <v>9.3078014184397161E-3</v>
      </c>
      <c r="G47" s="224">
        <f>(G46/F46)*F47</f>
        <v>8.8283687943262416E-3</v>
      </c>
      <c r="H47" s="224">
        <f>(H46/G46)*G47+H48</f>
        <v>5.4056737588652481E-3</v>
      </c>
      <c r="I47" s="224">
        <f>(I46/H46)*H47+I48</f>
        <v>4.8624113475177304E-3</v>
      </c>
      <c r="J47" s="224">
        <f>J48</f>
        <v>0</v>
      </c>
      <c r="K47" s="224">
        <f t="shared" ref="K47:L47" si="23">K48</f>
        <v>0</v>
      </c>
      <c r="L47" s="224">
        <f t="shared" si="23"/>
        <v>0</v>
      </c>
      <c r="M47" s="224"/>
      <c r="N47" s="224"/>
      <c r="O47" s="224"/>
      <c r="P47" s="559"/>
      <c r="Q47" s="230" t="s">
        <v>453</v>
      </c>
    </row>
    <row r="48" spans="2:33" ht="29.25" customHeight="1" x14ac:dyDescent="0.25">
      <c r="B48" s="535" t="s">
        <v>894</v>
      </c>
      <c r="C48" s="536"/>
      <c r="D48" s="536"/>
      <c r="E48" s="537"/>
      <c r="F48" s="224"/>
      <c r="G48" s="224"/>
      <c r="H48" s="224"/>
      <c r="I48" s="224"/>
      <c r="J48" s="224"/>
      <c r="K48" s="224"/>
      <c r="L48" s="224"/>
      <c r="M48" s="224"/>
      <c r="N48" s="224"/>
      <c r="O48" s="224"/>
      <c r="P48" s="559"/>
      <c r="Q48" s="230"/>
    </row>
    <row r="49" spans="2:16" x14ac:dyDescent="0.25">
      <c r="B49" s="1364"/>
      <c r="C49" s="1365"/>
      <c r="D49" s="1365"/>
      <c r="E49" s="1366"/>
      <c r="F49" s="553"/>
      <c r="G49" s="553"/>
      <c r="H49" s="553"/>
      <c r="I49" s="553"/>
      <c r="J49" s="553"/>
      <c r="K49" s="553"/>
      <c r="L49" s="553"/>
      <c r="M49" s="553"/>
      <c r="N49" s="553"/>
      <c r="O49" s="553"/>
      <c r="P49" s="560"/>
    </row>
  </sheetData>
  <mergeCells count="34">
    <mergeCell ref="B41:E41"/>
    <mergeCell ref="E8:H8"/>
    <mergeCell ref="B7:C9"/>
    <mergeCell ref="I8:L8"/>
    <mergeCell ref="B39:E39"/>
    <mergeCell ref="B40:E40"/>
    <mergeCell ref="B38:E38"/>
    <mergeCell ref="B36:E36"/>
    <mergeCell ref="I25:L25"/>
    <mergeCell ref="B24:C26"/>
    <mergeCell ref="E25:H25"/>
    <mergeCell ref="B37:E37"/>
    <mergeCell ref="B49:E49"/>
    <mergeCell ref="B42:E42"/>
    <mergeCell ref="B43:E43"/>
    <mergeCell ref="B44:E44"/>
    <mergeCell ref="B45:E45"/>
    <mergeCell ref="B46:E46"/>
    <mergeCell ref="B47:E47"/>
    <mergeCell ref="B1:AC1"/>
    <mergeCell ref="V2:AB4"/>
    <mergeCell ref="B2:U4"/>
    <mergeCell ref="Y25:AB25"/>
    <mergeCell ref="Y8:AB8"/>
    <mergeCell ref="M25:P25"/>
    <mergeCell ref="M8:P8"/>
    <mergeCell ref="Q8:T8"/>
    <mergeCell ref="Q25:T25"/>
    <mergeCell ref="AC8:AF8"/>
    <mergeCell ref="W7:AG7"/>
    <mergeCell ref="AC25:AF25"/>
    <mergeCell ref="D7:V7"/>
    <mergeCell ref="W24:AG24"/>
    <mergeCell ref="D24:V24"/>
  </mergeCells>
  <pageMargins left="0.7" right="0.7" top="0.75" bottom="0.75" header="0.3" footer="0.3"/>
  <pageSetup paperSize="9" orientation="portrait" horizontalDpi="300" verticalDpi="300"/>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AJ34"/>
  <sheetViews>
    <sheetView zoomScale="90" zoomScaleNormal="90" workbookViewId="0">
      <selection activeCell="N32" sqref="N32"/>
    </sheetView>
  </sheetViews>
  <sheetFormatPr defaultColWidth="10.85546875" defaultRowHeight="15" x14ac:dyDescent="0.25"/>
  <cols>
    <col min="2" max="2" width="42.85546875" customWidth="1"/>
    <col min="3" max="3" width="7.42578125" customWidth="1"/>
    <col min="4" max="4" width="8.85546875" customWidth="1"/>
    <col min="5" max="5" width="9" customWidth="1"/>
    <col min="6" max="6" width="8.85546875" customWidth="1"/>
    <col min="7" max="7" width="9.5703125" customWidth="1"/>
    <col min="8" max="8" width="9.85546875" customWidth="1"/>
    <col min="9" max="9" width="10.140625" customWidth="1"/>
    <col min="10" max="10" width="9.140625" customWidth="1"/>
    <col min="11" max="11" width="9.85546875" customWidth="1"/>
    <col min="12" max="13" width="8.85546875" customWidth="1"/>
    <col min="14" max="14" width="9.140625" customWidth="1"/>
    <col min="15" max="19" width="8.85546875" customWidth="1"/>
    <col min="20" max="22" width="9.140625" customWidth="1"/>
  </cols>
  <sheetData>
    <row r="1" spans="2:36" x14ac:dyDescent="0.25">
      <c r="B1" s="1288" t="s">
        <v>55</v>
      </c>
      <c r="C1" s="1288"/>
      <c r="D1" s="1288"/>
      <c r="E1" s="1288"/>
      <c r="F1" s="1288"/>
      <c r="G1" s="1288"/>
      <c r="H1" s="1288"/>
      <c r="I1" s="1288"/>
      <c r="J1" s="1288"/>
      <c r="K1" s="1288"/>
      <c r="L1" s="1288"/>
      <c r="M1" s="1288"/>
      <c r="N1" s="1288"/>
      <c r="O1" s="1288"/>
      <c r="P1" s="1288"/>
      <c r="Q1" s="1288"/>
      <c r="R1" s="1288"/>
      <c r="S1" s="1288"/>
      <c r="T1" s="1288"/>
      <c r="U1" s="1288"/>
      <c r="V1" s="1288"/>
      <c r="W1" s="1288"/>
      <c r="X1" s="1288"/>
      <c r="Y1" s="1288"/>
      <c r="Z1" s="1288"/>
      <c r="AA1" s="1288"/>
      <c r="AB1" s="1288"/>
      <c r="AC1" s="1288"/>
    </row>
    <row r="2" spans="2:36" ht="14.25" customHeight="1" x14ac:dyDescent="0.25">
      <c r="B2" s="1363" t="s">
        <v>860</v>
      </c>
      <c r="C2" s="1363"/>
      <c r="D2" s="1363"/>
      <c r="E2" s="1363"/>
      <c r="F2" s="1363"/>
      <c r="G2" s="1363"/>
      <c r="H2" s="1363"/>
      <c r="I2" s="1363"/>
      <c r="J2" s="1363"/>
      <c r="K2" s="1363"/>
      <c r="L2" s="1363"/>
      <c r="M2" s="1363"/>
      <c r="N2" s="1363"/>
      <c r="O2" s="1363"/>
      <c r="P2" s="1363"/>
      <c r="Q2" s="1363"/>
      <c r="R2" s="1363"/>
      <c r="S2" s="586"/>
      <c r="T2" s="1382" t="s">
        <v>911</v>
      </c>
      <c r="U2" s="1382"/>
      <c r="V2" s="1382"/>
      <c r="W2" s="1382"/>
      <c r="X2" s="1382"/>
      <c r="Y2" s="1382"/>
      <c r="Z2" s="1382"/>
      <c r="AA2" s="1382"/>
      <c r="AB2" s="1382"/>
      <c r="AC2" s="1382"/>
    </row>
    <row r="3" spans="2:36" x14ac:dyDescent="0.25">
      <c r="B3" s="1363"/>
      <c r="C3" s="1363"/>
      <c r="D3" s="1363"/>
      <c r="E3" s="1363"/>
      <c r="F3" s="1363"/>
      <c r="G3" s="1363"/>
      <c r="H3" s="1363"/>
      <c r="I3" s="1363"/>
      <c r="J3" s="1363"/>
      <c r="K3" s="1363"/>
      <c r="L3" s="1363"/>
      <c r="M3" s="1363"/>
      <c r="N3" s="1363"/>
      <c r="O3" s="1363"/>
      <c r="P3" s="1363"/>
      <c r="Q3" s="1363"/>
      <c r="R3" s="1363"/>
      <c r="S3" s="586"/>
      <c r="T3" s="1382"/>
      <c r="U3" s="1382"/>
      <c r="V3" s="1382"/>
      <c r="W3" s="1382"/>
      <c r="X3" s="1382"/>
      <c r="Y3" s="1382"/>
      <c r="Z3" s="1382"/>
      <c r="AA3" s="1382"/>
      <c r="AB3" s="1382"/>
      <c r="AC3" s="1382"/>
    </row>
    <row r="4" spans="2:36" ht="21" customHeight="1" x14ac:dyDescent="0.25">
      <c r="B4" s="1363"/>
      <c r="C4" s="1363"/>
      <c r="D4" s="1363"/>
      <c r="E4" s="1363"/>
      <c r="F4" s="1363"/>
      <c r="G4" s="1363"/>
      <c r="H4" s="1363"/>
      <c r="I4" s="1363"/>
      <c r="J4" s="1363"/>
      <c r="K4" s="1363"/>
      <c r="L4" s="1363"/>
      <c r="M4" s="1363"/>
      <c r="N4" s="1363"/>
      <c r="O4" s="1363"/>
      <c r="P4" s="1363"/>
      <c r="Q4" s="1363"/>
      <c r="R4" s="1363"/>
      <c r="S4" s="586"/>
      <c r="T4" s="1382"/>
      <c r="U4" s="1382"/>
      <c r="V4" s="1382"/>
      <c r="W4" s="1382"/>
      <c r="X4" s="1382"/>
      <c r="Y4" s="1382"/>
      <c r="Z4" s="1382"/>
      <c r="AA4" s="1382"/>
      <c r="AB4" s="1382"/>
      <c r="AC4" s="1382"/>
    </row>
    <row r="6" spans="2:36" x14ac:dyDescent="0.25">
      <c r="B6" s="504" t="s">
        <v>333</v>
      </c>
    </row>
    <row r="7" spans="2:36" ht="14.85" customHeight="1" x14ac:dyDescent="0.25">
      <c r="B7" s="1293" t="s">
        <v>404</v>
      </c>
      <c r="C7" s="1294"/>
      <c r="D7" s="1297" t="s">
        <v>280</v>
      </c>
      <c r="E7" s="1310"/>
      <c r="F7" s="1310"/>
      <c r="G7" s="1310"/>
      <c r="H7" s="1310"/>
      <c r="I7" s="1310"/>
      <c r="J7" s="1310"/>
      <c r="K7" s="1310"/>
      <c r="L7" s="1310"/>
      <c r="M7" s="1310"/>
      <c r="N7" s="1310"/>
      <c r="O7" s="1310"/>
      <c r="P7" s="1310"/>
      <c r="Q7" s="1310"/>
      <c r="R7" s="1310"/>
      <c r="S7" s="1310"/>
      <c r="T7" s="1310"/>
      <c r="U7" s="1311"/>
      <c r="V7" s="1296"/>
      <c r="W7" s="1340" t="s">
        <v>281</v>
      </c>
      <c r="X7" s="1330"/>
      <c r="Y7" s="1330"/>
      <c r="Z7" s="1330"/>
      <c r="AA7" s="1330"/>
      <c r="AB7" s="1330"/>
      <c r="AC7" s="1330"/>
      <c r="AD7" s="1330"/>
      <c r="AE7" s="1330"/>
      <c r="AF7" s="1330"/>
      <c r="AG7" s="1330"/>
      <c r="AH7" s="1330"/>
      <c r="AI7" s="1330"/>
      <c r="AJ7" s="1330"/>
    </row>
    <row r="8" spans="2:36" x14ac:dyDescent="0.25">
      <c r="B8" s="1295"/>
      <c r="C8" s="1296"/>
      <c r="D8" s="209">
        <v>2018</v>
      </c>
      <c r="E8" s="1302">
        <v>2019</v>
      </c>
      <c r="F8" s="1303"/>
      <c r="G8" s="1303"/>
      <c r="H8" s="1304"/>
      <c r="I8" s="1302">
        <v>2020</v>
      </c>
      <c r="J8" s="1303"/>
      <c r="K8" s="1303"/>
      <c r="L8" s="1303"/>
      <c r="M8" s="1302">
        <v>2021</v>
      </c>
      <c r="N8" s="1303"/>
      <c r="O8" s="1303"/>
      <c r="P8" s="1325"/>
      <c r="Q8" s="1302">
        <v>2022</v>
      </c>
      <c r="R8" s="1325"/>
      <c r="S8" s="1325"/>
      <c r="T8" s="1325"/>
      <c r="U8" s="229"/>
      <c r="V8" s="278">
        <v>2023</v>
      </c>
      <c r="W8" s="279"/>
      <c r="X8" s="250"/>
      <c r="Y8" s="1300">
        <v>2024</v>
      </c>
      <c r="Z8" s="1312"/>
      <c r="AA8" s="1312"/>
      <c r="AB8" s="1301"/>
      <c r="AC8" s="1299">
        <v>2025</v>
      </c>
      <c r="AD8" s="1312"/>
      <c r="AE8" s="1312"/>
      <c r="AF8" s="1301"/>
      <c r="AG8" s="1299">
        <v>2026</v>
      </c>
      <c r="AH8" s="1312"/>
      <c r="AI8" s="1312"/>
      <c r="AJ8" s="1301"/>
    </row>
    <row r="9" spans="2:36" x14ac:dyDescent="0.25">
      <c r="B9" s="1297"/>
      <c r="C9" s="1298"/>
      <c r="D9" s="204" t="s">
        <v>282</v>
      </c>
      <c r="E9" s="204" t="s">
        <v>283</v>
      </c>
      <c r="F9" s="205" t="s">
        <v>284</v>
      </c>
      <c r="G9" s="205" t="s">
        <v>238</v>
      </c>
      <c r="H9" s="206" t="s">
        <v>282</v>
      </c>
      <c r="I9" s="205" t="s">
        <v>283</v>
      </c>
      <c r="J9" s="205" t="s">
        <v>284</v>
      </c>
      <c r="K9" s="205" t="s">
        <v>238</v>
      </c>
      <c r="L9" s="205" t="s">
        <v>282</v>
      </c>
      <c r="M9" s="204" t="s">
        <v>283</v>
      </c>
      <c r="N9" s="205" t="s">
        <v>284</v>
      </c>
      <c r="O9" s="205" t="s">
        <v>238</v>
      </c>
      <c r="P9" s="205" t="s">
        <v>282</v>
      </c>
      <c r="Q9" s="204" t="s">
        <v>283</v>
      </c>
      <c r="R9" s="205" t="s">
        <v>284</v>
      </c>
      <c r="S9" s="205" t="s">
        <v>238</v>
      </c>
      <c r="T9" s="205" t="s">
        <v>282</v>
      </c>
      <c r="U9" s="275" t="s">
        <v>283</v>
      </c>
      <c r="V9" s="276" t="s">
        <v>284</v>
      </c>
      <c r="W9" s="260" t="s">
        <v>238</v>
      </c>
      <c r="X9" s="261" t="s">
        <v>282</v>
      </c>
      <c r="Y9" s="260" t="s">
        <v>283</v>
      </c>
      <c r="Z9" s="257" t="s">
        <v>284</v>
      </c>
      <c r="AA9" s="260" t="s">
        <v>238</v>
      </c>
      <c r="AB9" s="260" t="s">
        <v>282</v>
      </c>
      <c r="AC9" s="259" t="s">
        <v>283</v>
      </c>
      <c r="AD9" s="257" t="s">
        <v>284</v>
      </c>
      <c r="AE9" s="260" t="s">
        <v>238</v>
      </c>
      <c r="AF9" s="260" t="s">
        <v>282</v>
      </c>
      <c r="AG9" s="259" t="s">
        <v>283</v>
      </c>
      <c r="AH9" s="257" t="s">
        <v>284</v>
      </c>
      <c r="AI9" s="260" t="s">
        <v>238</v>
      </c>
      <c r="AJ9" s="260" t="s">
        <v>282</v>
      </c>
    </row>
    <row r="10" spans="2:36" ht="14.85" customHeight="1" x14ac:dyDescent="0.25">
      <c r="B10" s="591" t="s">
        <v>454</v>
      </c>
      <c r="C10" s="35" t="s">
        <v>907</v>
      </c>
      <c r="D10" s="565">
        <f>'Haver Pivoted'!GO12</f>
        <v>755</v>
      </c>
      <c r="E10" s="566">
        <f>'Haver Pivoted'!GP12</f>
        <v>771.9</v>
      </c>
      <c r="F10" s="566">
        <f>'Haver Pivoted'!GQ12</f>
        <v>785.3</v>
      </c>
      <c r="G10" s="566">
        <f>'Haver Pivoted'!GR12</f>
        <v>793.9</v>
      </c>
      <c r="H10" s="566">
        <f>'Haver Pivoted'!GS12</f>
        <v>797.9</v>
      </c>
      <c r="I10" s="566">
        <f>'Haver Pivoted'!GT12</f>
        <v>798.4</v>
      </c>
      <c r="J10" s="566">
        <f>'Haver Pivoted'!GU12</f>
        <v>811.1</v>
      </c>
      <c r="K10" s="566">
        <f>'Haver Pivoted'!GV12</f>
        <v>823.1</v>
      </c>
      <c r="L10" s="566">
        <f>'Haver Pivoted'!GW12</f>
        <v>834.5</v>
      </c>
      <c r="M10" s="566">
        <f>'Haver Pivoted'!GX12</f>
        <v>849.4</v>
      </c>
      <c r="N10" s="566">
        <f>'Haver Pivoted'!GY12</f>
        <v>865.6</v>
      </c>
      <c r="O10" s="566">
        <f>'Haver Pivoted'!GZ12</f>
        <v>882.6</v>
      </c>
      <c r="P10" s="566">
        <f>'Haver Pivoted'!HA12</f>
        <v>900.3</v>
      </c>
      <c r="Q10" s="566">
        <f>'Haver Pivoted'!HB12</f>
        <v>918.2</v>
      </c>
      <c r="R10" s="566">
        <f>'Haver Pivoted'!HC12</f>
        <v>924.7</v>
      </c>
      <c r="S10" s="567">
        <f>'Haver Pivoted'!HD12</f>
        <v>927.2</v>
      </c>
      <c r="T10" s="551">
        <f>'Haver Pivoted'!HE12</f>
        <v>934.2</v>
      </c>
      <c r="U10" s="589">
        <f>'Haver Pivoted'!HF12</f>
        <v>938.1</v>
      </c>
      <c r="V10" s="567">
        <f>'Haver Pivoted'!HG12</f>
        <v>941.9</v>
      </c>
      <c r="W10" s="567">
        <f>'Haver Pivoted'!HH12</f>
        <v>946.3</v>
      </c>
      <c r="X10" s="567">
        <f>'Haver Pivoted'!HI12</f>
        <v>951.3</v>
      </c>
      <c r="Y10" s="567">
        <f>'Haver Pivoted'!HJ12</f>
        <v>965.3</v>
      </c>
      <c r="Z10" s="578">
        <f t="shared" ref="Z10:AE10" si="0">Y10*(1+Z13)+Z12</f>
        <v>980.56003292022876</v>
      </c>
      <c r="AA10" s="578">
        <f>Z10*(1+AA13)+AA12</f>
        <v>996.18777418821298</v>
      </c>
      <c r="AB10" s="578">
        <f>AA10*(1+AB13)+AB12</f>
        <v>1008.812306797969</v>
      </c>
      <c r="AC10" s="578">
        <f t="shared" si="0"/>
        <v>1021.5968281445319</v>
      </c>
      <c r="AD10" s="578">
        <f t="shared" si="0"/>
        <v>1034.5433657402616</v>
      </c>
      <c r="AE10" s="578">
        <f t="shared" si="0"/>
        <v>1047.6539727918666</v>
      </c>
      <c r="AF10" s="578">
        <f>AE10*(1+AF13)+AF12</f>
        <v>1064.1436593437684</v>
      </c>
      <c r="AG10" s="578">
        <f>AF10*(1+AG13)+AG12</f>
        <v>1080.8928874710773</v>
      </c>
      <c r="AH10" s="578">
        <f t="shared" ref="AH10:AJ10" si="1">AG10*(1+AH13)+AH12</f>
        <v>1097.9057422623216</v>
      </c>
      <c r="AI10" s="578">
        <f t="shared" si="1"/>
        <v>1115.1863731038136</v>
      </c>
      <c r="AJ10" s="578">
        <f t="shared" si="1"/>
        <v>1134.6571550482367</v>
      </c>
    </row>
    <row r="11" spans="2:36" ht="28.5" customHeight="1" x14ac:dyDescent="0.25">
      <c r="B11" s="616" t="s">
        <v>909</v>
      </c>
      <c r="C11" s="606" t="s">
        <v>520</v>
      </c>
      <c r="D11" s="617"/>
      <c r="E11" s="603"/>
      <c r="F11" s="603"/>
      <c r="G11" s="603"/>
      <c r="H11" s="603"/>
      <c r="I11" s="603"/>
      <c r="J11" s="604">
        <f>'Haver Pivoted'!GU46</f>
        <v>9.6</v>
      </c>
      <c r="K11" s="604">
        <f>'Haver Pivoted'!GV46</f>
        <v>14.4</v>
      </c>
      <c r="L11" s="604">
        <f>'Haver Pivoted'!GW46</f>
        <v>14.3</v>
      </c>
      <c r="M11" s="604">
        <f>'Haver Pivoted'!GX46</f>
        <v>15</v>
      </c>
      <c r="N11" s="604">
        <f>'Haver Pivoted'!GY46</f>
        <v>15.3</v>
      </c>
      <c r="O11" s="604">
        <f>'Haver Pivoted'!GZ46</f>
        <v>15.6</v>
      </c>
      <c r="P11" s="604">
        <f>'Haver Pivoted'!HA46</f>
        <v>15.7</v>
      </c>
      <c r="Q11" s="604">
        <f>'Haver Pivoted'!HB46</f>
        <v>15.8</v>
      </c>
      <c r="R11" s="604">
        <f>'Haver Pivoted'!HC46</f>
        <v>7.9</v>
      </c>
      <c r="S11" s="534">
        <f>'Haver Pivoted'!HD46</f>
        <v>0</v>
      </c>
      <c r="T11" s="534">
        <f>'Haver Pivoted'!HE46</f>
        <v>0</v>
      </c>
      <c r="U11" s="534">
        <f>'Haver Pivoted'!HF46</f>
        <v>0</v>
      </c>
      <c r="V11" s="534">
        <f>'Haver Pivoted'!HG46</f>
        <v>0</v>
      </c>
      <c r="W11" s="534">
        <f>'Haver Pivoted'!HH46</f>
        <v>0</v>
      </c>
      <c r="X11" s="534">
        <f>'Haver Pivoted'!HI46</f>
        <v>0</v>
      </c>
      <c r="Y11" s="534">
        <f>'Haver Pivoted'!HJ46</f>
        <v>0</v>
      </c>
      <c r="Z11" s="593">
        <f t="shared" ref="Z11" si="2">Y11</f>
        <v>0</v>
      </c>
      <c r="AA11" s="593"/>
      <c r="AB11" s="593"/>
      <c r="AC11" s="593"/>
      <c r="AD11" s="593"/>
      <c r="AE11" s="593"/>
      <c r="AF11" s="593"/>
      <c r="AG11" s="593"/>
      <c r="AH11" s="593"/>
      <c r="AI11" s="593"/>
      <c r="AJ11" s="593"/>
    </row>
    <row r="12" spans="2:36" ht="28.5" customHeight="1" x14ac:dyDescent="0.25">
      <c r="B12" s="616" t="s">
        <v>1840</v>
      </c>
      <c r="C12" s="606"/>
      <c r="D12" s="617"/>
      <c r="E12" s="603"/>
      <c r="F12" s="603"/>
      <c r="G12" s="603"/>
      <c r="H12" s="603"/>
      <c r="I12" s="603"/>
      <c r="J12" s="604"/>
      <c r="K12" s="604"/>
      <c r="L12" s="604"/>
      <c r="M12" s="604"/>
      <c r="N12" s="604"/>
      <c r="O12" s="604"/>
      <c r="P12" s="604"/>
      <c r="Q12" s="604"/>
      <c r="R12" s="604"/>
      <c r="S12" s="534"/>
      <c r="T12" s="534"/>
      <c r="U12" s="534"/>
      <c r="V12" s="534"/>
      <c r="W12" s="391">
        <v>-7</v>
      </c>
      <c r="X12" s="593"/>
      <c r="Y12" s="593">
        <v>-13.3</v>
      </c>
      <c r="Z12" s="593">
        <v>-8</v>
      </c>
      <c r="AA12" s="593">
        <v>-8</v>
      </c>
      <c r="AB12" s="593"/>
      <c r="AC12" s="593"/>
      <c r="AD12" s="593"/>
      <c r="AE12" s="593"/>
      <c r="AF12" s="593"/>
      <c r="AG12" s="593"/>
      <c r="AH12" s="593"/>
      <c r="AI12" s="593"/>
      <c r="AJ12" s="593"/>
    </row>
    <row r="13" spans="2:36" x14ac:dyDescent="0.25">
      <c r="B13" s="609" t="s">
        <v>455</v>
      </c>
      <c r="C13" s="608"/>
      <c r="D13" s="583"/>
      <c r="E13" s="541"/>
      <c r="F13" s="541"/>
      <c r="G13" s="541"/>
      <c r="H13" s="541"/>
      <c r="I13" s="541"/>
      <c r="J13" s="569"/>
      <c r="K13" s="569"/>
      <c r="L13" s="569"/>
      <c r="M13" s="569"/>
      <c r="N13" s="569">
        <f>(1 + $E$26)^0.25-1</f>
        <v>0</v>
      </c>
      <c r="O13" s="569">
        <f>(1 + $E$26)^0.25-1</f>
        <v>0</v>
      </c>
      <c r="P13" s="569">
        <f>(1 + $F$26)^0.25-1</f>
        <v>3.0584654007782985E-2</v>
      </c>
      <c r="Q13" s="569">
        <f>(1 +$F$26)^0.25-1</f>
        <v>3.0584654007782985E-2</v>
      </c>
      <c r="R13" s="569">
        <f>(1 +$F$26)^0.25-1</f>
        <v>3.0584654007782985E-2</v>
      </c>
      <c r="S13" s="605">
        <f>(1 +$F$26)^0.25-1</f>
        <v>3.0584654007782985E-2</v>
      </c>
      <c r="T13" s="605">
        <f>(1 +$G$26)^0.25-1</f>
        <v>1.0343738735768992E-2</v>
      </c>
      <c r="U13" s="605">
        <f>(1 +$G$26)^0.25-1</f>
        <v>1.0343738735768992E-2</v>
      </c>
      <c r="V13" s="605">
        <f>(1 +$G$26)^0.25-1</f>
        <v>1.0343738735768992E-2</v>
      </c>
      <c r="W13" s="569">
        <f>(1 +$G$26)^0.25-1</f>
        <v>1.0343738735768992E-2</v>
      </c>
      <c r="X13" s="594">
        <f>(1 +$H$26)^0.25-1</f>
        <v>2.4096170019920038E-2</v>
      </c>
      <c r="Y13" s="588">
        <f t="shared" ref="Y13:AA13" si="3">(1 +$H$26)^0.25-1</f>
        <v>2.4096170019920038E-2</v>
      </c>
      <c r="Z13" s="588">
        <f t="shared" si="3"/>
        <v>2.4096170019920038E-2</v>
      </c>
      <c r="AA13" s="588">
        <f t="shared" si="3"/>
        <v>2.4096170019920038E-2</v>
      </c>
      <c r="AB13" s="594">
        <f>(1 +$I$26)^0.25-1</f>
        <v>1.2672844354111534E-2</v>
      </c>
      <c r="AC13" s="588">
        <f>(1 +$I$26)^0.25-1</f>
        <v>1.2672844354111534E-2</v>
      </c>
      <c r="AD13" s="588">
        <f t="shared" ref="AD13:AE13" si="4">(1 +$I$26)^0.25-1</f>
        <v>1.2672844354111534E-2</v>
      </c>
      <c r="AE13" s="588">
        <f t="shared" si="4"/>
        <v>1.2672844354111534E-2</v>
      </c>
      <c r="AF13" s="594">
        <f>(1 +$J$26)^0.25-1</f>
        <v>1.5739630622464862E-2</v>
      </c>
      <c r="AG13" s="588">
        <f>(1 +$J$26)^0.25-1</f>
        <v>1.5739630622464862E-2</v>
      </c>
      <c r="AH13" s="588">
        <f>(1 +$J$26)^0.25-1</f>
        <v>1.5739630622464862E-2</v>
      </c>
      <c r="AI13" s="588">
        <f>(1 +$J$26)^0.25-1</f>
        <v>1.5739630622464862E-2</v>
      </c>
      <c r="AJ13" s="594">
        <f>(1 +$K$26)^0.25-1</f>
        <v>1.7459666306925525E-2</v>
      </c>
    </row>
    <row r="14" spans="2:36" ht="15.75" customHeight="1" x14ac:dyDescent="0.25">
      <c r="B14" s="607"/>
      <c r="C14" s="592"/>
      <c r="D14" s="542"/>
      <c r="E14" s="542"/>
      <c r="F14" s="542"/>
      <c r="G14" s="542"/>
      <c r="H14" s="542"/>
      <c r="I14" s="542"/>
      <c r="J14" s="546"/>
      <c r="K14" s="546"/>
      <c r="L14" s="546"/>
      <c r="M14" s="546"/>
    </row>
    <row r="15" spans="2:36" ht="15.75" customHeight="1" x14ac:dyDescent="0.25">
      <c r="B15" s="607"/>
      <c r="C15" s="592"/>
      <c r="D15" s="542"/>
      <c r="E15" s="1182">
        <f t="shared" ref="E15:X15" si="5">E10-D10</f>
        <v>16.899999999999977</v>
      </c>
      <c r="F15" s="1182">
        <f t="shared" si="5"/>
        <v>13.399999999999977</v>
      </c>
      <c r="G15" s="1182">
        <f t="shared" si="5"/>
        <v>8.6000000000000227</v>
      </c>
      <c r="H15" s="1182">
        <f t="shared" si="5"/>
        <v>4</v>
      </c>
      <c r="I15" s="1182">
        <f t="shared" si="5"/>
        <v>0.5</v>
      </c>
      <c r="J15" s="1182">
        <f t="shared" si="5"/>
        <v>12.700000000000045</v>
      </c>
      <c r="K15" s="1182">
        <f t="shared" si="5"/>
        <v>12</v>
      </c>
      <c r="L15" s="1182">
        <f t="shared" si="5"/>
        <v>11.399999999999977</v>
      </c>
      <c r="M15" s="1182">
        <f t="shared" si="5"/>
        <v>14.899999999999977</v>
      </c>
      <c r="N15" s="1182">
        <f t="shared" si="5"/>
        <v>16.200000000000045</v>
      </c>
      <c r="O15" s="1182">
        <f t="shared" si="5"/>
        <v>17</v>
      </c>
      <c r="P15" s="1182">
        <f t="shared" si="5"/>
        <v>17.699999999999932</v>
      </c>
      <c r="Q15" s="1182">
        <f t="shared" si="5"/>
        <v>17.900000000000091</v>
      </c>
      <c r="R15" s="1182">
        <f t="shared" si="5"/>
        <v>6.5</v>
      </c>
      <c r="S15" s="1182">
        <f t="shared" si="5"/>
        <v>2.5</v>
      </c>
      <c r="T15" s="1182">
        <f t="shared" si="5"/>
        <v>7</v>
      </c>
      <c r="U15" s="1182">
        <f t="shared" si="5"/>
        <v>3.8999999999999773</v>
      </c>
      <c r="V15" s="1182">
        <f t="shared" si="5"/>
        <v>3.7999999999999545</v>
      </c>
      <c r="W15" s="1182">
        <f t="shared" si="5"/>
        <v>4.3999999999999773</v>
      </c>
      <c r="X15" s="1182">
        <f t="shared" si="5"/>
        <v>5</v>
      </c>
      <c r="Y15" s="1182">
        <f>Y10-X10</f>
        <v>14</v>
      </c>
      <c r="Z15" s="1182">
        <f t="shared" ref="Z15:AG15" si="6">Z10-Y10</f>
        <v>15.260032920228809</v>
      </c>
      <c r="AA15" s="1182">
        <f t="shared" si="6"/>
        <v>15.62774126798422</v>
      </c>
      <c r="AB15" s="1182">
        <f t="shared" si="6"/>
        <v>12.624532609755988</v>
      </c>
      <c r="AC15" s="1182">
        <f t="shared" si="6"/>
        <v>12.784521346562883</v>
      </c>
      <c r="AD15" s="1182">
        <f t="shared" si="6"/>
        <v>12.946537595729751</v>
      </c>
      <c r="AE15" s="1182">
        <f t="shared" si="6"/>
        <v>13.110607051605029</v>
      </c>
      <c r="AF15" s="1182">
        <f t="shared" si="6"/>
        <v>16.489686551901741</v>
      </c>
      <c r="AG15" s="1182">
        <f t="shared" si="6"/>
        <v>16.749228127308925</v>
      </c>
    </row>
    <row r="16" spans="2:36" ht="15.75" customHeight="1" x14ac:dyDescent="0.25">
      <c r="B16" s="607"/>
      <c r="C16" s="592"/>
      <c r="D16" s="542"/>
      <c r="E16" s="542"/>
      <c r="F16" s="542"/>
      <c r="G16" s="542"/>
      <c r="H16" s="542"/>
      <c r="I16" s="542"/>
      <c r="J16" s="546"/>
      <c r="K16" s="546"/>
      <c r="L16" s="546"/>
    </row>
    <row r="17" spans="2:32" x14ac:dyDescent="0.25">
      <c r="B17" s="607"/>
      <c r="C17" s="592"/>
      <c r="D17" s="542"/>
      <c r="E17" s="542"/>
      <c r="F17" s="542"/>
      <c r="G17" s="542"/>
      <c r="H17" s="542"/>
      <c r="I17" s="542"/>
      <c r="J17" s="546"/>
      <c r="K17" s="546"/>
      <c r="L17" s="546"/>
    </row>
    <row r="18" spans="2:32" x14ac:dyDescent="0.25">
      <c r="B18" s="607"/>
      <c r="C18" s="592"/>
      <c r="D18" s="542"/>
      <c r="E18" s="542"/>
      <c r="F18" s="542"/>
      <c r="G18" s="542"/>
      <c r="H18" s="542"/>
      <c r="I18" s="542"/>
      <c r="J18" s="546"/>
      <c r="K18" s="546"/>
      <c r="L18" s="546"/>
    </row>
    <row r="19" spans="2:32" ht="14.85" customHeight="1" x14ac:dyDescent="0.25">
      <c r="B19" s="504" t="s">
        <v>352</v>
      </c>
      <c r="H19" t="s">
        <v>2270</v>
      </c>
    </row>
    <row r="20" spans="2:32" x14ac:dyDescent="0.25">
      <c r="B20" s="613" t="s">
        <v>432</v>
      </c>
      <c r="C20" s="613">
        <v>2019</v>
      </c>
      <c r="D20" s="614">
        <v>2020</v>
      </c>
      <c r="E20" s="614">
        <v>2021</v>
      </c>
      <c r="F20" s="614">
        <v>2022</v>
      </c>
      <c r="G20" s="614">
        <v>2023</v>
      </c>
      <c r="H20" s="615">
        <v>2024</v>
      </c>
      <c r="I20" s="615">
        <v>2025</v>
      </c>
      <c r="J20" s="615">
        <v>2026</v>
      </c>
      <c r="K20" s="615">
        <v>2027</v>
      </c>
    </row>
    <row r="21" spans="2:32" ht="21" customHeight="1" x14ac:dyDescent="0.25">
      <c r="B21" s="599" t="s">
        <v>2271</v>
      </c>
      <c r="C21" s="597"/>
      <c r="D21" s="598"/>
      <c r="E21" s="619">
        <v>867.67600000000004</v>
      </c>
      <c r="F21" s="256">
        <v>974.649</v>
      </c>
      <c r="G21" s="256">
        <v>1008.504</v>
      </c>
      <c r="H21" s="256">
        <v>1088.6869999999999</v>
      </c>
      <c r="I21" s="256">
        <v>1144.932</v>
      </c>
      <c r="J21" s="590">
        <v>1218.7349999999999</v>
      </c>
      <c r="K21" s="596">
        <v>1306.105</v>
      </c>
      <c r="L21" s="596">
        <v>1395.152</v>
      </c>
      <c r="M21" s="596">
        <v>1492.1469999999999</v>
      </c>
      <c r="N21" s="596">
        <v>1600.472</v>
      </c>
      <c r="O21" s="596">
        <v>1717.546</v>
      </c>
      <c r="P21" s="391">
        <v>1841.902</v>
      </c>
      <c r="Q21" s="391">
        <v>1996.52</v>
      </c>
      <c r="R21" s="391">
        <v>2149.098</v>
      </c>
      <c r="S21" s="391"/>
      <c r="T21" s="391"/>
      <c r="U21" s="391"/>
      <c r="V21" s="391"/>
      <c r="W21" s="391"/>
      <c r="X21" s="391"/>
      <c r="Y21" s="391"/>
      <c r="Z21" s="391"/>
      <c r="AA21" s="391"/>
      <c r="AB21" s="391"/>
      <c r="AC21" s="391"/>
    </row>
    <row r="22" spans="2:32" ht="21" customHeight="1" x14ac:dyDescent="0.25">
      <c r="B22" s="600"/>
      <c r="C22" s="595"/>
      <c r="D22" s="596"/>
      <c r="E22" s="256">
        <f>AVERAGE(L10:O10)</f>
        <v>858.02499999999998</v>
      </c>
      <c r="F22" s="256">
        <f>AVERAGE(P10:S10)</f>
        <v>917.59999999999991</v>
      </c>
      <c r="G22" s="256">
        <f>AVERAGE(T10:W10)</f>
        <v>940.125</v>
      </c>
      <c r="H22" s="256">
        <f>AVERAGE(X10:AA10)</f>
        <v>973.33695177711047</v>
      </c>
      <c r="I22" s="256">
        <f>AVERAGE(AB10:AE10)</f>
        <v>1028.1516183686572</v>
      </c>
      <c r="J22" s="1183">
        <f>AVERAGE(AF10:AI10)</f>
        <v>1089.5321655452453</v>
      </c>
      <c r="K22" s="596"/>
      <c r="L22" s="596"/>
      <c r="M22" s="596"/>
      <c r="N22" s="596"/>
      <c r="O22" s="596"/>
      <c r="P22" s="391"/>
      <c r="Q22" s="391"/>
      <c r="R22" s="391"/>
      <c r="S22" s="391"/>
      <c r="T22" s="391"/>
      <c r="U22" s="391"/>
      <c r="V22" s="391"/>
      <c r="W22" s="391"/>
      <c r="X22" s="391"/>
      <c r="Y22" s="391"/>
      <c r="Z22" s="391"/>
      <c r="AA22" s="391"/>
      <c r="AB22" s="391"/>
      <c r="AC22" s="391"/>
    </row>
    <row r="23" spans="2:32" ht="21" customHeight="1" x14ac:dyDescent="0.25">
      <c r="B23" s="618" t="s">
        <v>456</v>
      </c>
      <c r="C23" s="230"/>
      <c r="D23" s="230">
        <v>47</v>
      </c>
      <c r="E23" s="230">
        <v>48</v>
      </c>
      <c r="F23" s="35">
        <v>-50</v>
      </c>
      <c r="G23" s="35">
        <v>-45</v>
      </c>
      <c r="H23" s="35"/>
      <c r="I23" s="35"/>
      <c r="J23" s="611">
        <f>SUM(D23:G23)</f>
        <v>0</v>
      </c>
      <c r="K23">
        <v>0</v>
      </c>
      <c r="M23" s="596"/>
      <c r="N23" s="596"/>
      <c r="O23" s="596"/>
      <c r="P23" s="391"/>
      <c r="Q23" s="391"/>
      <c r="R23" s="391"/>
      <c r="S23" s="391"/>
      <c r="T23" s="391"/>
      <c r="U23" s="391"/>
      <c r="V23" s="391"/>
      <c r="W23" s="391"/>
      <c r="X23" s="391"/>
      <c r="Y23" s="391"/>
      <c r="Z23" s="391"/>
      <c r="AA23" s="391"/>
      <c r="AB23" s="391"/>
      <c r="AC23" s="391"/>
    </row>
    <row r="24" spans="2:32" x14ac:dyDescent="0.25">
      <c r="B24" s="618" t="s">
        <v>1378</v>
      </c>
      <c r="C24" s="595"/>
      <c r="D24" s="595"/>
      <c r="E24" s="595">
        <f>E21-E23</f>
        <v>819.67600000000004</v>
      </c>
      <c r="F24" s="595">
        <f>F21+F23</f>
        <v>924.649</v>
      </c>
      <c r="G24" s="595">
        <f>G21+G23</f>
        <v>963.50400000000002</v>
      </c>
      <c r="H24" s="595">
        <f>H21+H23</f>
        <v>1088.6869999999999</v>
      </c>
      <c r="I24" s="595">
        <f>I21+I23</f>
        <v>1144.932</v>
      </c>
      <c r="J24" s="595">
        <f t="shared" ref="J24:K24" si="7">J21+J23</f>
        <v>1218.7349999999999</v>
      </c>
      <c r="K24" s="595">
        <f t="shared" si="7"/>
        <v>1306.105</v>
      </c>
      <c r="N24" s="612"/>
      <c r="O24" s="592"/>
      <c r="P24" s="391"/>
      <c r="Q24" s="391"/>
      <c r="R24" s="391"/>
      <c r="S24" s="391"/>
      <c r="T24" s="391"/>
      <c r="U24" s="391"/>
      <c r="V24" s="391"/>
      <c r="W24" s="391"/>
      <c r="X24" s="391"/>
      <c r="Y24" s="391"/>
      <c r="Z24" s="391"/>
      <c r="AA24" s="391"/>
      <c r="AB24" s="391"/>
      <c r="AC24" s="391"/>
    </row>
    <row r="25" spans="2:32" x14ac:dyDescent="0.25">
      <c r="B25" s="618" t="s">
        <v>458</v>
      </c>
      <c r="C25" s="213">
        <f>AVERAGE(D10:G10)</f>
        <v>776.52499999999998</v>
      </c>
      <c r="D25" s="213">
        <f>AVERAGE(H10:K10)</f>
        <v>807.625</v>
      </c>
      <c r="E25" s="595">
        <f>AVERAGE(L10:O10)</f>
        <v>858.02499999999998</v>
      </c>
      <c r="F25" s="35"/>
      <c r="G25" s="35"/>
      <c r="H25" s="35"/>
      <c r="I25" s="35"/>
      <c r="J25" s="611"/>
      <c r="L25" s="230" t="s">
        <v>457</v>
      </c>
      <c r="P25" s="391"/>
      <c r="Q25" s="391"/>
      <c r="R25" s="391"/>
      <c r="S25" s="391"/>
      <c r="T25" s="391"/>
      <c r="U25" s="391"/>
      <c r="V25" s="391"/>
      <c r="W25" s="391"/>
      <c r="X25" s="391"/>
      <c r="Y25" s="391"/>
      <c r="Z25" s="391"/>
      <c r="AA25" s="391"/>
      <c r="AB25" s="391"/>
      <c r="AC25" s="391"/>
    </row>
    <row r="26" spans="2:32" x14ac:dyDescent="0.25">
      <c r="B26" s="601" t="s">
        <v>920</v>
      </c>
      <c r="C26" s="230"/>
      <c r="D26" s="230"/>
      <c r="E26" s="230"/>
      <c r="F26" s="230">
        <f>F24/E24-1</f>
        <v>0.12806645552632978</v>
      </c>
      <c r="G26" s="230">
        <f>G24/F24-1+G27</f>
        <v>4.2021350804467339E-2</v>
      </c>
      <c r="H26" s="230">
        <f>H24/G24-1+H27-0.03</f>
        <v>9.9924733057672716E-2</v>
      </c>
      <c r="I26" s="230">
        <f>I24/H24-1</f>
        <v>5.166315019835821E-2</v>
      </c>
      <c r="J26" s="611">
        <f>J24/I24-1</f>
        <v>6.446059678653393E-2</v>
      </c>
      <c r="K26" s="611">
        <f>K24/J24-1</f>
        <v>7.1689087455435452E-2</v>
      </c>
      <c r="P26" s="230"/>
      <c r="Q26" s="230"/>
      <c r="R26" s="230"/>
      <c r="S26" s="230"/>
      <c r="T26" s="230"/>
      <c r="U26" s="230"/>
      <c r="V26" s="230"/>
      <c r="W26" s="230"/>
      <c r="X26" s="230"/>
      <c r="Y26" s="230"/>
      <c r="Z26" s="230"/>
      <c r="AA26" s="230"/>
      <c r="AB26" s="230"/>
      <c r="AC26" s="230"/>
    </row>
    <row r="27" spans="2:32" x14ac:dyDescent="0.25">
      <c r="B27" s="602" t="s">
        <v>892</v>
      </c>
      <c r="C27" s="36"/>
      <c r="D27" s="36"/>
      <c r="E27" s="36"/>
      <c r="F27" s="36"/>
      <c r="G27" s="36">
        <v>0</v>
      </c>
      <c r="H27" s="36"/>
      <c r="I27" s="36"/>
      <c r="J27" s="215"/>
      <c r="P27" s="230"/>
      <c r="Q27" s="230"/>
      <c r="R27" s="230"/>
      <c r="S27" s="230"/>
      <c r="T27" s="230"/>
      <c r="U27" s="230"/>
      <c r="V27" s="230"/>
      <c r="W27" s="230"/>
      <c r="X27" s="230"/>
      <c r="Y27" s="230"/>
      <c r="Z27" s="230"/>
      <c r="AA27" s="230"/>
      <c r="AB27" s="230"/>
      <c r="AC27" s="230"/>
    </row>
    <row r="28" spans="2:32" x14ac:dyDescent="0.25">
      <c r="C28" s="610"/>
      <c r="D28" s="610"/>
      <c r="E28" s="610"/>
      <c r="F28" s="610"/>
      <c r="G28" s="610"/>
      <c r="H28" s="610"/>
      <c r="I28" s="610"/>
      <c r="J28" s="610"/>
      <c r="P28" s="230"/>
      <c r="Q28" s="230"/>
      <c r="R28" s="230"/>
      <c r="S28" s="230"/>
      <c r="T28" s="230"/>
      <c r="U28" s="230"/>
      <c r="V28" s="230"/>
      <c r="W28" s="230"/>
      <c r="X28" s="230"/>
      <c r="Y28" s="230"/>
      <c r="Z28" s="230"/>
      <c r="AA28" s="230"/>
      <c r="AB28" s="230"/>
      <c r="AC28" s="230"/>
    </row>
    <row r="29" spans="2:32" x14ac:dyDescent="0.25">
      <c r="P29" s="230"/>
      <c r="Q29" s="230"/>
      <c r="R29" s="230"/>
      <c r="S29" s="230"/>
      <c r="T29" s="230"/>
      <c r="U29" s="230"/>
      <c r="V29" s="230"/>
      <c r="W29" s="230"/>
      <c r="X29" s="230"/>
      <c r="Y29" s="230"/>
      <c r="Z29" s="230"/>
      <c r="AA29" s="230"/>
      <c r="AB29" s="230"/>
      <c r="AC29" s="230"/>
    </row>
    <row r="30" spans="2:32" x14ac:dyDescent="0.25">
      <c r="S30" s="230"/>
      <c r="T30" s="230"/>
      <c r="U30" s="230"/>
      <c r="V30" s="230"/>
      <c r="W30" s="230"/>
      <c r="X30" s="230"/>
      <c r="Y30" s="230"/>
      <c r="Z30" s="230"/>
      <c r="AA30" s="230"/>
      <c r="AB30" s="230"/>
      <c r="AC30" s="230"/>
      <c r="AD30" s="230"/>
      <c r="AE30" s="230"/>
      <c r="AF30" s="230"/>
    </row>
    <row r="31" spans="2:32" x14ac:dyDescent="0.25">
      <c r="P31" s="230"/>
      <c r="Q31" s="230"/>
      <c r="R31" s="230"/>
      <c r="S31" s="230"/>
      <c r="T31" s="230"/>
      <c r="U31" s="230"/>
      <c r="V31" s="230"/>
      <c r="W31" s="230"/>
      <c r="X31" s="230"/>
      <c r="Y31" s="230"/>
      <c r="Z31" s="230"/>
      <c r="AA31" s="230"/>
      <c r="AB31" s="230"/>
      <c r="AC31" s="230"/>
    </row>
    <row r="32" spans="2:32" x14ac:dyDescent="0.25">
      <c r="F32" s="35"/>
      <c r="G32" s="35"/>
      <c r="P32" s="230"/>
      <c r="Q32" s="230"/>
      <c r="R32" s="230"/>
      <c r="S32" s="230"/>
      <c r="T32" s="230"/>
      <c r="U32" s="230"/>
      <c r="V32" s="230"/>
      <c r="W32" s="230"/>
      <c r="X32" s="230"/>
      <c r="Y32" s="230"/>
      <c r="Z32" s="230"/>
      <c r="AA32" s="230"/>
      <c r="AB32" s="230"/>
      <c r="AC32" s="230"/>
    </row>
    <row r="33" spans="16:29" x14ac:dyDescent="0.25">
      <c r="P33" s="230"/>
      <c r="Q33" s="230"/>
      <c r="R33" s="230"/>
      <c r="S33" s="230"/>
      <c r="T33" s="230"/>
      <c r="U33" s="230"/>
      <c r="V33" s="230"/>
      <c r="W33" s="230"/>
      <c r="X33" s="230"/>
      <c r="Y33" s="230"/>
      <c r="Z33" s="230"/>
      <c r="AA33" s="230"/>
      <c r="AB33" s="230"/>
      <c r="AC33" s="230"/>
    </row>
    <row r="34" spans="16:29" x14ac:dyDescent="0.25">
      <c r="P34" s="230"/>
      <c r="Q34" s="230"/>
      <c r="R34" s="230"/>
      <c r="S34" s="230"/>
      <c r="T34" s="230"/>
      <c r="U34" s="230"/>
      <c r="V34" s="230"/>
      <c r="W34" s="230"/>
      <c r="X34" s="230"/>
      <c r="Y34" s="230"/>
      <c r="Z34" s="230"/>
      <c r="AA34" s="230"/>
      <c r="AB34" s="230"/>
      <c r="AC34" s="230"/>
    </row>
  </sheetData>
  <mergeCells count="13">
    <mergeCell ref="AG8:AJ8"/>
    <mergeCell ref="W7:AJ7"/>
    <mergeCell ref="B1:AC1"/>
    <mergeCell ref="B7:C9"/>
    <mergeCell ref="E8:H8"/>
    <mergeCell ref="I8:L8"/>
    <mergeCell ref="Y8:AB8"/>
    <mergeCell ref="M8:P8"/>
    <mergeCell ref="B2:R4"/>
    <mergeCell ref="T2:AC4"/>
    <mergeCell ref="Q8:T8"/>
    <mergeCell ref="D7:V7"/>
    <mergeCell ref="AC8:AF8"/>
  </mergeCells>
  <pageMargins left="0.7" right="0.7" top="0.75" bottom="0.75" header="0.3" footer="0.3"/>
  <pageSetup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AG23"/>
  <sheetViews>
    <sheetView workbookViewId="0">
      <selection activeCell="C11" sqref="C11"/>
    </sheetView>
  </sheetViews>
  <sheetFormatPr defaultColWidth="10.85546875" defaultRowHeight="15" x14ac:dyDescent="0.25"/>
  <sheetData>
    <row r="1" spans="2:33" x14ac:dyDescent="0.25">
      <c r="B1" s="1288" t="s">
        <v>1380</v>
      </c>
      <c r="C1" s="1288"/>
      <c r="D1" s="1288"/>
      <c r="E1" s="1288"/>
      <c r="F1" s="1288"/>
      <c r="G1" s="1288"/>
      <c r="H1" s="1288"/>
      <c r="I1" s="1288"/>
      <c r="J1" s="1288"/>
      <c r="K1" s="1288"/>
      <c r="L1" s="1288"/>
      <c r="M1" s="1288"/>
      <c r="N1" s="1288"/>
      <c r="O1" s="1288"/>
      <c r="P1" s="1288"/>
      <c r="Q1" s="1288"/>
      <c r="R1" s="1288"/>
      <c r="S1" s="1288"/>
      <c r="T1" s="1288"/>
      <c r="U1" s="1288"/>
      <c r="V1" s="1288"/>
      <c r="W1" s="1288"/>
      <c r="X1" s="1288"/>
      <c r="Y1" s="1288"/>
      <c r="Z1" s="1288"/>
      <c r="AA1" s="1288"/>
      <c r="AB1" s="1288"/>
      <c r="AC1" s="1288"/>
    </row>
    <row r="2" spans="2:33" x14ac:dyDescent="0.25">
      <c r="B2" s="1289" t="s">
        <v>1383</v>
      </c>
      <c r="C2" s="1289"/>
      <c r="D2" s="1289"/>
      <c r="E2" s="1289"/>
      <c r="F2" s="1289"/>
      <c r="G2" s="1289"/>
      <c r="H2" s="1289"/>
      <c r="I2" s="1289"/>
      <c r="J2" s="1289"/>
      <c r="K2" s="1289"/>
      <c r="L2" s="1289"/>
      <c r="M2" s="1289"/>
      <c r="N2" s="1289"/>
      <c r="O2" s="1289"/>
      <c r="P2" s="1289"/>
      <c r="Q2" s="1289"/>
      <c r="R2" s="1289"/>
      <c r="S2" s="1289"/>
      <c r="T2" s="1289"/>
      <c r="U2" s="1289"/>
      <c r="V2" s="1289"/>
      <c r="W2" s="1289"/>
      <c r="X2" s="1289"/>
      <c r="Y2" s="1289"/>
      <c r="Z2" s="1289"/>
      <c r="AA2" s="1289"/>
      <c r="AB2" s="1289"/>
      <c r="AC2" s="1289"/>
    </row>
    <row r="3" spans="2:33" x14ac:dyDescent="0.25">
      <c r="B3" s="1289"/>
      <c r="C3" s="1289"/>
      <c r="D3" s="1289"/>
      <c r="E3" s="1289"/>
      <c r="F3" s="1289"/>
      <c r="G3" s="1289"/>
      <c r="H3" s="1289"/>
      <c r="I3" s="1289"/>
      <c r="J3" s="1289"/>
      <c r="K3" s="1289"/>
      <c r="L3" s="1289"/>
      <c r="M3" s="1289"/>
      <c r="N3" s="1289"/>
      <c r="O3" s="1289"/>
      <c r="P3" s="1289"/>
      <c r="Q3" s="1289"/>
      <c r="R3" s="1289"/>
      <c r="S3" s="1289"/>
      <c r="T3" s="1289"/>
      <c r="U3" s="1289"/>
      <c r="V3" s="1289"/>
      <c r="W3" s="1289"/>
      <c r="X3" s="1289"/>
      <c r="Y3" s="1289"/>
      <c r="Z3" s="1289"/>
      <c r="AA3" s="1289"/>
      <c r="AB3" s="1289"/>
      <c r="AC3" s="1289"/>
    </row>
    <row r="4" spans="2:33" x14ac:dyDescent="0.25">
      <c r="B4" s="1289"/>
      <c r="C4" s="1289"/>
      <c r="D4" s="1289"/>
      <c r="E4" s="1289"/>
      <c r="F4" s="1289"/>
      <c r="G4" s="1289"/>
      <c r="H4" s="1289"/>
      <c r="I4" s="1289"/>
      <c r="J4" s="1289"/>
      <c r="K4" s="1289"/>
      <c r="L4" s="1289"/>
      <c r="M4" s="1289"/>
      <c r="N4" s="1289"/>
      <c r="O4" s="1289"/>
      <c r="P4" s="1289"/>
      <c r="Q4" s="1289"/>
      <c r="R4" s="1289"/>
      <c r="S4" s="1289"/>
      <c r="T4" s="1289"/>
      <c r="U4" s="1289"/>
      <c r="V4" s="1289"/>
      <c r="W4" s="1289"/>
      <c r="X4" s="1289"/>
      <c r="Y4" s="1289"/>
      <c r="Z4" s="1289"/>
      <c r="AA4" s="1289"/>
      <c r="AB4" s="1289"/>
      <c r="AC4" s="1289"/>
    </row>
    <row r="5" spans="2:33" x14ac:dyDescent="0.25">
      <c r="B5" s="389"/>
      <c r="C5" s="230"/>
      <c r="D5" s="230"/>
      <c r="E5" s="230"/>
      <c r="F5" s="230"/>
      <c r="G5" s="230"/>
      <c r="H5" s="230"/>
      <c r="I5" s="230"/>
      <c r="J5" s="230"/>
      <c r="K5" s="230"/>
      <c r="L5" s="230"/>
      <c r="M5" s="230"/>
      <c r="N5" s="230"/>
      <c r="O5" s="230"/>
      <c r="P5" s="230"/>
      <c r="Q5" s="230"/>
      <c r="R5" s="230"/>
      <c r="S5" s="230"/>
      <c r="T5" s="230"/>
      <c r="U5" s="230"/>
      <c r="V5" s="230"/>
      <c r="W5" s="230"/>
      <c r="X5" s="230"/>
      <c r="Y5" s="230"/>
    </row>
    <row r="6" spans="2:33" x14ac:dyDescent="0.25">
      <c r="B6" s="1293" t="s">
        <v>1697</v>
      </c>
      <c r="C6" s="1354"/>
      <c r="D6" s="1297" t="s">
        <v>280</v>
      </c>
      <c r="E6" s="1310"/>
      <c r="F6" s="1310"/>
      <c r="G6" s="1310"/>
      <c r="H6" s="1310"/>
      <c r="I6" s="1310"/>
      <c r="J6" s="1310"/>
      <c r="K6" s="1310"/>
      <c r="L6" s="1310"/>
      <c r="M6" s="1310"/>
      <c r="N6" s="1310"/>
      <c r="O6" s="1310"/>
      <c r="P6" s="1310"/>
      <c r="Q6" s="1311"/>
      <c r="R6" s="1311"/>
      <c r="S6" s="1311"/>
      <c r="T6" s="1311"/>
      <c r="U6" s="1311"/>
      <c r="V6" s="1296"/>
      <c r="W6" s="1340" t="s">
        <v>281</v>
      </c>
      <c r="X6" s="1330"/>
      <c r="Y6" s="1330"/>
      <c r="Z6" s="1330"/>
      <c r="AA6" s="1330"/>
      <c r="AB6" s="1330"/>
      <c r="AC6" s="1330"/>
      <c r="AD6" s="1330"/>
      <c r="AE6" s="1330"/>
      <c r="AF6" s="1330"/>
      <c r="AG6" s="1330"/>
    </row>
    <row r="7" spans="2:33" x14ac:dyDescent="0.25">
      <c r="B7" s="1295"/>
      <c r="C7" s="1296"/>
      <c r="D7" s="204">
        <v>2018</v>
      </c>
      <c r="E7" s="1290">
        <v>2019</v>
      </c>
      <c r="F7" s="1291"/>
      <c r="G7" s="1291"/>
      <c r="H7" s="1292"/>
      <c r="I7" s="1290">
        <v>2020</v>
      </c>
      <c r="J7" s="1291"/>
      <c r="K7" s="1291"/>
      <c r="L7" s="1291"/>
      <c r="M7" s="1290">
        <v>2021</v>
      </c>
      <c r="N7" s="1291"/>
      <c r="O7" s="1291"/>
      <c r="P7" s="1291"/>
      <c r="Q7" s="1319">
        <v>2022</v>
      </c>
      <c r="R7" s="1320"/>
      <c r="S7" s="278"/>
      <c r="T7" s="278"/>
      <c r="U7" s="229"/>
      <c r="V7" s="278">
        <v>2023</v>
      </c>
      <c r="W7" s="279"/>
      <c r="X7" s="250"/>
      <c r="Y7" s="1300">
        <v>2024</v>
      </c>
      <c r="Z7" s="1312"/>
      <c r="AA7" s="1312"/>
      <c r="AB7" s="1301"/>
      <c r="AC7" s="1299">
        <v>2025</v>
      </c>
      <c r="AD7" s="1312"/>
      <c r="AE7" s="1312"/>
      <c r="AF7" s="1301"/>
      <c r="AG7" s="493">
        <v>2026</v>
      </c>
    </row>
    <row r="8" spans="2:33" x14ac:dyDescent="0.25">
      <c r="B8" s="1297"/>
      <c r="C8" s="1298"/>
      <c r="D8" s="204" t="s">
        <v>282</v>
      </c>
      <c r="E8" s="204" t="s">
        <v>283</v>
      </c>
      <c r="F8" s="205" t="s">
        <v>284</v>
      </c>
      <c r="G8" s="205" t="s">
        <v>238</v>
      </c>
      <c r="H8" s="206" t="s">
        <v>282</v>
      </c>
      <c r="I8" s="205" t="s">
        <v>283</v>
      </c>
      <c r="J8" s="205" t="s">
        <v>284</v>
      </c>
      <c r="K8" s="205" t="s">
        <v>238</v>
      </c>
      <c r="L8" s="205" t="s">
        <v>282</v>
      </c>
      <c r="M8" s="204" t="s">
        <v>283</v>
      </c>
      <c r="N8" s="205" t="s">
        <v>284</v>
      </c>
      <c r="O8" s="205" t="s">
        <v>238</v>
      </c>
      <c r="P8" s="205" t="s">
        <v>282</v>
      </c>
      <c r="Q8" s="275" t="s">
        <v>283</v>
      </c>
      <c r="R8" s="276" t="s">
        <v>284</v>
      </c>
      <c r="S8" s="276" t="s">
        <v>238</v>
      </c>
      <c r="T8" s="276" t="s">
        <v>282</v>
      </c>
      <c r="U8" s="275" t="s">
        <v>283</v>
      </c>
      <c r="V8" s="276" t="s">
        <v>284</v>
      </c>
      <c r="W8" s="260" t="s">
        <v>238</v>
      </c>
      <c r="X8" s="261" t="s">
        <v>282</v>
      </c>
      <c r="Y8" s="260" t="s">
        <v>283</v>
      </c>
      <c r="Z8" s="257" t="s">
        <v>284</v>
      </c>
      <c r="AA8" s="260" t="s">
        <v>238</v>
      </c>
      <c r="AB8" s="260" t="s">
        <v>282</v>
      </c>
      <c r="AC8" s="259" t="s">
        <v>283</v>
      </c>
      <c r="AD8" s="257" t="s">
        <v>284</v>
      </c>
      <c r="AE8" s="260" t="s">
        <v>238</v>
      </c>
      <c r="AF8" s="260" t="s">
        <v>282</v>
      </c>
      <c r="AG8" s="259" t="s">
        <v>283</v>
      </c>
    </row>
    <row r="9" spans="2:33" x14ac:dyDescent="0.25">
      <c r="B9" s="73" t="s">
        <v>1382</v>
      </c>
      <c r="C9" s="643"/>
      <c r="D9" s="644"/>
      <c r="E9" s="643"/>
      <c r="F9" s="643"/>
      <c r="G9" s="643"/>
      <c r="H9" s="643"/>
      <c r="I9" s="643"/>
      <c r="J9" s="645"/>
      <c r="K9" s="645"/>
      <c r="L9" s="645"/>
      <c r="M9" s="645"/>
      <c r="N9" s="645"/>
      <c r="O9" s="645"/>
      <c r="P9" s="645"/>
      <c r="Q9" s="623"/>
      <c r="R9" s="624">
        <v>0</v>
      </c>
      <c r="S9" s="625">
        <v>0</v>
      </c>
      <c r="T9" s="624">
        <v>0</v>
      </c>
      <c r="U9" s="624">
        <v>0</v>
      </c>
      <c r="V9" s="624">
        <v>0</v>
      </c>
      <c r="W9" s="624">
        <v>-7.7999999999999999E-4</v>
      </c>
      <c r="X9" s="624">
        <v>-7.7999999999999999E-4</v>
      </c>
      <c r="Y9" s="624">
        <v>-9.5E-4</v>
      </c>
      <c r="Z9" s="624">
        <v>-9.5E-4</v>
      </c>
      <c r="AA9" s="624">
        <v>-9.5E-4</v>
      </c>
      <c r="AB9" s="624">
        <v>-9.5E-4</v>
      </c>
      <c r="AC9" s="624">
        <v>-9.3999999999999997E-4</v>
      </c>
      <c r="AD9" s="624">
        <v>-9.3999999999999997E-4</v>
      </c>
      <c r="AE9" s="624">
        <v>-9.3999999999999997E-4</v>
      </c>
      <c r="AF9" s="624">
        <v>-9.3999999999999997E-4</v>
      </c>
      <c r="AG9" s="625">
        <v>-9.3999999999999997E-4</v>
      </c>
    </row>
    <row r="10" spans="2:33" x14ac:dyDescent="0.25">
      <c r="B10" s="35" t="s">
        <v>1381</v>
      </c>
      <c r="C10" s="253"/>
      <c r="D10" s="570"/>
      <c r="E10" s="253"/>
      <c r="F10" s="253"/>
      <c r="G10" s="253"/>
      <c r="H10" s="253"/>
      <c r="I10" s="253"/>
      <c r="J10" s="622"/>
      <c r="K10" s="622"/>
      <c r="L10" s="622"/>
      <c r="M10" s="622"/>
      <c r="N10" s="622"/>
      <c r="O10" s="622"/>
      <c r="P10" s="622"/>
      <c r="Q10" s="622"/>
      <c r="R10" s="621"/>
      <c r="S10" s="621"/>
      <c r="T10" s="621"/>
      <c r="U10" s="621">
        <v>26095</v>
      </c>
      <c r="V10" s="621">
        <v>26404</v>
      </c>
      <c r="W10" s="621">
        <v>26686</v>
      </c>
      <c r="X10" s="621">
        <v>26931</v>
      </c>
      <c r="Y10" s="621">
        <v>27174</v>
      </c>
      <c r="Z10" s="621">
        <v>27411</v>
      </c>
      <c r="AA10" s="621">
        <v>27647</v>
      </c>
      <c r="AB10" s="621">
        <v>27893</v>
      </c>
      <c r="AC10" s="621">
        <v>28143</v>
      </c>
      <c r="AD10" s="621">
        <v>28400</v>
      </c>
      <c r="AE10" s="621">
        <v>28649</v>
      </c>
      <c r="AF10" s="621">
        <v>28910</v>
      </c>
      <c r="AG10" s="621">
        <v>28910</v>
      </c>
    </row>
    <row r="11" spans="2:33" x14ac:dyDescent="0.25">
      <c r="B11" s="35" t="s">
        <v>312</v>
      </c>
      <c r="C11" s="528"/>
      <c r="D11" s="527"/>
      <c r="E11" s="528"/>
      <c r="F11" s="528"/>
      <c r="G11" s="528"/>
      <c r="H11" s="528"/>
      <c r="I11" s="528"/>
      <c r="J11" s="642">
        <v>45</v>
      </c>
      <c r="K11" s="642">
        <v>45</v>
      </c>
      <c r="L11" s="642">
        <v>45</v>
      </c>
      <c r="M11" s="642">
        <v>45</v>
      </c>
      <c r="N11" s="642">
        <v>45</v>
      </c>
      <c r="O11" s="642">
        <v>45</v>
      </c>
      <c r="P11" s="642">
        <v>45</v>
      </c>
      <c r="Q11" s="642">
        <v>45</v>
      </c>
      <c r="R11" s="641">
        <v>45</v>
      </c>
      <c r="S11" s="641">
        <v>45</v>
      </c>
      <c r="T11" s="641">
        <v>45</v>
      </c>
      <c r="U11" s="646">
        <v>45</v>
      </c>
      <c r="V11" s="646">
        <v>45</v>
      </c>
      <c r="W11" s="646">
        <f>W9*W10*(-1)*0.1</f>
        <v>2.0815079999999999</v>
      </c>
      <c r="X11" s="646">
        <f t="shared" ref="X11:AG11" si="0">X9*X10*(-1)*0.1</f>
        <v>2.1006180000000003</v>
      </c>
      <c r="Y11" s="646">
        <f t="shared" si="0"/>
        <v>2.5815300000000003</v>
      </c>
      <c r="Z11" s="646">
        <f t="shared" si="0"/>
        <v>2.6040450000000002</v>
      </c>
      <c r="AA11" s="646">
        <f t="shared" si="0"/>
        <v>2.626465</v>
      </c>
      <c r="AB11" s="646">
        <f t="shared" si="0"/>
        <v>2.6498349999999999</v>
      </c>
      <c r="AC11" s="646">
        <f t="shared" si="0"/>
        <v>2.6454420000000001</v>
      </c>
      <c r="AD11" s="646">
        <f t="shared" si="0"/>
        <v>2.6696</v>
      </c>
      <c r="AE11" s="646">
        <f t="shared" si="0"/>
        <v>2.693006</v>
      </c>
      <c r="AF11" s="646">
        <f t="shared" si="0"/>
        <v>2.7175400000000001</v>
      </c>
      <c r="AG11" s="646">
        <f t="shared" si="0"/>
        <v>2.7175400000000001</v>
      </c>
    </row>
    <row r="12" spans="2:33" x14ac:dyDescent="0.25">
      <c r="B12" s="35"/>
      <c r="C12" s="253"/>
      <c r="D12" s="253"/>
      <c r="E12" s="253"/>
      <c r="F12" s="253"/>
      <c r="G12" s="253"/>
      <c r="H12" s="253"/>
      <c r="I12" s="253"/>
      <c r="J12" s="622"/>
      <c r="K12" s="622"/>
      <c r="L12" s="622"/>
      <c r="M12" s="622"/>
      <c r="N12" s="622"/>
      <c r="O12" s="622"/>
      <c r="P12" s="622"/>
      <c r="Q12" s="622"/>
      <c r="R12" s="621"/>
      <c r="S12" s="621"/>
      <c r="T12" s="621"/>
      <c r="U12" s="70"/>
      <c r="V12" s="70"/>
      <c r="W12" s="70"/>
      <c r="X12" s="70"/>
      <c r="Y12" s="70"/>
      <c r="Z12" s="70"/>
      <c r="AA12" s="70"/>
      <c r="AB12" s="70"/>
      <c r="AC12" s="70"/>
      <c r="AD12" s="70"/>
      <c r="AE12" s="70"/>
      <c r="AF12" s="70"/>
      <c r="AG12" s="70"/>
    </row>
    <row r="13" spans="2:33" x14ac:dyDescent="0.25">
      <c r="B13" s="230"/>
      <c r="C13" s="230"/>
      <c r="D13" s="230"/>
      <c r="E13" s="230"/>
      <c r="F13" s="230"/>
      <c r="G13" s="230"/>
      <c r="H13" s="230"/>
      <c r="I13" s="230"/>
      <c r="J13" s="230"/>
      <c r="K13" s="230"/>
      <c r="L13" s="230"/>
      <c r="M13" s="230"/>
      <c r="N13" s="230"/>
      <c r="O13" s="230"/>
      <c r="P13" s="230"/>
      <c r="Q13" s="230"/>
      <c r="R13" s="230"/>
      <c r="S13" s="230"/>
      <c r="T13" s="230"/>
      <c r="U13" s="230"/>
      <c r="V13" s="230"/>
      <c r="W13" s="230"/>
      <c r="X13" s="230"/>
      <c r="Y13" s="230"/>
      <c r="Z13" s="35"/>
      <c r="AA13" s="35"/>
      <c r="AB13" s="35"/>
      <c r="AC13" s="35"/>
    </row>
    <row r="14" spans="2:33" x14ac:dyDescent="0.25">
      <c r="B14" s="1244" t="s">
        <v>1752</v>
      </c>
      <c r="C14" s="1244"/>
      <c r="D14" s="1244"/>
      <c r="E14" s="1244"/>
      <c r="F14" s="1244"/>
      <c r="G14" s="1244"/>
      <c r="H14" s="1244"/>
      <c r="I14" s="1244"/>
      <c r="J14" s="1244"/>
      <c r="K14" s="1244"/>
      <c r="L14" s="1244"/>
      <c r="M14" s="1244"/>
      <c r="N14" s="1244"/>
      <c r="O14" s="1244"/>
      <c r="P14" s="1244"/>
      <c r="Q14" s="1244"/>
      <c r="R14" s="1244"/>
      <c r="S14" s="1244"/>
      <c r="T14" s="1244"/>
      <c r="U14" s="1244"/>
      <c r="V14" s="1244"/>
      <c r="W14" s="1244"/>
      <c r="X14" s="1244"/>
      <c r="Y14" s="1244"/>
      <c r="Z14" s="1244"/>
      <c r="AA14" s="1244"/>
      <c r="AB14" s="1244"/>
      <c r="AC14" s="1244"/>
      <c r="AD14" s="1244"/>
      <c r="AE14" s="1244"/>
      <c r="AF14" s="1244"/>
    </row>
    <row r="15" spans="2:33" x14ac:dyDescent="0.25">
      <c r="B15" s="1293" t="s">
        <v>1696</v>
      </c>
      <c r="C15" s="1354"/>
      <c r="D15" s="1359" t="s">
        <v>280</v>
      </c>
      <c r="E15" s="1360"/>
      <c r="F15" s="1360"/>
      <c r="G15" s="1360"/>
      <c r="H15" s="1360"/>
      <c r="I15" s="1360"/>
      <c r="J15" s="1360"/>
      <c r="K15" s="1360"/>
      <c r="L15" s="1360"/>
      <c r="M15" s="1360"/>
      <c r="N15" s="1360"/>
      <c r="O15" s="1360"/>
      <c r="P15" s="1360"/>
      <c r="Q15" s="1360"/>
      <c r="R15" s="1360"/>
      <c r="S15" s="1360"/>
      <c r="T15" s="1360"/>
      <c r="U15" s="1360"/>
      <c r="V15" s="1360"/>
      <c r="W15" s="1330" t="s">
        <v>281</v>
      </c>
      <c r="X15" s="1330"/>
      <c r="Y15" s="1330"/>
      <c r="Z15" s="1330"/>
      <c r="AA15" s="1330"/>
      <c r="AB15" s="1330"/>
      <c r="AC15" s="1330"/>
      <c r="AD15" s="1330"/>
      <c r="AE15" s="1330"/>
      <c r="AF15" s="1330"/>
      <c r="AG15" s="1330"/>
    </row>
    <row r="16" spans="2:33" x14ac:dyDescent="0.25">
      <c r="B16" s="1295"/>
      <c r="C16" s="1296"/>
      <c r="D16" s="204">
        <v>2018</v>
      </c>
      <c r="E16" s="1290">
        <v>2019</v>
      </c>
      <c r="F16" s="1291"/>
      <c r="G16" s="1291"/>
      <c r="H16" s="1292"/>
      <c r="I16" s="1290">
        <v>2020</v>
      </c>
      <c r="J16" s="1291"/>
      <c r="K16" s="1291"/>
      <c r="L16" s="1291"/>
      <c r="M16" s="1290">
        <v>2021</v>
      </c>
      <c r="N16" s="1291"/>
      <c r="O16" s="1291"/>
      <c r="P16" s="1291"/>
      <c r="Q16" s="1319">
        <v>2022</v>
      </c>
      <c r="R16" s="1383"/>
      <c r="S16" s="278"/>
      <c r="T16" s="286"/>
      <c r="U16" s="229"/>
      <c r="V16" s="278">
        <v>2023</v>
      </c>
      <c r="W16" s="543"/>
      <c r="X16" s="543"/>
      <c r="Y16" s="1299">
        <v>2024</v>
      </c>
      <c r="Z16" s="1312"/>
      <c r="AA16" s="1312"/>
      <c r="AB16" s="1301"/>
      <c r="AC16" s="1299">
        <v>2025</v>
      </c>
      <c r="AD16" s="1312"/>
      <c r="AE16" s="1312"/>
      <c r="AF16" s="1301"/>
      <c r="AG16" s="493">
        <v>2026</v>
      </c>
    </row>
    <row r="17" spans="2:33" x14ac:dyDescent="0.25">
      <c r="B17" s="1297"/>
      <c r="C17" s="1298"/>
      <c r="D17" s="204" t="s">
        <v>282</v>
      </c>
      <c r="E17" s="204" t="s">
        <v>283</v>
      </c>
      <c r="F17" s="205" t="s">
        <v>284</v>
      </c>
      <c r="G17" s="205" t="s">
        <v>238</v>
      </c>
      <c r="H17" s="206" t="s">
        <v>282</v>
      </c>
      <c r="I17" s="205" t="s">
        <v>283</v>
      </c>
      <c r="J17" s="205" t="s">
        <v>284</v>
      </c>
      <c r="K17" s="205" t="s">
        <v>238</v>
      </c>
      <c r="L17" s="205" t="s">
        <v>282</v>
      </c>
      <c r="M17" s="204" t="s">
        <v>283</v>
      </c>
      <c r="N17" s="205" t="s">
        <v>284</v>
      </c>
      <c r="O17" s="205" t="s">
        <v>238</v>
      </c>
      <c r="P17" s="205" t="s">
        <v>282</v>
      </c>
      <c r="Q17" s="275" t="s">
        <v>283</v>
      </c>
      <c r="R17" s="276" t="s">
        <v>284</v>
      </c>
      <c r="S17" s="276" t="s">
        <v>238</v>
      </c>
      <c r="T17" s="274" t="s">
        <v>282</v>
      </c>
      <c r="U17" s="275" t="s">
        <v>283</v>
      </c>
      <c r="V17" s="276" t="s">
        <v>284</v>
      </c>
      <c r="W17" s="260" t="s">
        <v>238</v>
      </c>
      <c r="X17" s="260" t="s">
        <v>282</v>
      </c>
      <c r="Y17" s="259" t="s">
        <v>283</v>
      </c>
      <c r="Z17" s="257" t="s">
        <v>284</v>
      </c>
      <c r="AA17" s="260" t="s">
        <v>238</v>
      </c>
      <c r="AB17" s="261" t="s">
        <v>282</v>
      </c>
      <c r="AC17" s="259" t="s">
        <v>283</v>
      </c>
      <c r="AD17" s="257" t="s">
        <v>284</v>
      </c>
      <c r="AE17" s="260" t="s">
        <v>238</v>
      </c>
      <c r="AF17" s="260" t="s">
        <v>282</v>
      </c>
      <c r="AG17" s="259" t="s">
        <v>283</v>
      </c>
    </row>
    <row r="18" spans="2:33" x14ac:dyDescent="0.25">
      <c r="B18" s="73" t="s">
        <v>1382</v>
      </c>
      <c r="C18" s="629"/>
      <c r="D18" s="630"/>
      <c r="E18" s="629"/>
      <c r="F18" s="629"/>
      <c r="G18" s="629"/>
      <c r="H18" s="629"/>
      <c r="I18" s="629"/>
      <c r="J18" s="631"/>
      <c r="K18" s="631"/>
      <c r="L18" s="631"/>
      <c r="M18" s="631"/>
      <c r="N18" s="631"/>
      <c r="O18" s="631"/>
      <c r="P18" s="631"/>
      <c r="Q18" s="631"/>
      <c r="R18" s="632">
        <v>0</v>
      </c>
      <c r="S18" s="626">
        <v>0</v>
      </c>
      <c r="T18" s="628">
        <v>0</v>
      </c>
      <c r="U18" s="628">
        <v>-7.7999999999999999E-4</v>
      </c>
      <c r="V18" s="628">
        <v>-7.7999999999999999E-4</v>
      </c>
      <c r="W18" s="628">
        <v>-7.7999999999999999E-4</v>
      </c>
      <c r="X18" s="628">
        <v>-7.7999999999999999E-4</v>
      </c>
      <c r="Y18" s="628">
        <v>-9.5E-4</v>
      </c>
      <c r="Z18" s="628">
        <v>-9.5E-4</v>
      </c>
      <c r="AA18" s="628">
        <v>-9.5E-4</v>
      </c>
      <c r="AB18" s="628">
        <v>-9.5E-4</v>
      </c>
      <c r="AC18" s="628">
        <v>-9.3999999999999997E-4</v>
      </c>
      <c r="AD18" s="628">
        <v>-9.3999999999999997E-4</v>
      </c>
      <c r="AE18" s="628">
        <v>-9.3999999999999997E-4</v>
      </c>
      <c r="AF18" s="628">
        <v>-9.3999999999999997E-4</v>
      </c>
      <c r="AG18" s="626">
        <v>-9.3999999999999997E-4</v>
      </c>
    </row>
    <row r="19" spans="2:33" x14ac:dyDescent="0.25">
      <c r="B19" s="35" t="s">
        <v>1381</v>
      </c>
      <c r="C19" s="633"/>
      <c r="D19" s="634"/>
      <c r="E19" s="633"/>
      <c r="F19" s="633"/>
      <c r="G19" s="633"/>
      <c r="H19" s="633"/>
      <c r="I19" s="633"/>
      <c r="J19" s="635"/>
      <c r="K19" s="635"/>
      <c r="L19" s="635"/>
      <c r="M19" s="635"/>
      <c r="N19" s="635"/>
      <c r="O19" s="635"/>
      <c r="P19" s="635"/>
      <c r="Q19" s="635"/>
      <c r="R19" s="627"/>
      <c r="S19" s="627"/>
      <c r="T19" s="627"/>
      <c r="U19" s="627">
        <v>26095</v>
      </c>
      <c r="V19" s="627">
        <v>26404</v>
      </c>
      <c r="W19" s="627">
        <v>26686</v>
      </c>
      <c r="X19" s="627">
        <v>26931</v>
      </c>
      <c r="Y19" s="627">
        <v>27174</v>
      </c>
      <c r="Z19" s="627">
        <v>27411</v>
      </c>
      <c r="AA19" s="627">
        <v>27647</v>
      </c>
      <c r="AB19" s="627">
        <v>27893</v>
      </c>
      <c r="AC19" s="627">
        <v>28143</v>
      </c>
      <c r="AD19" s="627">
        <v>28400</v>
      </c>
      <c r="AE19" s="627">
        <v>28649</v>
      </c>
      <c r="AF19" s="627">
        <v>28910</v>
      </c>
      <c r="AG19" s="627">
        <v>28910</v>
      </c>
    </row>
    <row r="20" spans="2:33" x14ac:dyDescent="0.25">
      <c r="B20" s="35" t="s">
        <v>312</v>
      </c>
      <c r="C20" s="636"/>
      <c r="D20" s="637"/>
      <c r="E20" s="636"/>
      <c r="F20" s="636"/>
      <c r="G20" s="636"/>
      <c r="H20" s="636"/>
      <c r="I20" s="636"/>
      <c r="J20" s="638"/>
      <c r="K20" s="638"/>
      <c r="L20" s="638"/>
      <c r="M20" s="638"/>
      <c r="N20" s="638"/>
      <c r="O20" s="638"/>
      <c r="P20" s="638"/>
      <c r="Q20" s="638"/>
      <c r="R20" s="639">
        <f>R18*R19</f>
        <v>0</v>
      </c>
      <c r="S20" s="639">
        <f t="shared" ref="S20:T20" si="1">S18*S19</f>
        <v>0</v>
      </c>
      <c r="T20" s="639">
        <f t="shared" si="1"/>
        <v>0</v>
      </c>
      <c r="U20" s="640">
        <f>U18*U19*-1</f>
        <v>20.354099999999999</v>
      </c>
      <c r="V20" s="640">
        <f t="shared" ref="V20:AF20" si="2">V18*V19*-1</f>
        <v>20.595119999999998</v>
      </c>
      <c r="W20" s="640">
        <f t="shared" si="2"/>
        <v>20.815079999999998</v>
      </c>
      <c r="X20" s="640">
        <f t="shared" si="2"/>
        <v>21.006180000000001</v>
      </c>
      <c r="Y20" s="640">
        <f t="shared" si="2"/>
        <v>25.815300000000001</v>
      </c>
      <c r="Z20" s="640">
        <f t="shared" si="2"/>
        <v>26.04045</v>
      </c>
      <c r="AA20" s="640">
        <f t="shared" si="2"/>
        <v>26.26465</v>
      </c>
      <c r="AB20" s="640">
        <f t="shared" si="2"/>
        <v>26.498349999999999</v>
      </c>
      <c r="AC20" s="640">
        <f t="shared" si="2"/>
        <v>26.454419999999999</v>
      </c>
      <c r="AD20" s="640">
        <f t="shared" si="2"/>
        <v>26.695999999999998</v>
      </c>
      <c r="AE20" s="640">
        <f t="shared" si="2"/>
        <v>26.930059999999997</v>
      </c>
      <c r="AF20" s="640">
        <f t="shared" si="2"/>
        <v>27.1754</v>
      </c>
      <c r="AG20" s="640">
        <f t="shared" ref="AG20" si="3">AG18*AG19*-1</f>
        <v>27.1754</v>
      </c>
    </row>
    <row r="23" spans="2:33" x14ac:dyDescent="0.25">
      <c r="C23" t="s">
        <v>1842</v>
      </c>
      <c r="F23" s="620" t="s">
        <v>1841</v>
      </c>
    </row>
  </sheetData>
  <mergeCells count="21">
    <mergeCell ref="B14:AF14"/>
    <mergeCell ref="B15:C17"/>
    <mergeCell ref="E16:H16"/>
    <mergeCell ref="I16:L16"/>
    <mergeCell ref="M16:P16"/>
    <mergeCell ref="Q16:R16"/>
    <mergeCell ref="Y16:AB16"/>
    <mergeCell ref="AC16:AF16"/>
    <mergeCell ref="D15:V15"/>
    <mergeCell ref="W15:AG15"/>
    <mergeCell ref="Y7:AB7"/>
    <mergeCell ref="B1:AC1"/>
    <mergeCell ref="B2:AC4"/>
    <mergeCell ref="B6:C8"/>
    <mergeCell ref="E7:H7"/>
    <mergeCell ref="I7:L7"/>
    <mergeCell ref="M7:P7"/>
    <mergeCell ref="Q7:R7"/>
    <mergeCell ref="D6:V6"/>
    <mergeCell ref="AC7:AF7"/>
    <mergeCell ref="W6:AG6"/>
  </mergeCells>
  <hyperlinks>
    <hyperlink ref="F23" r:id="rId1" xr:uid="{00000000-0004-0000-1300-000000000000}"/>
  </hyperlinks>
  <pageMargins left="0.7" right="0.7" top="0.75" bottom="0.75" header="0.3" footer="0.3"/>
  <pageSetup paperSize="9" orientation="portrait" horizontalDpi="300" verticalDpi="300"/>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CW104"/>
  <sheetViews>
    <sheetView topLeftCell="A82" zoomScale="90" zoomScaleNormal="85" workbookViewId="0">
      <selection activeCell="E111" sqref="E111"/>
    </sheetView>
  </sheetViews>
  <sheetFormatPr defaultColWidth="10.85546875" defaultRowHeight="15" outlineLevelRow="1" x14ac:dyDescent="0.25"/>
  <cols>
    <col min="2" max="2" width="71.140625" customWidth="1"/>
    <col min="6" max="6" width="12.140625" customWidth="1"/>
    <col min="7" max="7" width="10.42578125" customWidth="1"/>
    <col min="9" max="9" width="12" customWidth="1"/>
  </cols>
  <sheetData>
    <row r="1" spans="2:33" ht="18" customHeight="1" x14ac:dyDescent="0.25">
      <c r="B1" s="1385" t="s">
        <v>465</v>
      </c>
      <c r="C1" s="1385"/>
      <c r="D1" s="1385"/>
      <c r="E1" s="1385"/>
      <c r="F1" s="1385"/>
      <c r="G1" s="1385"/>
      <c r="H1" s="1385"/>
      <c r="I1" s="1385"/>
      <c r="J1" s="1385"/>
      <c r="K1" s="1385"/>
      <c r="L1" s="1385"/>
      <c r="M1" s="1385"/>
      <c r="N1" s="1385"/>
      <c r="O1" s="1385"/>
      <c r="P1" s="1385"/>
      <c r="Q1" s="1385"/>
      <c r="R1" s="1385"/>
      <c r="S1" s="1385"/>
      <c r="T1" s="1385"/>
      <c r="U1" s="1385"/>
      <c r="V1" s="1385"/>
      <c r="W1" s="1385"/>
      <c r="X1" s="1385"/>
      <c r="Y1" s="1385"/>
      <c r="Z1" s="1385"/>
      <c r="AA1" s="1385"/>
      <c r="AB1" s="1385"/>
      <c r="AC1" s="1385"/>
    </row>
    <row r="2" spans="2:33" ht="34.5" hidden="1" customHeight="1" outlineLevel="1" x14ac:dyDescent="0.25">
      <c r="B2" s="1289" t="s">
        <v>861</v>
      </c>
      <c r="C2" s="1332"/>
      <c r="D2" s="1332"/>
      <c r="E2" s="1332"/>
      <c r="F2" s="1332"/>
      <c r="G2" s="1332"/>
      <c r="H2" s="1332"/>
      <c r="I2" s="1332"/>
      <c r="J2" s="1332"/>
      <c r="K2" s="1332"/>
      <c r="L2" s="1332"/>
      <c r="M2" s="1332"/>
      <c r="N2" s="1332"/>
      <c r="O2" s="1332"/>
      <c r="P2" s="1332"/>
      <c r="Q2" s="1332"/>
      <c r="R2" s="1332"/>
      <c r="S2" s="1332"/>
      <c r="T2" s="1332"/>
      <c r="U2" s="1332"/>
      <c r="V2" s="1332"/>
      <c r="W2" s="1332"/>
      <c r="X2" s="1332"/>
      <c r="Y2" s="1332"/>
      <c r="Z2" s="1332"/>
      <c r="AA2" s="1332"/>
      <c r="AB2" s="1332"/>
      <c r="AC2" s="1332"/>
    </row>
    <row r="3" spans="2:33" ht="3" hidden="1" customHeight="1" outlineLevel="1" x14ac:dyDescent="0.25">
      <c r="B3" s="1332"/>
      <c r="C3" s="1332"/>
      <c r="D3" s="1332"/>
      <c r="E3" s="1332"/>
      <c r="F3" s="1332"/>
      <c r="G3" s="1332"/>
      <c r="H3" s="1332"/>
      <c r="I3" s="1332"/>
      <c r="J3" s="1332"/>
      <c r="K3" s="1332"/>
      <c r="L3" s="1332"/>
      <c r="M3" s="1332"/>
      <c r="N3" s="1332"/>
      <c r="O3" s="1332"/>
      <c r="P3" s="1332"/>
      <c r="Q3" s="1332"/>
      <c r="R3" s="1332"/>
      <c r="S3" s="1332"/>
      <c r="T3" s="1332"/>
      <c r="U3" s="1332"/>
      <c r="V3" s="1332"/>
      <c r="W3" s="1332"/>
      <c r="X3" s="1332"/>
      <c r="Y3" s="1332"/>
      <c r="Z3" s="1332"/>
      <c r="AA3" s="1332"/>
      <c r="AB3" s="1332"/>
      <c r="AC3" s="1332"/>
    </row>
    <row r="4" spans="2:33" ht="10.35" hidden="1" customHeight="1" outlineLevel="1" x14ac:dyDescent="0.25">
      <c r="B4" s="1332"/>
      <c r="C4" s="1332"/>
      <c r="D4" s="1332"/>
      <c r="E4" s="1332"/>
      <c r="F4" s="1332"/>
      <c r="G4" s="1332"/>
      <c r="H4" s="1332"/>
      <c r="I4" s="1332"/>
      <c r="J4" s="1332"/>
      <c r="K4" s="1332"/>
      <c r="L4" s="1332"/>
      <c r="M4" s="1332"/>
      <c r="N4" s="1332"/>
      <c r="O4" s="1332"/>
      <c r="P4" s="1332"/>
      <c r="Q4" s="1332"/>
      <c r="R4" s="1332"/>
      <c r="S4" s="1332"/>
      <c r="T4" s="1332"/>
      <c r="U4" s="1332"/>
      <c r="V4" s="1332"/>
      <c r="W4" s="1332"/>
      <c r="X4" s="1332"/>
      <c r="Y4" s="1332"/>
      <c r="Z4" s="1332"/>
      <c r="AA4" s="1332"/>
      <c r="AB4" s="1332"/>
      <c r="AC4" s="1332"/>
    </row>
    <row r="5" spans="2:33" ht="14.25" hidden="1" customHeight="1" outlineLevel="1" x14ac:dyDescent="0.25">
      <c r="B5" s="1332"/>
      <c r="C5" s="1332"/>
      <c r="D5" s="1332"/>
      <c r="E5" s="1332"/>
      <c r="F5" s="1332"/>
      <c r="G5" s="1332"/>
      <c r="H5" s="1332"/>
      <c r="I5" s="1332"/>
      <c r="J5" s="1332"/>
      <c r="K5" s="1332"/>
      <c r="L5" s="1332"/>
      <c r="M5" s="1332"/>
      <c r="N5" s="1332"/>
      <c r="O5" s="1332"/>
      <c r="P5" s="1332"/>
      <c r="Q5" s="1332"/>
      <c r="R5" s="1332"/>
      <c r="S5" s="1332"/>
      <c r="T5" s="1332"/>
      <c r="U5" s="1332"/>
      <c r="V5" s="1332"/>
      <c r="W5" s="1332"/>
      <c r="X5" s="1332"/>
      <c r="Y5" s="1332"/>
      <c r="Z5" s="1332"/>
      <c r="AA5" s="1332"/>
      <c r="AB5" s="1332"/>
      <c r="AC5" s="1332"/>
    </row>
    <row r="6" spans="2:33" ht="14.25" hidden="1" customHeight="1" outlineLevel="1" x14ac:dyDescent="0.25">
      <c r="B6" s="1332"/>
      <c r="C6" s="1332"/>
      <c r="D6" s="1332"/>
      <c r="E6" s="1332"/>
      <c r="F6" s="1332"/>
      <c r="G6" s="1332"/>
      <c r="H6" s="1332"/>
      <c r="I6" s="1332"/>
      <c r="J6" s="1332"/>
      <c r="K6" s="1332"/>
      <c r="L6" s="1332"/>
      <c r="M6" s="1332"/>
      <c r="N6" s="1332"/>
      <c r="O6" s="1332"/>
      <c r="P6" s="1332"/>
      <c r="Q6" s="1332"/>
      <c r="R6" s="1332"/>
      <c r="S6" s="1332"/>
      <c r="T6" s="1332"/>
      <c r="U6" s="1332"/>
      <c r="V6" s="1332"/>
      <c r="W6" s="1332"/>
      <c r="X6" s="1332"/>
      <c r="Y6" s="1332"/>
      <c r="Z6" s="1332"/>
      <c r="AA6" s="1332"/>
      <c r="AB6" s="1332"/>
      <c r="AC6" s="1332"/>
    </row>
    <row r="7" spans="2:33" collapsed="1" x14ac:dyDescent="0.25">
      <c r="B7" s="716" t="s">
        <v>333</v>
      </c>
      <c r="C7" s="255"/>
      <c r="D7" s="255"/>
      <c r="E7" s="255"/>
      <c r="F7" s="255"/>
      <c r="G7" s="255"/>
      <c r="H7" s="256"/>
      <c r="I7" s="256"/>
      <c r="J7" s="256"/>
      <c r="K7" s="256"/>
      <c r="L7" s="256"/>
      <c r="M7" s="256"/>
      <c r="N7" s="256"/>
      <c r="O7" s="256"/>
      <c r="P7" s="256"/>
      <c r="Q7" s="256"/>
      <c r="R7" s="256"/>
      <c r="S7" s="256"/>
      <c r="T7" s="256"/>
      <c r="U7" s="256"/>
    </row>
    <row r="8" spans="2:33" ht="14.85" customHeight="1" x14ac:dyDescent="0.25">
      <c r="B8" s="676" t="s">
        <v>304</v>
      </c>
      <c r="C8" s="677"/>
      <c r="D8" s="680" t="s">
        <v>280</v>
      </c>
      <c r="E8" s="681"/>
      <c r="F8" s="681"/>
      <c r="G8" s="681"/>
      <c r="H8" s="681"/>
      <c r="I8" s="681"/>
      <c r="J8" s="681"/>
      <c r="K8" s="681"/>
      <c r="L8" s="681"/>
      <c r="M8" s="681"/>
      <c r="N8" s="681"/>
      <c r="O8" s="681"/>
      <c r="P8" s="1310"/>
      <c r="Q8" s="1310"/>
      <c r="R8" s="1310"/>
      <c r="S8" s="1310"/>
      <c r="T8" s="1310"/>
      <c r="U8" s="1310"/>
      <c r="V8" s="1298"/>
      <c r="W8" s="1328" t="s">
        <v>281</v>
      </c>
      <c r="X8" s="1329"/>
      <c r="Y8" s="1329"/>
      <c r="Z8" s="1329"/>
      <c r="AA8" s="1329"/>
      <c r="AB8" s="1329"/>
      <c r="AC8" s="1329"/>
      <c r="AD8" s="1329"/>
      <c r="AE8" s="1329"/>
      <c r="AF8" s="1329"/>
      <c r="AG8" s="1329"/>
    </row>
    <row r="9" spans="2:33" ht="14.85" customHeight="1" x14ac:dyDescent="0.25">
      <c r="B9" s="678"/>
      <c r="C9" s="679"/>
      <c r="D9" s="209">
        <v>2018</v>
      </c>
      <c r="E9" s="1302">
        <v>2019</v>
      </c>
      <c r="F9" s="1303"/>
      <c r="G9" s="1303"/>
      <c r="H9" s="1304"/>
      <c r="I9" s="1302">
        <v>2020</v>
      </c>
      <c r="J9" s="1303"/>
      <c r="K9" s="1303"/>
      <c r="L9" s="1303"/>
      <c r="M9" s="1302">
        <v>2021</v>
      </c>
      <c r="N9" s="1303"/>
      <c r="O9" s="1303"/>
      <c r="P9" s="1303"/>
      <c r="Q9" s="1302">
        <v>2022</v>
      </c>
      <c r="R9" s="1325"/>
      <c r="S9" s="1325"/>
      <c r="T9" s="1304"/>
      <c r="U9" s="278"/>
      <c r="V9" s="278">
        <v>2023</v>
      </c>
      <c r="W9" s="543"/>
      <c r="X9" s="250"/>
      <c r="Y9" s="1299">
        <v>2024</v>
      </c>
      <c r="Z9" s="1312"/>
      <c r="AA9" s="1312"/>
      <c r="AB9" s="1301"/>
      <c r="AC9" s="1299">
        <v>2025</v>
      </c>
      <c r="AD9" s="1312"/>
      <c r="AE9" s="1312"/>
      <c r="AF9" s="1300"/>
      <c r="AG9" s="316">
        <v>2026</v>
      </c>
    </row>
    <row r="10" spans="2:33" x14ac:dyDescent="0.25">
      <c r="B10" s="678"/>
      <c r="C10" s="679"/>
      <c r="D10" s="204" t="s">
        <v>282</v>
      </c>
      <c r="E10" s="204" t="s">
        <v>283</v>
      </c>
      <c r="F10" s="205" t="s">
        <v>284</v>
      </c>
      <c r="G10" s="205" t="s">
        <v>238</v>
      </c>
      <c r="H10" s="206" t="s">
        <v>282</v>
      </c>
      <c r="I10" s="205" t="s">
        <v>283</v>
      </c>
      <c r="J10" s="205" t="s">
        <v>284</v>
      </c>
      <c r="K10" s="205" t="s">
        <v>238</v>
      </c>
      <c r="L10" s="205" t="s">
        <v>282</v>
      </c>
      <c r="M10" s="204" t="s">
        <v>283</v>
      </c>
      <c r="N10" s="205" t="s">
        <v>284</v>
      </c>
      <c r="O10" s="205" t="s">
        <v>238</v>
      </c>
      <c r="P10" s="205" t="s">
        <v>282</v>
      </c>
      <c r="Q10" s="204" t="s">
        <v>283</v>
      </c>
      <c r="R10" s="205" t="s">
        <v>284</v>
      </c>
      <c r="S10" s="205" t="s">
        <v>238</v>
      </c>
      <c r="T10" s="206" t="s">
        <v>282</v>
      </c>
      <c r="U10" s="205" t="s">
        <v>283</v>
      </c>
      <c r="V10" s="276" t="s">
        <v>284</v>
      </c>
      <c r="W10" s="260" t="s">
        <v>238</v>
      </c>
      <c r="X10" s="261" t="s">
        <v>282</v>
      </c>
      <c r="Y10" s="259" t="s">
        <v>283</v>
      </c>
      <c r="Z10" s="257" t="s">
        <v>284</v>
      </c>
      <c r="AA10" s="260" t="s">
        <v>238</v>
      </c>
      <c r="AB10" s="260" t="s">
        <v>282</v>
      </c>
      <c r="AC10" s="259" t="s">
        <v>283</v>
      </c>
      <c r="AD10" s="257" t="s">
        <v>284</v>
      </c>
      <c r="AE10" s="260" t="s">
        <v>238</v>
      </c>
      <c r="AF10" s="260" t="s">
        <v>282</v>
      </c>
      <c r="AG10" s="316" t="s">
        <v>283</v>
      </c>
    </row>
    <row r="11" spans="2:33" x14ac:dyDescent="0.25">
      <c r="B11" s="1387" t="s">
        <v>466</v>
      </c>
      <c r="C11" s="1388"/>
      <c r="D11" s="647"/>
      <c r="E11" s="709"/>
      <c r="F11" s="709"/>
      <c r="G11" s="709"/>
      <c r="H11" s="298"/>
      <c r="I11" s="298"/>
      <c r="J11" s="298"/>
      <c r="K11" s="298"/>
      <c r="L11" s="298"/>
      <c r="M11" s="562"/>
      <c r="N11" s="562"/>
      <c r="O11" s="562"/>
      <c r="P11" s="298"/>
      <c r="Q11" s="298"/>
      <c r="R11" s="298"/>
      <c r="S11" s="298"/>
      <c r="T11" s="277"/>
      <c r="U11" s="298"/>
      <c r="V11" s="298"/>
      <c r="W11" s="207"/>
      <c r="X11" s="207"/>
      <c r="Y11" s="207"/>
      <c r="Z11" s="207"/>
      <c r="AA11" s="207"/>
      <c r="AB11" s="207"/>
      <c r="AC11" s="208"/>
    </row>
    <row r="12" spans="2:33" ht="17.100000000000001" customHeight="1" x14ac:dyDescent="0.25">
      <c r="B12" s="660" t="s">
        <v>467</v>
      </c>
      <c r="C12" s="230" t="s">
        <v>468</v>
      </c>
      <c r="D12" s="582">
        <f>'Haver Pivoted'!GO31</f>
        <v>2223</v>
      </c>
      <c r="E12" s="542">
        <f>'Haver Pivoted'!GP31</f>
        <v>2303.6</v>
      </c>
      <c r="F12" s="542">
        <f>'Haver Pivoted'!GQ31</f>
        <v>2320.1</v>
      </c>
      <c r="G12" s="542">
        <f>'Haver Pivoted'!GR31</f>
        <v>2332.9</v>
      </c>
      <c r="H12" s="542">
        <f>'Haver Pivoted'!GS31</f>
        <v>2346.6</v>
      </c>
      <c r="I12" s="542">
        <f>'Haver Pivoted'!GT31</f>
        <v>2412.6</v>
      </c>
      <c r="J12" s="542">
        <f>'Haver Pivoted'!GU31</f>
        <v>4652.1000000000004</v>
      </c>
      <c r="K12" s="542">
        <f>'Haver Pivoted'!GV31</f>
        <v>3508</v>
      </c>
      <c r="L12" s="542">
        <f>'Haver Pivoted'!GW31</f>
        <v>2895.4</v>
      </c>
      <c r="M12" s="542">
        <f>'Haver Pivoted'!GX31</f>
        <v>5127.3999999999996</v>
      </c>
      <c r="N12" s="542">
        <f>'Haver Pivoted'!GY31</f>
        <v>3403.8</v>
      </c>
      <c r="O12" s="542">
        <f>'Haver Pivoted'!GZ31</f>
        <v>3135</v>
      </c>
      <c r="P12" s="542">
        <f>'Haver Pivoted'!HA31</f>
        <v>2947.7</v>
      </c>
      <c r="Q12" s="542">
        <f>'Haver Pivoted'!HB31</f>
        <v>2903.2</v>
      </c>
      <c r="R12" s="542">
        <f>'Haver Pivoted'!HC31</f>
        <v>2895.2</v>
      </c>
      <c r="S12" s="545">
        <f>'Haver Pivoted'!HD31</f>
        <v>2867.4</v>
      </c>
      <c r="T12" s="545">
        <f>'Haver Pivoted'!HE31</f>
        <v>2896.7</v>
      </c>
      <c r="U12" s="545">
        <f>'Haver Pivoted'!HF31</f>
        <v>2945.8</v>
      </c>
      <c r="V12" s="545">
        <f>'Haver Pivoted'!HG31</f>
        <v>2929.7</v>
      </c>
      <c r="W12" s="545">
        <f>'Haver Pivoted'!HH31</f>
        <v>2930.1</v>
      </c>
      <c r="X12" s="545">
        <f>'Haver Pivoted'!HI31</f>
        <v>2934</v>
      </c>
      <c r="Y12" s="545">
        <f>'Haver Pivoted'!HJ31</f>
        <v>3041.2</v>
      </c>
      <c r="Z12" s="662">
        <f t="shared" ref="Z12:AC12" si="0">SUM(Z14:Z31)-Z30</f>
        <v>3047.7543662535622</v>
      </c>
      <c r="AA12" s="662">
        <f t="shared" si="0"/>
        <v>3070.3154408548799</v>
      </c>
      <c r="AB12" s="662">
        <f t="shared" si="0"/>
        <v>3088.1743067979696</v>
      </c>
      <c r="AC12" s="708">
        <f t="shared" si="0"/>
        <v>3142.7522280418652</v>
      </c>
    </row>
    <row r="13" spans="2:33" x14ac:dyDescent="0.25">
      <c r="B13" s="450"/>
      <c r="C13" s="230"/>
      <c r="D13" s="582"/>
      <c r="E13" s="542"/>
      <c r="F13" s="542"/>
      <c r="G13" s="542"/>
      <c r="H13" s="542"/>
      <c r="I13" s="542"/>
      <c r="J13" s="542"/>
      <c r="K13" s="542"/>
      <c r="L13" s="542"/>
      <c r="M13" s="542"/>
      <c r="N13" s="542"/>
      <c r="O13" s="542"/>
      <c r="P13" s="230"/>
      <c r="Q13" s="224"/>
      <c r="R13" s="224"/>
      <c r="S13" s="224"/>
      <c r="T13" s="224"/>
      <c r="U13" s="224"/>
      <c r="V13" s="224"/>
      <c r="W13" s="224"/>
      <c r="X13" s="316"/>
      <c r="Y13" s="316"/>
      <c r="Z13" s="316"/>
      <c r="AA13" s="316"/>
      <c r="AB13" s="316"/>
      <c r="AC13" s="422"/>
    </row>
    <row r="14" spans="2:33" x14ac:dyDescent="0.25">
      <c r="B14" s="656" t="s">
        <v>1843</v>
      </c>
      <c r="C14" s="230"/>
      <c r="D14" s="582">
        <f>'Unemployment Insurance'!D20+'Unemployment Insurance'!D19</f>
        <v>27.1</v>
      </c>
      <c r="E14" s="542">
        <f>'Unemployment Insurance'!E20+'Unemployment Insurance'!E19</f>
        <v>30.5</v>
      </c>
      <c r="F14" s="542">
        <f>'Unemployment Insurance'!F20+'Unemployment Insurance'!F19</f>
        <v>27.7</v>
      </c>
      <c r="G14" s="542">
        <f>'Unemployment Insurance'!G20+'Unemployment Insurance'!G19</f>
        <v>25</v>
      </c>
      <c r="H14" s="542">
        <f>'Unemployment Insurance'!H20+'Unemployment Insurance'!H19</f>
        <v>26.7</v>
      </c>
      <c r="I14" s="542">
        <f>'Unemployment Insurance'!I20+'Unemployment Insurance'!I19</f>
        <v>40.9</v>
      </c>
      <c r="J14" s="542">
        <f>'Unemployment Insurance'!J20+'Unemployment Insurance'!J19</f>
        <v>951.4</v>
      </c>
      <c r="K14" s="542">
        <f>'Unemployment Insurance'!K20+'Unemployment Insurance'!K19</f>
        <v>802.3</v>
      </c>
      <c r="L14" s="542">
        <f>'Unemployment Insurance'!L20+'Unemployment Insurance'!L19</f>
        <v>323.5</v>
      </c>
      <c r="M14" s="542">
        <f>'Unemployment Insurance'!M20+'Unemployment Insurance'!M19</f>
        <v>583.5</v>
      </c>
      <c r="N14" s="542">
        <f>'Unemployment Insurance'!N20+'Unemployment Insurance'!N19</f>
        <v>451.8</v>
      </c>
      <c r="O14" s="542">
        <f>'Unemployment Insurance'!O20+'Unemployment Insurance'!O19</f>
        <v>226.8</v>
      </c>
      <c r="P14" s="542">
        <f>'Unemployment Insurance'!P20+'Unemployment Insurance'!P19</f>
        <v>33.9</v>
      </c>
      <c r="Q14" s="542">
        <f>'Unemployment Insurance'!Q20+'Unemployment Insurance'!Q19</f>
        <v>26.2</v>
      </c>
      <c r="R14" s="542">
        <f>'Unemployment Insurance'!R20+'Unemployment Insurance'!R19</f>
        <v>21.4</v>
      </c>
      <c r="S14" s="542">
        <f>'Unemployment Insurance'!S20+'Unemployment Insurance'!S19</f>
        <v>19.600000000000001</v>
      </c>
      <c r="T14" s="542">
        <f>'Unemployment Insurance'!T20+'Unemployment Insurance'!T19</f>
        <v>22.1</v>
      </c>
      <c r="U14" s="542">
        <f>'Unemployment Insurance'!U20+'Unemployment Insurance'!U19</f>
        <v>22</v>
      </c>
      <c r="V14" s="545">
        <f>V15+V16</f>
        <v>22.62857142857143</v>
      </c>
      <c r="W14" s="545">
        <f>W15+W16</f>
        <v>22.62857142857143</v>
      </c>
      <c r="X14" s="545">
        <f>X15+X16</f>
        <v>22.7</v>
      </c>
      <c r="Y14" s="545">
        <f>Y15+Y16</f>
        <v>22.7</v>
      </c>
      <c r="Z14" s="662">
        <f>'Unemployment Insurance'!Z20+'Unemployment Insurance'!Z19</f>
        <v>22.5</v>
      </c>
      <c r="AA14" s="662">
        <f>'Unemployment Insurance'!AA20+'Unemployment Insurance'!AA19</f>
        <v>22.5</v>
      </c>
      <c r="AB14" s="662">
        <f>'Unemployment Insurance'!AB20+'Unemployment Insurance'!AB19</f>
        <v>22.5</v>
      </c>
      <c r="AC14" s="708">
        <f>'Unemployment Insurance'!AC20+'Unemployment Insurance'!AC19</f>
        <v>22.5</v>
      </c>
    </row>
    <row r="15" spans="2:33" x14ac:dyDescent="0.25">
      <c r="B15" s="406" t="s">
        <v>203</v>
      </c>
      <c r="C15" s="230"/>
      <c r="D15" s="582"/>
      <c r="E15" s="542"/>
      <c r="F15" s="542"/>
      <c r="G15" s="542"/>
      <c r="H15" s="542"/>
      <c r="I15" s="542"/>
      <c r="J15" s="542"/>
      <c r="K15" s="542"/>
      <c r="L15" s="542"/>
      <c r="M15" s="542"/>
      <c r="N15" s="542"/>
      <c r="O15" s="542"/>
      <c r="P15" s="542"/>
      <c r="Q15" s="542"/>
      <c r="R15" s="542"/>
      <c r="S15" s="542"/>
      <c r="T15" s="542"/>
      <c r="U15" s="542"/>
      <c r="V15" s="545">
        <f>'Unemployment Insurance'!V19</f>
        <v>0</v>
      </c>
      <c r="W15" s="545">
        <f>'Unemployment Insurance'!W19</f>
        <v>0</v>
      </c>
      <c r="X15" s="545">
        <f>'Unemployment Insurance'!X19</f>
        <v>0.28514285714285847</v>
      </c>
      <c r="Y15" s="545">
        <f>'Unemployment Insurance'!Y19</f>
        <v>-0.55714285714286049</v>
      </c>
      <c r="Z15" s="662"/>
      <c r="AA15" s="662"/>
      <c r="AB15" s="662"/>
      <c r="AC15" s="708"/>
    </row>
    <row r="16" spans="2:33" x14ac:dyDescent="0.25">
      <c r="B16" s="406" t="s">
        <v>205</v>
      </c>
      <c r="C16" s="230"/>
      <c r="D16" s="582"/>
      <c r="E16" s="542"/>
      <c r="F16" s="542"/>
      <c r="G16" s="542"/>
      <c r="H16" s="542"/>
      <c r="I16" s="542"/>
      <c r="J16" s="542"/>
      <c r="K16" s="542"/>
      <c r="L16" s="542"/>
      <c r="M16" s="542"/>
      <c r="N16" s="542"/>
      <c r="O16" s="542"/>
      <c r="P16" s="542"/>
      <c r="Q16" s="542"/>
      <c r="R16" s="542"/>
      <c r="S16" s="542"/>
      <c r="T16" s="542"/>
      <c r="U16" s="542"/>
      <c r="V16" s="545">
        <f>'Unemployment Insurance'!V20</f>
        <v>22.62857142857143</v>
      </c>
      <c r="W16" s="545">
        <f>'Unemployment Insurance'!W20</f>
        <v>22.62857142857143</v>
      </c>
      <c r="X16" s="545">
        <f>'Unemployment Insurance'!X20</f>
        <v>22.414857142857141</v>
      </c>
      <c r="Y16" s="545">
        <f>'Unemployment Insurance'!Y20</f>
        <v>23.25714285714286</v>
      </c>
      <c r="Z16" s="662"/>
      <c r="AA16" s="662"/>
      <c r="AB16" s="662"/>
      <c r="AC16" s="708"/>
    </row>
    <row r="17" spans="2:101" ht="17.850000000000001" customHeight="1" x14ac:dyDescent="0.25">
      <c r="B17" s="656" t="s">
        <v>55</v>
      </c>
      <c r="C17" s="230"/>
      <c r="D17" s="582">
        <f>Medicare!D10</f>
        <v>755</v>
      </c>
      <c r="E17" s="542">
        <f>Medicare!E10</f>
        <v>771.9</v>
      </c>
      <c r="F17" s="542">
        <f>Medicare!F10</f>
        <v>785.3</v>
      </c>
      <c r="G17" s="542">
        <f>Medicare!G10</f>
        <v>793.9</v>
      </c>
      <c r="H17" s="542">
        <f>Medicare!H10</f>
        <v>797.9</v>
      </c>
      <c r="I17" s="542">
        <f>Medicare!I10</f>
        <v>798.4</v>
      </c>
      <c r="J17" s="542">
        <f>Medicare!J10</f>
        <v>811.1</v>
      </c>
      <c r="K17" s="542">
        <f>Medicare!K10</f>
        <v>823.1</v>
      </c>
      <c r="L17" s="542">
        <f>Medicare!L10</f>
        <v>834.5</v>
      </c>
      <c r="M17" s="542">
        <f>Medicare!M10</f>
        <v>849.4</v>
      </c>
      <c r="N17" s="542">
        <f>Medicare!N10</f>
        <v>865.6</v>
      </c>
      <c r="O17" s="542">
        <f>Medicare!O10</f>
        <v>882.6</v>
      </c>
      <c r="P17" s="542">
        <f>Medicare!P10</f>
        <v>900.3</v>
      </c>
      <c r="Q17" s="542">
        <f>Medicare!Q10</f>
        <v>918.2</v>
      </c>
      <c r="R17" s="542">
        <f>Medicare!R10</f>
        <v>924.7</v>
      </c>
      <c r="S17" s="542">
        <f>Medicare!S10</f>
        <v>927.2</v>
      </c>
      <c r="T17" s="542">
        <f>Medicare!T10</f>
        <v>934.2</v>
      </c>
      <c r="U17" s="542">
        <f>Medicare!U10</f>
        <v>938.1</v>
      </c>
      <c r="V17" s="542">
        <f>Medicare!V10</f>
        <v>941.9</v>
      </c>
      <c r="W17" s="542">
        <f>Medicare!W10</f>
        <v>946.3</v>
      </c>
      <c r="X17" s="662">
        <f>Medicare!X10</f>
        <v>951.3</v>
      </c>
      <c r="Y17" s="662">
        <f>Medicare!Y10</f>
        <v>965.3</v>
      </c>
      <c r="Z17" s="662">
        <f>Medicare!Z10</f>
        <v>980.56003292022876</v>
      </c>
      <c r="AA17" s="662">
        <f>Medicare!AA10</f>
        <v>996.18777418821298</v>
      </c>
      <c r="AB17" s="662">
        <f>Medicare!AB10</f>
        <v>1008.812306797969</v>
      </c>
      <c r="AC17" s="708">
        <f>Medicare!AC10</f>
        <v>1021.5968281445319</v>
      </c>
    </row>
    <row r="18" spans="2:101" ht="18" customHeight="1" x14ac:dyDescent="0.25">
      <c r="B18" s="657" t="s">
        <v>469</v>
      </c>
      <c r="C18" s="230"/>
      <c r="D18" s="265"/>
      <c r="E18" s="224"/>
      <c r="F18" s="224"/>
      <c r="G18" s="224"/>
      <c r="H18" s="542">
        <f>'Rebate Checks (expired)'!H10 +'Rebate Checks (expired)'!H11</f>
        <v>0</v>
      </c>
      <c r="I18" s="542">
        <f>'Rebate Checks (expired)'!I10 +'Rebate Checks (expired)'!I11</f>
        <v>0</v>
      </c>
      <c r="J18" s="542">
        <f>'Rebate Checks (expired)'!J10 +'Rebate Checks (expired)'!J11</f>
        <v>1078.0999999999999</v>
      </c>
      <c r="K18" s="542">
        <f>'Rebate Checks (expired)'!K10 +'Rebate Checks (expired)'!K11</f>
        <v>15.6</v>
      </c>
      <c r="L18" s="542">
        <f>'Rebate Checks (expired)'!L10 +'Rebate Checks (expired)'!L11</f>
        <v>5</v>
      </c>
      <c r="M18" s="542">
        <f>'Rebate Checks (expired)'!M10 +'Rebate Checks (expired)'!M11</f>
        <v>1933.6999999999998</v>
      </c>
      <c r="N18" s="542">
        <f>'Rebate Checks (expired)'!N10 +'Rebate Checks (expired)'!N11</f>
        <v>290.10000000000002</v>
      </c>
      <c r="O18" s="542">
        <f>'Rebate Checks (expired)'!O10 +'Rebate Checks (expired)'!O11</f>
        <v>38.9</v>
      </c>
      <c r="P18" s="542">
        <f>'Rebate Checks (expired)'!P10 +'Rebate Checks (expired)'!P11</f>
        <v>14.2</v>
      </c>
      <c r="Q18" s="542">
        <f>'Rebate Checks (expired)'!Q10 +'Rebate Checks (expired)'!Q11</f>
        <v>0</v>
      </c>
      <c r="R18" s="542">
        <f>'Rebate Checks (expired)'!Q10 +'Rebate Checks (expired)'!R11</f>
        <v>0</v>
      </c>
      <c r="S18" s="542">
        <f>'Rebate Checks (expired)'!S10 +'Rebate Checks (expired)'!S11</f>
        <v>0</v>
      </c>
      <c r="T18" s="542">
        <f>'Rebate Checks (expired)'!T10 +'Rebate Checks (expired)'!T11</f>
        <v>0</v>
      </c>
      <c r="U18" s="542">
        <f>'Rebate Checks (expired)'!U10 +'Rebate Checks (expired)'!U11</f>
        <v>0</v>
      </c>
      <c r="V18" s="545">
        <f>V19+V20</f>
        <v>0</v>
      </c>
      <c r="W18" s="545">
        <f>W19+W20</f>
        <v>0</v>
      </c>
      <c r="X18" s="545">
        <f>X19+X20</f>
        <v>0</v>
      </c>
      <c r="Y18" s="545">
        <f>Y19+Y20</f>
        <v>0</v>
      </c>
      <c r="Z18" s="662">
        <f>'Rebate Checks (expired)'!Z10 +'Rebate Checks (expired)'!Z11</f>
        <v>0</v>
      </c>
      <c r="AA18" s="662">
        <f>'Rebate Checks (expired)'!AA10 +'Rebate Checks (expired)'!AA11</f>
        <v>0</v>
      </c>
      <c r="AB18" s="662">
        <f>'Rebate Checks (expired)'!AB10 +'Rebate Checks (expired)'!AB11</f>
        <v>0</v>
      </c>
      <c r="AC18" s="708">
        <f>'Rebate Checks (expired)'!AC10 +'Rebate Checks (expired)'!AC11</f>
        <v>0</v>
      </c>
    </row>
    <row r="19" spans="2:101" ht="18" customHeight="1" x14ac:dyDescent="0.25">
      <c r="B19" s="658" t="s">
        <v>1844</v>
      </c>
      <c r="C19" s="230"/>
      <c r="D19" s="265"/>
      <c r="E19" s="224"/>
      <c r="F19" s="224"/>
      <c r="G19" s="224"/>
      <c r="H19" s="542"/>
      <c r="I19" s="542"/>
      <c r="J19" s="542"/>
      <c r="K19" s="542"/>
      <c r="L19" s="542"/>
      <c r="M19" s="542"/>
      <c r="N19" s="542"/>
      <c r="O19" s="542"/>
      <c r="P19" s="542"/>
      <c r="Q19" s="542"/>
      <c r="R19" s="542"/>
      <c r="S19" s="542"/>
      <c r="T19" s="542"/>
      <c r="U19" s="542"/>
      <c r="V19" s="542">
        <v>0</v>
      </c>
      <c r="W19" s="542"/>
      <c r="X19" s="662"/>
      <c r="Y19" s="662"/>
      <c r="Z19" s="662"/>
      <c r="AA19" s="662"/>
      <c r="AB19" s="662"/>
      <c r="AC19" s="708"/>
    </row>
    <row r="20" spans="2:101" ht="18" customHeight="1" x14ac:dyDescent="0.25">
      <c r="B20" s="658" t="s">
        <v>1845</v>
      </c>
      <c r="C20" s="230"/>
      <c r="D20" s="265"/>
      <c r="E20" s="224"/>
      <c r="F20" s="224"/>
      <c r="G20" s="224"/>
      <c r="H20" s="542"/>
      <c r="I20" s="542"/>
      <c r="J20" s="542"/>
      <c r="K20" s="542"/>
      <c r="L20" s="542"/>
      <c r="M20" s="542"/>
      <c r="N20" s="542"/>
      <c r="O20" s="542"/>
      <c r="P20" s="542"/>
      <c r="Q20" s="542"/>
      <c r="R20" s="542"/>
      <c r="S20" s="542"/>
      <c r="T20" s="542"/>
      <c r="U20" s="542"/>
      <c r="V20" s="542">
        <v>0</v>
      </c>
      <c r="W20" s="542"/>
      <c r="X20" s="662"/>
      <c r="Y20" s="662"/>
      <c r="Z20" s="662"/>
      <c r="AA20" s="662"/>
      <c r="AB20" s="662"/>
      <c r="AC20" s="708"/>
    </row>
    <row r="21" spans="2:101" ht="18" customHeight="1" x14ac:dyDescent="0.25">
      <c r="B21" s="659" t="s">
        <v>49</v>
      </c>
      <c r="C21" s="230"/>
      <c r="D21" s="264">
        <f>'Provider Relief (expired)'!D11</f>
        <v>0</v>
      </c>
      <c r="E21" s="220">
        <f>'Provider Relief (expired)'!E11</f>
        <v>0</v>
      </c>
      <c r="F21" s="220">
        <f>'Provider Relief (expired)'!F11</f>
        <v>0</v>
      </c>
      <c r="G21" s="220">
        <f>'Provider Relief (expired)'!G11</f>
        <v>0</v>
      </c>
      <c r="H21" s="220">
        <f>'Provider Relief (expired)'!H11</f>
        <v>0</v>
      </c>
      <c r="I21" s="220">
        <f>'Provider Relief (expired)'!I11</f>
        <v>0</v>
      </c>
      <c r="J21" s="220">
        <f>'Provider Relief (expired)'!J11</f>
        <v>160.9</v>
      </c>
      <c r="K21" s="220">
        <f>'Provider Relief (expired)'!K11</f>
        <v>58.4</v>
      </c>
      <c r="L21" s="220">
        <f>'Provider Relief (expired)'!L11</f>
        <v>34.5</v>
      </c>
      <c r="M21" s="220">
        <f>'Provider Relief (expired)'!M11</f>
        <v>21.4</v>
      </c>
      <c r="N21" s="220">
        <f>'Provider Relief (expired)'!N11</f>
        <v>13.3</v>
      </c>
      <c r="O21" s="220">
        <f>'Provider Relief (expired)'!O11</f>
        <v>18.7</v>
      </c>
      <c r="P21" s="220">
        <f>'Provider Relief (expired)'!P11</f>
        <v>32.200000000000003</v>
      </c>
      <c r="Q21" s="220">
        <f>'Provider Relief (expired)'!Q11</f>
        <v>26.9</v>
      </c>
      <c r="R21" s="220">
        <f>'Provider Relief (expired)'!R11</f>
        <v>20</v>
      </c>
      <c r="S21" s="220">
        <f>'Provider Relief (expired)'!S11</f>
        <v>8.1</v>
      </c>
      <c r="T21" s="220">
        <f>'Provider Relief (expired)'!T11</f>
        <v>4.9000000000000004</v>
      </c>
      <c r="U21" s="220">
        <v>0</v>
      </c>
      <c r="V21" s="542">
        <v>0</v>
      </c>
      <c r="W21" s="542">
        <v>0</v>
      </c>
      <c r="X21" s="662">
        <v>0</v>
      </c>
      <c r="Y21" s="662">
        <v>0</v>
      </c>
      <c r="Z21" s="662">
        <v>0</v>
      </c>
      <c r="AA21" s="662">
        <v>0</v>
      </c>
      <c r="AB21" s="662">
        <v>0</v>
      </c>
      <c r="AC21" s="662">
        <v>0</v>
      </c>
      <c r="AD21" s="662">
        <v>0</v>
      </c>
      <c r="AE21" s="662">
        <v>0</v>
      </c>
      <c r="AF21" s="662">
        <v>0</v>
      </c>
      <c r="AG21" s="662">
        <v>0</v>
      </c>
    </row>
    <row r="22" spans="2:101" ht="18" customHeight="1" x14ac:dyDescent="0.25">
      <c r="B22" s="450" t="s">
        <v>1846</v>
      </c>
      <c r="C22" s="230"/>
      <c r="D22" s="264"/>
      <c r="E22" s="220"/>
      <c r="F22" s="220"/>
      <c r="G22" s="220"/>
      <c r="H22" s="220"/>
      <c r="I22" s="220"/>
      <c r="J22" s="220"/>
      <c r="K22" s="220"/>
      <c r="L22" s="220"/>
      <c r="M22" s="220"/>
      <c r="N22" s="220"/>
      <c r="O22" s="220"/>
      <c r="P22" s="220"/>
      <c r="Q22" s="220"/>
      <c r="R22" s="220"/>
      <c r="S22" s="220"/>
      <c r="T22" s="220"/>
      <c r="U22" s="220"/>
      <c r="V22" s="542"/>
      <c r="W22" s="542"/>
      <c r="X22" s="662"/>
      <c r="Y22" s="662"/>
      <c r="Z22" s="662"/>
      <c r="AA22" s="662"/>
      <c r="AB22" s="662"/>
      <c r="AC22" s="708"/>
    </row>
    <row r="23" spans="2:101" ht="18" customHeight="1" x14ac:dyDescent="0.25">
      <c r="B23" s="450" t="s">
        <v>1847</v>
      </c>
      <c r="C23" s="230"/>
      <c r="D23" s="264"/>
      <c r="E23" s="220"/>
      <c r="F23" s="220"/>
      <c r="G23" s="220"/>
      <c r="H23" s="220"/>
      <c r="I23" s="220"/>
      <c r="J23" s="220"/>
      <c r="K23" s="220"/>
      <c r="L23" s="220"/>
      <c r="M23" s="220"/>
      <c r="N23" s="220"/>
      <c r="O23" s="220"/>
      <c r="P23" s="220"/>
      <c r="Q23" s="220"/>
      <c r="R23" s="220"/>
      <c r="S23" s="220"/>
      <c r="T23" s="220"/>
      <c r="U23" s="220"/>
      <c r="V23" s="542"/>
      <c r="W23" s="542"/>
      <c r="X23" s="662"/>
      <c r="Y23" s="662"/>
      <c r="Z23" s="662"/>
      <c r="AA23" s="662"/>
      <c r="AB23" s="662"/>
      <c r="AC23" s="708"/>
    </row>
    <row r="24" spans="2:101" ht="20.100000000000001" customHeight="1" x14ac:dyDescent="0.25">
      <c r="B24" s="258" t="s">
        <v>472</v>
      </c>
      <c r="C24" s="253"/>
      <c r="D24" s="710"/>
      <c r="E24" s="622"/>
      <c r="F24" s="622"/>
      <c r="G24" s="622"/>
      <c r="H24" s="539"/>
      <c r="I24" s="539"/>
      <c r="J24" s="539"/>
      <c r="K24" s="539"/>
      <c r="L24" s="539"/>
      <c r="M24" s="539">
        <f>'ARP Quarterly'!C5</f>
        <v>0</v>
      </c>
      <c r="N24" s="539">
        <f>'ARP Quarterly'!D5</f>
        <v>33.921840000000024</v>
      </c>
      <c r="O24" s="539">
        <f>'ARP Quarterly'!E5</f>
        <v>44.966160000000031</v>
      </c>
      <c r="P24" s="539">
        <f>'ARP Quarterly'!F5</f>
        <v>52.756999999999998</v>
      </c>
      <c r="Q24" s="539">
        <f>'ARP Quarterly'!G5</f>
        <v>52.756999999999998</v>
      </c>
      <c r="R24" s="539">
        <f>'ARP Quarterly'!H5</f>
        <v>52.756999999999998</v>
      </c>
      <c r="S24" s="539">
        <f>'ARP Quarterly'!I5</f>
        <v>52.756999999999998</v>
      </c>
      <c r="T24" s="539">
        <v>30</v>
      </c>
      <c r="U24" s="539">
        <f>'ARP Quarterly'!K5</f>
        <v>12</v>
      </c>
      <c r="V24" s="539">
        <f>'ARP Quarterly'!L5</f>
        <v>12</v>
      </c>
      <c r="W24" s="539">
        <f>'ARP Quarterly'!M5</f>
        <v>12</v>
      </c>
      <c r="X24" s="544">
        <f>'ARP Quarterly'!N5</f>
        <v>4.2219999999999995</v>
      </c>
      <c r="Y24" s="544">
        <f>'ARP Quarterly'!O5</f>
        <v>4.2219999999999995</v>
      </c>
      <c r="Z24" s="544">
        <f>'ARP Quarterly'!P5</f>
        <v>4.2219999999999995</v>
      </c>
      <c r="AA24" s="544">
        <f>'ARP Quarterly'!Q5</f>
        <v>4.2219999999999995</v>
      </c>
      <c r="AB24" s="544">
        <f>'ARP Quarterly'!R5</f>
        <v>2.3719999999999999</v>
      </c>
      <c r="AC24" s="544">
        <f>'ARP Quarterly'!S5</f>
        <v>2.3719999999999999</v>
      </c>
      <c r="AD24" s="544">
        <f>'ARP Quarterly'!T5</f>
        <v>2.3719999999999999</v>
      </c>
      <c r="AE24" s="544">
        <f>'ARP Quarterly'!U5</f>
        <v>2.3719999999999999</v>
      </c>
      <c r="AF24" s="544">
        <f>'ARP Quarterly'!V5</f>
        <v>0.49</v>
      </c>
      <c r="AG24" s="492">
        <v>0</v>
      </c>
    </row>
    <row r="25" spans="2:101" ht="22.35" customHeight="1" x14ac:dyDescent="0.25">
      <c r="B25" s="238" t="s">
        <v>218</v>
      </c>
      <c r="C25" s="666"/>
      <c r="D25" s="264"/>
      <c r="E25" s="220"/>
      <c r="F25" s="220"/>
      <c r="G25" s="220"/>
      <c r="H25" s="220"/>
      <c r="I25" s="220"/>
      <c r="J25" s="220"/>
      <c r="K25" s="220"/>
      <c r="L25" s="220"/>
      <c r="M25" s="542">
        <f>'ARP Quarterly'!C4</f>
        <v>0</v>
      </c>
      <c r="N25" s="542">
        <f>'ARP Quarterly'!D4</f>
        <v>0</v>
      </c>
      <c r="O25" s="542">
        <f>'ARP Quarterly'!E4</f>
        <v>3.1040000000000418</v>
      </c>
      <c r="P25" s="542">
        <f>'ARP Quarterly'!F4</f>
        <v>19.719000000000005</v>
      </c>
      <c r="Q25" s="542">
        <f>'ARP Quarterly'!G4</f>
        <v>19.719000000000005</v>
      </c>
      <c r="R25" s="542">
        <f>'ARP Quarterly'!H4</f>
        <v>19.719000000000005</v>
      </c>
      <c r="S25" s="542">
        <f>'ARP Quarterly'!I4</f>
        <v>19.719000000000005</v>
      </c>
      <c r="T25" s="542">
        <f>'ARP Quarterly'!J4</f>
        <v>1.4159999999999999</v>
      </c>
      <c r="U25" s="542">
        <f>'ARP Quarterly'!K4</f>
        <v>1.4159999999999999</v>
      </c>
      <c r="V25" s="542">
        <f>'ARP Quarterly'!L4</f>
        <v>1.4159999999999999</v>
      </c>
      <c r="W25" s="542">
        <f>'ARP Quarterly'!M4</f>
        <v>1.4159999999999999</v>
      </c>
      <c r="X25" s="662">
        <f>'ARP Quarterly'!N4</f>
        <v>1.4790000000000001</v>
      </c>
      <c r="Y25" s="662">
        <f>'ARP Quarterly'!O4</f>
        <v>1.4790000000000001</v>
      </c>
      <c r="Z25" s="662">
        <f>'ARP Quarterly'!P4</f>
        <v>1.4790000000000001</v>
      </c>
      <c r="AA25" s="662">
        <f>'ARP Quarterly'!Q4</f>
        <v>1.4790000000000001</v>
      </c>
      <c r="AB25" s="662">
        <f>'ARP Quarterly'!R4</f>
        <v>1.63</v>
      </c>
      <c r="AC25" s="662">
        <f>'ARP Quarterly'!S4</f>
        <v>1.63</v>
      </c>
      <c r="AD25" s="662">
        <f>'ARP Quarterly'!T4</f>
        <v>1.63</v>
      </c>
      <c r="AE25" s="662">
        <f>'ARP Quarterly'!U4</f>
        <v>1.63</v>
      </c>
      <c r="AF25" s="662">
        <f>'ARP Quarterly'!V4</f>
        <v>1.671</v>
      </c>
      <c r="AG25" s="663">
        <v>0</v>
      </c>
      <c r="AH25" s="666"/>
      <c r="AI25" s="666"/>
      <c r="AJ25" s="666"/>
      <c r="AK25" s="666"/>
      <c r="AL25" s="666"/>
      <c r="AM25" s="666"/>
      <c r="AN25" s="666"/>
      <c r="AO25" s="666"/>
      <c r="AP25" s="666"/>
      <c r="AQ25" s="666"/>
      <c r="AR25" s="666"/>
      <c r="AS25" s="666"/>
      <c r="AT25" s="666"/>
      <c r="AU25" s="666"/>
      <c r="AV25" s="666"/>
      <c r="AW25" s="666"/>
      <c r="AX25" s="666"/>
      <c r="AY25" s="666"/>
      <c r="AZ25" s="666"/>
      <c r="BA25" s="666"/>
      <c r="BB25" s="666"/>
      <c r="BC25" s="666"/>
      <c r="BD25" s="666"/>
      <c r="BE25" s="666"/>
      <c r="BF25" s="666"/>
      <c r="BG25" s="666"/>
      <c r="BH25" s="666"/>
      <c r="BI25" s="666"/>
      <c r="BJ25" s="666"/>
      <c r="BK25" s="666"/>
      <c r="BL25" s="666"/>
      <c r="BM25" s="666"/>
      <c r="BN25" s="666"/>
      <c r="BO25" s="666"/>
      <c r="BP25" s="666"/>
      <c r="BQ25" s="666"/>
      <c r="BR25" s="666"/>
      <c r="BS25" s="666"/>
      <c r="BT25" s="666"/>
      <c r="BU25" s="666"/>
      <c r="BV25" s="666"/>
      <c r="BW25" s="666"/>
      <c r="BX25" s="666"/>
      <c r="BY25" s="666"/>
      <c r="BZ25" s="666"/>
      <c r="CA25" s="666"/>
      <c r="CB25" s="666"/>
      <c r="CC25" s="666"/>
      <c r="CD25" s="666"/>
      <c r="CE25" s="666"/>
      <c r="CF25" s="666"/>
      <c r="CG25" s="666"/>
      <c r="CH25" s="666"/>
      <c r="CI25" s="666"/>
      <c r="CJ25" s="666"/>
      <c r="CK25" s="666"/>
      <c r="CL25" s="666"/>
      <c r="CM25" s="666"/>
      <c r="CN25" s="666"/>
      <c r="CO25" s="666"/>
      <c r="CP25" s="666"/>
      <c r="CQ25" s="666"/>
      <c r="CR25" s="666"/>
      <c r="CS25" s="666"/>
      <c r="CT25" s="666"/>
      <c r="CU25" s="666"/>
      <c r="CV25" s="666"/>
      <c r="CW25" s="666"/>
    </row>
    <row r="26" spans="2:101" ht="36.6" customHeight="1" x14ac:dyDescent="0.25">
      <c r="B26" s="238" t="s">
        <v>1433</v>
      </c>
      <c r="C26" s="230"/>
      <c r="D26" s="265">
        <f>D50</f>
        <v>0</v>
      </c>
      <c r="E26" s="224">
        <f t="shared" ref="E26:AG26" si="1">E50</f>
        <v>0</v>
      </c>
      <c r="F26" s="224">
        <f t="shared" si="1"/>
        <v>0</v>
      </c>
      <c r="G26" s="224">
        <f t="shared" si="1"/>
        <v>0</v>
      </c>
      <c r="H26" s="224">
        <f t="shared" si="1"/>
        <v>0</v>
      </c>
      <c r="I26" s="542">
        <f t="shared" si="1"/>
        <v>6.6417500000000018</v>
      </c>
      <c r="J26" s="542">
        <f t="shared" si="1"/>
        <v>51.388749999999995</v>
      </c>
      <c r="K26" s="542">
        <f t="shared" si="1"/>
        <v>55.337750000000007</v>
      </c>
      <c r="L26" s="542">
        <f t="shared" si="1"/>
        <v>62.597749999999998</v>
      </c>
      <c r="M26" s="542">
        <f t="shared" si="1"/>
        <v>88.07774999999998</v>
      </c>
      <c r="N26" s="542">
        <f t="shared" si="1"/>
        <v>102.89075</v>
      </c>
      <c r="O26" s="542">
        <f t="shared" si="1"/>
        <v>94.404750000000007</v>
      </c>
      <c r="P26" s="542">
        <f t="shared" si="1"/>
        <v>91.919749999999993</v>
      </c>
      <c r="Q26" s="542">
        <f t="shared" si="1"/>
        <v>80.097749999999991</v>
      </c>
      <c r="R26" s="542">
        <f t="shared" si="1"/>
        <v>69.023750000000007</v>
      </c>
      <c r="S26" s="542">
        <f t="shared" si="1"/>
        <v>61.349750000000007</v>
      </c>
      <c r="T26" s="542">
        <f t="shared" si="1"/>
        <v>81.433750000000003</v>
      </c>
      <c r="U26" s="542">
        <f t="shared" si="1"/>
        <v>75.465749999999986</v>
      </c>
      <c r="V26" s="542">
        <f>V50</f>
        <v>48.418749999999996</v>
      </c>
      <c r="W26" s="542">
        <f>W50</f>
        <v>48.349750000000007</v>
      </c>
      <c r="X26" s="662">
        <f t="shared" si="1"/>
        <v>37.400749999999995</v>
      </c>
      <c r="Y26" s="662">
        <f t="shared" si="1"/>
        <v>38.860750000000003</v>
      </c>
      <c r="Z26" s="662">
        <f t="shared" si="1"/>
        <v>38.860750000000003</v>
      </c>
      <c r="AA26" s="662">
        <f t="shared" si="1"/>
        <v>38.860750000000003</v>
      </c>
      <c r="AB26" s="662">
        <f t="shared" si="1"/>
        <v>38.860750000000003</v>
      </c>
      <c r="AC26" s="662">
        <f t="shared" si="1"/>
        <v>38.860750000000003</v>
      </c>
      <c r="AD26" s="662">
        <f t="shared" si="1"/>
        <v>38.860750000000003</v>
      </c>
      <c r="AE26" s="662">
        <f t="shared" si="1"/>
        <v>38.860750000000003</v>
      </c>
      <c r="AF26" s="662">
        <f t="shared" si="1"/>
        <v>38.860750000000003</v>
      </c>
      <c r="AG26" s="662">
        <f t="shared" si="1"/>
        <v>38.860750000000003</v>
      </c>
      <c r="AH26" s="230"/>
      <c r="AI26" s="230"/>
      <c r="AJ26" s="230"/>
      <c r="AK26" s="230"/>
      <c r="AL26" s="230"/>
      <c r="AM26" s="230"/>
      <c r="AN26" s="230"/>
      <c r="AO26" s="230"/>
      <c r="AP26" s="230"/>
      <c r="AQ26" s="230"/>
      <c r="AR26" s="230"/>
      <c r="AS26" s="230"/>
      <c r="AT26" s="230"/>
      <c r="AU26" s="230"/>
      <c r="AV26" s="230"/>
      <c r="AW26" s="230"/>
      <c r="AX26" s="230"/>
      <c r="AY26" s="230"/>
      <c r="AZ26" s="230"/>
      <c r="BA26" s="230"/>
      <c r="BB26" s="230"/>
      <c r="BC26" s="230"/>
      <c r="BD26" s="230"/>
      <c r="BE26" s="230"/>
      <c r="BF26" s="230"/>
      <c r="BG26" s="230"/>
      <c r="BH26" s="230"/>
      <c r="BI26" s="230"/>
      <c r="BJ26" s="230"/>
      <c r="BK26" s="230"/>
      <c r="BL26" s="230"/>
      <c r="BM26" s="230"/>
      <c r="BN26" s="230"/>
      <c r="BO26" s="230"/>
      <c r="BP26" s="230"/>
      <c r="BQ26" s="230"/>
      <c r="BR26" s="230"/>
      <c r="BS26" s="230"/>
      <c r="BT26" s="230"/>
      <c r="BU26" s="230"/>
      <c r="BV26" s="230"/>
      <c r="BW26" s="230"/>
      <c r="BX26" s="230"/>
      <c r="BY26" s="230"/>
      <c r="BZ26" s="230"/>
      <c r="CA26" s="230"/>
      <c r="CB26" s="230"/>
      <c r="CC26" s="230"/>
      <c r="CD26" s="230"/>
      <c r="CE26" s="230"/>
      <c r="CF26" s="230"/>
      <c r="CG26" s="230"/>
      <c r="CH26" s="230"/>
      <c r="CI26" s="230"/>
      <c r="CJ26" s="230"/>
      <c r="CK26" s="230"/>
      <c r="CL26" s="230"/>
      <c r="CM26" s="230"/>
      <c r="CN26" s="230"/>
      <c r="CO26" s="230"/>
      <c r="CP26" s="230"/>
      <c r="CQ26" s="230"/>
      <c r="CR26" s="230"/>
      <c r="CS26" s="230"/>
      <c r="CT26" s="230"/>
      <c r="CU26" s="230"/>
      <c r="CV26" s="230"/>
    </row>
    <row r="27" spans="2:101" ht="15.6" customHeight="1" x14ac:dyDescent="0.25">
      <c r="B27" s="238" t="s">
        <v>798</v>
      </c>
      <c r="C27" s="230" t="s">
        <v>825</v>
      </c>
      <c r="D27" s="264">
        <v>30</v>
      </c>
      <c r="E27" s="220">
        <v>30</v>
      </c>
      <c r="F27" s="220">
        <v>30</v>
      </c>
      <c r="G27" s="220">
        <v>30</v>
      </c>
      <c r="H27" s="220">
        <v>30</v>
      </c>
      <c r="I27" s="220">
        <v>30</v>
      </c>
      <c r="J27" s="220">
        <v>30</v>
      </c>
      <c r="K27" s="216">
        <v>30.2</v>
      </c>
      <c r="L27" s="216">
        <v>30.2</v>
      </c>
      <c r="M27" s="216">
        <f>'Haver Pivoted'!GX89</f>
        <v>34.4</v>
      </c>
      <c r="N27" s="216">
        <f>'Haver Pivoted'!GY89</f>
        <v>34.4</v>
      </c>
      <c r="O27" s="216">
        <f>'Haver Pivoted'!GZ89</f>
        <v>218.933333333333</v>
      </c>
      <c r="P27" s="216">
        <f>'Haver Pivoted'!HA89</f>
        <v>223.13333333333301</v>
      </c>
      <c r="Q27" s="216">
        <f>'Haver Pivoted'!HB89</f>
        <v>94.3</v>
      </c>
      <c r="R27" s="216">
        <f>'Haver Pivoted'!HC89</f>
        <v>94.3</v>
      </c>
      <c r="S27" s="430">
        <f>'Haver Pivoted'!HD89</f>
        <v>94.3</v>
      </c>
      <c r="T27" s="430">
        <f>'Haver Pivoted'!HE89</f>
        <v>94.3</v>
      </c>
      <c r="U27" s="662">
        <v>34</v>
      </c>
      <c r="V27" s="542">
        <v>34</v>
      </c>
      <c r="W27" s="542">
        <v>34</v>
      </c>
      <c r="X27" s="662">
        <v>34</v>
      </c>
      <c r="Y27" s="662">
        <v>34</v>
      </c>
      <c r="Z27" s="662">
        <v>34</v>
      </c>
      <c r="AA27" s="662">
        <v>34</v>
      </c>
      <c r="AB27" s="662">
        <v>34</v>
      </c>
      <c r="AC27" s="662">
        <v>34</v>
      </c>
      <c r="AD27" s="662">
        <v>34</v>
      </c>
      <c r="AE27" s="662">
        <v>34</v>
      </c>
      <c r="AF27" s="662">
        <v>34</v>
      </c>
      <c r="AG27" s="662">
        <v>34</v>
      </c>
    </row>
    <row r="28" spans="2:101" ht="21.6" customHeight="1" x14ac:dyDescent="0.25">
      <c r="B28" s="238" t="s">
        <v>470</v>
      </c>
      <c r="C28" s="230"/>
      <c r="D28" s="265"/>
      <c r="E28" s="224"/>
      <c r="F28" s="224"/>
      <c r="G28" s="224"/>
      <c r="H28" s="542"/>
      <c r="I28" s="542"/>
      <c r="J28" s="542">
        <f>'PPP (expired)'!J53</f>
        <v>57.2</v>
      </c>
      <c r="K28" s="542">
        <f>'PPP (expired)'!K53</f>
        <v>81.2</v>
      </c>
      <c r="L28" s="542">
        <f>'PPP (expired)'!L53</f>
        <v>24.4</v>
      </c>
      <c r="M28" s="542">
        <f>'PPP (expired)'!M53</f>
        <v>11.7</v>
      </c>
      <c r="N28" s="542">
        <f>'PPP (expired)'!N53</f>
        <v>28.5</v>
      </c>
      <c r="O28" s="542">
        <f>'PPP (expired)'!O53</f>
        <v>18.8</v>
      </c>
      <c r="P28" s="542">
        <f>'PPP (expired)'!P53</f>
        <v>1.6</v>
      </c>
      <c r="Q28" s="542">
        <f>'PPP (expired)'!Q53</f>
        <v>0</v>
      </c>
      <c r="R28" s="542">
        <f>'PPP (expired)'!Q61</f>
        <v>0</v>
      </c>
      <c r="S28" s="542">
        <f>'PPP (expired)'!S53</f>
        <v>0</v>
      </c>
      <c r="T28" s="542">
        <f>'PPP (expired)'!T53</f>
        <v>0</v>
      </c>
      <c r="U28" s="542">
        <f>'PPP (expired)'!U53</f>
        <v>0</v>
      </c>
      <c r="V28" s="542">
        <f>'PPP (expired)'!V53</f>
        <v>0</v>
      </c>
      <c r="W28" s="542">
        <f>'PPP (expired)'!W53</f>
        <v>0</v>
      </c>
      <c r="X28" s="662">
        <f>'PPP (expired)'!X53</f>
        <v>0</v>
      </c>
      <c r="Y28" s="662">
        <f>'PPP (expired)'!Y53</f>
        <v>0</v>
      </c>
      <c r="Z28" s="662">
        <f>'PPP (expired)'!Z53</f>
        <v>0</v>
      </c>
      <c r="AA28" s="662">
        <f>'PPP (expired)'!AA53</f>
        <v>0</v>
      </c>
      <c r="AB28" s="662">
        <f>'PPP (expired)'!AB53</f>
        <v>0</v>
      </c>
      <c r="AC28" s="662">
        <f>'PPP (expired)'!AC53</f>
        <v>0</v>
      </c>
      <c r="AD28" s="662">
        <f>'PPP (expired)'!AD53</f>
        <v>0</v>
      </c>
      <c r="AE28" s="662">
        <f>'PPP (expired)'!AE53</f>
        <v>0</v>
      </c>
      <c r="AF28" s="662">
        <f>'PPP (expired)'!AF53</f>
        <v>0</v>
      </c>
      <c r="AG28" s="662">
        <f>'PPP (expired)'!AG53</f>
        <v>0</v>
      </c>
    </row>
    <row r="29" spans="2:101" ht="21.6" customHeight="1" x14ac:dyDescent="0.25">
      <c r="B29" s="450" t="s">
        <v>799</v>
      </c>
      <c r="C29" s="230"/>
      <c r="D29" s="582">
        <f t="shared" ref="D29:AE29" si="2">D74</f>
        <v>0</v>
      </c>
      <c r="E29" s="542">
        <f t="shared" si="2"/>
        <v>0</v>
      </c>
      <c r="F29" s="542">
        <f t="shared" si="2"/>
        <v>0</v>
      </c>
      <c r="G29" s="542">
        <f t="shared" si="2"/>
        <v>0</v>
      </c>
      <c r="H29" s="542">
        <f t="shared" si="2"/>
        <v>0</v>
      </c>
      <c r="I29" s="542">
        <f t="shared" si="2"/>
        <v>-6.6417499999997744</v>
      </c>
      <c r="J29" s="542">
        <f t="shared" si="2"/>
        <v>-38.222083333332648</v>
      </c>
      <c r="K29" s="542">
        <f t="shared" si="2"/>
        <v>84.695583333333389</v>
      </c>
      <c r="L29" s="542">
        <f t="shared" si="2"/>
        <v>16.60225000000014</v>
      </c>
      <c r="M29" s="542">
        <f t="shared" si="2"/>
        <v>16.668916666666519</v>
      </c>
      <c r="N29" s="542">
        <f t="shared" si="2"/>
        <v>-12.19925666666677</v>
      </c>
      <c r="O29" s="542">
        <f t="shared" si="2"/>
        <v>-14.628243333333103</v>
      </c>
      <c r="P29" s="542">
        <f t="shared" si="2"/>
        <v>-31.382416666666586</v>
      </c>
      <c r="Q29" s="542">
        <f t="shared" si="2"/>
        <v>-3.1812166666670691</v>
      </c>
      <c r="R29" s="542">
        <f t="shared" si="2"/>
        <v>-1.8405500000005759</v>
      </c>
      <c r="S29" s="542">
        <f t="shared" si="2"/>
        <v>-17.07788333333383</v>
      </c>
      <c r="T29" s="542">
        <f t="shared" si="2"/>
        <v>-2.5472166666675093</v>
      </c>
      <c r="U29" s="542">
        <f t="shared" si="2"/>
        <v>18.339804999999615</v>
      </c>
      <c r="V29" s="542">
        <f>V74</f>
        <v>17.924900238094551</v>
      </c>
      <c r="W29" s="542">
        <f t="shared" si="2"/>
        <v>7.0605669047611173</v>
      </c>
      <c r="X29" s="662">
        <f t="shared" si="2"/>
        <v>24.070804999999382</v>
      </c>
      <c r="Y29" s="662">
        <f t="shared" si="2"/>
        <v>63.216159666665817</v>
      </c>
      <c r="Z29" s="662">
        <f t="shared" si="2"/>
        <v>63.216159666665817</v>
      </c>
      <c r="AA29" s="662">
        <f t="shared" si="2"/>
        <v>63.216159666665817</v>
      </c>
      <c r="AB29" s="662">
        <f t="shared" si="2"/>
        <v>63.216159666665817</v>
      </c>
      <c r="AC29" s="662">
        <f t="shared" si="2"/>
        <v>63.216159666665817</v>
      </c>
      <c r="AD29" s="662">
        <f t="shared" si="2"/>
        <v>63.216159666665817</v>
      </c>
      <c r="AE29" s="662">
        <f t="shared" si="2"/>
        <v>63.216159666665817</v>
      </c>
      <c r="AF29" s="662">
        <f>AF74</f>
        <v>63.216159666665817</v>
      </c>
      <c r="AG29" s="662">
        <f>AG74</f>
        <v>63.216159666665817</v>
      </c>
    </row>
    <row r="30" spans="2:101" ht="21" customHeight="1" x14ac:dyDescent="0.25">
      <c r="B30" s="258" t="s">
        <v>796</v>
      </c>
      <c r="C30" s="253"/>
      <c r="D30" s="710">
        <f t="shared" ref="D30:W30" si="3">D25+D21</f>
        <v>0</v>
      </c>
      <c r="E30" s="622">
        <f t="shared" si="3"/>
        <v>0</v>
      </c>
      <c r="F30" s="622">
        <f t="shared" si="3"/>
        <v>0</v>
      </c>
      <c r="G30" s="622">
        <f t="shared" si="3"/>
        <v>0</v>
      </c>
      <c r="H30" s="622">
        <f t="shared" si="3"/>
        <v>0</v>
      </c>
      <c r="I30" s="622">
        <f t="shared" si="3"/>
        <v>0</v>
      </c>
      <c r="J30" s="622">
        <f t="shared" si="3"/>
        <v>160.9</v>
      </c>
      <c r="K30" s="622">
        <f t="shared" si="3"/>
        <v>58.4</v>
      </c>
      <c r="L30" s="622">
        <f t="shared" si="3"/>
        <v>34.5</v>
      </c>
      <c r="M30" s="622">
        <f t="shared" si="3"/>
        <v>21.4</v>
      </c>
      <c r="N30" s="622">
        <f t="shared" si="3"/>
        <v>13.3</v>
      </c>
      <c r="O30" s="622">
        <f t="shared" si="3"/>
        <v>21.804000000000041</v>
      </c>
      <c r="P30" s="539">
        <f t="shared" si="3"/>
        <v>51.919000000000011</v>
      </c>
      <c r="Q30" s="622">
        <f t="shared" si="3"/>
        <v>46.619</v>
      </c>
      <c r="R30" s="622">
        <f t="shared" si="3"/>
        <v>39.719000000000008</v>
      </c>
      <c r="S30" s="622">
        <f t="shared" si="3"/>
        <v>27.819000000000003</v>
      </c>
      <c r="T30" s="539">
        <f t="shared" si="3"/>
        <v>6.3160000000000007</v>
      </c>
      <c r="U30" s="539">
        <f t="shared" si="3"/>
        <v>1.4159999999999999</v>
      </c>
      <c r="V30" s="539">
        <f t="shared" si="3"/>
        <v>1.4159999999999999</v>
      </c>
      <c r="W30" s="539">
        <f t="shared" si="3"/>
        <v>1.4159999999999999</v>
      </c>
      <c r="X30" s="544">
        <f t="shared" ref="X30:AB30" si="4">X25+X21</f>
        <v>1.4790000000000001</v>
      </c>
      <c r="Y30" s="544">
        <f t="shared" si="4"/>
        <v>1.4790000000000001</v>
      </c>
      <c r="Z30" s="544">
        <f t="shared" si="4"/>
        <v>1.4790000000000001</v>
      </c>
      <c r="AA30" s="544">
        <f t="shared" si="4"/>
        <v>1.4790000000000001</v>
      </c>
      <c r="AB30" s="544">
        <f t="shared" si="4"/>
        <v>1.63</v>
      </c>
      <c r="AC30" s="544">
        <f>AC25+AC21</f>
        <v>1.63</v>
      </c>
      <c r="AD30" s="544">
        <f t="shared" ref="AD30:AE30" si="5">AD25+AD21</f>
        <v>1.63</v>
      </c>
      <c r="AE30" s="544">
        <f t="shared" si="5"/>
        <v>1.63</v>
      </c>
      <c r="AF30" s="544">
        <f>AF25+AF21</f>
        <v>1.671</v>
      </c>
      <c r="AG30" s="544">
        <f>AG25+AG21</f>
        <v>0</v>
      </c>
    </row>
    <row r="31" spans="2:101" ht="44.85" customHeight="1" x14ac:dyDescent="0.25">
      <c r="B31" s="238" t="s">
        <v>803</v>
      </c>
      <c r="C31" s="230"/>
      <c r="D31" s="582">
        <f t="shared" ref="D31:AE31" si="6">D66</f>
        <v>1410.9</v>
      </c>
      <c r="E31" s="542">
        <f t="shared" si="6"/>
        <v>1471.1999999999998</v>
      </c>
      <c r="F31" s="542">
        <f t="shared" si="6"/>
        <v>1477.1000000000001</v>
      </c>
      <c r="G31" s="542">
        <f t="shared" si="6"/>
        <v>1484</v>
      </c>
      <c r="H31" s="542">
        <f t="shared" si="6"/>
        <v>1492</v>
      </c>
      <c r="I31" s="542">
        <f t="shared" si="6"/>
        <v>1543.2999999999997</v>
      </c>
      <c r="J31" s="542">
        <f t="shared" si="6"/>
        <v>1550.2333333333331</v>
      </c>
      <c r="K31" s="542">
        <f t="shared" si="6"/>
        <v>1557.1666666666665</v>
      </c>
      <c r="L31" s="542">
        <f t="shared" si="6"/>
        <v>1564.1</v>
      </c>
      <c r="M31" s="542">
        <f t="shared" si="6"/>
        <v>1588.5533333333333</v>
      </c>
      <c r="N31" s="542">
        <f t="shared" si="6"/>
        <v>1595.4866666666667</v>
      </c>
      <c r="O31" s="542">
        <f t="shared" si="6"/>
        <v>1602.42</v>
      </c>
      <c r="P31" s="542">
        <f t="shared" si="6"/>
        <v>1609.3533333333335</v>
      </c>
      <c r="Q31" s="542">
        <f t="shared" si="6"/>
        <v>1688.207466666667</v>
      </c>
      <c r="R31" s="542">
        <f t="shared" si="6"/>
        <v>1695.1408000000004</v>
      </c>
      <c r="S31" s="542">
        <f t="shared" si="6"/>
        <v>1702.0741333333337</v>
      </c>
      <c r="T31" s="542">
        <f t="shared" si="6"/>
        <v>1709.0074666666671</v>
      </c>
      <c r="U31" s="542">
        <f t="shared" si="6"/>
        <v>1822.5884450000005</v>
      </c>
      <c r="V31" s="542">
        <f t="shared" si="6"/>
        <v>1829.5217783333339</v>
      </c>
      <c r="W31" s="542">
        <f t="shared" si="6"/>
        <v>1836.4551116666673</v>
      </c>
      <c r="X31" s="662">
        <f t="shared" si="6"/>
        <v>1843.3884450000007</v>
      </c>
      <c r="Y31" s="662">
        <f t="shared" si="6"/>
        <v>1895.9830903333341</v>
      </c>
      <c r="Z31" s="662">
        <f t="shared" si="6"/>
        <v>1902.9164236666675</v>
      </c>
      <c r="AA31" s="662">
        <f t="shared" si="6"/>
        <v>1909.8497570000009</v>
      </c>
      <c r="AB31" s="662">
        <f t="shared" si="6"/>
        <v>1916.7830903333343</v>
      </c>
      <c r="AC31" s="662">
        <f t="shared" si="6"/>
        <v>1958.5764902306676</v>
      </c>
      <c r="AD31" s="662">
        <f t="shared" si="6"/>
        <v>1965.509823564001</v>
      </c>
      <c r="AE31" s="662">
        <f t="shared" si="6"/>
        <v>1972.4431568973343</v>
      </c>
      <c r="AF31" s="662">
        <f>AF66</f>
        <v>1979.3764902306677</v>
      </c>
      <c r="AG31" s="662">
        <f>AG66</f>
        <v>2023.3754766589732</v>
      </c>
    </row>
    <row r="32" spans="2:101" ht="44.85" customHeight="1" x14ac:dyDescent="0.25">
      <c r="B32" s="416" t="s">
        <v>1185</v>
      </c>
      <c r="D32" s="582"/>
      <c r="E32" s="542"/>
      <c r="F32" s="542"/>
      <c r="G32" s="542"/>
      <c r="H32" s="542"/>
      <c r="I32" s="542"/>
      <c r="J32" s="542"/>
      <c r="K32" s="542"/>
      <c r="L32" s="542"/>
      <c r="M32" s="542"/>
      <c r="N32" s="542"/>
      <c r="O32" s="542"/>
      <c r="P32" s="542"/>
      <c r="Q32" s="542"/>
      <c r="R32" s="542"/>
      <c r="S32" s="652">
        <f>'IRA and CHIPS'!E191</f>
        <v>-0.622</v>
      </c>
      <c r="T32" s="652">
        <f>'IRA and CHIPS'!F191</f>
        <v>21.89</v>
      </c>
      <c r="U32" s="652">
        <f>'IRA and CHIPS'!G191</f>
        <v>21.89</v>
      </c>
      <c r="V32" s="652">
        <f>'IRA and CHIPS'!H191</f>
        <v>21.89</v>
      </c>
      <c r="W32" s="652">
        <f>'IRA and CHIPS'!I191</f>
        <v>21.89</v>
      </c>
      <c r="X32" s="664">
        <f>'IRA and CHIPS'!J191</f>
        <v>15.439</v>
      </c>
      <c r="Y32" s="664">
        <f>'IRA and CHIPS'!K191</f>
        <v>15.439</v>
      </c>
      <c r="Z32" s="664">
        <f>'IRA and CHIPS'!L191</f>
        <v>15.439</v>
      </c>
      <c r="AA32" s="664">
        <f>'IRA and CHIPS'!M191</f>
        <v>15.439</v>
      </c>
      <c r="AB32" s="664">
        <f>'IRA and CHIPS'!N191</f>
        <v>16.966999999999999</v>
      </c>
      <c r="AC32" s="664">
        <f>'IRA and CHIPS'!O191</f>
        <v>16.966999999999999</v>
      </c>
      <c r="AD32" s="664">
        <f>'IRA and CHIPS'!P191</f>
        <v>16.966999999999999</v>
      </c>
      <c r="AE32" s="664">
        <f>'IRA and CHIPS'!Q191</f>
        <v>16.966999999999999</v>
      </c>
      <c r="AF32" s="664">
        <f>'IRA and CHIPS'!R191</f>
        <v>0.72799999999999998</v>
      </c>
      <c r="AG32" s="664">
        <f>'IRA and CHIPS'!S191</f>
        <v>0.72799999999999998</v>
      </c>
    </row>
    <row r="33" spans="2:33" ht="31.35" customHeight="1" x14ac:dyDescent="0.25">
      <c r="B33" s="570" t="s">
        <v>800</v>
      </c>
      <c r="C33" s="253"/>
      <c r="D33" s="539">
        <f t="shared" ref="D33:R33" si="7">D31+SUM(D26:D29)+D32</f>
        <v>1440.9</v>
      </c>
      <c r="E33" s="539">
        <f t="shared" si="7"/>
        <v>1501.1999999999998</v>
      </c>
      <c r="F33" s="539">
        <f t="shared" si="7"/>
        <v>1507.1000000000001</v>
      </c>
      <c r="G33" s="539">
        <f t="shared" si="7"/>
        <v>1514</v>
      </c>
      <c r="H33" s="539">
        <f t="shared" si="7"/>
        <v>1522</v>
      </c>
      <c r="I33" s="539">
        <f t="shared" si="7"/>
        <v>1573.3</v>
      </c>
      <c r="J33" s="539">
        <f t="shared" si="7"/>
        <v>1650.6000000000004</v>
      </c>
      <c r="K33" s="539">
        <f t="shared" si="7"/>
        <v>1808.6</v>
      </c>
      <c r="L33" s="539">
        <f t="shared" si="7"/>
        <v>1697.9</v>
      </c>
      <c r="M33" s="539">
        <f t="shared" si="7"/>
        <v>1739.3999999999999</v>
      </c>
      <c r="N33" s="539">
        <f t="shared" si="7"/>
        <v>1749.07816</v>
      </c>
      <c r="O33" s="539">
        <f t="shared" si="7"/>
        <v>1919.92984</v>
      </c>
      <c r="P33" s="539">
        <f t="shared" si="7"/>
        <v>1894.6239999999998</v>
      </c>
      <c r="Q33" s="539">
        <f t="shared" si="7"/>
        <v>1859.424</v>
      </c>
      <c r="R33" s="539">
        <f t="shared" si="7"/>
        <v>1856.6239999999998</v>
      </c>
      <c r="S33" s="539">
        <f>S31+SUM(S26:S29)+S32</f>
        <v>1840.0239999999999</v>
      </c>
      <c r="T33" s="682">
        <f>T31+SUM(T26:T29)+T32</f>
        <v>1904.0839999999996</v>
      </c>
      <c r="U33" s="682">
        <f>U31+SUM(U26:U29)+U32</f>
        <v>1972.2840000000003</v>
      </c>
      <c r="V33" s="539">
        <f>V31+SUM(V26:V29)+V32</f>
        <v>1951.7554285714286</v>
      </c>
      <c r="W33" s="539">
        <f>W31+SUM(W26:W29)+W32</f>
        <v>1947.7554285714286</v>
      </c>
      <c r="X33" s="544">
        <f t="shared" ref="X33" si="8">X31+SUM(X26:X29)+X32</f>
        <v>1954.2990000000002</v>
      </c>
      <c r="Y33" s="544">
        <f>Y31+SUM(Y26:Y29)+Y32</f>
        <v>2047.499</v>
      </c>
      <c r="Z33" s="544">
        <f t="shared" ref="Z33" si="9">Z31+SUM(Z26:Z29)+Z32</f>
        <v>2054.4323333333332</v>
      </c>
      <c r="AA33" s="544">
        <f t="shared" ref="AA33" si="10">AA31+SUM(AA26:AA29)+AA32</f>
        <v>2061.3656666666666</v>
      </c>
      <c r="AB33" s="544">
        <f t="shared" ref="AB33" si="11">AB31+SUM(AB26:AB29)+AB32</f>
        <v>2069.8270000000002</v>
      </c>
      <c r="AC33" s="544">
        <f>AC31+SUM(AC26:AC29)+AC32</f>
        <v>2111.6203998973333</v>
      </c>
      <c r="AD33" s="544">
        <f t="shared" ref="AD33:AE33" si="12">AD31+SUM(AD26:AD29)+AD32</f>
        <v>2118.5537332306667</v>
      </c>
      <c r="AE33" s="544">
        <f t="shared" si="12"/>
        <v>2125.4870665640001</v>
      </c>
      <c r="AF33" s="544">
        <f>AF31+SUM(AF26:AF29)+AF32</f>
        <v>2116.1813998973334</v>
      </c>
      <c r="AG33" s="544">
        <f>AG31+SUM(AG26:AG29)+AG32</f>
        <v>2160.1803863256391</v>
      </c>
    </row>
    <row r="34" spans="2:33" ht="31.35" customHeight="1" x14ac:dyDescent="0.25">
      <c r="B34" s="570"/>
      <c r="C34" s="253"/>
      <c r="D34" s="539"/>
      <c r="E34" s="539"/>
      <c r="F34" s="539"/>
      <c r="G34" s="539"/>
      <c r="H34" s="539"/>
      <c r="I34" s="539"/>
      <c r="J34" s="539"/>
      <c r="K34" s="539"/>
      <c r="L34" s="539"/>
      <c r="M34" s="539"/>
      <c r="N34" s="539"/>
      <c r="O34" s="539"/>
      <c r="P34" s="539"/>
      <c r="Q34" s="539"/>
      <c r="R34" s="539"/>
      <c r="S34" s="539"/>
      <c r="T34" s="539"/>
      <c r="U34" s="539"/>
      <c r="V34" s="539"/>
      <c r="W34" s="539"/>
      <c r="X34" s="544"/>
      <c r="Y34" s="544"/>
      <c r="Z34" s="544"/>
      <c r="AA34" s="544"/>
      <c r="AB34" s="544"/>
      <c r="AC34" s="544"/>
    </row>
    <row r="35" spans="2:33" ht="31.35" customHeight="1" x14ac:dyDescent="0.25">
      <c r="B35" s="1387" t="s">
        <v>473</v>
      </c>
      <c r="C35" s="1388"/>
      <c r="D35" s="565"/>
      <c r="E35" s="566"/>
      <c r="F35" s="566"/>
      <c r="G35" s="566"/>
      <c r="H35" s="566"/>
      <c r="I35" s="566"/>
      <c r="J35" s="566"/>
      <c r="K35" s="566"/>
      <c r="L35" s="566"/>
      <c r="M35" s="566"/>
      <c r="N35" s="566"/>
      <c r="O35" s="566"/>
      <c r="P35" s="566"/>
      <c r="Q35" s="566"/>
      <c r="R35" s="566"/>
      <c r="S35" s="566"/>
      <c r="T35" s="539"/>
      <c r="U35" s="566"/>
      <c r="V35" s="539"/>
      <c r="W35" s="539"/>
      <c r="X35" s="544"/>
      <c r="Y35" s="544"/>
      <c r="Z35" s="544"/>
      <c r="AA35" s="544"/>
      <c r="AB35" s="544"/>
      <c r="AC35" s="675"/>
    </row>
    <row r="36" spans="2:33" x14ac:dyDescent="0.25">
      <c r="B36" s="450" t="s">
        <v>805</v>
      </c>
      <c r="C36" s="230" t="s">
        <v>474</v>
      </c>
      <c r="D36" s="265">
        <f>'Haver Pivoted'!GO37</f>
        <v>733.6</v>
      </c>
      <c r="E36" s="224">
        <f>'Haver Pivoted'!GP37</f>
        <v>744.2</v>
      </c>
      <c r="F36" s="224">
        <f>'Haver Pivoted'!GQ37</f>
        <v>762.1</v>
      </c>
      <c r="G36" s="224">
        <f>'Haver Pivoted'!GR37</f>
        <v>772.2</v>
      </c>
      <c r="H36" s="224">
        <f>'Haver Pivoted'!GS37</f>
        <v>772.4</v>
      </c>
      <c r="I36" s="224">
        <f>'Haver Pivoted'!GT37</f>
        <v>761.7</v>
      </c>
      <c r="J36" s="224">
        <f>'Haver Pivoted'!GU37</f>
        <v>812.1</v>
      </c>
      <c r="K36" s="224">
        <f>'Haver Pivoted'!GV37</f>
        <v>850.2</v>
      </c>
      <c r="L36" s="224">
        <f>'Haver Pivoted'!GW37</f>
        <v>838.8</v>
      </c>
      <c r="M36" s="224">
        <f>'Haver Pivoted'!GX37</f>
        <v>866.1</v>
      </c>
      <c r="N36" s="224">
        <f>'Haver Pivoted'!GY37</f>
        <v>908</v>
      </c>
      <c r="O36" s="224">
        <f>'Haver Pivoted'!GZ37</f>
        <v>915.6</v>
      </c>
      <c r="P36" s="224">
        <f>'Haver Pivoted'!HA37</f>
        <v>912.9</v>
      </c>
      <c r="Q36" s="224">
        <f>'Haver Pivoted'!HB37</f>
        <v>960.5</v>
      </c>
      <c r="R36" s="224">
        <f>'Haver Pivoted'!HC37</f>
        <v>995.3</v>
      </c>
      <c r="S36" s="621">
        <f>'Haver Pivoted'!HD37</f>
        <v>1015.5</v>
      </c>
      <c r="T36" s="621">
        <f>'Haver Pivoted'!HE37</f>
        <v>1078.2</v>
      </c>
      <c r="U36" s="621">
        <f>'Haver Pivoted'!HF37</f>
        <v>1055.7</v>
      </c>
      <c r="V36" s="651">
        <f>'Haver Pivoted'!HG37</f>
        <v>1087.5</v>
      </c>
      <c r="W36" s="651">
        <f>'Haver Pivoted'!HH37</f>
        <v>1057.5999999999999</v>
      </c>
      <c r="X36" s="651">
        <f>'Haver Pivoted'!HI37</f>
        <v>1045.2</v>
      </c>
      <c r="Y36" s="651">
        <f>'Haver Pivoted'!HJ37</f>
        <v>1100.2</v>
      </c>
      <c r="Z36" s="665"/>
      <c r="AA36" s="665"/>
      <c r="AB36" s="665"/>
      <c r="AC36" s="721"/>
    </row>
    <row r="37" spans="2:33" x14ac:dyDescent="0.25">
      <c r="B37" s="538" t="s">
        <v>209</v>
      </c>
      <c r="C37" s="230"/>
      <c r="D37" s="582">
        <f>Medicaid!D27</f>
        <v>589.5</v>
      </c>
      <c r="E37" s="542">
        <f>Medicaid!E27</f>
        <v>598.70000000000005</v>
      </c>
      <c r="F37" s="542">
        <f>Medicaid!F27</f>
        <v>614.4</v>
      </c>
      <c r="G37" s="542">
        <f>Medicaid!G27</f>
        <v>622.4</v>
      </c>
      <c r="H37" s="542">
        <f>Medicaid!H27</f>
        <v>620.6</v>
      </c>
      <c r="I37" s="542">
        <f>Medicaid!I27</f>
        <v>606.4</v>
      </c>
      <c r="J37" s="542">
        <f>Medicaid!J27</f>
        <v>654.6</v>
      </c>
      <c r="K37" s="542">
        <f>Medicaid!K27</f>
        <v>690.8</v>
      </c>
      <c r="L37" s="542">
        <f>Medicaid!L27</f>
        <v>678.6</v>
      </c>
      <c r="M37" s="542">
        <f>Medicaid!M27</f>
        <v>705</v>
      </c>
      <c r="N37" s="542">
        <f>Medicaid!N27</f>
        <v>745.7</v>
      </c>
      <c r="O37" s="542">
        <f>Medicaid!O27</f>
        <v>749.2</v>
      </c>
      <c r="P37" s="542">
        <f>Medicaid!P27</f>
        <v>746.1</v>
      </c>
      <c r="Q37" s="542">
        <f>Medicaid!Q27</f>
        <v>791.4</v>
      </c>
      <c r="R37" s="542">
        <f>Medicaid!R27</f>
        <v>818.7</v>
      </c>
      <c r="S37" s="621">
        <f>Medicaid!S27</f>
        <v>819</v>
      </c>
      <c r="T37" s="542">
        <f>Medicaid!T27</f>
        <v>828.4</v>
      </c>
      <c r="U37" s="542">
        <f>Medicaid!U27</f>
        <v>871.5</v>
      </c>
      <c r="V37" s="542">
        <f>Medicaid!V27</f>
        <v>911.4</v>
      </c>
      <c r="W37" s="542">
        <f>Medicaid!W27</f>
        <v>880.6</v>
      </c>
      <c r="X37" s="662">
        <f>Medicaid!X27</f>
        <v>868.3</v>
      </c>
      <c r="Y37" s="662">
        <f>Medicaid!Y27</f>
        <v>922.3</v>
      </c>
      <c r="Z37" s="662">
        <f>Medicaid!Z27</f>
        <v>980.51517997305109</v>
      </c>
      <c r="AA37" s="662">
        <f>Medicaid!AA27</f>
        <v>1002.3120181490897</v>
      </c>
      <c r="AB37" s="662">
        <f>Medicaid!AB27</f>
        <v>1009.8052605024984</v>
      </c>
      <c r="AC37" s="708">
        <f>Medicaid!AC27</f>
        <v>1017.354522019551</v>
      </c>
    </row>
    <row r="38" spans="2:33" ht="14.85" customHeight="1" x14ac:dyDescent="0.25">
      <c r="B38" s="570" t="s">
        <v>806</v>
      </c>
      <c r="C38" s="253"/>
      <c r="D38" s="581">
        <f>D36-D37</f>
        <v>144.10000000000002</v>
      </c>
      <c r="E38" s="539">
        <f t="shared" ref="E38:O38" si="13">E36-E37</f>
        <v>145.5</v>
      </c>
      <c r="F38" s="539">
        <f t="shared" si="13"/>
        <v>147.70000000000005</v>
      </c>
      <c r="G38" s="539">
        <f t="shared" si="13"/>
        <v>149.80000000000007</v>
      </c>
      <c r="H38" s="539">
        <f t="shared" si="13"/>
        <v>151.79999999999995</v>
      </c>
      <c r="I38" s="539">
        <f t="shared" si="13"/>
        <v>155.30000000000007</v>
      </c>
      <c r="J38" s="539">
        <f t="shared" si="13"/>
        <v>157.5</v>
      </c>
      <c r="K38" s="539">
        <f t="shared" si="13"/>
        <v>159.40000000000009</v>
      </c>
      <c r="L38" s="539">
        <f t="shared" si="13"/>
        <v>160.19999999999993</v>
      </c>
      <c r="M38" s="539">
        <f t="shared" si="13"/>
        <v>161.10000000000002</v>
      </c>
      <c r="N38" s="539">
        <f t="shared" si="13"/>
        <v>162.29999999999995</v>
      </c>
      <c r="O38" s="539">
        <f t="shared" si="13"/>
        <v>166.39999999999998</v>
      </c>
      <c r="P38" s="539">
        <f>P36-P37</f>
        <v>166.79999999999995</v>
      </c>
      <c r="Q38" s="539">
        <f>Q36-Q37</f>
        <v>169.10000000000002</v>
      </c>
      <c r="R38" s="539">
        <f>R36-R37</f>
        <v>176.59999999999991</v>
      </c>
      <c r="S38" s="621">
        <f>S36-S37</f>
        <v>196.5</v>
      </c>
      <c r="T38" s="621">
        <f>T36-T37</f>
        <v>249.80000000000007</v>
      </c>
      <c r="U38" s="539">
        <f>T38*(1+AVERAGE($F$40:$I$40))+U39</f>
        <v>183.90584224202988</v>
      </c>
      <c r="V38" s="539">
        <f>U38*(1+AVERAGE($F$40:$I$40))+V39</f>
        <v>186.92861396193939</v>
      </c>
      <c r="W38" s="539">
        <f t="shared" ref="W38:AA38" si="14">V38*(1+AVERAGE($F$40:$I$40))</f>
        <v>190.00106952418523</v>
      </c>
      <c r="X38" s="544">
        <f>W38*(1+AVERAGE($F$40:$I$40))</f>
        <v>193.12402555814535</v>
      </c>
      <c r="Y38" s="544">
        <f t="shared" si="14"/>
        <v>196.29831211574134</v>
      </c>
      <c r="Z38" s="544">
        <f t="shared" si="14"/>
        <v>199.52477289205825</v>
      </c>
      <c r="AA38" s="544">
        <f t="shared" si="14"/>
        <v>202.80426544959073</v>
      </c>
      <c r="AB38" s="544">
        <f>AA38*(1+AVERAGE($F$40:$I$40))</f>
        <v>206.137661446175</v>
      </c>
      <c r="AC38" s="544">
        <f t="shared" ref="AC38:AG38" si="15">AB38*(1+AVERAGE($F$40:$I$40))</f>
        <v>209.52584686666717</v>
      </c>
      <c r="AD38" s="544">
        <f t="shared" si="15"/>
        <v>212.9697222584295</v>
      </c>
      <c r="AE38" s="544">
        <f t="shared" si="15"/>
        <v>216.47020297068735</v>
      </c>
      <c r="AF38" s="544">
        <f t="shared" si="15"/>
        <v>220.02821939782032</v>
      </c>
      <c r="AG38" s="544">
        <f t="shared" si="15"/>
        <v>223.64471722665206</v>
      </c>
    </row>
    <row r="39" spans="2:33" ht="14.85" customHeight="1" x14ac:dyDescent="0.25">
      <c r="B39" s="570" t="s">
        <v>1695</v>
      </c>
      <c r="C39" s="253"/>
      <c r="D39" s="581"/>
      <c r="E39" s="539"/>
      <c r="F39" s="539"/>
      <c r="G39" s="539"/>
      <c r="H39" s="539"/>
      <c r="I39" s="539"/>
      <c r="J39" s="539"/>
      <c r="K39" s="539"/>
      <c r="L39" s="539"/>
      <c r="M39" s="539"/>
      <c r="N39" s="539"/>
      <c r="O39" s="539"/>
      <c r="P39" s="539"/>
      <c r="Q39" s="539"/>
      <c r="R39" s="539"/>
      <c r="S39" s="621"/>
      <c r="T39" s="539"/>
      <c r="U39" s="539">
        <v>-70</v>
      </c>
      <c r="V39" s="539"/>
      <c r="W39" s="539"/>
      <c r="X39" s="544"/>
      <c r="Y39" s="544"/>
      <c r="Z39" s="544"/>
      <c r="AA39" s="544"/>
      <c r="AB39" s="544"/>
      <c r="AC39" s="675"/>
    </row>
    <row r="40" spans="2:33" x14ac:dyDescent="0.25">
      <c r="B40" s="702" t="s">
        <v>807</v>
      </c>
      <c r="C40" s="348"/>
      <c r="D40" s="583"/>
      <c r="E40" s="569">
        <f>E38/D38-1</f>
        <v>9.7154753643302616E-3</v>
      </c>
      <c r="F40" s="569">
        <f t="shared" ref="F40:N40" si="16">F38/E38-1</f>
        <v>1.5120274914089737E-2</v>
      </c>
      <c r="G40" s="569">
        <f t="shared" si="16"/>
        <v>1.4218009478673244E-2</v>
      </c>
      <c r="H40" s="569">
        <f t="shared" si="16"/>
        <v>1.3351134846461221E-2</v>
      </c>
      <c r="I40" s="569">
        <f t="shared" si="16"/>
        <v>2.3056653491436929E-2</v>
      </c>
      <c r="J40" s="569">
        <f t="shared" si="16"/>
        <v>1.416613007083023E-2</v>
      </c>
      <c r="K40" s="569">
        <f t="shared" si="16"/>
        <v>1.2063492063492554E-2</v>
      </c>
      <c r="L40" s="569">
        <f t="shared" si="16"/>
        <v>5.0188205771632965E-3</v>
      </c>
      <c r="M40" s="569">
        <f t="shared" si="16"/>
        <v>5.6179775280904565E-3</v>
      </c>
      <c r="N40" s="569">
        <f t="shared" si="16"/>
        <v>7.4487895716941477E-3</v>
      </c>
      <c r="O40" s="569">
        <f>O38/N38-1</f>
        <v>2.5261860751694565E-2</v>
      </c>
      <c r="P40" s="569">
        <f t="shared" ref="P40:S40" si="17">P38/O38-1</f>
        <v>2.4038461538460343E-3</v>
      </c>
      <c r="Q40" s="569">
        <f t="shared" si="17"/>
        <v>1.3788968824940406E-2</v>
      </c>
      <c r="R40" s="569">
        <f t="shared" si="17"/>
        <v>4.4352454169130029E-2</v>
      </c>
      <c r="S40" s="641">
        <f t="shared" si="17"/>
        <v>0.1126840317100799</v>
      </c>
      <c r="T40" s="541"/>
      <c r="U40" s="541"/>
      <c r="V40" s="541"/>
      <c r="W40" s="541"/>
      <c r="X40" s="577"/>
      <c r="Y40" s="577"/>
      <c r="Z40" s="577"/>
      <c r="AA40" s="577"/>
      <c r="AB40" s="577"/>
      <c r="AC40" s="674"/>
    </row>
    <row r="44" spans="2:33" x14ac:dyDescent="0.25">
      <c r="P44" s="474"/>
      <c r="Q44" s="474"/>
    </row>
    <row r="45" spans="2:33" x14ac:dyDescent="0.25">
      <c r="B45" s="504" t="s">
        <v>352</v>
      </c>
      <c r="D45" s="542"/>
      <c r="E45" s="542"/>
      <c r="F45" s="542"/>
      <c r="G45" s="542"/>
      <c r="H45" s="542"/>
      <c r="I45" s="542"/>
      <c r="J45" s="542"/>
      <c r="K45" s="542"/>
      <c r="L45" s="542"/>
      <c r="M45" s="542"/>
      <c r="N45" s="542"/>
      <c r="O45" s="542"/>
      <c r="P45" s="542"/>
      <c r="Q45" s="542"/>
      <c r="R45" s="542"/>
      <c r="S45" s="542"/>
      <c r="T45" s="542"/>
      <c r="U45" s="542"/>
      <c r="V45" s="542"/>
      <c r="W45" s="542"/>
      <c r="X45" s="542"/>
      <c r="Y45" s="542"/>
      <c r="Z45" s="542"/>
      <c r="AA45" s="542"/>
      <c r="AB45" s="542"/>
      <c r="AC45" s="542"/>
    </row>
    <row r="46" spans="2:33" ht="45.75" customHeight="1" x14ac:dyDescent="0.25">
      <c r="B46" s="1389" t="s">
        <v>477</v>
      </c>
      <c r="C46" s="1389"/>
      <c r="D46" s="1389"/>
      <c r="E46" s="1389"/>
      <c r="F46" s="1389"/>
      <c r="G46" s="1389"/>
      <c r="H46" s="1389"/>
      <c r="I46" s="1389"/>
      <c r="J46" s="1389"/>
      <c r="K46" s="1389"/>
      <c r="L46" s="1389"/>
      <c r="M46" s="1389"/>
      <c r="N46" s="1389"/>
      <c r="O46" s="1389"/>
      <c r="P46" s="1389"/>
      <c r="Q46" s="1389"/>
      <c r="R46" s="1389"/>
      <c r="S46" s="1389"/>
      <c r="T46" s="1389"/>
      <c r="U46" s="1389"/>
      <c r="V46" s="1389"/>
      <c r="W46" s="1389"/>
      <c r="X46" s="1389"/>
      <c r="Y46" s="1389"/>
      <c r="Z46" s="1389"/>
      <c r="AA46" s="1389"/>
      <c r="AB46" s="1389"/>
      <c r="AC46" s="1389"/>
    </row>
    <row r="47" spans="2:33" ht="14.85" customHeight="1" x14ac:dyDescent="0.25">
      <c r="B47" s="1295" t="s">
        <v>478</v>
      </c>
      <c r="C47" s="1296"/>
      <c r="D47" s="1359" t="s">
        <v>280</v>
      </c>
      <c r="E47" s="1360"/>
      <c r="F47" s="1360"/>
      <c r="G47" s="1360"/>
      <c r="H47" s="1360"/>
      <c r="I47" s="1360"/>
      <c r="J47" s="1360"/>
      <c r="K47" s="1360"/>
      <c r="L47" s="1360"/>
      <c r="M47" s="1360"/>
      <c r="N47" s="1360"/>
      <c r="O47" s="1360"/>
      <c r="P47" s="1360"/>
      <c r="Q47" s="1360"/>
      <c r="R47" s="1360"/>
      <c r="S47" s="1360"/>
      <c r="T47" s="1360"/>
      <c r="U47" s="1360"/>
      <c r="V47" s="1384"/>
      <c r="W47" s="1340" t="s">
        <v>281</v>
      </c>
      <c r="X47" s="1330"/>
      <c r="Y47" s="1330"/>
      <c r="Z47" s="1330"/>
      <c r="AA47" s="1330"/>
      <c r="AB47" s="1330"/>
      <c r="AC47" s="1330"/>
      <c r="AD47" s="1330"/>
      <c r="AE47" s="1330"/>
      <c r="AF47" s="1330"/>
      <c r="AG47" s="1330"/>
    </row>
    <row r="48" spans="2:33" x14ac:dyDescent="0.25">
      <c r="B48" s="1295"/>
      <c r="C48" s="1296"/>
      <c r="D48" s="209">
        <v>2018</v>
      </c>
      <c r="E48" s="1302">
        <v>2019</v>
      </c>
      <c r="F48" s="1303"/>
      <c r="G48" s="1303"/>
      <c r="H48" s="1304"/>
      <c r="I48" s="1302">
        <v>2020</v>
      </c>
      <c r="J48" s="1303"/>
      <c r="K48" s="1303"/>
      <c r="L48" s="1303"/>
      <c r="M48" s="1302">
        <v>2021</v>
      </c>
      <c r="N48" s="1303"/>
      <c r="O48" s="1303"/>
      <c r="P48" s="1303"/>
      <c r="Q48" s="1302">
        <v>2022</v>
      </c>
      <c r="R48" s="1325"/>
      <c r="S48" s="1325"/>
      <c r="T48" s="1304"/>
      <c r="U48" s="278"/>
      <c r="V48" s="547">
        <v>2023</v>
      </c>
      <c r="W48" s="543"/>
      <c r="X48" s="250"/>
      <c r="Y48" s="1299">
        <v>2024</v>
      </c>
      <c r="Z48" s="1312"/>
      <c r="AA48" s="1312"/>
      <c r="AB48" s="1301"/>
      <c r="AC48" s="1299">
        <v>2025</v>
      </c>
      <c r="AD48" s="1312"/>
      <c r="AE48" s="1312"/>
      <c r="AF48" s="1301"/>
      <c r="AG48" s="493">
        <v>2026</v>
      </c>
    </row>
    <row r="49" spans="2:33" x14ac:dyDescent="0.25">
      <c r="B49" s="1297"/>
      <c r="C49" s="1298"/>
      <c r="D49" s="204" t="s">
        <v>282</v>
      </c>
      <c r="E49" s="204" t="s">
        <v>283</v>
      </c>
      <c r="F49" s="205" t="s">
        <v>284</v>
      </c>
      <c r="G49" s="205" t="s">
        <v>238</v>
      </c>
      <c r="H49" s="206" t="s">
        <v>282</v>
      </c>
      <c r="I49" s="205" t="s">
        <v>283</v>
      </c>
      <c r="J49" s="205" t="s">
        <v>284</v>
      </c>
      <c r="K49" s="205" t="s">
        <v>238</v>
      </c>
      <c r="L49" s="205" t="s">
        <v>282</v>
      </c>
      <c r="M49" s="204" t="s">
        <v>283</v>
      </c>
      <c r="N49" s="205" t="s">
        <v>284</v>
      </c>
      <c r="O49" s="205" t="s">
        <v>238</v>
      </c>
      <c r="P49" s="205" t="s">
        <v>282</v>
      </c>
      <c r="Q49" s="204" t="s">
        <v>283</v>
      </c>
      <c r="R49" s="205" t="s">
        <v>284</v>
      </c>
      <c r="S49" s="205" t="s">
        <v>238</v>
      </c>
      <c r="T49" s="206" t="s">
        <v>282</v>
      </c>
      <c r="U49" s="205" t="s">
        <v>283</v>
      </c>
      <c r="V49" s="276" t="s">
        <v>284</v>
      </c>
      <c r="W49" s="260" t="s">
        <v>238</v>
      </c>
      <c r="X49" s="261" t="s">
        <v>282</v>
      </c>
      <c r="Y49" s="259" t="s">
        <v>283</v>
      </c>
      <c r="Z49" s="257" t="s">
        <v>284</v>
      </c>
      <c r="AA49" s="260" t="s">
        <v>238</v>
      </c>
      <c r="AB49" s="260" t="s">
        <v>282</v>
      </c>
      <c r="AC49" s="259" t="s">
        <v>283</v>
      </c>
      <c r="AD49" s="257" t="s">
        <v>284</v>
      </c>
      <c r="AE49" s="260" t="s">
        <v>238</v>
      </c>
      <c r="AF49" s="260" t="s">
        <v>282</v>
      </c>
      <c r="AG49" s="259" t="s">
        <v>283</v>
      </c>
    </row>
    <row r="50" spans="2:33" x14ac:dyDescent="0.25">
      <c r="B50" s="538" t="s">
        <v>1434</v>
      </c>
      <c r="D50" s="243"/>
      <c r="E50" s="298"/>
      <c r="F50" s="298"/>
      <c r="G50" s="298"/>
      <c r="H50" s="298"/>
      <c r="I50" s="562">
        <f>(I51-AVERAGE($E51:$H51))</f>
        <v>6.6417500000000018</v>
      </c>
      <c r="J50" s="562">
        <f t="shared" ref="J50:N50" si="18">(J51-AVERAGE($E51:$H51))</f>
        <v>51.388749999999995</v>
      </c>
      <c r="K50" s="562">
        <f t="shared" si="18"/>
        <v>55.337750000000007</v>
      </c>
      <c r="L50" s="562">
        <f t="shared" si="18"/>
        <v>62.597749999999998</v>
      </c>
      <c r="M50" s="562">
        <f t="shared" si="18"/>
        <v>88.07774999999998</v>
      </c>
      <c r="N50" s="562">
        <f t="shared" si="18"/>
        <v>102.89075</v>
      </c>
      <c r="O50" s="562">
        <f t="shared" ref="O50:U50" si="19">(O51-AVERAGE($E51:$H51))</f>
        <v>94.404750000000007</v>
      </c>
      <c r="P50" s="562">
        <f t="shared" si="19"/>
        <v>91.919749999999993</v>
      </c>
      <c r="Q50" s="562">
        <f t="shared" si="19"/>
        <v>80.097749999999991</v>
      </c>
      <c r="R50" s="562">
        <f t="shared" si="19"/>
        <v>69.023750000000007</v>
      </c>
      <c r="S50" s="563">
        <f t="shared" si="19"/>
        <v>61.349750000000007</v>
      </c>
      <c r="T50" s="550">
        <f t="shared" si="19"/>
        <v>81.433750000000003</v>
      </c>
      <c r="U50" s="563">
        <f t="shared" si="19"/>
        <v>75.465749999999986</v>
      </c>
      <c r="V50" s="563">
        <f>(V51-AVERAGE($E51:$H51))</f>
        <v>48.418749999999996</v>
      </c>
      <c r="W50" s="563">
        <f>(W51-AVERAGE($E51:$H51))</f>
        <v>48.349750000000007</v>
      </c>
      <c r="X50" s="563">
        <f>(X51-AVERAGE($E51:$H51))</f>
        <v>37.400749999999995</v>
      </c>
      <c r="Y50" s="563">
        <f>(Y51-AVERAGE($E51:$H51))</f>
        <v>38.860750000000003</v>
      </c>
      <c r="Z50" s="711">
        <f t="shared" ref="Z50:AC50" si="20">Y50</f>
        <v>38.860750000000003</v>
      </c>
      <c r="AA50" s="711">
        <f t="shared" si="20"/>
        <v>38.860750000000003</v>
      </c>
      <c r="AB50" s="711">
        <f t="shared" si="20"/>
        <v>38.860750000000003</v>
      </c>
      <c r="AC50" s="672">
        <f t="shared" si="20"/>
        <v>38.860750000000003</v>
      </c>
      <c r="AD50" s="711">
        <f t="shared" ref="AD50" si="21">AC50</f>
        <v>38.860750000000003</v>
      </c>
      <c r="AE50" s="711">
        <f t="shared" ref="AE50" si="22">AD50</f>
        <v>38.860750000000003</v>
      </c>
      <c r="AF50" s="711">
        <f t="shared" ref="AF50" si="23">AE50</f>
        <v>38.860750000000003</v>
      </c>
      <c r="AG50" s="711">
        <f t="shared" ref="AG50" si="24">AF50</f>
        <v>38.860750000000003</v>
      </c>
    </row>
    <row r="51" spans="2:33" x14ac:dyDescent="0.25">
      <c r="B51" s="538" t="s">
        <v>160</v>
      </c>
      <c r="C51" s="230" t="s">
        <v>479</v>
      </c>
      <c r="D51" s="265">
        <f>'Haver Pivoted'!GO66</f>
        <v>57.017000000000003</v>
      </c>
      <c r="E51" s="224">
        <f>'Haver Pivoted'!GP66</f>
        <v>55.847999999999999</v>
      </c>
      <c r="F51" s="224">
        <f>'Haver Pivoted'!GQ66</f>
        <v>54.531999999999996</v>
      </c>
      <c r="G51" s="224">
        <f>'Haver Pivoted'!GR66</f>
        <v>54.451999999999998</v>
      </c>
      <c r="H51" s="224">
        <f>'Haver Pivoted'!GS66</f>
        <v>54.012999999999998</v>
      </c>
      <c r="I51" s="224">
        <f>'Haver Pivoted'!GT66</f>
        <v>61.353000000000002</v>
      </c>
      <c r="J51" s="224">
        <f>'Haver Pivoted'!GU66</f>
        <v>106.1</v>
      </c>
      <c r="K51" s="224">
        <f>'Haver Pivoted'!GV66</f>
        <v>110.04900000000001</v>
      </c>
      <c r="L51" s="224">
        <f>'Haver Pivoted'!GW66</f>
        <v>117.309</v>
      </c>
      <c r="M51" s="224">
        <f>'Haver Pivoted'!GX66</f>
        <v>142.78899999999999</v>
      </c>
      <c r="N51" s="224">
        <f>'Haver Pivoted'!GY66</f>
        <v>157.602</v>
      </c>
      <c r="O51" s="224">
        <f>'Haver Pivoted'!GZ66</f>
        <v>149.11600000000001</v>
      </c>
      <c r="P51" s="224">
        <f>'Haver Pivoted'!HA66</f>
        <v>146.631</v>
      </c>
      <c r="Q51" s="224">
        <f>'Haver Pivoted'!HB66</f>
        <v>134.809</v>
      </c>
      <c r="R51" s="224">
        <f>'Haver Pivoted'!HC66</f>
        <v>123.735</v>
      </c>
      <c r="S51" s="205">
        <f>'Haver Pivoted'!HD66</f>
        <v>116.06100000000001</v>
      </c>
      <c r="T51" s="205">
        <f>'Haver Pivoted'!HE66</f>
        <v>136.14500000000001</v>
      </c>
      <c r="U51" s="205">
        <f>'Haver Pivoted'!HF66</f>
        <v>130.17699999999999</v>
      </c>
      <c r="V51" s="205">
        <f>'Haver Pivoted'!HG66</f>
        <v>103.13</v>
      </c>
      <c r="W51" s="205">
        <f>'Haver Pivoted'!HH66</f>
        <v>103.06100000000001</v>
      </c>
      <c r="X51" s="205">
        <f>'Haver Pivoted'!HI66</f>
        <v>92.111999999999995</v>
      </c>
      <c r="Y51" s="205">
        <f>'Haver Pivoted'!HJ66</f>
        <v>93.572000000000003</v>
      </c>
      <c r="Z51" s="316"/>
      <c r="AA51" s="316"/>
      <c r="AB51" s="316"/>
      <c r="AC51" s="316"/>
      <c r="AD51" s="495"/>
      <c r="AE51" s="495"/>
      <c r="AF51" s="495"/>
      <c r="AG51" s="495"/>
    </row>
    <row r="52" spans="2:33" ht="29.1" customHeight="1" x14ac:dyDescent="0.25">
      <c r="B52" s="347" t="s">
        <v>480</v>
      </c>
      <c r="C52" s="348"/>
      <c r="D52" s="706"/>
      <c r="E52" s="553"/>
      <c r="F52" s="553"/>
      <c r="G52" s="553"/>
      <c r="H52" s="553"/>
      <c r="I52" s="553"/>
      <c r="J52" s="553">
        <f t="shared" ref="J52:W52" si="25">J51-$H51</f>
        <v>52.086999999999996</v>
      </c>
      <c r="K52" s="553">
        <f t="shared" si="25"/>
        <v>56.036000000000008</v>
      </c>
      <c r="L52" s="553">
        <f t="shared" si="25"/>
        <v>63.295999999999999</v>
      </c>
      <c r="M52" s="553">
        <f t="shared" si="25"/>
        <v>88.775999999999982</v>
      </c>
      <c r="N52" s="553">
        <f>N51-$H51</f>
        <v>103.589</v>
      </c>
      <c r="O52" s="553">
        <f>O51-$H51</f>
        <v>95.103000000000009</v>
      </c>
      <c r="P52" s="553">
        <f t="shared" si="25"/>
        <v>92.617999999999995</v>
      </c>
      <c r="Q52" s="553">
        <f t="shared" si="25"/>
        <v>80.795999999999992</v>
      </c>
      <c r="R52" s="553">
        <f t="shared" si="25"/>
        <v>69.722000000000008</v>
      </c>
      <c r="S52" s="276">
        <f t="shared" si="25"/>
        <v>62.048000000000009</v>
      </c>
      <c r="T52" s="276">
        <f t="shared" si="25"/>
        <v>82.132000000000005</v>
      </c>
      <c r="U52" s="276">
        <f t="shared" si="25"/>
        <v>76.163999999999987</v>
      </c>
      <c r="V52" s="276">
        <f t="shared" si="25"/>
        <v>49.116999999999997</v>
      </c>
      <c r="W52" s="276">
        <f t="shared" si="25"/>
        <v>49.048000000000009</v>
      </c>
      <c r="X52" s="276">
        <f t="shared" ref="X52:Y52" si="26">X51-$H51</f>
        <v>38.098999999999997</v>
      </c>
      <c r="Y52" s="276">
        <f t="shared" si="26"/>
        <v>39.559000000000005</v>
      </c>
      <c r="Z52" s="260"/>
      <c r="AA52" s="260"/>
      <c r="AB52" s="260"/>
      <c r="AC52" s="260"/>
      <c r="AD52" s="495"/>
      <c r="AE52" s="495"/>
      <c r="AF52" s="495"/>
      <c r="AG52" s="495"/>
    </row>
    <row r="53" spans="2:33" ht="29.1" customHeight="1" x14ac:dyDescent="0.25">
      <c r="B53" s="230"/>
      <c r="C53" s="230"/>
      <c r="D53" s="224"/>
      <c r="E53" s="224"/>
      <c r="F53" s="224"/>
      <c r="G53" s="224"/>
      <c r="H53" s="224"/>
      <c r="I53" s="224"/>
      <c r="J53" s="224"/>
      <c r="K53" s="224"/>
      <c r="L53" s="224"/>
      <c r="M53" s="224"/>
      <c r="N53" s="224"/>
      <c r="O53" s="224"/>
      <c r="P53" s="224"/>
      <c r="Q53" s="224"/>
      <c r="R53" s="224"/>
      <c r="S53" s="224"/>
      <c r="T53" s="224"/>
      <c r="U53" s="224"/>
      <c r="V53" s="224"/>
      <c r="W53" s="224"/>
      <c r="X53" s="224"/>
      <c r="Y53" s="224"/>
      <c r="Z53" s="224"/>
      <c r="AA53" s="224"/>
      <c r="AB53" s="224"/>
      <c r="AC53" s="224"/>
    </row>
    <row r="54" spans="2:33" ht="29.1" customHeight="1" x14ac:dyDescent="0.25">
      <c r="B54" s="230"/>
      <c r="C54" s="230"/>
      <c r="D54" s="224"/>
      <c r="E54" s="224"/>
      <c r="F54" s="224"/>
      <c r="G54" s="224"/>
      <c r="H54" s="224"/>
      <c r="I54" s="224"/>
      <c r="J54" s="224"/>
      <c r="K54" s="224"/>
      <c r="L54" s="224"/>
      <c r="M54" s="224"/>
      <c r="N54" s="224"/>
      <c r="O54" s="224"/>
      <c r="P54" s="224"/>
      <c r="Q54" s="224"/>
      <c r="R54" s="224"/>
      <c r="S54" s="224"/>
      <c r="T54" s="224"/>
      <c r="U54" s="224"/>
      <c r="V54" s="224"/>
      <c r="W54" s="224"/>
      <c r="X54" s="224"/>
      <c r="Y54" s="224"/>
      <c r="Z54" s="224"/>
      <c r="AA54" s="224"/>
      <c r="AB54" s="224"/>
      <c r="AC54" s="224"/>
    </row>
    <row r="55" spans="2:33" ht="29.1" customHeight="1" x14ac:dyDescent="0.25">
      <c r="B55" s="230"/>
      <c r="C55" s="230"/>
      <c r="D55" s="224"/>
      <c r="E55" s="224"/>
      <c r="F55" s="224"/>
      <c r="G55" s="224"/>
      <c r="H55" s="224"/>
      <c r="I55" s="224"/>
      <c r="J55" s="224"/>
      <c r="K55" s="224"/>
      <c r="L55" s="224"/>
      <c r="M55" s="224"/>
      <c r="N55" s="224"/>
      <c r="O55" s="224"/>
      <c r="P55" s="224"/>
      <c r="Q55" s="224"/>
      <c r="R55" s="224"/>
      <c r="S55" s="224"/>
      <c r="T55" s="224"/>
      <c r="U55" s="224"/>
      <c r="V55" s="224"/>
      <c r="W55" s="224"/>
      <c r="X55" s="224"/>
      <c r="Y55" s="224"/>
      <c r="Z55" s="224"/>
      <c r="AA55" s="224"/>
      <c r="AB55" s="224"/>
      <c r="AC55" s="224"/>
    </row>
    <row r="56" spans="2:33" ht="35.85" customHeight="1" x14ac:dyDescent="0.25"/>
    <row r="57" spans="2:33" x14ac:dyDescent="0.25">
      <c r="B57" s="504" t="s">
        <v>365</v>
      </c>
    </row>
    <row r="58" spans="2:33" x14ac:dyDescent="0.25">
      <c r="B58" s="1390" t="s">
        <v>804</v>
      </c>
      <c r="C58" s="1391"/>
      <c r="D58" s="1297" t="s">
        <v>280</v>
      </c>
      <c r="E58" s="1310"/>
      <c r="F58" s="1310"/>
      <c r="G58" s="1310"/>
      <c r="H58" s="1310"/>
      <c r="I58" s="1310"/>
      <c r="J58" s="1310"/>
      <c r="K58" s="1310"/>
      <c r="L58" s="1310"/>
      <c r="M58" s="1310"/>
      <c r="N58" s="1310"/>
      <c r="O58" s="1310"/>
      <c r="P58" s="1310"/>
      <c r="Q58" s="1310"/>
      <c r="R58" s="1310"/>
      <c r="S58" s="1310"/>
      <c r="T58" s="1310"/>
      <c r="U58" s="1310"/>
      <c r="V58" s="1298"/>
      <c r="W58" s="1340" t="s">
        <v>281</v>
      </c>
      <c r="X58" s="1330"/>
      <c r="Y58" s="1330"/>
      <c r="Z58" s="1330"/>
      <c r="AA58" s="1330"/>
      <c r="AB58" s="1330"/>
      <c r="AC58" s="1330"/>
      <c r="AD58" s="1330"/>
      <c r="AE58" s="1330"/>
      <c r="AF58" s="1330"/>
      <c r="AG58" s="1330"/>
    </row>
    <row r="59" spans="2:33" x14ac:dyDescent="0.25">
      <c r="B59" s="1392"/>
      <c r="C59" s="1393"/>
      <c r="D59" s="209">
        <v>2018</v>
      </c>
      <c r="E59" s="1302">
        <v>2019</v>
      </c>
      <c r="F59" s="1303"/>
      <c r="G59" s="1303"/>
      <c r="H59" s="1304"/>
      <c r="I59" s="1302">
        <v>2020</v>
      </c>
      <c r="J59" s="1303"/>
      <c r="K59" s="1303"/>
      <c r="L59" s="1303"/>
      <c r="M59" s="1302">
        <v>2021</v>
      </c>
      <c r="N59" s="1303"/>
      <c r="O59" s="1303"/>
      <c r="P59" s="1303"/>
      <c r="Q59" s="1302">
        <v>2022</v>
      </c>
      <c r="R59" s="1325"/>
      <c r="S59" s="1325"/>
      <c r="T59" s="1304"/>
      <c r="U59" s="278"/>
      <c r="V59" s="547">
        <v>2023</v>
      </c>
      <c r="W59" s="543"/>
      <c r="X59" s="250"/>
      <c r="Y59" s="1299">
        <v>2024</v>
      </c>
      <c r="Z59" s="1312"/>
      <c r="AA59" s="1312"/>
      <c r="AB59" s="1301"/>
      <c r="AC59" s="1299">
        <v>2025</v>
      </c>
      <c r="AD59" s="1312"/>
      <c r="AE59" s="1312"/>
      <c r="AF59" s="1301"/>
      <c r="AG59" s="493">
        <v>2026</v>
      </c>
    </row>
    <row r="60" spans="2:33" x14ac:dyDescent="0.25">
      <c r="B60" s="1392"/>
      <c r="C60" s="1393"/>
      <c r="D60" s="204" t="s">
        <v>282</v>
      </c>
      <c r="E60" s="204" t="s">
        <v>283</v>
      </c>
      <c r="F60" s="205" t="s">
        <v>284</v>
      </c>
      <c r="G60" s="205" t="s">
        <v>238</v>
      </c>
      <c r="H60" s="206" t="s">
        <v>282</v>
      </c>
      <c r="I60" s="205" t="s">
        <v>283</v>
      </c>
      <c r="J60" s="205" t="s">
        <v>284</v>
      </c>
      <c r="K60" s="205" t="s">
        <v>238</v>
      </c>
      <c r="L60" s="205" t="s">
        <v>282</v>
      </c>
      <c r="M60" s="204" t="s">
        <v>283</v>
      </c>
      <c r="N60" s="205" t="s">
        <v>284</v>
      </c>
      <c r="O60" s="205" t="s">
        <v>238</v>
      </c>
      <c r="P60" s="205" t="s">
        <v>282</v>
      </c>
      <c r="Q60" s="204" t="s">
        <v>283</v>
      </c>
      <c r="R60" s="205" t="s">
        <v>284</v>
      </c>
      <c r="S60" s="205" t="s">
        <v>238</v>
      </c>
      <c r="T60" s="206" t="s">
        <v>282</v>
      </c>
      <c r="U60" s="205" t="s">
        <v>283</v>
      </c>
      <c r="V60" s="276" t="s">
        <v>284</v>
      </c>
      <c r="W60" s="260" t="s">
        <v>238</v>
      </c>
      <c r="X60" s="261" t="s">
        <v>282</v>
      </c>
      <c r="Y60" s="259" t="s">
        <v>283</v>
      </c>
      <c r="Z60" s="257" t="s">
        <v>284</v>
      </c>
      <c r="AA60" s="260" t="s">
        <v>238</v>
      </c>
      <c r="AB60" s="260" t="s">
        <v>282</v>
      </c>
      <c r="AC60" s="259" t="s">
        <v>283</v>
      </c>
      <c r="AD60" s="257" t="s">
        <v>284</v>
      </c>
      <c r="AE60" s="260" t="s">
        <v>238</v>
      </c>
      <c r="AF60" s="260" t="s">
        <v>282</v>
      </c>
      <c r="AG60" s="259" t="s">
        <v>283</v>
      </c>
    </row>
    <row r="61" spans="2:33" ht="25.7" customHeight="1" x14ac:dyDescent="0.25">
      <c r="B61" s="661" t="s">
        <v>467</v>
      </c>
      <c r="C61" s="431" t="s">
        <v>468</v>
      </c>
      <c r="D61" s="356">
        <f>'Haver Pivoted'!GO31</f>
        <v>2223</v>
      </c>
      <c r="E61" s="357">
        <f>'Haver Pivoted'!GP31</f>
        <v>2303.6</v>
      </c>
      <c r="F61" s="357">
        <f>'Haver Pivoted'!GQ31</f>
        <v>2320.1</v>
      </c>
      <c r="G61" s="357">
        <f>'Haver Pivoted'!GR31</f>
        <v>2332.9</v>
      </c>
      <c r="H61" s="357">
        <f>'Haver Pivoted'!GS31</f>
        <v>2346.6</v>
      </c>
      <c r="I61" s="357">
        <f>'Haver Pivoted'!GT31</f>
        <v>2412.6</v>
      </c>
      <c r="J61" s="357">
        <f>'Haver Pivoted'!GU31</f>
        <v>4652.1000000000004</v>
      </c>
      <c r="K61" s="357">
        <f>'Haver Pivoted'!GV31</f>
        <v>3508</v>
      </c>
      <c r="L61" s="357">
        <f>'Haver Pivoted'!GW31</f>
        <v>2895.4</v>
      </c>
      <c r="M61" s="357">
        <f>'Haver Pivoted'!GX31</f>
        <v>5127.3999999999996</v>
      </c>
      <c r="N61" s="357">
        <f>'Haver Pivoted'!GY31</f>
        <v>3403.8</v>
      </c>
      <c r="O61" s="357">
        <f>'Haver Pivoted'!GZ31</f>
        <v>3135</v>
      </c>
      <c r="P61" s="357">
        <f>'Haver Pivoted'!HA31</f>
        <v>2947.7</v>
      </c>
      <c r="Q61" s="357">
        <f>'Haver Pivoted'!HB31</f>
        <v>2903.2</v>
      </c>
      <c r="R61" s="357">
        <f>'Haver Pivoted'!HC31</f>
        <v>2895.2</v>
      </c>
      <c r="S61" s="358">
        <f>'Haver Pivoted'!HD31</f>
        <v>2867.4</v>
      </c>
      <c r="T61" s="673">
        <f>'Haver Pivoted'!HE31</f>
        <v>2896.7</v>
      </c>
      <c r="U61" s="358">
        <f>'Haver Pivoted'!HF31</f>
        <v>2945.8</v>
      </c>
      <c r="V61" s="358">
        <f>'Haver Pivoted'!HG31</f>
        <v>2929.7</v>
      </c>
      <c r="W61" s="358">
        <f>'Haver Pivoted'!HH31</f>
        <v>2930.1</v>
      </c>
      <c r="X61" s="358">
        <f>'Haver Pivoted'!HI31</f>
        <v>2934</v>
      </c>
      <c r="Y61" s="358">
        <f>'Haver Pivoted'!HJ31</f>
        <v>3041.2</v>
      </c>
      <c r="Z61" s="683"/>
      <c r="AA61" s="683"/>
      <c r="AB61" s="683"/>
      <c r="AC61" s="725"/>
      <c r="AD61" s="725"/>
      <c r="AE61" s="725"/>
      <c r="AF61" s="725"/>
      <c r="AG61" s="495"/>
    </row>
    <row r="62" spans="2:33" ht="25.7" customHeight="1" x14ac:dyDescent="0.25">
      <c r="B62" s="469" t="s">
        <v>1850</v>
      </c>
      <c r="C62" s="230"/>
      <c r="D62" s="701">
        <f>D63+D64</f>
        <v>812.1</v>
      </c>
      <c r="E62" s="429">
        <f>E63+E64</f>
        <v>832.4</v>
      </c>
      <c r="F62" s="429">
        <f>F63+F64</f>
        <v>843</v>
      </c>
      <c r="G62" s="429">
        <f t="shared" ref="G62:N62" si="27">G63+G64</f>
        <v>848.9</v>
      </c>
      <c r="H62" s="429">
        <f t="shared" si="27"/>
        <v>854.6</v>
      </c>
      <c r="I62" s="429">
        <f t="shared" si="27"/>
        <v>875.94174999999996</v>
      </c>
      <c r="J62" s="429">
        <f t="shared" si="27"/>
        <v>3140.0887499999999</v>
      </c>
      <c r="K62" s="429">
        <f t="shared" si="27"/>
        <v>1866.1377500000001</v>
      </c>
      <c r="L62" s="429">
        <f t="shared" si="27"/>
        <v>1314.69775</v>
      </c>
      <c r="M62" s="429">
        <f t="shared" si="27"/>
        <v>3522.1777499999998</v>
      </c>
      <c r="N62" s="429">
        <f t="shared" si="27"/>
        <v>1820.5125900000003</v>
      </c>
      <c r="O62" s="429">
        <f>O63+O64</f>
        <v>1547.208243333333</v>
      </c>
      <c r="P62" s="429">
        <f t="shared" ref="P62" si="28">P63+P64</f>
        <v>1369.7290833333329</v>
      </c>
      <c r="Q62" s="429">
        <f t="shared" ref="Q62" si="29">Q63+Q64</f>
        <v>1218.1737499999999</v>
      </c>
      <c r="R62" s="429">
        <f t="shared" ref="R62" si="30">R63+R64</f>
        <v>1201.89975</v>
      </c>
      <c r="S62" s="668">
        <f>S63+S64</f>
        <v>1182.4037500000002</v>
      </c>
      <c r="T62" s="668">
        <f t="shared" ref="T62" si="31">T63+T64</f>
        <v>1190.2397500000002</v>
      </c>
      <c r="U62" s="668">
        <f t="shared" ref="U62" si="32">U63+U64</f>
        <v>1104.87175</v>
      </c>
      <c r="V62" s="668">
        <f>V63+V64</f>
        <v>1082.2533214285713</v>
      </c>
      <c r="W62" s="668">
        <f>W63+W64</f>
        <v>1086.5843214285715</v>
      </c>
      <c r="X62" s="668">
        <f>X63+X64</f>
        <v>1066.5407499999999</v>
      </c>
      <c r="Y62" s="668">
        <f>Y63+Y64</f>
        <v>1082.0007499999999</v>
      </c>
      <c r="Z62" s="428"/>
      <c r="AA62" s="428"/>
      <c r="AB62" s="428"/>
      <c r="AC62" s="428"/>
      <c r="AD62" s="428"/>
      <c r="AE62" s="428"/>
      <c r="AF62" s="428"/>
      <c r="AG62" s="495"/>
    </row>
    <row r="63" spans="2:33" ht="25.7" customHeight="1" x14ac:dyDescent="0.25">
      <c r="B63" s="415" t="s">
        <v>1848</v>
      </c>
      <c r="C63" s="230"/>
      <c r="D63" s="701">
        <f>D14+D17+D27</f>
        <v>812.1</v>
      </c>
      <c r="E63" s="701">
        <f>E14+E17+E27</f>
        <v>832.4</v>
      </c>
      <c r="F63" s="429">
        <f>F14+F17+F27</f>
        <v>843</v>
      </c>
      <c r="G63" s="429">
        <f>G14+G17+G27</f>
        <v>848.9</v>
      </c>
      <c r="H63" s="429">
        <f>H14+H17+H27</f>
        <v>854.6</v>
      </c>
      <c r="I63" s="429">
        <f>I14+I17+I27</f>
        <v>869.3</v>
      </c>
      <c r="J63" s="429">
        <f>J14+J17+J27</f>
        <v>1792.5</v>
      </c>
      <c r="K63" s="429">
        <f>K14+K17+K27</f>
        <v>1655.6000000000001</v>
      </c>
      <c r="L63" s="429">
        <f>L14+L17+L27</f>
        <v>1188.2</v>
      </c>
      <c r="M63" s="429">
        <f>M14+M17+M27</f>
        <v>1467.3000000000002</v>
      </c>
      <c r="N63" s="429">
        <f>N14+N17+N27</f>
        <v>1351.8000000000002</v>
      </c>
      <c r="O63" s="429">
        <f>O14+O17+O27</f>
        <v>1328.333333333333</v>
      </c>
      <c r="P63" s="429">
        <f>P14+P17+P27</f>
        <v>1157.333333333333</v>
      </c>
      <c r="Q63" s="429">
        <f>Q14+Q17+Q27</f>
        <v>1038.7</v>
      </c>
      <c r="R63" s="429">
        <f>R14+R17+R27</f>
        <v>1040.4000000000001</v>
      </c>
      <c r="S63" s="668">
        <f>S14+S17+S27</f>
        <v>1041.1000000000001</v>
      </c>
      <c r="T63" s="668">
        <f>T14+T17+T27</f>
        <v>1050.6000000000001</v>
      </c>
      <c r="U63" s="668">
        <f>U14+U17+U27</f>
        <v>994.1</v>
      </c>
      <c r="V63" s="668">
        <f>V14+V17+V27</f>
        <v>998.52857142857135</v>
      </c>
      <c r="W63" s="668">
        <f>W14+W17+W27</f>
        <v>1002.9285714285713</v>
      </c>
      <c r="X63" s="668">
        <f>X14+X17+X27</f>
        <v>1008</v>
      </c>
      <c r="Y63" s="668">
        <f>Y14+Y17+Y27</f>
        <v>1022</v>
      </c>
      <c r="Z63" s="428"/>
      <c r="AA63" s="428"/>
      <c r="AB63" s="428"/>
      <c r="AC63" s="428"/>
      <c r="AD63" s="428"/>
      <c r="AE63" s="428"/>
      <c r="AF63" s="428"/>
      <c r="AG63" s="428"/>
    </row>
    <row r="64" spans="2:33" ht="36" customHeight="1" x14ac:dyDescent="0.25">
      <c r="B64" s="415" t="s">
        <v>1849</v>
      </c>
      <c r="C64" s="230"/>
      <c r="D64" s="429">
        <f>D18+D21+D24+D25+D26+D28+D32</f>
        <v>0</v>
      </c>
      <c r="E64" s="429">
        <f>E18+E21+E24+E25+E26+E28+E32</f>
        <v>0</v>
      </c>
      <c r="F64" s="429">
        <f>F18+F21+F24+F25+F26+F28+F32</f>
        <v>0</v>
      </c>
      <c r="G64" s="429">
        <f>G18+G21+G24+G25+G26+G28+G32</f>
        <v>0</v>
      </c>
      <c r="H64" s="429">
        <f>H18+H21+H24+H25+H26+H28+H32</f>
        <v>0</v>
      </c>
      <c r="I64" s="429">
        <f>I18+I21+I24+I25+I26+I28+I32</f>
        <v>6.6417500000000018</v>
      </c>
      <c r="J64" s="429">
        <f>J18+J21+J24+J25+J26+J28+J32</f>
        <v>1347.5887500000001</v>
      </c>
      <c r="K64" s="429">
        <f>K18+K21+K24+K25+K26+K28+K32</f>
        <v>210.53775000000002</v>
      </c>
      <c r="L64" s="429">
        <f>L18+L21+L24+L25+L26+L28+L32</f>
        <v>126.49775</v>
      </c>
      <c r="M64" s="429">
        <f>M18+M21+M24+M25+M26+M28+M32</f>
        <v>2054.8777499999997</v>
      </c>
      <c r="N64" s="429">
        <f>N18+N21+N24+N25+N26+N28+N32</f>
        <v>468.71259000000009</v>
      </c>
      <c r="O64" s="429">
        <f>O18+O21+O24+O25+O26+O28+O32</f>
        <v>218.87491000000009</v>
      </c>
      <c r="P64" s="429">
        <f>P18+P21+P24+P25+P26+P28+P32</f>
        <v>212.39574999999999</v>
      </c>
      <c r="Q64" s="429">
        <f>Q18+Q21+Q24+Q25+Q26+Q28+Q32</f>
        <v>179.47375</v>
      </c>
      <c r="R64" s="429">
        <f>R18+R21+R24+R25+R26+R28+R32</f>
        <v>161.49975000000001</v>
      </c>
      <c r="S64" s="429">
        <f>S18+S21+S24+S25+S26+S28+S32</f>
        <v>141.30375000000001</v>
      </c>
      <c r="T64" s="429">
        <f>T18+T21+T24+T25+T26+T28+T32</f>
        <v>139.63974999999999</v>
      </c>
      <c r="U64" s="429">
        <f>U18+U21+U24+U25+U26+U28+U32</f>
        <v>110.77174999999998</v>
      </c>
      <c r="V64" s="429">
        <f>V18+V21+V24+V25+V26+V28+V32</f>
        <v>83.72475</v>
      </c>
      <c r="W64" s="429">
        <f>W18+W21+W24+W25+W26+W28+W32</f>
        <v>83.655750000000012</v>
      </c>
      <c r="X64" s="428">
        <f>X18+X21+X24+X25+X26+X28+X32</f>
        <v>58.540749999999996</v>
      </c>
      <c r="Y64" s="428">
        <f>Y18+Y21+Y24+Y25+Y26+Y28+Y32</f>
        <v>60.000750000000004</v>
      </c>
      <c r="Z64" s="428">
        <f>Z18+Z21+Z24+Z25+Z26+Z28+Z32</f>
        <v>60.000750000000004</v>
      </c>
      <c r="AA64" s="428">
        <f>AA18+AA21+AA24+AA25+AA26+AA28+AA32</f>
        <v>60.000750000000004</v>
      </c>
      <c r="AB64" s="428">
        <f>AB18+AB21+AB24+AB25+AB26+AB28+AB32</f>
        <v>59.829750000000004</v>
      </c>
      <c r="AC64" s="428">
        <f>AC18+AC21+AC24+AC25+AC26+AC28+AC32</f>
        <v>59.829750000000004</v>
      </c>
      <c r="AD64" s="428">
        <f>AD18+AD21+AD24+AD25+AD26+AD28+AD32</f>
        <v>59.829750000000004</v>
      </c>
      <c r="AE64" s="428">
        <f>AE18+AE21+AE24+AE25+AE26+AE28+AE32</f>
        <v>59.829750000000004</v>
      </c>
      <c r="AF64" s="428">
        <f>AF18+AF21+AF24+AF25+AF26+AF28+AF32</f>
        <v>41.749750000000006</v>
      </c>
      <c r="AG64" s="428">
        <f>AG18+AG21+AG24+AG25+AG26+AG28+AG32</f>
        <v>39.588750000000005</v>
      </c>
    </row>
    <row r="65" spans="2:33" ht="25.7" customHeight="1" x14ac:dyDescent="0.25">
      <c r="B65" s="469" t="s">
        <v>801</v>
      </c>
      <c r="C65" s="230"/>
      <c r="D65" s="668">
        <f t="shared" ref="D65:U65" si="33">D61-D62</f>
        <v>1410.9</v>
      </c>
      <c r="E65" s="668">
        <f t="shared" si="33"/>
        <v>1471.1999999999998</v>
      </c>
      <c r="F65" s="668">
        <f t="shared" si="33"/>
        <v>1477.1</v>
      </c>
      <c r="G65" s="668">
        <f t="shared" si="33"/>
        <v>1484</v>
      </c>
      <c r="H65" s="668">
        <f t="shared" si="33"/>
        <v>1492</v>
      </c>
      <c r="I65" s="668">
        <f t="shared" si="33"/>
        <v>1536.65825</v>
      </c>
      <c r="J65" s="668">
        <f t="shared" si="33"/>
        <v>1512.0112500000005</v>
      </c>
      <c r="K65" s="668">
        <f t="shared" si="33"/>
        <v>1641.8622499999999</v>
      </c>
      <c r="L65" s="668">
        <f t="shared" si="33"/>
        <v>1580.70225</v>
      </c>
      <c r="M65" s="668">
        <f t="shared" si="33"/>
        <v>1605.2222499999998</v>
      </c>
      <c r="N65" s="668">
        <f t="shared" si="33"/>
        <v>1583.2874099999999</v>
      </c>
      <c r="O65" s="668">
        <f t="shared" si="33"/>
        <v>1587.791756666667</v>
      </c>
      <c r="P65" s="668">
        <f t="shared" si="33"/>
        <v>1577.9709166666669</v>
      </c>
      <c r="Q65" s="668">
        <f t="shared" si="33"/>
        <v>1685.0262499999999</v>
      </c>
      <c r="R65" s="668">
        <f t="shared" si="33"/>
        <v>1693.3002499999998</v>
      </c>
      <c r="S65" s="668">
        <f t="shared" si="33"/>
        <v>1684.9962499999999</v>
      </c>
      <c r="T65" s="668">
        <f t="shared" si="33"/>
        <v>1706.4602499999996</v>
      </c>
      <c r="U65" s="668">
        <f t="shared" si="33"/>
        <v>1840.9282500000002</v>
      </c>
      <c r="V65" s="668">
        <f>V61-V62</f>
        <v>1847.4466785714285</v>
      </c>
      <c r="W65" s="668">
        <f>W61-W62</f>
        <v>1843.5156785714285</v>
      </c>
      <c r="X65" s="668">
        <f>X61-X62</f>
        <v>1867.4592500000001</v>
      </c>
      <c r="Y65" s="668">
        <f>Y61-Y62</f>
        <v>1959.1992499999999</v>
      </c>
      <c r="Z65" s="428"/>
      <c r="AA65" s="428"/>
      <c r="AB65" s="428"/>
      <c r="AC65" s="428"/>
      <c r="AD65" s="428"/>
      <c r="AE65" s="428"/>
      <c r="AF65" s="428"/>
      <c r="AG65" s="495"/>
    </row>
    <row r="66" spans="2:33" ht="20.45" customHeight="1" x14ac:dyDescent="0.25">
      <c r="B66" s="684" t="s">
        <v>802</v>
      </c>
      <c r="C66" s="685"/>
      <c r="D66" s="691">
        <f>D12-D14-D17-D27</f>
        <v>1410.9</v>
      </c>
      <c r="E66" s="653">
        <f>E12-E14-E17-E27</f>
        <v>1471.1999999999998</v>
      </c>
      <c r="F66" s="653">
        <f>F12-F14-F17-F27</f>
        <v>1477.1000000000001</v>
      </c>
      <c r="G66" s="653">
        <f>G12-G14-G17-G27</f>
        <v>1484</v>
      </c>
      <c r="H66" s="653">
        <f>H12-H14-H17-H27</f>
        <v>1492</v>
      </c>
      <c r="I66" s="653">
        <f>I12-I14-I17-I27</f>
        <v>1543.2999999999997</v>
      </c>
      <c r="J66" s="692">
        <f>I66+($H$66-$E$66)/3</f>
        <v>1550.2333333333331</v>
      </c>
      <c r="K66" s="692">
        <f>J66+($H$66-$E$66)/3</f>
        <v>1557.1666666666665</v>
      </c>
      <c r="L66" s="692">
        <f>K66+($H$66-$E$66)/3</f>
        <v>1564.1</v>
      </c>
      <c r="M66" s="693">
        <f>L66+($H$66-$E$66)/3 +(M70-L70)</f>
        <v>1588.5533333333333</v>
      </c>
      <c r="N66" s="692">
        <f>M66+($H$66-$E$66)/3</f>
        <v>1595.4866666666667</v>
      </c>
      <c r="O66" s="692">
        <f>N66+($H$66-$E$66)/3</f>
        <v>1602.42</v>
      </c>
      <c r="P66" s="692">
        <f>O66+($H$66-$E$66)/3</f>
        <v>1609.3533333333335</v>
      </c>
      <c r="Q66" s="693">
        <f>P66+($H$66-$E$66)/3 + 0.06*Q70</f>
        <v>1688.207466666667</v>
      </c>
      <c r="R66" s="692">
        <f>Q66+($H$66-$E$66)/3</f>
        <v>1695.1408000000004</v>
      </c>
      <c r="S66" s="692">
        <f>R66+($H$66-$E$66)/3</f>
        <v>1702.0741333333337</v>
      </c>
      <c r="T66" s="692">
        <f>S66+($H$66-$E$66)/3</f>
        <v>1709.0074666666671</v>
      </c>
      <c r="U66" s="692">
        <f>T66+U67</f>
        <v>1822.5884450000005</v>
      </c>
      <c r="V66" s="692">
        <f>U66+V67</f>
        <v>1829.5217783333339</v>
      </c>
      <c r="W66" s="653">
        <f t="shared" ref="W66:AC66" si="34">V66+W67</f>
        <v>1836.4551116666673</v>
      </c>
      <c r="X66" s="686">
        <f t="shared" si="34"/>
        <v>1843.3884450000007</v>
      </c>
      <c r="Y66" s="686">
        <f t="shared" si="34"/>
        <v>1895.9830903333341</v>
      </c>
      <c r="Z66" s="686">
        <f t="shared" si="34"/>
        <v>1902.9164236666675</v>
      </c>
      <c r="AA66" s="686">
        <f t="shared" si="34"/>
        <v>1909.8497570000009</v>
      </c>
      <c r="AB66" s="686">
        <f t="shared" si="34"/>
        <v>1916.7830903333343</v>
      </c>
      <c r="AC66" s="686">
        <f t="shared" si="34"/>
        <v>1958.5764902306676</v>
      </c>
      <c r="AD66" s="686">
        <f t="shared" ref="AD66" si="35">AC66+AD67</f>
        <v>1965.509823564001</v>
      </c>
      <c r="AE66" s="686">
        <f t="shared" ref="AE66" si="36">AD66+AE67</f>
        <v>1972.4431568973343</v>
      </c>
      <c r="AF66" s="686">
        <f>AE66+AF67</f>
        <v>1979.3764902306677</v>
      </c>
      <c r="AG66" s="686">
        <f>AF66+AG67</f>
        <v>2023.3754766589732</v>
      </c>
    </row>
    <row r="67" spans="2:33" ht="20.45" customHeight="1" x14ac:dyDescent="0.25">
      <c r="B67" s="687" t="s">
        <v>1808</v>
      </c>
      <c r="C67" s="230"/>
      <c r="D67" s="701"/>
      <c r="E67" s="429"/>
      <c r="F67" s="429"/>
      <c r="G67" s="429"/>
      <c r="H67" s="429"/>
      <c r="I67" s="429"/>
      <c r="J67" s="669"/>
      <c r="K67" s="669"/>
      <c r="L67" s="669"/>
      <c r="M67" s="694"/>
      <c r="N67" s="669"/>
      <c r="O67" s="669"/>
      <c r="P67" s="669"/>
      <c r="Q67" s="694"/>
      <c r="R67" s="669"/>
      <c r="S67" s="669"/>
      <c r="T67" s="669"/>
      <c r="U67" s="669">
        <f>U68+U69</f>
        <v>113.58097833333339</v>
      </c>
      <c r="V67" s="669">
        <f>V68+V69</f>
        <v>6.933333333333394</v>
      </c>
      <c r="W67" s="669">
        <f>W68+W69</f>
        <v>6.933333333333394</v>
      </c>
      <c r="X67" s="428">
        <f t="shared" ref="X67:AC67" si="37">X68+X73*X70</f>
        <v>6.933333333333394</v>
      </c>
      <c r="Y67" s="428">
        <f t="shared" si="37"/>
        <v>52.594645333333396</v>
      </c>
      <c r="Z67" s="428">
        <f t="shared" si="37"/>
        <v>6.933333333333394</v>
      </c>
      <c r="AA67" s="428">
        <f t="shared" si="37"/>
        <v>6.933333333333394</v>
      </c>
      <c r="AB67" s="428">
        <f t="shared" si="37"/>
        <v>6.933333333333394</v>
      </c>
      <c r="AC67" s="428">
        <f t="shared" si="37"/>
        <v>41.793399897333394</v>
      </c>
      <c r="AD67" s="428">
        <f t="shared" ref="AD67:AE67" si="38">AD68+AD73*AD70</f>
        <v>6.933333333333394</v>
      </c>
      <c r="AE67" s="428">
        <f t="shared" si="38"/>
        <v>6.933333333333394</v>
      </c>
      <c r="AF67" s="428">
        <f>AF68+AF73*AF70</f>
        <v>6.933333333333394</v>
      </c>
      <c r="AG67" s="428">
        <f>AG68+AG73*AG70</f>
        <v>43.998986428305393</v>
      </c>
    </row>
    <row r="68" spans="2:33" ht="28.35" customHeight="1" x14ac:dyDescent="0.25">
      <c r="B68" s="688" t="s">
        <v>1805</v>
      </c>
      <c r="C68" s="230"/>
      <c r="D68" s="701"/>
      <c r="E68" s="429"/>
      <c r="F68" s="429"/>
      <c r="G68" s="429"/>
      <c r="H68" s="429"/>
      <c r="I68" s="429"/>
      <c r="J68" s="669"/>
      <c r="K68" s="669"/>
      <c r="L68" s="669"/>
      <c r="M68" s="694"/>
      <c r="N68" s="669"/>
      <c r="O68" s="669"/>
      <c r="P68" s="669"/>
      <c r="Q68" s="694"/>
      <c r="R68" s="669"/>
      <c r="S68" s="669"/>
      <c r="T68" s="669"/>
      <c r="U68" s="669">
        <f>($H$66-$E$66)/3</f>
        <v>6.933333333333394</v>
      </c>
      <c r="V68" s="669">
        <f>($H$66-$E$66)/3</f>
        <v>6.933333333333394</v>
      </c>
      <c r="W68" s="669">
        <f>($H$66-$E$66)/3</f>
        <v>6.933333333333394</v>
      </c>
      <c r="X68" s="428">
        <f t="shared" ref="X68:AC68" si="39">W68</f>
        <v>6.933333333333394</v>
      </c>
      <c r="Y68" s="428">
        <f t="shared" si="39"/>
        <v>6.933333333333394</v>
      </c>
      <c r="Z68" s="428">
        <f t="shared" si="39"/>
        <v>6.933333333333394</v>
      </c>
      <c r="AA68" s="428">
        <f t="shared" si="39"/>
        <v>6.933333333333394</v>
      </c>
      <c r="AB68" s="428">
        <f t="shared" si="39"/>
        <v>6.933333333333394</v>
      </c>
      <c r="AC68" s="428">
        <f t="shared" si="39"/>
        <v>6.933333333333394</v>
      </c>
      <c r="AD68" s="428">
        <f t="shared" ref="AD68" si="40">AC68</f>
        <v>6.933333333333394</v>
      </c>
      <c r="AE68" s="428">
        <f t="shared" ref="AE68" si="41">AD68</f>
        <v>6.933333333333394</v>
      </c>
      <c r="AF68" s="428">
        <f>AE68</f>
        <v>6.933333333333394</v>
      </c>
      <c r="AG68" s="428">
        <f>AF68</f>
        <v>6.933333333333394</v>
      </c>
    </row>
    <row r="69" spans="2:33" ht="30.6" customHeight="1" x14ac:dyDescent="0.25">
      <c r="B69" s="689" t="s">
        <v>1806</v>
      </c>
      <c r="C69" s="690"/>
      <c r="D69" s="695"/>
      <c r="E69" s="654"/>
      <c r="F69" s="654"/>
      <c r="G69" s="654"/>
      <c r="H69" s="654"/>
      <c r="I69" s="654"/>
      <c r="J69" s="696"/>
      <c r="K69" s="696"/>
      <c r="L69" s="696"/>
      <c r="M69" s="697"/>
      <c r="N69" s="696"/>
      <c r="O69" s="696"/>
      <c r="P69" s="696"/>
      <c r="Q69" s="697"/>
      <c r="R69" s="696"/>
      <c r="S69" s="696"/>
      <c r="T69" s="696"/>
      <c r="U69" s="696">
        <f>U73*T70</f>
        <v>106.647645</v>
      </c>
      <c r="V69" s="696">
        <f>V73*U70</f>
        <v>0</v>
      </c>
      <c r="W69" s="654">
        <f t="shared" ref="W69:AB69" si="42">W73*V70</f>
        <v>0</v>
      </c>
      <c r="X69" s="698">
        <f t="shared" si="42"/>
        <v>0</v>
      </c>
      <c r="Y69" s="698">
        <f>Y73*X70</f>
        <v>43.975904</v>
      </c>
      <c r="Z69" s="698">
        <f t="shared" si="42"/>
        <v>0</v>
      </c>
      <c r="AA69" s="698">
        <f t="shared" si="42"/>
        <v>0</v>
      </c>
      <c r="AB69" s="698">
        <f t="shared" si="42"/>
        <v>0</v>
      </c>
      <c r="AC69" s="698">
        <f>AC73*AB70</f>
        <v>33.739067999999996</v>
      </c>
      <c r="AD69" s="698">
        <f t="shared" ref="AD69" si="43">AD73*AC70</f>
        <v>0</v>
      </c>
      <c r="AE69" s="698">
        <f t="shared" ref="AE69" si="44">AE73*AD70</f>
        <v>0</v>
      </c>
      <c r="AF69" s="698">
        <f t="shared" ref="AF69" si="45">AF73*AE70</f>
        <v>0</v>
      </c>
      <c r="AG69" s="698">
        <f>AG73*AF70</f>
        <v>35.895066563999997</v>
      </c>
    </row>
    <row r="70" spans="2:33" ht="17.45" customHeight="1" x14ac:dyDescent="0.25">
      <c r="B70" s="538" t="s">
        <v>475</v>
      </c>
      <c r="C70" s="230" t="s">
        <v>476</v>
      </c>
      <c r="D70" s="701">
        <f>'Haver Pivoted'!GO88/1000</f>
        <v>983.86099999999999</v>
      </c>
      <c r="E70" s="429">
        <f>'Haver Pivoted'!GP88/1000</f>
        <v>1019.17</v>
      </c>
      <c r="F70" s="429">
        <f>'Haver Pivoted'!GQ88/1000</f>
        <v>1026.74</v>
      </c>
      <c r="G70" s="429">
        <f>'Haver Pivoted'!GR88/1000</f>
        <v>1034.364</v>
      </c>
      <c r="H70" s="429">
        <f>'Haver Pivoted'!GS88/1000</f>
        <v>1042.6969999999999</v>
      </c>
      <c r="I70" s="429">
        <f>'Haver Pivoted'!GT88/1000</f>
        <v>1068.172</v>
      </c>
      <c r="J70" s="429">
        <f>'Haver Pivoted'!GU88/1000</f>
        <v>1075.0809999999999</v>
      </c>
      <c r="K70" s="429">
        <f>'Haver Pivoted'!GV88/1000</f>
        <v>1080.296</v>
      </c>
      <c r="L70" s="429">
        <f>'Haver Pivoted'!GW88/1000</f>
        <v>1088.164</v>
      </c>
      <c r="M70" s="429">
        <f>'Haver Pivoted'!GX88/1000</f>
        <v>1105.684</v>
      </c>
      <c r="N70" s="429">
        <f>'Haver Pivoted'!GY88/1000</f>
        <v>1109.6220000000001</v>
      </c>
      <c r="O70" s="429">
        <f>'Haver Pivoted'!GZ88/1000</f>
        <v>1116.8399999999999</v>
      </c>
      <c r="P70" s="429">
        <f>'Haver Pivoted'!HA88/1000</f>
        <v>1126.2539999999999</v>
      </c>
      <c r="Q70" s="429">
        <f>'Haver Pivoted'!HB88/1000</f>
        <v>1198.68</v>
      </c>
      <c r="R70" s="429">
        <f>'Haver Pivoted'!HC88/1000</f>
        <v>1207.049</v>
      </c>
      <c r="S70" s="668">
        <f>'Haver Pivoted'!HD88/1000</f>
        <v>1214.451</v>
      </c>
      <c r="T70" s="668">
        <f>'Haver Pivoted'!HE88/1000</f>
        <v>1225.835</v>
      </c>
      <c r="U70" s="668">
        <f>'Haver Pivoted'!HF88/1000</f>
        <v>1339.9770000000001</v>
      </c>
      <c r="V70" s="668">
        <f>'Haver Pivoted'!HG88/1000</f>
        <v>1353.758</v>
      </c>
      <c r="W70" s="668">
        <f>'Haver Pivoted'!HH88/1000</f>
        <v>1361.2850000000001</v>
      </c>
      <c r="X70" s="668">
        <f>'Haver Pivoted'!HI88/1000</f>
        <v>1374.2470000000001</v>
      </c>
      <c r="Y70" s="668">
        <f>'Haver Pivoted'!HJ88/1000</f>
        <v>1426.9159999999999</v>
      </c>
      <c r="Z70" s="428">
        <f t="shared" ref="Z70:AC70" si="46">Y70+Z71</f>
        <v>1439.9159999999999</v>
      </c>
      <c r="AA70" s="428">
        <f t="shared" si="46"/>
        <v>1452.9159999999999</v>
      </c>
      <c r="AB70" s="428">
        <f t="shared" si="46"/>
        <v>1466.9159999999999</v>
      </c>
      <c r="AC70" s="428">
        <f t="shared" si="46"/>
        <v>1515.655068</v>
      </c>
      <c r="AD70" s="428">
        <f t="shared" ref="AD70" si="47">AC70+AD71</f>
        <v>1530.655068</v>
      </c>
      <c r="AE70" s="428">
        <f t="shared" ref="AE70" si="48">AD70+AE71</f>
        <v>1545.655068</v>
      </c>
      <c r="AF70" s="428">
        <f>AE70+AF71</f>
        <v>1560.655068</v>
      </c>
      <c r="AG70" s="428">
        <f>AF70+AG71</f>
        <v>1611.550134564</v>
      </c>
    </row>
    <row r="71" spans="2:33" ht="17.45" customHeight="1" x14ac:dyDescent="0.25">
      <c r="B71" s="415" t="s">
        <v>1807</v>
      </c>
      <c r="C71" s="230"/>
      <c r="D71" s="701"/>
      <c r="E71" s="429"/>
      <c r="F71" s="429"/>
      <c r="G71" s="429"/>
      <c r="H71" s="429"/>
      <c r="I71" s="429"/>
      <c r="J71" s="429"/>
      <c r="K71" s="429"/>
      <c r="L71" s="429"/>
      <c r="M71" s="429"/>
      <c r="N71" s="429"/>
      <c r="O71" s="429"/>
      <c r="P71" s="429"/>
      <c r="Q71" s="429"/>
      <c r="R71" s="429"/>
      <c r="S71" s="668"/>
      <c r="T71" s="668"/>
      <c r="U71" s="668">
        <f>U69+U72</f>
        <v>114.647645</v>
      </c>
      <c r="V71" s="429">
        <f>V69+V72</f>
        <v>8</v>
      </c>
      <c r="W71" s="429">
        <f t="shared" ref="W71:AC71" si="49">W69+W72</f>
        <v>11</v>
      </c>
      <c r="X71" s="428">
        <f>X69+X72</f>
        <v>14</v>
      </c>
      <c r="Y71" s="428">
        <f>Y69+Y72</f>
        <v>52.975904</v>
      </c>
      <c r="Z71" s="428">
        <f t="shared" si="49"/>
        <v>13</v>
      </c>
      <c r="AA71" s="428">
        <f t="shared" si="49"/>
        <v>13</v>
      </c>
      <c r="AB71" s="428">
        <f t="shared" si="49"/>
        <v>14</v>
      </c>
      <c r="AC71" s="428">
        <f t="shared" si="49"/>
        <v>48.739067999999996</v>
      </c>
      <c r="AD71" s="428">
        <f t="shared" ref="AD71:AE71" si="50">AD69+AD72</f>
        <v>15</v>
      </c>
      <c r="AE71" s="428">
        <f t="shared" si="50"/>
        <v>15</v>
      </c>
      <c r="AF71" s="428">
        <f>AF69+AF72</f>
        <v>15</v>
      </c>
      <c r="AG71" s="428">
        <f>AG69+AG72</f>
        <v>50.895066563999997</v>
      </c>
    </row>
    <row r="72" spans="2:33" ht="17.45" customHeight="1" x14ac:dyDescent="0.25">
      <c r="B72" s="406" t="s">
        <v>1810</v>
      </c>
      <c r="C72" s="230"/>
      <c r="D72" s="701"/>
      <c r="E72" s="429"/>
      <c r="F72" s="668"/>
      <c r="G72" s="668"/>
      <c r="H72" s="668"/>
      <c r="I72" s="668"/>
      <c r="J72" s="668"/>
      <c r="K72" s="668"/>
      <c r="L72" s="668"/>
      <c r="M72" s="668"/>
      <c r="N72" s="668"/>
      <c r="O72" s="668"/>
      <c r="P72" s="668"/>
      <c r="Q72" s="668"/>
      <c r="R72" s="668"/>
      <c r="S72" s="668"/>
      <c r="T72" s="668"/>
      <c r="U72" s="668">
        <v>8</v>
      </c>
      <c r="V72" s="429">
        <v>8</v>
      </c>
      <c r="W72" s="429">
        <v>11</v>
      </c>
      <c r="X72" s="428">
        <v>14</v>
      </c>
      <c r="Y72" s="428">
        <v>9</v>
      </c>
      <c r="Z72" s="428">
        <v>13</v>
      </c>
      <c r="AA72" s="428">
        <v>13</v>
      </c>
      <c r="AB72" s="428">
        <v>14</v>
      </c>
      <c r="AC72" s="428">
        <v>15</v>
      </c>
      <c r="AD72" s="428">
        <v>15</v>
      </c>
      <c r="AE72" s="428">
        <v>15</v>
      </c>
      <c r="AF72" s="428">
        <v>15</v>
      </c>
      <c r="AG72" s="495">
        <v>15</v>
      </c>
    </row>
    <row r="73" spans="2:33" ht="39" customHeight="1" x14ac:dyDescent="0.25">
      <c r="B73" s="406" t="s">
        <v>1811</v>
      </c>
      <c r="C73" s="230"/>
      <c r="D73" s="701"/>
      <c r="E73" s="429"/>
      <c r="F73" s="429"/>
      <c r="G73" s="429"/>
      <c r="H73" s="429"/>
      <c r="I73" s="654"/>
      <c r="J73" s="654"/>
      <c r="K73" s="654"/>
      <c r="L73" s="654"/>
      <c r="M73" s="654"/>
      <c r="N73" s="654"/>
      <c r="O73" s="654"/>
      <c r="P73" s="654"/>
      <c r="Q73" s="654"/>
      <c r="R73" s="654"/>
      <c r="S73" s="699"/>
      <c r="T73" s="699"/>
      <c r="U73" s="670">
        <v>8.6999999999999994E-2</v>
      </c>
      <c r="V73" s="655">
        <v>0</v>
      </c>
      <c r="W73" s="655">
        <v>0</v>
      </c>
      <c r="X73" s="700">
        <v>0</v>
      </c>
      <c r="Y73" s="700">
        <v>3.2000000000000001E-2</v>
      </c>
      <c r="Z73" s="700">
        <v>0</v>
      </c>
      <c r="AA73" s="700">
        <v>0</v>
      </c>
      <c r="AB73" s="700">
        <v>0</v>
      </c>
      <c r="AC73" s="700">
        <v>2.3E-2</v>
      </c>
      <c r="AD73" s="700">
        <v>0</v>
      </c>
      <c r="AE73" s="700">
        <v>0</v>
      </c>
      <c r="AF73" s="700">
        <v>0</v>
      </c>
      <c r="AG73" s="700">
        <v>2.3E-2</v>
      </c>
    </row>
    <row r="74" spans="2:33" ht="49.7" customHeight="1" x14ac:dyDescent="0.25">
      <c r="B74" s="469" t="s">
        <v>1432</v>
      </c>
      <c r="C74" s="230"/>
      <c r="D74" s="701">
        <f t="shared" ref="D74:T74" si="51">D65-D66</f>
        <v>0</v>
      </c>
      <c r="E74" s="429">
        <f t="shared" si="51"/>
        <v>0</v>
      </c>
      <c r="F74" s="429">
        <f t="shared" si="51"/>
        <v>0</v>
      </c>
      <c r="G74" s="429">
        <f t="shared" si="51"/>
        <v>0</v>
      </c>
      <c r="H74" s="429">
        <f t="shared" si="51"/>
        <v>0</v>
      </c>
      <c r="I74" s="429">
        <f t="shared" si="51"/>
        <v>-6.6417499999997744</v>
      </c>
      <c r="J74" s="429">
        <f t="shared" si="51"/>
        <v>-38.222083333332648</v>
      </c>
      <c r="K74" s="429">
        <f t="shared" si="51"/>
        <v>84.695583333333389</v>
      </c>
      <c r="L74" s="429">
        <f t="shared" si="51"/>
        <v>16.60225000000014</v>
      </c>
      <c r="M74" s="429">
        <f t="shared" si="51"/>
        <v>16.668916666666519</v>
      </c>
      <c r="N74" s="429">
        <f t="shared" si="51"/>
        <v>-12.19925666666677</v>
      </c>
      <c r="O74" s="429">
        <f t="shared" si="51"/>
        <v>-14.628243333333103</v>
      </c>
      <c r="P74" s="429">
        <f t="shared" si="51"/>
        <v>-31.382416666666586</v>
      </c>
      <c r="Q74" s="429">
        <f t="shared" si="51"/>
        <v>-3.1812166666670691</v>
      </c>
      <c r="R74" s="429">
        <f t="shared" si="51"/>
        <v>-1.8405500000005759</v>
      </c>
      <c r="S74" s="668">
        <f t="shared" si="51"/>
        <v>-17.07788333333383</v>
      </c>
      <c r="T74" s="668">
        <f t="shared" si="51"/>
        <v>-2.5472166666675093</v>
      </c>
      <c r="U74" s="668">
        <f>U65-U66</f>
        <v>18.339804999999615</v>
      </c>
      <c r="V74" s="668">
        <f>V65-V66</f>
        <v>17.924900238094551</v>
      </c>
      <c r="W74" s="668">
        <f>W65-W66</f>
        <v>7.0605669047611173</v>
      </c>
      <c r="X74" s="668">
        <f>X65-X66</f>
        <v>24.070804999999382</v>
      </c>
      <c r="Y74" s="668">
        <f>Y65-Y66</f>
        <v>63.216159666665817</v>
      </c>
      <c r="Z74" s="428">
        <f t="shared" ref="Z74:AC74" si="52">Y74</f>
        <v>63.216159666665817</v>
      </c>
      <c r="AA74" s="428">
        <f t="shared" si="52"/>
        <v>63.216159666665817</v>
      </c>
      <c r="AB74" s="428">
        <f t="shared" si="52"/>
        <v>63.216159666665817</v>
      </c>
      <c r="AC74" s="428">
        <f t="shared" si="52"/>
        <v>63.216159666665817</v>
      </c>
      <c r="AD74" s="428">
        <f t="shared" ref="AD74" si="53">AC74</f>
        <v>63.216159666665817</v>
      </c>
      <c r="AE74" s="428">
        <f t="shared" ref="AE74" si="54">AD74</f>
        <v>63.216159666665817</v>
      </c>
      <c r="AF74" s="428">
        <f t="shared" ref="AF74:AG74" si="55">AE74</f>
        <v>63.216159666665817</v>
      </c>
      <c r="AG74" s="428">
        <f t="shared" si="55"/>
        <v>63.216159666665817</v>
      </c>
    </row>
    <row r="75" spans="2:33" ht="29.45" customHeight="1" x14ac:dyDescent="0.25">
      <c r="B75" s="273"/>
      <c r="C75" s="230"/>
      <c r="D75" s="213"/>
      <c r="E75" s="213"/>
      <c r="F75" s="213"/>
      <c r="G75" s="213"/>
      <c r="H75" s="213"/>
      <c r="I75" s="213"/>
      <c r="J75" s="213"/>
      <c r="K75" s="213"/>
      <c r="L75" s="213"/>
      <c r="M75" s="213"/>
      <c r="N75" s="213"/>
      <c r="O75" s="213"/>
      <c r="P75" s="213"/>
      <c r="Q75" s="213"/>
      <c r="R75" s="213"/>
      <c r="S75" s="213"/>
      <c r="T75" s="213"/>
      <c r="U75" s="213"/>
      <c r="V75" s="213"/>
      <c r="W75" s="213"/>
      <c r="X75" s="213"/>
      <c r="Y75" s="213"/>
      <c r="Z75" s="213"/>
      <c r="AA75" s="213"/>
      <c r="AB75" s="213"/>
      <c r="AC75" s="213"/>
    </row>
    <row r="76" spans="2:33" ht="16.7" customHeight="1" x14ac:dyDescent="0.25">
      <c r="B76" s="230"/>
      <c r="C76" s="230"/>
      <c r="N76" s="230">
        <f>AVERAGE(P70:S70)</f>
        <v>1186.6085</v>
      </c>
      <c r="R76" s="230">
        <f>AVERAGE(T70:W70)</f>
        <v>1320.2137499999999</v>
      </c>
      <c r="S76" s="542"/>
      <c r="T76" s="542"/>
      <c r="U76" s="230"/>
      <c r="V76" s="230">
        <f>AVERAGE(X70:AA70)</f>
        <v>1423.49875</v>
      </c>
      <c r="W76" s="230"/>
      <c r="X76" s="230"/>
      <c r="Y76" s="230"/>
      <c r="Z76" s="230">
        <f>AVERAGE(AB70:AE70)</f>
        <v>1514.7203010000001</v>
      </c>
      <c r="AA76" s="230"/>
      <c r="AB76" s="230"/>
      <c r="AC76" s="230"/>
      <c r="AD76" s="429">
        <f>AVERAGE(AF70:AI70)</f>
        <v>1586.102601282</v>
      </c>
    </row>
    <row r="77" spans="2:33" ht="16.7" customHeight="1" x14ac:dyDescent="0.25">
      <c r="B77" s="230"/>
      <c r="C77" s="230"/>
      <c r="S77" s="213"/>
      <c r="T77" s="213"/>
      <c r="U77" s="230"/>
      <c r="V77" s="230"/>
      <c r="W77" s="230"/>
      <c r="X77" s="230"/>
      <c r="Y77" s="230"/>
      <c r="Z77" s="230"/>
      <c r="AA77" s="230"/>
      <c r="AB77" s="230"/>
      <c r="AC77" s="230">
        <f>Z76-V76</f>
        <v>91.22155100000009</v>
      </c>
    </row>
    <row r="78" spans="2:33" ht="16.7" customHeight="1" x14ac:dyDescent="0.25">
      <c r="B78" s="230"/>
      <c r="C78" s="230"/>
      <c r="S78" s="213"/>
      <c r="T78" s="213"/>
      <c r="U78" s="230"/>
      <c r="V78" s="230"/>
      <c r="W78" s="230"/>
      <c r="X78" s="230"/>
      <c r="Y78" s="230"/>
      <c r="Z78" s="230"/>
      <c r="AA78" s="230"/>
      <c r="AB78" s="230"/>
      <c r="AC78" s="230"/>
    </row>
    <row r="79" spans="2:33" ht="16.7" customHeight="1" x14ac:dyDescent="0.25">
      <c r="B79" s="230"/>
      <c r="C79" s="230"/>
      <c r="S79" s="213"/>
      <c r="T79" s="213"/>
      <c r="U79" s="429"/>
      <c r="V79" s="429"/>
      <c r="W79" s="429"/>
      <c r="X79" s="429"/>
      <c r="Y79" s="429"/>
      <c r="Z79" s="429"/>
      <c r="AA79" s="429"/>
      <c r="AB79" s="429"/>
      <c r="AC79" s="429"/>
      <c r="AD79" s="507"/>
    </row>
    <row r="80" spans="2:33" ht="16.7" customHeight="1" x14ac:dyDescent="0.25">
      <c r="B80" s="460"/>
      <c r="C80" s="230"/>
      <c r="S80" s="213"/>
      <c r="T80" s="213"/>
      <c r="U80" s="213"/>
      <c r="V80" s="213"/>
      <c r="W80" s="213"/>
      <c r="X80" s="213"/>
      <c r="Y80" s="213"/>
      <c r="Z80" s="213"/>
      <c r="AA80" s="213"/>
      <c r="AB80" s="213"/>
      <c r="AC80" s="213"/>
      <c r="AD80" s="507"/>
    </row>
    <row r="81" spans="2:30" ht="16.7" customHeight="1" x14ac:dyDescent="0.25">
      <c r="B81" s="460"/>
      <c r="C81" s="230"/>
      <c r="S81" s="213"/>
      <c r="T81" s="213"/>
      <c r="U81" s="213"/>
      <c r="V81" s="213"/>
      <c r="W81" s="213"/>
      <c r="X81" s="213"/>
      <c r="Y81" s="213"/>
      <c r="Z81" s="213"/>
      <c r="AA81" s="213"/>
      <c r="AB81" s="213"/>
      <c r="AC81" s="213"/>
      <c r="AD81" s="507"/>
    </row>
    <row r="82" spans="2:30" ht="16.7" customHeight="1" x14ac:dyDescent="0.25">
      <c r="B82" s="460"/>
      <c r="C82" s="230"/>
      <c r="S82" s="213"/>
      <c r="T82" s="213"/>
      <c r="U82" s="213"/>
      <c r="V82" s="213"/>
      <c r="W82" s="213"/>
      <c r="X82" s="213"/>
      <c r="Y82" s="213"/>
      <c r="Z82" s="213"/>
      <c r="AA82" s="213"/>
      <c r="AB82" s="213"/>
      <c r="AC82" s="213"/>
      <c r="AD82" s="507"/>
    </row>
    <row r="83" spans="2:30" ht="16.7" customHeight="1" x14ac:dyDescent="0.25">
      <c r="B83" s="230"/>
      <c r="C83" s="230"/>
      <c r="S83" s="230"/>
      <c r="T83" s="230"/>
      <c r="U83" s="429"/>
      <c r="V83" s="429"/>
      <c r="W83" s="429"/>
      <c r="X83" s="429"/>
      <c r="Y83" s="429"/>
      <c r="Z83" s="429"/>
      <c r="AA83" s="429"/>
      <c r="AB83" s="429"/>
      <c r="AC83" s="429"/>
      <c r="AD83" s="507"/>
    </row>
    <row r="84" spans="2:30" ht="16.7" customHeight="1" x14ac:dyDescent="0.25">
      <c r="B84" s="460"/>
      <c r="C84" s="230"/>
      <c r="D84">
        <f>E91/D91</f>
        <v>1.0771335372462556</v>
      </c>
      <c r="S84" s="230"/>
      <c r="T84" s="230"/>
      <c r="U84" s="429"/>
      <c r="V84" s="429"/>
      <c r="W84" s="429"/>
      <c r="X84" s="429"/>
      <c r="Y84" s="429"/>
      <c r="Z84" s="429"/>
      <c r="AA84" s="429"/>
      <c r="AB84" s="429"/>
      <c r="AC84" s="429"/>
      <c r="AD84" s="507"/>
    </row>
    <row r="85" spans="2:30" ht="16.7" customHeight="1" x14ac:dyDescent="0.25">
      <c r="B85" s="460"/>
      <c r="C85" s="230"/>
      <c r="S85" s="230"/>
      <c r="T85" s="230"/>
      <c r="U85" s="213"/>
      <c r="V85" s="213"/>
      <c r="W85" s="213"/>
      <c r="X85" s="213"/>
      <c r="Y85" s="213"/>
      <c r="Z85" s="213"/>
      <c r="AA85" s="213"/>
      <c r="AB85" s="213"/>
      <c r="AC85" s="213"/>
      <c r="AD85" s="507"/>
    </row>
    <row r="86" spans="2:30" ht="16.7" customHeight="1" x14ac:dyDescent="0.25">
      <c r="B86" s="460"/>
      <c r="C86" s="230"/>
      <c r="S86" s="230"/>
      <c r="T86" s="230"/>
      <c r="U86" s="671"/>
      <c r="V86" s="671"/>
      <c r="W86" s="671"/>
      <c r="X86" s="671"/>
      <c r="Y86" s="671"/>
      <c r="Z86" s="671"/>
      <c r="AA86" s="671"/>
      <c r="AB86" s="671"/>
      <c r="AC86" s="671"/>
      <c r="AD86" s="507"/>
    </row>
    <row r="87" spans="2:30" ht="16.7" customHeight="1" x14ac:dyDescent="0.25">
      <c r="B87" s="230"/>
      <c r="C87" s="230"/>
      <c r="S87" s="213"/>
      <c r="T87" s="213"/>
      <c r="U87" s="213"/>
      <c r="V87" s="213"/>
      <c r="W87" s="213"/>
      <c r="X87" s="213"/>
      <c r="Y87" s="213"/>
      <c r="Z87" s="213"/>
      <c r="AA87" s="213"/>
      <c r="AB87" s="213"/>
      <c r="AC87" s="213"/>
      <c r="AD87" s="507"/>
    </row>
    <row r="88" spans="2:30" ht="22.5" customHeight="1" x14ac:dyDescent="0.25">
      <c r="B88" s="273"/>
      <c r="C88" s="230"/>
      <c r="D88" s="213"/>
      <c r="E88" s="213"/>
      <c r="F88" s="213"/>
      <c r="G88" s="213"/>
      <c r="H88" s="213"/>
      <c r="I88" s="213"/>
      <c r="J88" s="213"/>
      <c r="K88" s="213"/>
      <c r="L88" s="213"/>
      <c r="M88" s="213"/>
      <c r="N88" s="213"/>
      <c r="O88" s="213"/>
      <c r="P88" s="213"/>
      <c r="Q88" s="213"/>
      <c r="R88" s="213"/>
      <c r="S88" s="213"/>
      <c r="T88" s="213"/>
      <c r="U88" s="213"/>
      <c r="V88" s="213"/>
      <c r="W88" s="213"/>
      <c r="X88" s="213"/>
      <c r="Y88" s="213"/>
      <c r="Z88" s="213"/>
      <c r="AA88" s="213"/>
      <c r="AB88" s="213"/>
      <c r="AC88" s="213"/>
    </row>
    <row r="89" spans="2:30" ht="22.5" customHeight="1" x14ac:dyDescent="0.25">
      <c r="B89" s="273"/>
      <c r="C89" s="230"/>
      <c r="D89" s="213"/>
      <c r="E89" s="213"/>
      <c r="F89" s="213"/>
      <c r="G89" s="213"/>
      <c r="H89" s="213"/>
      <c r="I89" s="213"/>
      <c r="J89" s="213"/>
      <c r="K89" s="213"/>
      <c r="L89" s="213"/>
      <c r="M89" s="213"/>
      <c r="N89" s="213"/>
      <c r="O89" s="213"/>
      <c r="P89" s="213"/>
      <c r="Q89" s="213"/>
      <c r="R89" s="213"/>
      <c r="S89" s="213"/>
      <c r="T89" s="213"/>
      <c r="U89" s="213"/>
      <c r="V89" s="213"/>
      <c r="W89" s="213"/>
      <c r="X89" s="213"/>
      <c r="Y89" s="213"/>
      <c r="Z89" s="213"/>
      <c r="AA89" s="213"/>
      <c r="AB89" s="213"/>
      <c r="AC89" s="213"/>
    </row>
    <row r="90" spans="2:30" ht="38.450000000000003" customHeight="1" x14ac:dyDescent="0.25">
      <c r="B90" s="478"/>
      <c r="C90" s="703">
        <v>2022</v>
      </c>
      <c r="D90" s="704">
        <v>2023</v>
      </c>
      <c r="E90" s="704">
        <v>2024</v>
      </c>
      <c r="F90" s="705">
        <v>2025</v>
      </c>
      <c r="G90" s="213">
        <v>2026</v>
      </c>
      <c r="H90" s="213"/>
      <c r="I90" s="213"/>
      <c r="J90" s="213"/>
      <c r="K90" s="213"/>
      <c r="L90" s="213"/>
      <c r="M90" s="213"/>
      <c r="N90" s="213"/>
      <c r="O90" s="213"/>
      <c r="P90" s="213"/>
      <c r="Q90" s="213"/>
      <c r="R90" s="213"/>
      <c r="S90" s="213"/>
      <c r="T90" s="213"/>
      <c r="U90" s="213"/>
      <c r="V90" s="213"/>
      <c r="W90" s="213"/>
      <c r="X90" s="213"/>
      <c r="Y90" s="213"/>
      <c r="Z90" s="213"/>
      <c r="AA90" s="213"/>
      <c r="AB90" s="213"/>
      <c r="AC90" s="213"/>
    </row>
    <row r="91" spans="2:30" ht="38.450000000000003" customHeight="1" x14ac:dyDescent="0.25">
      <c r="B91" s="650" t="s">
        <v>1928</v>
      </c>
      <c r="C91" s="256">
        <v>1212.4870000000001</v>
      </c>
      <c r="D91" s="1451">
        <v>1347.961</v>
      </c>
      <c r="E91" s="1451">
        <v>1451.934</v>
      </c>
      <c r="F91" s="1451">
        <v>1549.1100000000001</v>
      </c>
      <c r="G91" s="1451">
        <v>1647.1120000000001</v>
      </c>
      <c r="H91" s="1451">
        <v>1740.634</v>
      </c>
      <c r="I91" s="1451">
        <v>1838.4829999999999</v>
      </c>
      <c r="J91" s="1451">
        <v>1938.394</v>
      </c>
      <c r="K91" s="1451">
        <v>2040.598</v>
      </c>
      <c r="L91" s="1451">
        <v>2146.6759999999999</v>
      </c>
      <c r="M91" s="1451">
        <v>2255.0050000000001</v>
      </c>
      <c r="N91" s="1451">
        <v>2364.4049999999997</v>
      </c>
      <c r="O91" s="1451">
        <v>2478.1</v>
      </c>
      <c r="P91" s="213"/>
      <c r="Q91" s="213"/>
      <c r="R91" s="213"/>
      <c r="S91" s="213"/>
      <c r="T91" s="213"/>
      <c r="U91" s="213"/>
      <c r="V91" s="213"/>
      <c r="W91" s="213"/>
      <c r="X91" s="213"/>
      <c r="Y91" s="213"/>
      <c r="Z91" s="213"/>
      <c r="AA91" s="213"/>
      <c r="AB91" s="213"/>
      <c r="AC91" s="213"/>
    </row>
    <row r="92" spans="2:30" ht="69" customHeight="1" x14ac:dyDescent="0.25">
      <c r="B92" s="273"/>
      <c r="C92" s="230"/>
      <c r="D92" s="213"/>
      <c r="E92" s="213"/>
      <c r="F92" s="213"/>
      <c r="G92" s="213"/>
      <c r="H92" s="213"/>
      <c r="I92" s="213"/>
      <c r="J92" s="213"/>
      <c r="K92" s="213"/>
      <c r="L92" s="213"/>
      <c r="M92" s="213"/>
      <c r="N92" s="213"/>
      <c r="O92" s="213"/>
      <c r="P92" s="213"/>
      <c r="Q92" s="213"/>
      <c r="R92" s="213"/>
      <c r="S92" s="213"/>
      <c r="T92" s="213"/>
      <c r="U92" s="213"/>
      <c r="V92" s="213"/>
      <c r="W92" s="213"/>
      <c r="X92" s="213"/>
      <c r="Y92" s="213"/>
      <c r="Z92" s="213"/>
      <c r="AA92" s="213"/>
      <c r="AB92" s="213"/>
      <c r="AC92" s="213"/>
    </row>
    <row r="93" spans="2:30" x14ac:dyDescent="0.25">
      <c r="B93" s="76" t="s">
        <v>1431</v>
      </c>
      <c r="D93" s="230"/>
      <c r="E93" s="230"/>
      <c r="F93" s="230"/>
      <c r="G93" s="230"/>
      <c r="H93" s="230"/>
      <c r="I93" s="230"/>
      <c r="J93" s="230"/>
      <c r="K93" s="230"/>
      <c r="L93" s="230"/>
      <c r="M93" s="213"/>
      <c r="N93" s="213"/>
      <c r="O93" s="213"/>
      <c r="P93" s="230"/>
    </row>
    <row r="94" spans="2:30" x14ac:dyDescent="0.25">
      <c r="B94" s="552" t="s">
        <v>808</v>
      </c>
      <c r="C94" s="649"/>
      <c r="D94" s="717">
        <v>2021</v>
      </c>
      <c r="E94" s="717">
        <v>2022</v>
      </c>
      <c r="F94" s="717">
        <v>2023</v>
      </c>
      <c r="G94" s="718">
        <v>2024</v>
      </c>
      <c r="R94" s="507"/>
    </row>
    <row r="95" spans="2:30" x14ac:dyDescent="0.25">
      <c r="B95" s="618" t="s">
        <v>809</v>
      </c>
      <c r="C95" s="724"/>
      <c r="D95" s="712">
        <v>3605.8330000000001</v>
      </c>
      <c r="E95" s="712">
        <v>2900</v>
      </c>
      <c r="F95" s="712">
        <f>E95*1.02</f>
        <v>2958</v>
      </c>
      <c r="G95" s="713">
        <f>F95*1.06</f>
        <v>3135.48</v>
      </c>
    </row>
    <row r="96" spans="2:30" x14ac:dyDescent="0.25">
      <c r="B96" s="618" t="s">
        <v>812</v>
      </c>
      <c r="C96" s="714"/>
      <c r="D96" s="707">
        <f>AVERAGE(Medicare!L10:O10)</f>
        <v>858.02499999999998</v>
      </c>
      <c r="E96" s="707">
        <f>AVERAGE(Medicare!P10:S10)</f>
        <v>917.59999999999991</v>
      </c>
      <c r="F96" s="707">
        <f>AVERAGE(Medicare!T10:W10)</f>
        <v>940.125</v>
      </c>
      <c r="G96" s="722">
        <f>AVERAGE(Medicare!X10:AA10)</f>
        <v>973.33695177711047</v>
      </c>
    </row>
    <row r="97" spans="2:7" ht="13.35" customHeight="1" x14ac:dyDescent="0.25">
      <c r="B97" s="618" t="s">
        <v>810</v>
      </c>
      <c r="C97" s="714"/>
      <c r="D97" s="707">
        <f>D95-D96</f>
        <v>2747.808</v>
      </c>
      <c r="E97" s="707">
        <f t="shared" ref="E97:G97" si="56">E95-E96</f>
        <v>1982.4</v>
      </c>
      <c r="F97" s="707">
        <f t="shared" si="56"/>
        <v>2017.875</v>
      </c>
      <c r="G97" s="722">
        <f t="shared" si="56"/>
        <v>2162.1430482228898</v>
      </c>
    </row>
    <row r="98" spans="2:7" x14ac:dyDescent="0.25">
      <c r="B98" s="618" t="s">
        <v>813</v>
      </c>
      <c r="C98" s="714"/>
      <c r="D98" s="707">
        <f>AVERAGE(L12:O12)</f>
        <v>3640.3999999999996</v>
      </c>
      <c r="E98" s="707">
        <f>AVERAGE(P12:S12)</f>
        <v>2903.3749999999995</v>
      </c>
      <c r="F98" s="707">
        <f>AVERAGE(T12:W12)</f>
        <v>2925.5750000000003</v>
      </c>
      <c r="G98" s="722">
        <f>AVERAGE(X12:AA12)</f>
        <v>3023.3174517771104</v>
      </c>
    </row>
    <row r="99" spans="2:7" x14ac:dyDescent="0.25">
      <c r="B99" s="618" t="s">
        <v>812</v>
      </c>
      <c r="C99" s="714"/>
      <c r="D99" s="707">
        <f>AVERAGE(Medicare!L10:O10)</f>
        <v>858.02499999999998</v>
      </c>
      <c r="E99" s="707">
        <f>AVERAGE(Medicare!P10:S10)</f>
        <v>917.59999999999991</v>
      </c>
      <c r="F99" s="707">
        <f>AVERAGE(Medicare!T10:W10)</f>
        <v>940.125</v>
      </c>
      <c r="G99" s="722">
        <f>AVERAGE(Medicare!X10:AA10)</f>
        <v>973.33695177711047</v>
      </c>
    </row>
    <row r="100" spans="2:7" x14ac:dyDescent="0.25">
      <c r="B100" s="618" t="s">
        <v>532</v>
      </c>
      <c r="C100" s="714"/>
      <c r="D100" s="707">
        <f>AVERAGE(L31:O31)</f>
        <v>1587.6399999999999</v>
      </c>
      <c r="E100" s="707">
        <f>AVERAGE(P31:S31)</f>
        <v>1673.6939333333335</v>
      </c>
      <c r="F100" s="707">
        <f>AVERAGE(T31:W31)</f>
        <v>1799.3932004166672</v>
      </c>
      <c r="G100" s="722">
        <f>AVERAGE(X31:AA31)</f>
        <v>1888.0344290000007</v>
      </c>
    </row>
    <row r="101" spans="2:7" ht="27.6" customHeight="1" x14ac:dyDescent="0.25">
      <c r="B101" s="715" t="s">
        <v>811</v>
      </c>
      <c r="C101" s="347"/>
      <c r="D101" s="608"/>
      <c r="E101" s="719">
        <v>1.157</v>
      </c>
      <c r="F101" s="719">
        <v>1.0109999999999999</v>
      </c>
      <c r="G101" s="723">
        <v>1.0529999999999999</v>
      </c>
    </row>
    <row r="102" spans="2:7" x14ac:dyDescent="0.25">
      <c r="B102" s="230" t="s">
        <v>814</v>
      </c>
      <c r="D102" s="720">
        <f>D98-D95</f>
        <v>34.566999999999553</v>
      </c>
      <c r="E102" s="720">
        <f>E98-E95</f>
        <v>3.3749999999995453</v>
      </c>
      <c r="F102" s="720">
        <f>F98-F95</f>
        <v>-32.424999999999727</v>
      </c>
      <c r="G102" s="720">
        <f t="shared" ref="G102" si="57">G98-G95</f>
        <v>-112.16254822288965</v>
      </c>
    </row>
    <row r="104" spans="2:7" x14ac:dyDescent="0.25">
      <c r="B104" t="s">
        <v>809</v>
      </c>
      <c r="D104">
        <v>3605.8330000000001</v>
      </c>
      <c r="E104">
        <v>2832.5949999999998</v>
      </c>
      <c r="F104">
        <v>2833.72</v>
      </c>
      <c r="G104">
        <v>2976.7339999999999</v>
      </c>
    </row>
  </sheetData>
  <mergeCells count="31">
    <mergeCell ref="Y59:AB59"/>
    <mergeCell ref="B11:C11"/>
    <mergeCell ref="B46:AC46"/>
    <mergeCell ref="B47:C49"/>
    <mergeCell ref="E48:H48"/>
    <mergeCell ref="I48:L48"/>
    <mergeCell ref="B35:C35"/>
    <mergeCell ref="Y48:AB48"/>
    <mergeCell ref="B58:C60"/>
    <mergeCell ref="E59:H59"/>
    <mergeCell ref="I59:L59"/>
    <mergeCell ref="M48:P48"/>
    <mergeCell ref="M59:P59"/>
    <mergeCell ref="Q59:T59"/>
    <mergeCell ref="B1:AC1"/>
    <mergeCell ref="B2:AC6"/>
    <mergeCell ref="E9:H9"/>
    <mergeCell ref="I9:L9"/>
    <mergeCell ref="Y9:AB9"/>
    <mergeCell ref="M9:P9"/>
    <mergeCell ref="Q9:T9"/>
    <mergeCell ref="P8:V8"/>
    <mergeCell ref="AC9:AF9"/>
    <mergeCell ref="W8:AG8"/>
    <mergeCell ref="AC59:AF59"/>
    <mergeCell ref="AC48:AF48"/>
    <mergeCell ref="W47:AG47"/>
    <mergeCell ref="W58:AG58"/>
    <mergeCell ref="Q48:T48"/>
    <mergeCell ref="D47:V47"/>
    <mergeCell ref="D58:V58"/>
  </mergeCells>
  <pageMargins left="0.7" right="0.7" top="0.75" bottom="0.75" header="0.3" footer="0.3"/>
  <pageSetup paperSize="9" orientation="portrait" horizontalDpi="300" verticalDpi="300"/>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W139"/>
  <sheetViews>
    <sheetView zoomScale="85" zoomScaleNormal="85" workbookViewId="0">
      <pane xSplit="2" ySplit="11" topLeftCell="C12" activePane="bottomRight" state="frozen"/>
      <selection pane="topRight" activeCell="C1" sqref="C1"/>
      <selection pane="bottomLeft" activeCell="A12" sqref="A12"/>
      <selection pane="bottomRight" activeCell="D23" sqref="D23"/>
    </sheetView>
  </sheetViews>
  <sheetFormatPr defaultColWidth="10.85546875" defaultRowHeight="15" outlineLevelRow="1" x14ac:dyDescent="0.25"/>
  <cols>
    <col min="2" max="2" width="71.140625" customWidth="1"/>
    <col min="4" max="6" width="12.140625" customWidth="1"/>
    <col min="7" max="7" width="10.42578125" customWidth="1"/>
    <col min="8" max="8" width="12.140625" customWidth="1"/>
    <col min="9" max="9" width="12" customWidth="1"/>
    <col min="10" max="29" width="13.28515625" customWidth="1"/>
  </cols>
  <sheetData>
    <row r="1" spans="1:29" ht="18" customHeight="1" x14ac:dyDescent="0.25">
      <c r="B1" s="1385" t="s">
        <v>465</v>
      </c>
      <c r="C1" s="1385"/>
      <c r="D1" s="1385"/>
      <c r="E1" s="1385"/>
      <c r="F1" s="1385"/>
      <c r="G1" s="1385"/>
      <c r="H1" s="1385"/>
      <c r="I1" s="1385"/>
      <c r="J1" s="1385"/>
      <c r="K1" s="1385"/>
      <c r="L1" s="1385"/>
      <c r="M1" s="1385"/>
      <c r="N1" s="1385"/>
      <c r="O1" s="1385"/>
      <c r="P1" s="1385"/>
      <c r="Q1" s="1385"/>
      <c r="R1" s="1385"/>
      <c r="S1" s="1385"/>
      <c r="T1" s="1385"/>
      <c r="U1" s="1385"/>
      <c r="V1" s="1385"/>
      <c r="W1" s="1385"/>
      <c r="X1" s="1385"/>
      <c r="Y1" s="1385"/>
      <c r="Z1" s="1385"/>
      <c r="AA1" s="1385"/>
      <c r="AB1" s="1385"/>
      <c r="AC1" s="1385"/>
    </row>
    <row r="2" spans="1:29" ht="34.5" hidden="1" customHeight="1" outlineLevel="1" x14ac:dyDescent="0.25">
      <c r="B2" s="1289" t="s">
        <v>861</v>
      </c>
      <c r="C2" s="1332"/>
      <c r="D2" s="1332"/>
      <c r="E2" s="1332"/>
      <c r="F2" s="1332"/>
      <c r="G2" s="1332"/>
      <c r="H2" s="1332"/>
      <c r="I2" s="1332"/>
      <c r="J2" s="1332"/>
      <c r="K2" s="1332"/>
      <c r="L2" s="1332"/>
      <c r="M2" s="1332"/>
      <c r="N2" s="1332"/>
      <c r="O2" s="1332"/>
      <c r="P2" s="1332"/>
      <c r="Q2" s="1332"/>
      <c r="R2" s="1332"/>
      <c r="S2" s="1332"/>
      <c r="T2" s="1332"/>
      <c r="U2" s="1332"/>
      <c r="V2" s="1332"/>
      <c r="W2" s="1332"/>
      <c r="X2" s="1332"/>
      <c r="Y2" s="1332"/>
      <c r="Z2" s="1332"/>
      <c r="AA2" s="1332"/>
      <c r="AB2" s="1332"/>
      <c r="AC2" s="1332"/>
    </row>
    <row r="3" spans="1:29" ht="3" hidden="1" customHeight="1" outlineLevel="1" x14ac:dyDescent="0.25">
      <c r="B3" s="1332"/>
      <c r="C3" s="1332"/>
      <c r="D3" s="1332"/>
      <c r="E3" s="1332"/>
      <c r="F3" s="1332"/>
      <c r="G3" s="1332"/>
      <c r="H3" s="1332"/>
      <c r="I3" s="1332"/>
      <c r="J3" s="1332"/>
      <c r="K3" s="1332"/>
      <c r="L3" s="1332"/>
      <c r="M3" s="1332"/>
      <c r="N3" s="1332"/>
      <c r="O3" s="1332"/>
      <c r="P3" s="1332"/>
      <c r="Q3" s="1332"/>
      <c r="R3" s="1332"/>
      <c r="S3" s="1332"/>
      <c r="T3" s="1332"/>
      <c r="U3" s="1332"/>
      <c r="V3" s="1332"/>
      <c r="W3" s="1332"/>
      <c r="X3" s="1332"/>
      <c r="Y3" s="1332"/>
      <c r="Z3" s="1332"/>
      <c r="AA3" s="1332"/>
      <c r="AB3" s="1332"/>
      <c r="AC3" s="1332"/>
    </row>
    <row r="4" spans="1:29" ht="10.35" hidden="1" customHeight="1" outlineLevel="1" x14ac:dyDescent="0.25">
      <c r="B4" s="1332"/>
      <c r="C4" s="1332"/>
      <c r="D4" s="1332"/>
      <c r="E4" s="1332"/>
      <c r="F4" s="1332"/>
      <c r="G4" s="1332"/>
      <c r="H4" s="1332"/>
      <c r="I4" s="1332"/>
      <c r="J4" s="1332"/>
      <c r="K4" s="1332"/>
      <c r="L4" s="1332"/>
      <c r="M4" s="1332"/>
      <c r="N4" s="1332"/>
      <c r="O4" s="1332"/>
      <c r="P4" s="1332"/>
      <c r="Q4" s="1332"/>
      <c r="R4" s="1332"/>
      <c r="S4" s="1332"/>
      <c r="T4" s="1332"/>
      <c r="U4" s="1332"/>
      <c r="V4" s="1332"/>
      <c r="W4" s="1332"/>
      <c r="X4" s="1332"/>
      <c r="Y4" s="1332"/>
      <c r="Z4" s="1332"/>
      <c r="AA4" s="1332"/>
      <c r="AB4" s="1332"/>
      <c r="AC4" s="1332"/>
    </row>
    <row r="5" spans="1:29" ht="14.25" hidden="1" customHeight="1" outlineLevel="1" x14ac:dyDescent="0.25">
      <c r="B5" s="1332"/>
      <c r="C5" s="1332"/>
      <c r="D5" s="1332"/>
      <c r="E5" s="1332"/>
      <c r="F5" s="1332"/>
      <c r="G5" s="1332"/>
      <c r="H5" s="1332"/>
      <c r="I5" s="1332"/>
      <c r="J5" s="1332"/>
      <c r="K5" s="1332"/>
      <c r="L5" s="1332"/>
      <c r="M5" s="1332"/>
      <c r="N5" s="1332"/>
      <c r="O5" s="1332"/>
      <c r="P5" s="1332"/>
      <c r="Q5" s="1332"/>
      <c r="R5" s="1332"/>
      <c r="S5" s="1332"/>
      <c r="T5" s="1332"/>
      <c r="U5" s="1332"/>
      <c r="V5" s="1332"/>
      <c r="W5" s="1332"/>
      <c r="X5" s="1332"/>
      <c r="Y5" s="1332"/>
      <c r="Z5" s="1332"/>
      <c r="AA5" s="1332"/>
      <c r="AB5" s="1332"/>
      <c r="AC5" s="1332"/>
    </row>
    <row r="6" spans="1:29" ht="14.25" hidden="1" customHeight="1" outlineLevel="1" x14ac:dyDescent="0.25">
      <c r="B6" s="1332"/>
      <c r="C6" s="1332"/>
      <c r="D6" s="1332"/>
      <c r="E6" s="1332"/>
      <c r="F6" s="1332"/>
      <c r="G6" s="1332"/>
      <c r="H6" s="1332"/>
      <c r="I6" s="1332"/>
      <c r="J6" s="1332"/>
      <c r="K6" s="1332"/>
      <c r="L6" s="1332"/>
      <c r="M6" s="1332"/>
      <c r="N6" s="1332"/>
      <c r="O6" s="1332"/>
      <c r="P6" s="1332"/>
      <c r="Q6" s="1332"/>
      <c r="R6" s="1332"/>
      <c r="S6" s="1332"/>
      <c r="T6" s="1332"/>
      <c r="U6" s="1332"/>
      <c r="V6" s="1332"/>
      <c r="W6" s="1332"/>
      <c r="X6" s="1332"/>
      <c r="Y6" s="1332"/>
      <c r="Z6" s="1332"/>
      <c r="AA6" s="1332"/>
      <c r="AB6" s="1332"/>
      <c r="AC6" s="1332"/>
    </row>
    <row r="7" spans="1:29" collapsed="1" x14ac:dyDescent="0.25">
      <c r="B7" s="716" t="s">
        <v>333</v>
      </c>
      <c r="C7" s="255"/>
      <c r="D7" s="255"/>
      <c r="E7" s="255"/>
      <c r="F7" s="255"/>
      <c r="G7" s="255"/>
      <c r="H7" s="256"/>
      <c r="I7" s="256"/>
      <c r="J7" s="256"/>
      <c r="K7" s="256"/>
      <c r="L7" s="256"/>
      <c r="M7" s="256"/>
      <c r="N7" s="256"/>
      <c r="O7" s="256"/>
      <c r="P7" s="256"/>
      <c r="Q7" s="256"/>
      <c r="R7" s="256"/>
      <c r="S7" s="256"/>
      <c r="T7" s="256"/>
      <c r="U7" s="256"/>
    </row>
    <row r="8" spans="1:29" ht="14.85" customHeight="1" x14ac:dyDescent="0.25">
      <c r="B8" s="676" t="s">
        <v>304</v>
      </c>
      <c r="C8" s="677"/>
      <c r="D8" s="680" t="s">
        <v>280</v>
      </c>
      <c r="E8" s="681"/>
      <c r="F8" s="681"/>
      <c r="G8" s="681"/>
      <c r="H8" s="681"/>
      <c r="I8" s="681"/>
      <c r="J8" s="681"/>
      <c r="K8" s="681"/>
      <c r="L8" s="681"/>
      <c r="M8" s="681"/>
      <c r="N8" s="681"/>
      <c r="O8" s="681"/>
      <c r="P8" s="1310"/>
      <c r="Q8" s="1310"/>
      <c r="R8" s="1310"/>
      <c r="S8" s="1310"/>
      <c r="T8" s="1310"/>
      <c r="U8" s="1310"/>
      <c r="V8" s="1298"/>
      <c r="W8" s="1326" t="s">
        <v>281</v>
      </c>
      <c r="X8" s="1308"/>
      <c r="Y8" s="1308"/>
      <c r="Z8" s="1308"/>
      <c r="AA8" s="1308"/>
      <c r="AB8" s="1308"/>
      <c r="AC8" s="1327"/>
    </row>
    <row r="9" spans="1:29" ht="14.85" customHeight="1" x14ac:dyDescent="0.25">
      <c r="B9" s="678"/>
      <c r="C9" s="679"/>
      <c r="D9" s="209">
        <v>2018</v>
      </c>
      <c r="E9" s="1302">
        <v>2019</v>
      </c>
      <c r="F9" s="1303"/>
      <c r="G9" s="1303"/>
      <c r="H9" s="1304"/>
      <c r="I9" s="1302">
        <v>2020</v>
      </c>
      <c r="J9" s="1303"/>
      <c r="K9" s="1303"/>
      <c r="L9" s="1303"/>
      <c r="M9" s="1302">
        <v>2021</v>
      </c>
      <c r="N9" s="1303"/>
      <c r="O9" s="1303"/>
      <c r="P9" s="1303"/>
      <c r="Q9" s="1302">
        <v>2022</v>
      </c>
      <c r="R9" s="1325"/>
      <c r="S9" s="1325"/>
      <c r="T9" s="1304"/>
      <c r="U9" s="278"/>
      <c r="V9" s="278">
        <v>2023</v>
      </c>
      <c r="W9" s="543"/>
      <c r="X9" s="250"/>
      <c r="Y9" s="1299">
        <v>2024</v>
      </c>
      <c r="Z9" s="1312"/>
      <c r="AA9" s="1312"/>
      <c r="AB9" s="1301"/>
      <c r="AC9" s="241">
        <v>2025</v>
      </c>
    </row>
    <row r="10" spans="1:29" x14ac:dyDescent="0.25">
      <c r="B10" s="678"/>
      <c r="C10" s="679"/>
      <c r="D10" s="204" t="s">
        <v>282</v>
      </c>
      <c r="E10" s="204" t="s">
        <v>283</v>
      </c>
      <c r="F10" s="205" t="s">
        <v>284</v>
      </c>
      <c r="G10" s="205" t="s">
        <v>238</v>
      </c>
      <c r="H10" s="206" t="s">
        <v>282</v>
      </c>
      <c r="I10" s="205" t="s">
        <v>283</v>
      </c>
      <c r="J10" s="205" t="s">
        <v>284</v>
      </c>
      <c r="K10" s="205" t="s">
        <v>238</v>
      </c>
      <c r="L10" s="205" t="s">
        <v>282</v>
      </c>
      <c r="M10" s="204" t="s">
        <v>283</v>
      </c>
      <c r="N10" s="205" t="s">
        <v>284</v>
      </c>
      <c r="O10" s="205" t="s">
        <v>238</v>
      </c>
      <c r="P10" s="205" t="s">
        <v>282</v>
      </c>
      <c r="Q10" s="204" t="s">
        <v>283</v>
      </c>
      <c r="R10" s="205" t="s">
        <v>284</v>
      </c>
      <c r="S10" s="205" t="s">
        <v>238</v>
      </c>
      <c r="T10" s="206" t="s">
        <v>282</v>
      </c>
      <c r="U10" s="205" t="s">
        <v>283</v>
      </c>
      <c r="V10" s="276" t="s">
        <v>284</v>
      </c>
      <c r="W10" s="260" t="s">
        <v>238</v>
      </c>
      <c r="X10" s="261" t="s">
        <v>282</v>
      </c>
      <c r="Y10" s="259" t="s">
        <v>283</v>
      </c>
      <c r="Z10" s="257" t="s">
        <v>284</v>
      </c>
      <c r="AA10" s="260" t="s">
        <v>238</v>
      </c>
      <c r="AB10" s="260" t="s">
        <v>282</v>
      </c>
      <c r="AC10" s="262" t="s">
        <v>283</v>
      </c>
    </row>
    <row r="11" spans="1:29" ht="15" customHeight="1" x14ac:dyDescent="0.25">
      <c r="B11" s="1387" t="s">
        <v>466</v>
      </c>
      <c r="C11" s="1388"/>
      <c r="D11" s="647"/>
      <c r="E11" s="709"/>
      <c r="F11" s="709"/>
      <c r="G11" s="709"/>
      <c r="H11" s="298"/>
      <c r="I11" s="298"/>
      <c r="J11" s="298"/>
      <c r="K11" s="298"/>
      <c r="L11" s="298"/>
      <c r="M11" s="562"/>
      <c r="N11" s="562"/>
      <c r="O11" s="562"/>
      <c r="P11" s="298"/>
      <c r="Q11" s="298"/>
      <c r="R11" s="298"/>
      <c r="S11" s="298"/>
      <c r="T11" s="277"/>
      <c r="U11" s="298"/>
      <c r="V11" s="298"/>
      <c r="W11" s="207"/>
      <c r="X11" s="207"/>
      <c r="Y11" s="207"/>
      <c r="Z11" s="207"/>
      <c r="AA11" s="207"/>
      <c r="AB11" s="207"/>
      <c r="AC11" s="208"/>
    </row>
    <row r="12" spans="1:29" ht="17.100000000000001" customHeight="1" x14ac:dyDescent="0.25">
      <c r="A12" t="s">
        <v>1854</v>
      </c>
      <c r="B12" s="731" t="s">
        <v>467</v>
      </c>
      <c r="C12" s="230" t="s">
        <v>468</v>
      </c>
      <c r="D12" s="582">
        <f>'Haver Pivoted'!GO31</f>
        <v>2223</v>
      </c>
      <c r="E12" s="542">
        <f>'Haver Pivoted'!GP31</f>
        <v>2303.6</v>
      </c>
      <c r="F12" s="542">
        <f>'Haver Pivoted'!GQ31</f>
        <v>2320.1</v>
      </c>
      <c r="G12" s="542">
        <f>'Haver Pivoted'!GR31</f>
        <v>2332.9</v>
      </c>
      <c r="H12" s="542">
        <f>'Haver Pivoted'!GS31</f>
        <v>2346.6</v>
      </c>
      <c r="I12" s="542">
        <f>'Haver Pivoted'!GT31</f>
        <v>2412.6</v>
      </c>
      <c r="J12" s="542">
        <f>'Haver Pivoted'!GU31</f>
        <v>4652.1000000000004</v>
      </c>
      <c r="K12" s="542">
        <f>'Haver Pivoted'!GV31</f>
        <v>3508</v>
      </c>
      <c r="L12" s="542">
        <f>'Haver Pivoted'!GW31</f>
        <v>2895.4</v>
      </c>
      <c r="M12" s="542">
        <f>'Haver Pivoted'!GX31</f>
        <v>5127.3999999999996</v>
      </c>
      <c r="N12" s="542">
        <f>'Haver Pivoted'!GY31</f>
        <v>3403.8</v>
      </c>
      <c r="O12" s="542">
        <f>'Haver Pivoted'!GZ31</f>
        <v>3135</v>
      </c>
      <c r="P12" s="542">
        <f>'Haver Pivoted'!HA31</f>
        <v>2947.7</v>
      </c>
      <c r="Q12" s="542">
        <f>'Haver Pivoted'!HB31</f>
        <v>2903.2</v>
      </c>
      <c r="R12" s="542">
        <f>'Haver Pivoted'!HC31</f>
        <v>2895.2</v>
      </c>
      <c r="S12" s="545">
        <f>'Haver Pivoted'!HD31</f>
        <v>2867.4</v>
      </c>
      <c r="T12" s="545">
        <f>'Haver Pivoted'!HE31</f>
        <v>2896.7</v>
      </c>
      <c r="U12" s="545">
        <f>'Haver Pivoted'!HF31</f>
        <v>2945.8</v>
      </c>
      <c r="V12" s="545">
        <f>'Haver Pivoted'!HG31</f>
        <v>2929.7</v>
      </c>
      <c r="W12" s="662">
        <f t="shared" ref="W12:AC12" si="0">SUM(W14:W39)-W38</f>
        <v>3090.5375833333328</v>
      </c>
      <c r="X12" s="662">
        <f t="shared" si="0"/>
        <v>3095.0163452380957</v>
      </c>
      <c r="Y12" s="662">
        <f t="shared" si="0"/>
        <v>3158.6079007714293</v>
      </c>
      <c r="Z12" s="662">
        <f t="shared" si="0"/>
        <v>3180.6012670249911</v>
      </c>
      <c r="AA12" s="662">
        <f t="shared" si="0"/>
        <v>3203.1623416263087</v>
      </c>
      <c r="AB12" s="662">
        <f t="shared" si="0"/>
        <v>3221.474207569398</v>
      </c>
      <c r="AC12" s="708">
        <f t="shared" si="0"/>
        <v>3270.8492533452941</v>
      </c>
    </row>
    <row r="13" spans="1:29" ht="15.6" customHeight="1" x14ac:dyDescent="0.25">
      <c r="A13" t="s">
        <v>1854</v>
      </c>
      <c r="B13" s="730" t="s">
        <v>798</v>
      </c>
      <c r="C13" s="230" t="s">
        <v>825</v>
      </c>
      <c r="D13" s="264">
        <v>30</v>
      </c>
      <c r="E13" s="220">
        <v>30</v>
      </c>
      <c r="F13" s="220">
        <v>30</v>
      </c>
      <c r="G13" s="220">
        <v>30</v>
      </c>
      <c r="H13" s="220">
        <v>30</v>
      </c>
      <c r="I13" s="220">
        <v>30</v>
      </c>
      <c r="J13" s="220">
        <v>30</v>
      </c>
      <c r="K13" s="216">
        <v>30.2</v>
      </c>
      <c r="L13" s="216">
        <v>30.2</v>
      </c>
      <c r="M13" s="216">
        <f>'Haver Pivoted'!GX89</f>
        <v>34.4</v>
      </c>
      <c r="N13" s="216">
        <f>'Haver Pivoted'!GY89</f>
        <v>34.4</v>
      </c>
      <c r="O13" s="216">
        <f>'Haver Pivoted'!GZ89</f>
        <v>218.933333333333</v>
      </c>
      <c r="P13" s="216">
        <f>'Haver Pivoted'!HA89</f>
        <v>223.13333333333301</v>
      </c>
      <c r="Q13" s="216">
        <f>'Haver Pivoted'!HB89</f>
        <v>94.3</v>
      </c>
      <c r="R13" s="216">
        <f>'Haver Pivoted'!HC89</f>
        <v>94.3</v>
      </c>
      <c r="S13" s="216">
        <f>'Haver Pivoted'!HD89</f>
        <v>94.3</v>
      </c>
      <c r="T13" s="216">
        <f>'Haver Pivoted'!HE89</f>
        <v>94.3</v>
      </c>
      <c r="U13" s="662">
        <v>34</v>
      </c>
      <c r="V13" s="542">
        <v>34</v>
      </c>
      <c r="W13" s="662">
        <v>34</v>
      </c>
      <c r="X13" s="662">
        <v>34</v>
      </c>
      <c r="Y13" s="662">
        <v>34</v>
      </c>
      <c r="Z13" s="662">
        <v>34</v>
      </c>
      <c r="AA13" s="662">
        <v>34</v>
      </c>
      <c r="AB13" s="662">
        <v>34</v>
      </c>
      <c r="AC13" s="708">
        <v>34</v>
      </c>
    </row>
    <row r="14" spans="1:29" ht="15" customHeight="1" x14ac:dyDescent="0.25">
      <c r="A14" t="s">
        <v>1851</v>
      </c>
      <c r="B14" s="656" t="s">
        <v>1843</v>
      </c>
      <c r="C14" s="230"/>
      <c r="D14" s="582">
        <f>'Unemployment Insurance'!D20+'Unemployment Insurance'!D19</f>
        <v>27.1</v>
      </c>
      <c r="E14" s="542">
        <f>'Unemployment Insurance'!E20+'Unemployment Insurance'!E19</f>
        <v>30.5</v>
      </c>
      <c r="F14" s="542">
        <f>'Unemployment Insurance'!F20+'Unemployment Insurance'!F19</f>
        <v>27.7</v>
      </c>
      <c r="G14" s="542">
        <f>'Unemployment Insurance'!G20+'Unemployment Insurance'!G19</f>
        <v>25</v>
      </c>
      <c r="H14" s="542">
        <f>'Unemployment Insurance'!H20+'Unemployment Insurance'!H19</f>
        <v>26.7</v>
      </c>
      <c r="I14" s="542">
        <f>'Unemployment Insurance'!I20+'Unemployment Insurance'!I19</f>
        <v>40.9</v>
      </c>
      <c r="J14" s="542">
        <f>'Unemployment Insurance'!J20+'Unemployment Insurance'!J19</f>
        <v>951.4</v>
      </c>
      <c r="K14" s="542">
        <f>'Unemployment Insurance'!K20+'Unemployment Insurance'!K19</f>
        <v>802.3</v>
      </c>
      <c r="L14" s="542">
        <f>'Unemployment Insurance'!L20+'Unemployment Insurance'!L19</f>
        <v>323.5</v>
      </c>
      <c r="M14" s="542">
        <f>'Unemployment Insurance'!M20+'Unemployment Insurance'!M19</f>
        <v>583.5</v>
      </c>
      <c r="N14" s="542">
        <f>'Unemployment Insurance'!N20+'Unemployment Insurance'!N19</f>
        <v>451.8</v>
      </c>
      <c r="O14" s="542">
        <f>'Unemployment Insurance'!O20+'Unemployment Insurance'!O19</f>
        <v>226.8</v>
      </c>
      <c r="P14" s="542">
        <f>'Unemployment Insurance'!P20+'Unemployment Insurance'!P19</f>
        <v>33.9</v>
      </c>
      <c r="Q14" s="542">
        <f>'Unemployment Insurance'!Q20+'Unemployment Insurance'!Q19</f>
        <v>26.2</v>
      </c>
      <c r="R14" s="542">
        <f>'Unemployment Insurance'!R20+'Unemployment Insurance'!R19</f>
        <v>21.4</v>
      </c>
      <c r="S14" s="542">
        <f>'Unemployment Insurance'!S20+'Unemployment Insurance'!S19</f>
        <v>19.600000000000001</v>
      </c>
      <c r="T14" s="542">
        <f>'Unemployment Insurance'!T20+'Unemployment Insurance'!T19</f>
        <v>22.1</v>
      </c>
      <c r="U14" s="542">
        <f>'Unemployment Insurance'!U20+'Unemployment Insurance'!U19</f>
        <v>22</v>
      </c>
      <c r="V14" s="727">
        <f>V15+V16</f>
        <v>22.62857142857143</v>
      </c>
      <c r="W14" s="662">
        <f>'Unemployment Insurance'!W20+'Unemployment Insurance'!W19</f>
        <v>22.62857142857143</v>
      </c>
      <c r="X14" s="662">
        <f>'Unemployment Insurance'!X20+'Unemployment Insurance'!X19</f>
        <v>22.7</v>
      </c>
      <c r="Y14" s="662">
        <f>'Unemployment Insurance'!Y20+'Unemployment Insurance'!Y19</f>
        <v>22.7</v>
      </c>
      <c r="Z14" s="662">
        <f>'Unemployment Insurance'!Z20+'Unemployment Insurance'!Z19</f>
        <v>22.5</v>
      </c>
      <c r="AA14" s="662">
        <f>'Unemployment Insurance'!AA20+'Unemployment Insurance'!AA19</f>
        <v>22.5</v>
      </c>
      <c r="AB14" s="662">
        <f>'Unemployment Insurance'!AB20+'Unemployment Insurance'!AB19</f>
        <v>22.5</v>
      </c>
      <c r="AC14" s="708">
        <f>'Unemployment Insurance'!AC20+'Unemployment Insurance'!AC19</f>
        <v>22.5</v>
      </c>
    </row>
    <row r="15" spans="1:29" x14ac:dyDescent="0.25">
      <c r="B15" s="406" t="s">
        <v>203</v>
      </c>
      <c r="C15" s="230"/>
      <c r="D15" s="582"/>
      <c r="E15" s="542"/>
      <c r="F15" s="542"/>
      <c r="G15" s="542"/>
      <c r="H15" s="542"/>
      <c r="I15" s="542"/>
      <c r="J15" s="542"/>
      <c r="K15" s="542"/>
      <c r="L15" s="542"/>
      <c r="M15" s="542"/>
      <c r="N15" s="542"/>
      <c r="O15" s="542"/>
      <c r="P15" s="542"/>
      <c r="Q15" s="542"/>
      <c r="R15" s="542"/>
      <c r="S15" s="542"/>
      <c r="T15" s="542"/>
      <c r="U15" s="542"/>
      <c r="V15" s="542">
        <f>'Unemployment Insurance'!V19</f>
        <v>0</v>
      </c>
      <c r="W15" s="662"/>
      <c r="X15" s="662"/>
      <c r="Y15" s="662"/>
      <c r="Z15" s="662"/>
      <c r="AA15" s="662"/>
      <c r="AB15" s="662"/>
      <c r="AC15" s="708"/>
    </row>
    <row r="16" spans="1:29" x14ac:dyDescent="0.25">
      <c r="B16" s="406" t="s">
        <v>205</v>
      </c>
      <c r="C16" s="230"/>
      <c r="D16" s="582"/>
      <c r="E16" s="542"/>
      <c r="F16" s="542"/>
      <c r="G16" s="542"/>
      <c r="H16" s="542"/>
      <c r="I16" s="542"/>
      <c r="J16" s="542"/>
      <c r="K16" s="542"/>
      <c r="L16" s="542"/>
      <c r="M16" s="542"/>
      <c r="N16" s="542"/>
      <c r="O16" s="542"/>
      <c r="P16" s="542"/>
      <c r="Q16" s="542"/>
      <c r="R16" s="542"/>
      <c r="S16" s="542"/>
      <c r="T16" s="542"/>
      <c r="U16" s="542"/>
      <c r="V16" s="542">
        <f>'Unemployment Insurance'!V20</f>
        <v>22.62857142857143</v>
      </c>
      <c r="W16" s="662"/>
      <c r="X16" s="662"/>
      <c r="Y16" s="662"/>
      <c r="Z16" s="662"/>
      <c r="AA16" s="662"/>
      <c r="AB16" s="662"/>
      <c r="AC16" s="708"/>
    </row>
    <row r="17" spans="1:101" ht="17.850000000000001" customHeight="1" x14ac:dyDescent="0.25">
      <c r="A17" t="s">
        <v>1851</v>
      </c>
      <c r="B17" s="656" t="s">
        <v>55</v>
      </c>
      <c r="C17" s="230"/>
      <c r="D17" s="582">
        <f>Medicare!D10</f>
        <v>755</v>
      </c>
      <c r="E17" s="542">
        <f>Medicare!E10</f>
        <v>771.9</v>
      </c>
      <c r="F17" s="542">
        <f>Medicare!F10</f>
        <v>785.3</v>
      </c>
      <c r="G17" s="542">
        <f>Medicare!G10</f>
        <v>793.9</v>
      </c>
      <c r="H17" s="542">
        <f>Medicare!H10</f>
        <v>797.9</v>
      </c>
      <c r="I17" s="542">
        <f>Medicare!I10</f>
        <v>798.4</v>
      </c>
      <c r="J17" s="542">
        <f>Medicare!J10</f>
        <v>811.1</v>
      </c>
      <c r="K17" s="542">
        <f>Medicare!K10</f>
        <v>823.1</v>
      </c>
      <c r="L17" s="542">
        <f>Medicare!L10</f>
        <v>834.5</v>
      </c>
      <c r="M17" s="542">
        <f>Medicare!M10</f>
        <v>849.4</v>
      </c>
      <c r="N17" s="542">
        <f>Medicare!N10</f>
        <v>865.6</v>
      </c>
      <c r="O17" s="542">
        <f>Medicare!O10</f>
        <v>882.6</v>
      </c>
      <c r="P17" s="542">
        <f>Medicare!P10</f>
        <v>900.3</v>
      </c>
      <c r="Q17" s="542">
        <f>Medicare!Q10</f>
        <v>918.2</v>
      </c>
      <c r="R17" s="542">
        <f>Medicare!R10</f>
        <v>924.7</v>
      </c>
      <c r="S17" s="542">
        <f>Medicare!S10</f>
        <v>927.2</v>
      </c>
      <c r="T17" s="542">
        <f>Medicare!T10</f>
        <v>934.2</v>
      </c>
      <c r="U17" s="542">
        <f>Medicare!U10</f>
        <v>938.1</v>
      </c>
      <c r="V17" s="727">
        <f>Medicare!V10</f>
        <v>941.9</v>
      </c>
      <c r="W17" s="662">
        <f>Medicare!W10</f>
        <v>946.3</v>
      </c>
      <c r="X17" s="662">
        <f>Medicare!X10</f>
        <v>951.3</v>
      </c>
      <c r="Y17" s="662">
        <f>Medicare!Y10</f>
        <v>965.3</v>
      </c>
      <c r="Z17" s="662">
        <f>Medicare!Z10</f>
        <v>980.56003292022876</v>
      </c>
      <c r="AA17" s="662">
        <f>Medicare!AA10</f>
        <v>996.18777418821298</v>
      </c>
      <c r="AB17" s="662">
        <f>Medicare!AB10</f>
        <v>1008.812306797969</v>
      </c>
      <c r="AC17" s="708">
        <f>Medicare!AC10</f>
        <v>1021.5968281445319</v>
      </c>
    </row>
    <row r="18" spans="1:101" ht="18" customHeight="1" x14ac:dyDescent="0.25">
      <c r="A18" t="s">
        <v>1851</v>
      </c>
      <c r="B18" s="657" t="s">
        <v>469</v>
      </c>
      <c r="C18" s="230"/>
      <c r="D18" s="582"/>
      <c r="E18" s="542"/>
      <c r="F18" s="542"/>
      <c r="G18" s="542"/>
      <c r="H18" s="542">
        <f>'Rebate Checks (expired)'!H10 +'Rebate Checks (expired)'!H11</f>
        <v>0</v>
      </c>
      <c r="I18" s="542">
        <f>'Rebate Checks (expired)'!I10 +'Rebate Checks (expired)'!I11</f>
        <v>0</v>
      </c>
      <c r="J18" s="542">
        <f>'Rebate Checks (expired)'!J10 +'Rebate Checks (expired)'!J11</f>
        <v>1078.0999999999999</v>
      </c>
      <c r="K18" s="542">
        <f>'Rebate Checks (expired)'!K10 +'Rebate Checks (expired)'!K11</f>
        <v>15.6</v>
      </c>
      <c r="L18" s="542">
        <f>'Rebate Checks (expired)'!L10 +'Rebate Checks (expired)'!L11</f>
        <v>5</v>
      </c>
      <c r="M18" s="542">
        <f>'Rebate Checks (expired)'!M10 +'Rebate Checks (expired)'!M11</f>
        <v>1933.6999999999998</v>
      </c>
      <c r="N18" s="542">
        <f>'Rebate Checks (expired)'!N10 +'Rebate Checks (expired)'!N11</f>
        <v>290.10000000000002</v>
      </c>
      <c r="O18" s="542">
        <f>'Rebate Checks (expired)'!O10 +'Rebate Checks (expired)'!O11</f>
        <v>38.9</v>
      </c>
      <c r="P18" s="542">
        <f>'Rebate Checks (expired)'!P10 +'Rebate Checks (expired)'!P11</f>
        <v>14.2</v>
      </c>
      <c r="Q18" s="542">
        <f>'Rebate Checks (expired)'!Q10 +'Rebate Checks (expired)'!Q11</f>
        <v>0</v>
      </c>
      <c r="R18" s="542">
        <f>'Rebate Checks (expired)'!Q10 +'Rebate Checks (expired)'!R11</f>
        <v>0</v>
      </c>
      <c r="S18" s="542">
        <f>'Rebate Checks (expired)'!S10 +'Rebate Checks (expired)'!S11</f>
        <v>0</v>
      </c>
      <c r="T18" s="542">
        <f>'Rebate Checks (expired)'!T10 +'Rebate Checks (expired)'!T11</f>
        <v>0</v>
      </c>
      <c r="U18" s="542">
        <f>'Rebate Checks (expired)'!U10 +'Rebate Checks (expired)'!U11</f>
        <v>0</v>
      </c>
      <c r="V18" s="727">
        <f>V19+V20</f>
        <v>0</v>
      </c>
      <c r="W18" s="662">
        <f>'Rebate Checks (expired)'!W10 +'Rebate Checks (expired)'!W11</f>
        <v>0</v>
      </c>
      <c r="X18" s="662">
        <f>'Rebate Checks (expired)'!X10 +'Rebate Checks (expired)'!X11</f>
        <v>0</v>
      </c>
      <c r="Y18" s="662">
        <f>'Rebate Checks (expired)'!Y10 +'Rebate Checks (expired)'!Y11</f>
        <v>0</v>
      </c>
      <c r="Z18" s="662">
        <f>'Rebate Checks (expired)'!Z10 +'Rebate Checks (expired)'!Z11</f>
        <v>0</v>
      </c>
      <c r="AA18" s="662">
        <f>'Rebate Checks (expired)'!AA10 +'Rebate Checks (expired)'!AA11</f>
        <v>0</v>
      </c>
      <c r="AB18" s="662">
        <f>'Rebate Checks (expired)'!AB10 +'Rebate Checks (expired)'!AB11</f>
        <v>0</v>
      </c>
      <c r="AC18" s="708">
        <f>'Rebate Checks (expired)'!AC10 +'Rebate Checks (expired)'!AC11</f>
        <v>0</v>
      </c>
    </row>
    <row r="19" spans="1:101" ht="18" customHeight="1" x14ac:dyDescent="0.25">
      <c r="B19" s="658" t="s">
        <v>1844</v>
      </c>
      <c r="C19" s="230"/>
      <c r="D19" s="582"/>
      <c r="E19" s="542"/>
      <c r="F19" s="542"/>
      <c r="G19" s="542"/>
      <c r="H19" s="542"/>
      <c r="I19" s="542"/>
      <c r="J19" s="542"/>
      <c r="K19" s="542"/>
      <c r="L19" s="542"/>
      <c r="M19" s="542"/>
      <c r="N19" s="542"/>
      <c r="O19" s="542"/>
      <c r="P19" s="542"/>
      <c r="Q19" s="542"/>
      <c r="R19" s="542"/>
      <c r="S19" s="542"/>
      <c r="T19" s="542"/>
      <c r="U19" s="542"/>
      <c r="V19" s="542">
        <v>0</v>
      </c>
      <c r="W19" s="662"/>
      <c r="X19" s="662"/>
      <c r="Y19" s="662"/>
      <c r="Z19" s="662"/>
      <c r="AA19" s="662"/>
      <c r="AB19" s="662"/>
      <c r="AC19" s="708"/>
    </row>
    <row r="20" spans="1:101" ht="18" customHeight="1" x14ac:dyDescent="0.25">
      <c r="B20" s="658" t="s">
        <v>1845</v>
      </c>
      <c r="C20" s="230"/>
      <c r="D20" s="582"/>
      <c r="E20" s="542"/>
      <c r="F20" s="542"/>
      <c r="G20" s="542"/>
      <c r="H20" s="542"/>
      <c r="I20" s="542"/>
      <c r="J20" s="542"/>
      <c r="K20" s="542"/>
      <c r="L20" s="542"/>
      <c r="M20" s="542"/>
      <c r="N20" s="542"/>
      <c r="O20" s="542"/>
      <c r="P20" s="542"/>
      <c r="Q20" s="542"/>
      <c r="R20" s="542"/>
      <c r="S20" s="542"/>
      <c r="T20" s="542"/>
      <c r="U20" s="542"/>
      <c r="V20" s="542">
        <v>0</v>
      </c>
      <c r="W20" s="662"/>
      <c r="X20" s="662"/>
      <c r="Y20" s="662"/>
      <c r="Z20" s="662"/>
      <c r="AA20" s="662"/>
      <c r="AB20" s="662"/>
      <c r="AC20" s="708"/>
    </row>
    <row r="21" spans="1:101" ht="18" customHeight="1" x14ac:dyDescent="0.25">
      <c r="A21" t="s">
        <v>1851</v>
      </c>
      <c r="B21" s="659" t="s">
        <v>49</v>
      </c>
      <c r="C21" s="230"/>
      <c r="D21" s="385">
        <f>'Provider Relief (expired)'!D11</f>
        <v>0</v>
      </c>
      <c r="E21" s="391">
        <f>'Provider Relief (expired)'!E11</f>
        <v>0</v>
      </c>
      <c r="F21" s="391">
        <f>'Provider Relief (expired)'!F11</f>
        <v>0</v>
      </c>
      <c r="G21" s="391">
        <f>'Provider Relief (expired)'!G11</f>
        <v>0</v>
      </c>
      <c r="H21" s="391">
        <f>'Provider Relief (expired)'!H11</f>
        <v>0</v>
      </c>
      <c r="I21" s="391">
        <f>'Provider Relief (expired)'!I11</f>
        <v>0</v>
      </c>
      <c r="J21" s="391">
        <f>'Provider Relief (expired)'!J11</f>
        <v>160.9</v>
      </c>
      <c r="K21" s="391">
        <f>'Provider Relief (expired)'!K11</f>
        <v>58.4</v>
      </c>
      <c r="L21" s="391">
        <f>'Provider Relief (expired)'!L11</f>
        <v>34.5</v>
      </c>
      <c r="M21" s="391">
        <f>'Provider Relief (expired)'!M11</f>
        <v>21.4</v>
      </c>
      <c r="N21" s="391">
        <f>'Provider Relief (expired)'!N11</f>
        <v>13.3</v>
      </c>
      <c r="O21" s="391">
        <f>'Provider Relief (expired)'!O11</f>
        <v>18.7</v>
      </c>
      <c r="P21" s="391">
        <f>'Provider Relief (expired)'!P11</f>
        <v>32.200000000000003</v>
      </c>
      <c r="Q21" s="391">
        <f>'Provider Relief (expired)'!Q11</f>
        <v>26.9</v>
      </c>
      <c r="R21" s="391">
        <f>'Provider Relief (expired)'!R11</f>
        <v>20</v>
      </c>
      <c r="S21" s="391">
        <f>'Provider Relief (expired)'!S11</f>
        <v>8.1</v>
      </c>
      <c r="T21" s="391">
        <f>'Provider Relief (expired)'!T11</f>
        <v>4.9000000000000004</v>
      </c>
      <c r="U21" s="391">
        <v>0</v>
      </c>
      <c r="V21" s="727">
        <v>0</v>
      </c>
      <c r="W21" s="662">
        <v>0</v>
      </c>
      <c r="X21" s="662">
        <v>0</v>
      </c>
      <c r="Y21" s="662">
        <v>0</v>
      </c>
      <c r="Z21" s="662">
        <v>0</v>
      </c>
      <c r="AA21" s="662">
        <v>0</v>
      </c>
      <c r="AB21" s="662">
        <v>0</v>
      </c>
      <c r="AC21" s="708">
        <v>0</v>
      </c>
    </row>
    <row r="22" spans="1:101" ht="21.6" customHeight="1" x14ac:dyDescent="0.25">
      <c r="B22" s="415" t="s">
        <v>470</v>
      </c>
      <c r="C22" s="230"/>
      <c r="D22" s="582"/>
      <c r="E22" s="542"/>
      <c r="F22" s="542"/>
      <c r="G22" s="542"/>
      <c r="H22" s="542"/>
      <c r="I22" s="542"/>
      <c r="J22" s="542">
        <f>'PPP (expired)'!J53</f>
        <v>57.2</v>
      </c>
      <c r="K22" s="542">
        <f>'PPP (expired)'!K53</f>
        <v>81.2</v>
      </c>
      <c r="L22" s="542">
        <f>'PPP (expired)'!L53</f>
        <v>24.4</v>
      </c>
      <c r="M22" s="542">
        <f>'PPP (expired)'!M53</f>
        <v>11.7</v>
      </c>
      <c r="N22" s="542">
        <f>'PPP (expired)'!N53</f>
        <v>28.5</v>
      </c>
      <c r="O22" s="542">
        <f>'PPP (expired)'!O53</f>
        <v>18.8</v>
      </c>
      <c r="P22" s="542">
        <f>'PPP (expired)'!P53</f>
        <v>1.6</v>
      </c>
      <c r="Q22" s="542">
        <f>'PPP (expired)'!Q53</f>
        <v>0</v>
      </c>
      <c r="R22" s="542">
        <f>'PPP (expired)'!R53</f>
        <v>0</v>
      </c>
      <c r="S22" s="542">
        <f>'PPP (expired)'!S53</f>
        <v>0</v>
      </c>
      <c r="T22" s="542">
        <f>'PPP (expired)'!T53</f>
        <v>0</v>
      </c>
      <c r="U22" s="542">
        <f>'PPP (expired)'!U53</f>
        <v>0</v>
      </c>
      <c r="V22" s="542">
        <f>'PPP (expired)'!V53</f>
        <v>0</v>
      </c>
      <c r="W22" s="662">
        <f>'PPP (expired)'!W53</f>
        <v>0</v>
      </c>
      <c r="X22" s="662">
        <f>'PPP (expired)'!X53</f>
        <v>0</v>
      </c>
      <c r="Y22" s="662">
        <f>'PPP (expired)'!Y53</f>
        <v>0</v>
      </c>
      <c r="Z22" s="662">
        <f>'PPP (expired)'!Z53</f>
        <v>0</v>
      </c>
      <c r="AA22" s="662">
        <f>'PPP (expired)'!AA53</f>
        <v>0</v>
      </c>
      <c r="AB22" s="662">
        <f>'PPP (expired)'!AB53</f>
        <v>0</v>
      </c>
      <c r="AC22" s="662">
        <f>'PPP (expired)'!AC53</f>
        <v>0</v>
      </c>
    </row>
    <row r="23" spans="1:101" ht="22.35" customHeight="1" x14ac:dyDescent="0.25">
      <c r="B23" s="415" t="s">
        <v>218</v>
      </c>
      <c r="C23" s="666"/>
      <c r="D23" s="385"/>
      <c r="E23" s="391"/>
      <c r="F23" s="391"/>
      <c r="G23" s="391"/>
      <c r="H23" s="391"/>
      <c r="I23" s="391"/>
      <c r="J23" s="391"/>
      <c r="K23" s="391"/>
      <c r="L23" s="391"/>
      <c r="M23" s="542">
        <f>'ARP Quarterly'!C4</f>
        <v>0</v>
      </c>
      <c r="N23" s="542">
        <f>'ARP Quarterly'!D4</f>
        <v>0</v>
      </c>
      <c r="O23" s="542">
        <f>'ARP Quarterly'!E4</f>
        <v>3.1040000000000418</v>
      </c>
      <c r="P23" s="542">
        <f>'ARP Quarterly'!F4</f>
        <v>19.719000000000005</v>
      </c>
      <c r="Q23" s="542">
        <f>'ARP Quarterly'!G4</f>
        <v>19.719000000000005</v>
      </c>
      <c r="R23" s="542">
        <f>'ARP Quarterly'!H4</f>
        <v>19.719000000000005</v>
      </c>
      <c r="S23" s="542">
        <f>'ARP Quarterly'!I4</f>
        <v>19.719000000000005</v>
      </c>
      <c r="T23" s="542">
        <f>'ARP Quarterly'!J4</f>
        <v>1.4159999999999999</v>
      </c>
      <c r="U23" s="542">
        <f>'ARP Quarterly'!K4</f>
        <v>1.4159999999999999</v>
      </c>
      <c r="V23" s="542">
        <f>'ARP Quarterly'!L4</f>
        <v>1.4159999999999999</v>
      </c>
      <c r="W23" s="662">
        <f>'ARP Quarterly'!M4</f>
        <v>1.4159999999999999</v>
      </c>
      <c r="X23" s="662">
        <f>'ARP Quarterly'!N4</f>
        <v>1.4790000000000001</v>
      </c>
      <c r="Y23" s="662">
        <f>'ARP Quarterly'!O4</f>
        <v>1.4790000000000001</v>
      </c>
      <c r="Z23" s="662">
        <f>'ARP Quarterly'!P4</f>
        <v>1.4790000000000001</v>
      </c>
      <c r="AA23" s="662">
        <f>'ARP Quarterly'!Q4</f>
        <v>1.4790000000000001</v>
      </c>
      <c r="AB23" s="662">
        <f>'ARP Quarterly'!R4</f>
        <v>1.63</v>
      </c>
      <c r="AC23" s="662">
        <f>'ARP Quarterly'!S4</f>
        <v>1.63</v>
      </c>
      <c r="AE23" s="666"/>
      <c r="AF23" s="666"/>
      <c r="AG23" s="666"/>
      <c r="AH23" s="666"/>
      <c r="AI23" s="666"/>
      <c r="AJ23" s="666"/>
      <c r="AK23" s="666"/>
      <c r="AL23" s="666"/>
      <c r="AM23" s="666"/>
      <c r="AN23" s="666"/>
      <c r="AO23" s="666"/>
      <c r="AP23" s="666"/>
      <c r="AQ23" s="666"/>
      <c r="AR23" s="666"/>
      <c r="AS23" s="666"/>
      <c r="AT23" s="666"/>
      <c r="AU23" s="666"/>
      <c r="AV23" s="666"/>
      <c r="AW23" s="666"/>
      <c r="AX23" s="666"/>
      <c r="AY23" s="666"/>
      <c r="AZ23" s="666"/>
      <c r="BA23" s="666"/>
      <c r="BB23" s="666"/>
      <c r="BC23" s="666"/>
      <c r="BD23" s="666"/>
      <c r="BE23" s="666"/>
      <c r="BF23" s="666"/>
      <c r="BG23" s="666"/>
      <c r="BH23" s="666"/>
      <c r="BI23" s="666"/>
      <c r="BJ23" s="666"/>
      <c r="BK23" s="666"/>
      <c r="BL23" s="666"/>
      <c r="BM23" s="666"/>
      <c r="BN23" s="666"/>
      <c r="BO23" s="666"/>
      <c r="BP23" s="666"/>
      <c r="BQ23" s="666"/>
      <c r="BR23" s="666"/>
      <c r="BS23" s="666"/>
      <c r="BT23" s="666"/>
      <c r="BU23" s="666"/>
      <c r="BV23" s="666"/>
      <c r="BW23" s="666"/>
      <c r="BX23" s="666"/>
      <c r="BY23" s="666"/>
      <c r="BZ23" s="666"/>
      <c r="CA23" s="666"/>
      <c r="CB23" s="666"/>
      <c r="CC23" s="666"/>
      <c r="CD23" s="666"/>
      <c r="CE23" s="666"/>
      <c r="CF23" s="666"/>
      <c r="CG23" s="666"/>
      <c r="CH23" s="666"/>
      <c r="CI23" s="666"/>
      <c r="CJ23" s="666"/>
      <c r="CK23" s="666"/>
      <c r="CL23" s="666"/>
      <c r="CM23" s="666"/>
      <c r="CN23" s="666"/>
      <c r="CO23" s="666"/>
      <c r="CP23" s="666"/>
      <c r="CQ23" s="666"/>
      <c r="CR23" s="666"/>
      <c r="CS23" s="666"/>
      <c r="CT23" s="666"/>
      <c r="CU23" s="666"/>
      <c r="CV23" s="666"/>
      <c r="CW23" s="666"/>
    </row>
    <row r="24" spans="1:101" ht="36.6" customHeight="1" x14ac:dyDescent="0.25">
      <c r="B24" s="238" t="s">
        <v>1433</v>
      </c>
      <c r="C24" s="230"/>
      <c r="D24" s="582">
        <f>D85</f>
        <v>0</v>
      </c>
      <c r="E24" s="542">
        <f t="shared" ref="E24:AC24" si="1">E85</f>
        <v>0</v>
      </c>
      <c r="F24" s="542">
        <f t="shared" si="1"/>
        <v>0</v>
      </c>
      <c r="G24" s="542">
        <f t="shared" si="1"/>
        <v>0</v>
      </c>
      <c r="H24" s="542">
        <f t="shared" si="1"/>
        <v>0</v>
      </c>
      <c r="I24" s="542">
        <f t="shared" si="1"/>
        <v>6.6417500000000018</v>
      </c>
      <c r="J24" s="542">
        <f t="shared" si="1"/>
        <v>51.388749999999995</v>
      </c>
      <c r="K24" s="542">
        <f t="shared" si="1"/>
        <v>55.337750000000007</v>
      </c>
      <c r="L24" s="542">
        <f t="shared" si="1"/>
        <v>62.597749999999998</v>
      </c>
      <c r="M24" s="542">
        <f t="shared" si="1"/>
        <v>88.07774999999998</v>
      </c>
      <c r="N24" s="542">
        <f t="shared" si="1"/>
        <v>102.89075</v>
      </c>
      <c r="O24" s="542">
        <f t="shared" si="1"/>
        <v>94.404750000000007</v>
      </c>
      <c r="P24" s="542">
        <f t="shared" si="1"/>
        <v>91.919749999999993</v>
      </c>
      <c r="Q24" s="542">
        <f t="shared" si="1"/>
        <v>80.097749999999991</v>
      </c>
      <c r="R24" s="542">
        <f t="shared" si="1"/>
        <v>69.023750000000007</v>
      </c>
      <c r="S24" s="542">
        <f t="shared" si="1"/>
        <v>61.349750000000007</v>
      </c>
      <c r="T24" s="542">
        <f t="shared" si="1"/>
        <v>81.433750000000003</v>
      </c>
      <c r="U24" s="542">
        <f t="shared" si="1"/>
        <v>75.465749999999986</v>
      </c>
      <c r="V24" s="542">
        <f t="shared" si="1"/>
        <v>48.418749999999996</v>
      </c>
      <c r="W24" s="662">
        <f t="shared" si="1"/>
        <v>48.418749999999996</v>
      </c>
      <c r="X24" s="662">
        <f t="shared" si="1"/>
        <v>48.418749999999996</v>
      </c>
      <c r="Y24" s="662">
        <f t="shared" si="1"/>
        <v>48.418749999999996</v>
      </c>
      <c r="Z24" s="662">
        <f t="shared" si="1"/>
        <v>48.418749999999996</v>
      </c>
      <c r="AA24" s="662">
        <f t="shared" si="1"/>
        <v>48.418749999999996</v>
      </c>
      <c r="AB24" s="662">
        <f t="shared" si="1"/>
        <v>48.418749999999996</v>
      </c>
      <c r="AC24" s="662">
        <f t="shared" si="1"/>
        <v>48.418749999999996</v>
      </c>
      <c r="AE24" s="230"/>
      <c r="AF24" s="230"/>
      <c r="AG24" s="230"/>
      <c r="AH24" s="230"/>
      <c r="AI24" s="230"/>
      <c r="AJ24" s="230"/>
      <c r="AK24" s="230"/>
      <c r="AL24" s="230"/>
      <c r="AM24" s="230"/>
      <c r="AN24" s="230"/>
      <c r="AO24" s="230"/>
      <c r="AP24" s="230"/>
      <c r="AQ24" s="230"/>
      <c r="AR24" s="230"/>
      <c r="AS24" s="230"/>
      <c r="AT24" s="230"/>
      <c r="AU24" s="230"/>
      <c r="AV24" s="230"/>
      <c r="AW24" s="230"/>
      <c r="AX24" s="230"/>
      <c r="AY24" s="230"/>
      <c r="AZ24" s="230"/>
      <c r="BA24" s="230"/>
      <c r="BB24" s="230"/>
      <c r="BC24" s="230"/>
      <c r="BD24" s="230"/>
      <c r="BE24" s="230"/>
      <c r="BF24" s="230"/>
      <c r="BG24" s="230"/>
      <c r="BH24" s="230"/>
      <c r="BI24" s="230"/>
      <c r="BJ24" s="230"/>
      <c r="BK24" s="230"/>
      <c r="BL24" s="230"/>
      <c r="BM24" s="230"/>
      <c r="BN24" s="230"/>
      <c r="BO24" s="230"/>
      <c r="BP24" s="230"/>
      <c r="BQ24" s="230"/>
      <c r="BR24" s="230"/>
      <c r="BS24" s="230"/>
      <c r="BT24" s="230"/>
      <c r="BU24" s="230"/>
      <c r="BV24" s="230"/>
      <c r="BW24" s="230"/>
      <c r="BX24" s="230"/>
      <c r="BY24" s="230"/>
      <c r="BZ24" s="230"/>
      <c r="CA24" s="230"/>
      <c r="CB24" s="230"/>
      <c r="CC24" s="230"/>
      <c r="CD24" s="230"/>
      <c r="CE24" s="230"/>
      <c r="CF24" s="230"/>
      <c r="CG24" s="230"/>
      <c r="CH24" s="230"/>
      <c r="CI24" s="230"/>
      <c r="CJ24" s="230"/>
      <c r="CK24" s="230"/>
      <c r="CL24" s="230"/>
      <c r="CM24" s="230"/>
      <c r="CN24" s="230"/>
      <c r="CO24" s="230"/>
      <c r="CP24" s="230"/>
      <c r="CQ24" s="230"/>
      <c r="CR24" s="230"/>
      <c r="CS24" s="230"/>
      <c r="CT24" s="230"/>
      <c r="CU24" s="230"/>
      <c r="CV24" s="230"/>
    </row>
    <row r="25" spans="1:101" ht="17.100000000000001" customHeight="1" x14ac:dyDescent="0.25">
      <c r="A25" t="s">
        <v>1854</v>
      </c>
      <c r="B25" s="731" t="s">
        <v>467</v>
      </c>
      <c r="C25" s="230" t="s">
        <v>468</v>
      </c>
      <c r="D25" s="542">
        <f>'Haver Pivoted'!GO31</f>
        <v>2223</v>
      </c>
      <c r="E25" s="542">
        <f>'Haver Pivoted'!GP31</f>
        <v>2303.6</v>
      </c>
      <c r="F25" s="542">
        <f>'Haver Pivoted'!GQ31</f>
        <v>2320.1</v>
      </c>
      <c r="G25" s="542">
        <f>'Haver Pivoted'!GR31</f>
        <v>2332.9</v>
      </c>
      <c r="H25" s="542">
        <f>'Haver Pivoted'!GS31</f>
        <v>2346.6</v>
      </c>
      <c r="I25" s="542">
        <f>'Haver Pivoted'!GT31</f>
        <v>2412.6</v>
      </c>
      <c r="J25" s="542">
        <f>'Haver Pivoted'!GU31</f>
        <v>4652.1000000000004</v>
      </c>
      <c r="K25" s="542">
        <f>'Haver Pivoted'!GV31</f>
        <v>3508</v>
      </c>
      <c r="L25" s="542">
        <f>'Haver Pivoted'!GW31</f>
        <v>2895.4</v>
      </c>
      <c r="M25" s="542">
        <f>'Haver Pivoted'!GX31</f>
        <v>5127.3999999999996</v>
      </c>
      <c r="N25" s="542">
        <f>'Haver Pivoted'!GY31</f>
        <v>3403.8</v>
      </c>
      <c r="O25" s="542">
        <f>'Haver Pivoted'!GZ31</f>
        <v>3135</v>
      </c>
      <c r="P25" s="542">
        <f>'Haver Pivoted'!HA31</f>
        <v>2947.7</v>
      </c>
      <c r="Q25" s="542">
        <f>'Haver Pivoted'!HB31</f>
        <v>2903.2</v>
      </c>
      <c r="R25" s="542">
        <f>'Haver Pivoted'!HC31</f>
        <v>2895.2</v>
      </c>
      <c r="S25" s="542">
        <f>'Haver Pivoted'!HD31</f>
        <v>2867.4</v>
      </c>
      <c r="T25" s="542">
        <f>'Haver Pivoted'!HE31</f>
        <v>2896.7</v>
      </c>
      <c r="U25" s="542">
        <f>'Haver Pivoted'!HF31</f>
        <v>2945.8</v>
      </c>
      <c r="V25" s="542">
        <f>'Haver Pivoted'!HG31</f>
        <v>2929.7</v>
      </c>
      <c r="W25" s="662"/>
      <c r="X25" s="662"/>
      <c r="Y25" s="662"/>
      <c r="Z25" s="662"/>
      <c r="AA25" s="662"/>
      <c r="AB25" s="662"/>
      <c r="AC25" s="662"/>
    </row>
    <row r="26" spans="1:101" ht="17.100000000000001" customHeight="1" x14ac:dyDescent="0.25">
      <c r="B26" s="255" t="s">
        <v>1853</v>
      </c>
      <c r="C26" s="230"/>
      <c r="D26" s="542">
        <f>D27+D28</f>
        <v>812.1</v>
      </c>
      <c r="E26" s="542">
        <f t="shared" ref="E26:V26" si="2">E27+E28</f>
        <v>832.4</v>
      </c>
      <c r="F26" s="542">
        <f t="shared" si="2"/>
        <v>843</v>
      </c>
      <c r="G26" s="542">
        <f t="shared" si="2"/>
        <v>848.9</v>
      </c>
      <c r="H26" s="542">
        <f t="shared" si="2"/>
        <v>854.6</v>
      </c>
      <c r="I26" s="542">
        <f t="shared" si="2"/>
        <v>875.94174999999996</v>
      </c>
      <c r="J26" s="542">
        <f t="shared" si="2"/>
        <v>2979.1887500000003</v>
      </c>
      <c r="K26" s="542">
        <f t="shared" si="2"/>
        <v>1807.73775</v>
      </c>
      <c r="L26" s="542">
        <f t="shared" si="2"/>
        <v>1280.19775</v>
      </c>
      <c r="M26" s="542">
        <f>M27+M28</f>
        <v>3500.7777499999997</v>
      </c>
      <c r="N26" s="542">
        <f t="shared" si="2"/>
        <v>1773.2907500000001</v>
      </c>
      <c r="O26" s="542">
        <f t="shared" si="2"/>
        <v>1483.542083333333</v>
      </c>
      <c r="P26" s="542">
        <f t="shared" si="2"/>
        <v>1284.7720833333331</v>
      </c>
      <c r="Q26" s="542">
        <f t="shared" si="2"/>
        <v>1138.51675</v>
      </c>
      <c r="R26" s="542">
        <f t="shared" si="2"/>
        <v>1129.1427500000002</v>
      </c>
      <c r="S26" s="542">
        <f t="shared" si="2"/>
        <v>1122.16875</v>
      </c>
      <c r="T26" s="542">
        <f t="shared" si="2"/>
        <v>1133.4497500000002</v>
      </c>
      <c r="U26" s="542">
        <f t="shared" si="2"/>
        <v>1070.9817499999999</v>
      </c>
      <c r="V26" s="542">
        <f t="shared" si="2"/>
        <v>1048.3633214285715</v>
      </c>
      <c r="W26" s="662">
        <f>W27+W28</f>
        <v>49.834749999999993</v>
      </c>
      <c r="X26" s="662">
        <f t="shared" ref="X26" si="3">X27+X28</f>
        <v>49.897749999999995</v>
      </c>
      <c r="Y26" s="662">
        <f t="shared" ref="Y26" si="4">Y27+Y28</f>
        <v>49.897749999999995</v>
      </c>
      <c r="Z26" s="662">
        <f t="shared" ref="Z26" si="5">Z27+Z28</f>
        <v>49.897749999999995</v>
      </c>
      <c r="AA26" s="662">
        <f t="shared" ref="AA26" si="6">AA27+AA28</f>
        <v>49.897749999999995</v>
      </c>
      <c r="AB26" s="662">
        <f t="shared" ref="AB26" si="7">AB27+AB28</f>
        <v>50.048749999999998</v>
      </c>
      <c r="AC26" s="662">
        <f t="shared" ref="AC26" si="8">AC27+AC28</f>
        <v>50.048749999999998</v>
      </c>
    </row>
    <row r="27" spans="1:101" ht="17.100000000000001" customHeight="1" x14ac:dyDescent="0.25">
      <c r="B27" s="406" t="s">
        <v>1852</v>
      </c>
      <c r="C27" s="230"/>
      <c r="D27" s="582">
        <f t="shared" ref="D27:V27" si="9">D13+D14+D17</f>
        <v>812.1</v>
      </c>
      <c r="E27" s="542">
        <f t="shared" si="9"/>
        <v>832.4</v>
      </c>
      <c r="F27" s="542">
        <f t="shared" si="9"/>
        <v>843</v>
      </c>
      <c r="G27" s="542">
        <f t="shared" si="9"/>
        <v>848.9</v>
      </c>
      <c r="H27" s="542">
        <f t="shared" si="9"/>
        <v>854.6</v>
      </c>
      <c r="I27" s="542">
        <f t="shared" si="9"/>
        <v>869.3</v>
      </c>
      <c r="J27" s="542">
        <f t="shared" si="9"/>
        <v>1792.5</v>
      </c>
      <c r="K27" s="542">
        <f t="shared" si="9"/>
        <v>1655.6</v>
      </c>
      <c r="L27" s="542">
        <f t="shared" si="9"/>
        <v>1188.2</v>
      </c>
      <c r="M27" s="542">
        <f t="shared" si="9"/>
        <v>1467.3</v>
      </c>
      <c r="N27" s="542">
        <f t="shared" si="9"/>
        <v>1351.8</v>
      </c>
      <c r="O27" s="542">
        <f t="shared" si="9"/>
        <v>1328.333333333333</v>
      </c>
      <c r="P27" s="542">
        <f t="shared" si="9"/>
        <v>1157.333333333333</v>
      </c>
      <c r="Q27" s="542">
        <f t="shared" si="9"/>
        <v>1038.7</v>
      </c>
      <c r="R27" s="542">
        <f t="shared" si="9"/>
        <v>1040.4000000000001</v>
      </c>
      <c r="S27" s="542">
        <f t="shared" si="9"/>
        <v>1041.1000000000001</v>
      </c>
      <c r="T27" s="542">
        <f t="shared" si="9"/>
        <v>1050.6000000000001</v>
      </c>
      <c r="U27" s="542">
        <f t="shared" si="9"/>
        <v>994.1</v>
      </c>
      <c r="V27" s="542">
        <f t="shared" si="9"/>
        <v>998.52857142857147</v>
      </c>
      <c r="W27" s="662"/>
      <c r="X27" s="662"/>
      <c r="Y27" s="662"/>
      <c r="Z27" s="662"/>
      <c r="AA27" s="662"/>
      <c r="AB27" s="662"/>
      <c r="AC27" s="708"/>
    </row>
    <row r="28" spans="1:101" ht="28.5" customHeight="1" x14ac:dyDescent="0.25">
      <c r="B28" s="406" t="s">
        <v>1849</v>
      </c>
      <c r="C28" s="230"/>
      <c r="D28" s="385">
        <f t="shared" ref="D28:AC28" si="10">D18+D23+D24+D22</f>
        <v>0</v>
      </c>
      <c r="E28" s="391">
        <f t="shared" si="10"/>
        <v>0</v>
      </c>
      <c r="F28" s="391">
        <f t="shared" si="10"/>
        <v>0</v>
      </c>
      <c r="G28" s="391">
        <f t="shared" si="10"/>
        <v>0</v>
      </c>
      <c r="H28" s="391">
        <f t="shared" si="10"/>
        <v>0</v>
      </c>
      <c r="I28" s="391">
        <f t="shared" si="10"/>
        <v>6.6417500000000018</v>
      </c>
      <c r="J28" s="391">
        <f t="shared" si="10"/>
        <v>1186.68875</v>
      </c>
      <c r="K28" s="391">
        <f t="shared" si="10"/>
        <v>152.13775000000001</v>
      </c>
      <c r="L28" s="391">
        <f t="shared" si="10"/>
        <v>91.997749999999996</v>
      </c>
      <c r="M28" s="391">
        <f t="shared" si="10"/>
        <v>2033.4777499999998</v>
      </c>
      <c r="N28" s="391">
        <f t="shared" si="10"/>
        <v>421.49075000000005</v>
      </c>
      <c r="O28" s="391">
        <f t="shared" si="10"/>
        <v>155.20875000000007</v>
      </c>
      <c r="P28" s="391">
        <f t="shared" si="10"/>
        <v>127.43875</v>
      </c>
      <c r="Q28" s="391">
        <f t="shared" si="10"/>
        <v>99.816749999999999</v>
      </c>
      <c r="R28" s="391">
        <f t="shared" si="10"/>
        <v>88.742750000000015</v>
      </c>
      <c r="S28" s="391">
        <f t="shared" si="10"/>
        <v>81.068750000000009</v>
      </c>
      <c r="T28" s="391">
        <f t="shared" si="10"/>
        <v>82.84975</v>
      </c>
      <c r="U28" s="391">
        <f t="shared" si="10"/>
        <v>76.881749999999982</v>
      </c>
      <c r="V28" s="391">
        <f t="shared" si="10"/>
        <v>49.834749999999993</v>
      </c>
      <c r="W28" s="336">
        <f t="shared" si="10"/>
        <v>49.834749999999993</v>
      </c>
      <c r="X28" s="336">
        <f t="shared" si="10"/>
        <v>49.897749999999995</v>
      </c>
      <c r="Y28" s="336">
        <f t="shared" si="10"/>
        <v>49.897749999999995</v>
      </c>
      <c r="Z28" s="336">
        <f t="shared" si="10"/>
        <v>49.897749999999995</v>
      </c>
      <c r="AA28" s="336">
        <f t="shared" si="10"/>
        <v>49.897749999999995</v>
      </c>
      <c r="AB28" s="336">
        <f t="shared" si="10"/>
        <v>50.048749999999998</v>
      </c>
      <c r="AC28" s="336">
        <f t="shared" si="10"/>
        <v>50.048749999999998</v>
      </c>
    </row>
    <row r="29" spans="1:101" x14ac:dyDescent="0.25">
      <c r="B29" s="415" t="s">
        <v>1855</v>
      </c>
      <c r="C29" s="230"/>
      <c r="D29" s="391">
        <f>D25-D26</f>
        <v>1410.9</v>
      </c>
      <c r="E29" s="391">
        <f t="shared" ref="E29:V29" si="11">E25-E26</f>
        <v>1471.1999999999998</v>
      </c>
      <c r="F29" s="391">
        <f t="shared" si="11"/>
        <v>1477.1</v>
      </c>
      <c r="G29" s="391">
        <f t="shared" si="11"/>
        <v>1484</v>
      </c>
      <c r="H29" s="391">
        <f t="shared" si="11"/>
        <v>1492</v>
      </c>
      <c r="I29" s="391">
        <f t="shared" si="11"/>
        <v>1536.65825</v>
      </c>
      <c r="J29" s="391">
        <f t="shared" si="11"/>
        <v>1672.9112500000001</v>
      </c>
      <c r="K29" s="391">
        <f t="shared" si="11"/>
        <v>1700.26225</v>
      </c>
      <c r="L29" s="391">
        <f t="shared" si="11"/>
        <v>1615.20225</v>
      </c>
      <c r="M29" s="391">
        <f t="shared" si="11"/>
        <v>1626.6222499999999</v>
      </c>
      <c r="N29" s="391">
        <f t="shared" si="11"/>
        <v>1630.5092500000001</v>
      </c>
      <c r="O29" s="391">
        <f t="shared" si="11"/>
        <v>1651.457916666667</v>
      </c>
      <c r="P29" s="391">
        <f t="shared" si="11"/>
        <v>1662.9279166666668</v>
      </c>
      <c r="Q29" s="391">
        <f t="shared" si="11"/>
        <v>1764.6832499999998</v>
      </c>
      <c r="R29" s="391">
        <f t="shared" si="11"/>
        <v>1766.0572499999996</v>
      </c>
      <c r="S29" s="391">
        <f t="shared" si="11"/>
        <v>1745.23125</v>
      </c>
      <c r="T29" s="391">
        <f t="shared" si="11"/>
        <v>1763.2502499999996</v>
      </c>
      <c r="U29" s="391">
        <f t="shared" si="11"/>
        <v>1874.8182500000003</v>
      </c>
      <c r="V29" s="391">
        <f t="shared" si="11"/>
        <v>1881.3366785714284</v>
      </c>
      <c r="W29" s="336"/>
      <c r="X29" s="336"/>
      <c r="Y29" s="336"/>
      <c r="Z29" s="336"/>
      <c r="AA29" s="336"/>
      <c r="AB29" s="336"/>
      <c r="AC29" s="336"/>
    </row>
    <row r="30" spans="1:101" ht="18" customHeight="1" x14ac:dyDescent="0.25">
      <c r="B30" s="450" t="s">
        <v>1846</v>
      </c>
      <c r="C30" s="230"/>
      <c r="D30" s="264"/>
      <c r="E30" s="220"/>
      <c r="F30" s="220"/>
      <c r="G30" s="220"/>
      <c r="H30" s="220"/>
      <c r="I30" s="220"/>
      <c r="J30" s="220"/>
      <c r="K30" s="220"/>
      <c r="L30" s="220"/>
      <c r="M30" s="220"/>
      <c r="N30" s="220"/>
      <c r="O30" s="220"/>
      <c r="P30" s="220"/>
      <c r="Q30" s="220"/>
      <c r="R30" s="220"/>
      <c r="S30" s="220"/>
      <c r="T30" s="220"/>
      <c r="U30" s="220"/>
      <c r="V30" s="542"/>
      <c r="W30" s="662"/>
      <c r="X30" s="662"/>
      <c r="Y30" s="662"/>
      <c r="Z30" s="662"/>
      <c r="AA30" s="662"/>
      <c r="AB30" s="662"/>
      <c r="AC30" s="708"/>
    </row>
    <row r="31" spans="1:101" ht="18" customHeight="1" x14ac:dyDescent="0.25">
      <c r="B31" s="450" t="s">
        <v>1847</v>
      </c>
      <c r="C31" s="230"/>
      <c r="D31" s="264"/>
      <c r="E31" s="220"/>
      <c r="F31" s="220"/>
      <c r="G31" s="220"/>
      <c r="H31" s="220"/>
      <c r="I31" s="220"/>
      <c r="J31" s="220"/>
      <c r="K31" s="220"/>
      <c r="L31" s="220"/>
      <c r="M31" s="220"/>
      <c r="N31" s="220"/>
      <c r="O31" s="220"/>
      <c r="P31" s="220"/>
      <c r="Q31" s="220"/>
      <c r="R31" s="220"/>
      <c r="S31" s="220"/>
      <c r="T31" s="220"/>
      <c r="U31" s="220"/>
      <c r="V31" s="542"/>
      <c r="W31" s="662"/>
      <c r="X31" s="662"/>
      <c r="Y31" s="662"/>
      <c r="Z31" s="662"/>
      <c r="AA31" s="662"/>
      <c r="AB31" s="662"/>
      <c r="AC31" s="708"/>
    </row>
    <row r="32" spans="1:101" ht="20.100000000000001" customHeight="1" x14ac:dyDescent="0.25">
      <c r="B32" s="258" t="s">
        <v>472</v>
      </c>
      <c r="C32" s="253"/>
      <c r="D32" s="710"/>
      <c r="E32" s="622"/>
      <c r="F32" s="622"/>
      <c r="G32" s="622"/>
      <c r="H32" s="539"/>
      <c r="I32" s="539"/>
      <c r="J32" s="539"/>
      <c r="K32" s="539"/>
      <c r="L32" s="539"/>
      <c r="M32" s="539">
        <f>'ARP Quarterly'!C5</f>
        <v>0</v>
      </c>
      <c r="N32" s="539">
        <f>'ARP Quarterly'!D5</f>
        <v>33.921840000000024</v>
      </c>
      <c r="O32" s="539">
        <f>'ARP Quarterly'!E5</f>
        <v>44.966160000000031</v>
      </c>
      <c r="P32" s="539">
        <f>'ARP Quarterly'!F5</f>
        <v>52.756999999999998</v>
      </c>
      <c r="Q32" s="539">
        <f>'ARP Quarterly'!G5</f>
        <v>52.756999999999998</v>
      </c>
      <c r="R32" s="539">
        <f>'ARP Quarterly'!H5</f>
        <v>52.756999999999998</v>
      </c>
      <c r="S32" s="539">
        <f>'ARP Quarterly'!I5</f>
        <v>52.756999999999998</v>
      </c>
      <c r="T32" s="539">
        <v>30</v>
      </c>
      <c r="U32" s="539">
        <f>'ARP Quarterly'!K5</f>
        <v>12</v>
      </c>
      <c r="V32" s="728">
        <f>'ARP Quarterly'!L5</f>
        <v>12</v>
      </c>
      <c r="W32" s="544">
        <f>'ARP Quarterly'!M5</f>
        <v>12</v>
      </c>
      <c r="X32" s="544">
        <f>'ARP Quarterly'!N5</f>
        <v>4.2219999999999995</v>
      </c>
      <c r="Y32" s="544">
        <f>'ARP Quarterly'!O5</f>
        <v>4.2219999999999995</v>
      </c>
      <c r="Z32" s="544">
        <f>'ARP Quarterly'!P5</f>
        <v>4.2219999999999995</v>
      </c>
      <c r="AA32" s="544">
        <f>'ARP Quarterly'!Q5</f>
        <v>4.2219999999999995</v>
      </c>
      <c r="AB32" s="544">
        <f>'ARP Quarterly'!R5</f>
        <v>2.3719999999999999</v>
      </c>
      <c r="AC32" s="675">
        <f>'ARP Quarterly'!S5</f>
        <v>2.3719999999999999</v>
      </c>
    </row>
    <row r="33" spans="2:101" ht="22.35" customHeight="1" x14ac:dyDescent="0.25">
      <c r="B33" s="238" t="s">
        <v>218</v>
      </c>
      <c r="C33" s="666"/>
      <c r="D33" s="264"/>
      <c r="E33" s="220"/>
      <c r="F33" s="220"/>
      <c r="G33" s="220"/>
      <c r="H33" s="220"/>
      <c r="I33" s="220"/>
      <c r="J33" s="220"/>
      <c r="K33" s="220"/>
      <c r="L33" s="220"/>
      <c r="M33" s="542">
        <f>'ARP Quarterly'!C4</f>
        <v>0</v>
      </c>
      <c r="N33" s="542">
        <f>'ARP Quarterly'!D4</f>
        <v>0</v>
      </c>
      <c r="O33" s="542">
        <f>'ARP Quarterly'!E4</f>
        <v>3.1040000000000418</v>
      </c>
      <c r="P33" s="542">
        <f>'ARP Quarterly'!F4</f>
        <v>19.719000000000005</v>
      </c>
      <c r="Q33" s="542">
        <f>'ARP Quarterly'!G4</f>
        <v>19.719000000000005</v>
      </c>
      <c r="R33" s="542">
        <f>'ARP Quarterly'!H4</f>
        <v>19.719000000000005</v>
      </c>
      <c r="S33" s="542">
        <f>'ARP Quarterly'!I4</f>
        <v>19.719000000000005</v>
      </c>
      <c r="T33" s="542">
        <f>'ARP Quarterly'!J4</f>
        <v>1.4159999999999999</v>
      </c>
      <c r="U33" s="542">
        <f>'ARP Quarterly'!K4</f>
        <v>1.4159999999999999</v>
      </c>
      <c r="V33" s="542">
        <f>'ARP Quarterly'!L4</f>
        <v>1.4159999999999999</v>
      </c>
      <c r="W33" s="662">
        <f>'ARP Quarterly'!M4</f>
        <v>1.4159999999999999</v>
      </c>
      <c r="X33" s="662">
        <f>'ARP Quarterly'!N4</f>
        <v>1.4790000000000001</v>
      </c>
      <c r="Y33" s="662">
        <f>'ARP Quarterly'!O4</f>
        <v>1.4790000000000001</v>
      </c>
      <c r="Z33" s="662">
        <f>'ARP Quarterly'!P4</f>
        <v>1.4790000000000001</v>
      </c>
      <c r="AA33" s="662">
        <f>'ARP Quarterly'!Q4</f>
        <v>1.4790000000000001</v>
      </c>
      <c r="AB33" s="662">
        <f>'ARP Quarterly'!R4</f>
        <v>1.63</v>
      </c>
      <c r="AC33" s="708">
        <f>'ARP Quarterly'!S4</f>
        <v>1.63</v>
      </c>
      <c r="AE33" s="666"/>
      <c r="AF33" s="666"/>
      <c r="AG33" s="666"/>
      <c r="AH33" s="666"/>
      <c r="AI33" s="666"/>
      <c r="AJ33" s="666"/>
      <c r="AK33" s="666"/>
      <c r="AL33" s="666"/>
      <c r="AM33" s="666"/>
      <c r="AN33" s="666"/>
      <c r="AO33" s="666"/>
      <c r="AP33" s="666"/>
      <c r="AQ33" s="666"/>
      <c r="AR33" s="666"/>
      <c r="AS33" s="666"/>
      <c r="AT33" s="666"/>
      <c r="AU33" s="666"/>
      <c r="AV33" s="666"/>
      <c r="AW33" s="666"/>
      <c r="AX33" s="666"/>
      <c r="AY33" s="666"/>
      <c r="AZ33" s="666"/>
      <c r="BA33" s="666"/>
      <c r="BB33" s="666"/>
      <c r="BC33" s="666"/>
      <c r="BD33" s="666"/>
      <c r="BE33" s="666"/>
      <c r="BF33" s="666"/>
      <c r="BG33" s="666"/>
      <c r="BH33" s="666"/>
      <c r="BI33" s="666"/>
      <c r="BJ33" s="666"/>
      <c r="BK33" s="666"/>
      <c r="BL33" s="666"/>
      <c r="BM33" s="666"/>
      <c r="BN33" s="666"/>
      <c r="BO33" s="666"/>
      <c r="BP33" s="666"/>
      <c r="BQ33" s="666"/>
      <c r="BR33" s="666"/>
      <c r="BS33" s="666"/>
      <c r="BT33" s="666"/>
      <c r="BU33" s="666"/>
      <c r="BV33" s="666"/>
      <c r="BW33" s="666"/>
      <c r="BX33" s="666"/>
      <c r="BY33" s="666"/>
      <c r="BZ33" s="666"/>
      <c r="CA33" s="666"/>
      <c r="CB33" s="666"/>
      <c r="CC33" s="666"/>
      <c r="CD33" s="666"/>
      <c r="CE33" s="666"/>
      <c r="CF33" s="666"/>
      <c r="CG33" s="666"/>
      <c r="CH33" s="666"/>
      <c r="CI33" s="666"/>
      <c r="CJ33" s="666"/>
      <c r="CK33" s="666"/>
      <c r="CL33" s="666"/>
      <c r="CM33" s="666"/>
      <c r="CN33" s="666"/>
      <c r="CO33" s="666"/>
      <c r="CP33" s="666"/>
      <c r="CQ33" s="666"/>
      <c r="CR33" s="666"/>
      <c r="CS33" s="666"/>
      <c r="CT33" s="666"/>
      <c r="CU33" s="666"/>
      <c r="CV33" s="666"/>
      <c r="CW33" s="666"/>
    </row>
    <row r="34" spans="2:101" ht="36.6" customHeight="1" x14ac:dyDescent="0.25">
      <c r="B34" s="238" t="s">
        <v>1433</v>
      </c>
      <c r="C34" s="230"/>
      <c r="D34" s="265">
        <f>D85</f>
        <v>0</v>
      </c>
      <c r="E34" s="224">
        <f t="shared" ref="E34:AC34" si="12">E85</f>
        <v>0</v>
      </c>
      <c r="F34" s="224">
        <f t="shared" si="12"/>
        <v>0</v>
      </c>
      <c r="G34" s="224">
        <f t="shared" si="12"/>
        <v>0</v>
      </c>
      <c r="H34" s="224">
        <f t="shared" si="12"/>
        <v>0</v>
      </c>
      <c r="I34" s="542">
        <f t="shared" si="12"/>
        <v>6.6417500000000018</v>
      </c>
      <c r="J34" s="542">
        <f t="shared" si="12"/>
        <v>51.388749999999995</v>
      </c>
      <c r="K34" s="542">
        <f t="shared" si="12"/>
        <v>55.337750000000007</v>
      </c>
      <c r="L34" s="542">
        <f t="shared" si="12"/>
        <v>62.597749999999998</v>
      </c>
      <c r="M34" s="542">
        <f t="shared" si="12"/>
        <v>88.07774999999998</v>
      </c>
      <c r="N34" s="542">
        <f t="shared" si="12"/>
        <v>102.89075</v>
      </c>
      <c r="O34" s="542">
        <f t="shared" si="12"/>
        <v>94.404750000000007</v>
      </c>
      <c r="P34" s="542">
        <f t="shared" si="12"/>
        <v>91.919749999999993</v>
      </c>
      <c r="Q34" s="542">
        <f t="shared" si="12"/>
        <v>80.097749999999991</v>
      </c>
      <c r="R34" s="542">
        <f t="shared" si="12"/>
        <v>69.023750000000007</v>
      </c>
      <c r="S34" s="542">
        <f t="shared" si="12"/>
        <v>61.349750000000007</v>
      </c>
      <c r="T34" s="542">
        <f t="shared" si="12"/>
        <v>81.433750000000003</v>
      </c>
      <c r="U34" s="542">
        <f t="shared" si="12"/>
        <v>75.465749999999986</v>
      </c>
      <c r="V34" s="542">
        <f>V85</f>
        <v>48.418749999999996</v>
      </c>
      <c r="W34" s="662">
        <f>W85</f>
        <v>48.418749999999996</v>
      </c>
      <c r="X34" s="662">
        <f t="shared" si="12"/>
        <v>48.418749999999996</v>
      </c>
      <c r="Y34" s="662">
        <f t="shared" si="12"/>
        <v>48.418749999999996</v>
      </c>
      <c r="Z34" s="662">
        <f t="shared" si="12"/>
        <v>48.418749999999996</v>
      </c>
      <c r="AA34" s="662">
        <f t="shared" si="12"/>
        <v>48.418749999999996</v>
      </c>
      <c r="AB34" s="662">
        <f t="shared" si="12"/>
        <v>48.418749999999996</v>
      </c>
      <c r="AC34" s="708">
        <f t="shared" si="12"/>
        <v>48.418749999999996</v>
      </c>
      <c r="AE34" s="230"/>
      <c r="AF34" s="230"/>
      <c r="AG34" s="230"/>
      <c r="AH34" s="230"/>
      <c r="AI34" s="230"/>
      <c r="AJ34" s="230"/>
      <c r="AK34" s="230"/>
      <c r="AL34" s="230"/>
      <c r="AM34" s="230"/>
      <c r="AN34" s="230"/>
      <c r="AO34" s="230"/>
      <c r="AP34" s="230"/>
      <c r="AQ34" s="230"/>
      <c r="AR34" s="230"/>
      <c r="AS34" s="230"/>
      <c r="AT34" s="230"/>
      <c r="AU34" s="230"/>
      <c r="AV34" s="230"/>
      <c r="AW34" s="230"/>
      <c r="AX34" s="230"/>
      <c r="AY34" s="230"/>
      <c r="AZ34" s="230"/>
      <c r="BA34" s="230"/>
      <c r="BB34" s="230"/>
      <c r="BC34" s="230"/>
      <c r="BD34" s="230"/>
      <c r="BE34" s="230"/>
      <c r="BF34" s="230"/>
      <c r="BG34" s="230"/>
      <c r="BH34" s="230"/>
      <c r="BI34" s="230"/>
      <c r="BJ34" s="230"/>
      <c r="BK34" s="230"/>
      <c r="BL34" s="230"/>
      <c r="BM34" s="230"/>
      <c r="BN34" s="230"/>
      <c r="BO34" s="230"/>
      <c r="BP34" s="230"/>
      <c r="BQ34" s="230"/>
      <c r="BR34" s="230"/>
      <c r="BS34" s="230"/>
      <c r="BT34" s="230"/>
      <c r="BU34" s="230"/>
      <c r="BV34" s="230"/>
      <c r="BW34" s="230"/>
      <c r="BX34" s="230"/>
      <c r="BY34" s="230"/>
      <c r="BZ34" s="230"/>
      <c r="CA34" s="230"/>
      <c r="CB34" s="230"/>
      <c r="CC34" s="230"/>
      <c r="CD34" s="230"/>
      <c r="CE34" s="230"/>
      <c r="CF34" s="230"/>
      <c r="CG34" s="230"/>
      <c r="CH34" s="230"/>
      <c r="CI34" s="230"/>
      <c r="CJ34" s="230"/>
      <c r="CK34" s="230"/>
      <c r="CL34" s="230"/>
      <c r="CM34" s="230"/>
      <c r="CN34" s="230"/>
      <c r="CO34" s="230"/>
      <c r="CP34" s="230"/>
      <c r="CQ34" s="230"/>
      <c r="CR34" s="230"/>
      <c r="CS34" s="230"/>
      <c r="CT34" s="230"/>
      <c r="CU34" s="230"/>
      <c r="CV34" s="230"/>
    </row>
    <row r="35" spans="2:101" ht="15.6" customHeight="1" x14ac:dyDescent="0.25">
      <c r="B35" s="729" t="s">
        <v>798</v>
      </c>
      <c r="C35" s="230" t="s">
        <v>825</v>
      </c>
      <c r="D35" s="264">
        <v>30</v>
      </c>
      <c r="E35" s="220">
        <v>30</v>
      </c>
      <c r="F35" s="220">
        <v>30</v>
      </c>
      <c r="G35" s="220">
        <v>30</v>
      </c>
      <c r="H35" s="220">
        <v>30</v>
      </c>
      <c r="I35" s="220">
        <v>30</v>
      </c>
      <c r="J35" s="220">
        <v>30</v>
      </c>
      <c r="K35" s="216">
        <v>30.2</v>
      </c>
      <c r="L35" s="216">
        <v>30.2</v>
      </c>
      <c r="M35" s="216">
        <f>'Haver Pivoted'!GX89</f>
        <v>34.4</v>
      </c>
      <c r="N35" s="216">
        <f>'Haver Pivoted'!GY89</f>
        <v>34.4</v>
      </c>
      <c r="O35" s="216">
        <f>'Haver Pivoted'!GZ89</f>
        <v>218.933333333333</v>
      </c>
      <c r="P35" s="216">
        <f>'Haver Pivoted'!HA89</f>
        <v>223.13333333333301</v>
      </c>
      <c r="Q35" s="216">
        <f>'Haver Pivoted'!HB89</f>
        <v>94.3</v>
      </c>
      <c r="R35" s="216">
        <f>'Haver Pivoted'!HC89</f>
        <v>94.3</v>
      </c>
      <c r="S35" s="430">
        <f>'Haver Pivoted'!HD89</f>
        <v>94.3</v>
      </c>
      <c r="T35" s="430">
        <f>'Haver Pivoted'!HE89</f>
        <v>94.3</v>
      </c>
      <c r="U35" s="662">
        <v>34</v>
      </c>
      <c r="V35" s="542">
        <v>34</v>
      </c>
      <c r="W35" s="662">
        <v>34</v>
      </c>
      <c r="X35" s="662">
        <v>34</v>
      </c>
      <c r="Y35" s="662">
        <v>34</v>
      </c>
      <c r="Z35" s="662">
        <v>34</v>
      </c>
      <c r="AA35" s="662">
        <v>34</v>
      </c>
      <c r="AB35" s="662">
        <v>34</v>
      </c>
      <c r="AC35" s="708">
        <v>34</v>
      </c>
    </row>
    <row r="36" spans="2:101" ht="21.6" customHeight="1" x14ac:dyDescent="0.25">
      <c r="B36" s="238" t="s">
        <v>470</v>
      </c>
      <c r="C36" s="230"/>
      <c r="D36" s="265"/>
      <c r="E36" s="224"/>
      <c r="F36" s="224"/>
      <c r="G36" s="224"/>
      <c r="H36" s="542"/>
      <c r="I36" s="542"/>
      <c r="J36" s="542">
        <f>'PPP (expired)'!J53</f>
        <v>57.2</v>
      </c>
      <c r="K36" s="542">
        <f>'PPP (expired)'!K53</f>
        <v>81.2</v>
      </c>
      <c r="L36" s="542">
        <f>'PPP (expired)'!L53</f>
        <v>24.4</v>
      </c>
      <c r="M36" s="542">
        <f>'PPP (expired)'!M53</f>
        <v>11.7</v>
      </c>
      <c r="N36" s="542">
        <f>'PPP (expired)'!N53</f>
        <v>28.5</v>
      </c>
      <c r="O36" s="542">
        <f>'PPP (expired)'!O53</f>
        <v>18.8</v>
      </c>
      <c r="P36" s="542">
        <f>'PPP (expired)'!P53</f>
        <v>1.6</v>
      </c>
      <c r="Q36" s="542">
        <f>'PPP (expired)'!Q53</f>
        <v>0</v>
      </c>
      <c r="R36" s="542">
        <f>'PPP (expired)'!Q61</f>
        <v>0</v>
      </c>
      <c r="S36" s="542">
        <f>'PPP (expired)'!S53</f>
        <v>0</v>
      </c>
      <c r="T36" s="542">
        <f>'PPP (expired)'!T53</f>
        <v>0</v>
      </c>
      <c r="U36" s="542">
        <f>'PPP (expired)'!U53</f>
        <v>0</v>
      </c>
      <c r="V36" s="542">
        <f>'PPP (expired)'!V53</f>
        <v>0</v>
      </c>
      <c r="W36" s="662">
        <f>'PPP (expired)'!W53</f>
        <v>0</v>
      </c>
      <c r="X36" s="662">
        <f>'PPP (expired)'!X53</f>
        <v>0</v>
      </c>
      <c r="Y36" s="662">
        <f>'PPP (expired)'!Y53</f>
        <v>0</v>
      </c>
      <c r="Z36" s="662">
        <f>'PPP (expired)'!Z53</f>
        <v>0</v>
      </c>
      <c r="AA36" s="662">
        <f>'PPP (expired)'!AA53</f>
        <v>0</v>
      </c>
      <c r="AB36" s="662">
        <f>'PPP (expired)'!AB53</f>
        <v>0</v>
      </c>
      <c r="AC36" s="708">
        <f>'PPP (expired)'!AC53</f>
        <v>0</v>
      </c>
    </row>
    <row r="37" spans="2:101" ht="21.6" customHeight="1" x14ac:dyDescent="0.25">
      <c r="B37" s="450" t="s">
        <v>799</v>
      </c>
      <c r="C37" s="230"/>
      <c r="D37" s="582">
        <f t="shared" ref="D37:AC37" si="13">D109</f>
        <v>0</v>
      </c>
      <c r="E37" s="542">
        <f t="shared" si="13"/>
        <v>0</v>
      </c>
      <c r="F37" s="542">
        <f t="shared" si="13"/>
        <v>0</v>
      </c>
      <c r="G37" s="542">
        <f t="shared" si="13"/>
        <v>0</v>
      </c>
      <c r="H37" s="542">
        <f t="shared" si="13"/>
        <v>0</v>
      </c>
      <c r="I37" s="542">
        <f t="shared" si="13"/>
        <v>-6.6417499999997744</v>
      </c>
      <c r="J37" s="542">
        <f t="shared" si="13"/>
        <v>-38.222083333332648</v>
      </c>
      <c r="K37" s="542">
        <f t="shared" si="13"/>
        <v>84.695583333333389</v>
      </c>
      <c r="L37" s="542">
        <f t="shared" si="13"/>
        <v>16.60225000000014</v>
      </c>
      <c r="M37" s="542">
        <f t="shared" si="13"/>
        <v>16.668916666666519</v>
      </c>
      <c r="N37" s="542">
        <f t="shared" si="13"/>
        <v>-12.19925666666677</v>
      </c>
      <c r="O37" s="542">
        <f t="shared" si="13"/>
        <v>-14.628243333333103</v>
      </c>
      <c r="P37" s="542">
        <f t="shared" si="13"/>
        <v>-31.382416666666586</v>
      </c>
      <c r="Q37" s="542">
        <f t="shared" si="13"/>
        <v>-3.1812166666670691</v>
      </c>
      <c r="R37" s="542">
        <f t="shared" si="13"/>
        <v>-1.8405500000005759</v>
      </c>
      <c r="S37" s="542">
        <f t="shared" si="13"/>
        <v>-17.699883333333901</v>
      </c>
      <c r="T37" s="542">
        <f t="shared" si="13"/>
        <v>19.342783333332591</v>
      </c>
      <c r="U37" s="726">
        <f t="shared" si="13"/>
        <v>40.229804999999715</v>
      </c>
      <c r="V37" s="542">
        <f>V109</f>
        <v>39.814900238094424</v>
      </c>
      <c r="W37" s="662">
        <f t="shared" si="13"/>
        <v>39.814900238094424</v>
      </c>
      <c r="X37" s="662">
        <f t="shared" si="13"/>
        <v>39.814900238094424</v>
      </c>
      <c r="Y37" s="662">
        <f t="shared" si="13"/>
        <v>39.814900238094424</v>
      </c>
      <c r="Z37" s="662">
        <f t="shared" si="13"/>
        <v>39.814900238094424</v>
      </c>
      <c r="AA37" s="662">
        <f t="shared" si="13"/>
        <v>39.814900238094424</v>
      </c>
      <c r="AB37" s="662">
        <f t="shared" si="13"/>
        <v>39.814900238094424</v>
      </c>
      <c r="AC37" s="708">
        <f t="shared" si="13"/>
        <v>39.814900238094424</v>
      </c>
    </row>
    <row r="38" spans="2:101" ht="21" customHeight="1" x14ac:dyDescent="0.25">
      <c r="B38" s="258" t="s">
        <v>796</v>
      </c>
      <c r="C38" s="253"/>
      <c r="D38" s="710">
        <f t="shared" ref="D38:AC38" si="14">D33+D21</f>
        <v>0</v>
      </c>
      <c r="E38" s="622">
        <f t="shared" si="14"/>
        <v>0</v>
      </c>
      <c r="F38" s="622">
        <f t="shared" si="14"/>
        <v>0</v>
      </c>
      <c r="G38" s="622">
        <f t="shared" si="14"/>
        <v>0</v>
      </c>
      <c r="H38" s="622">
        <f t="shared" si="14"/>
        <v>0</v>
      </c>
      <c r="I38" s="622">
        <f t="shared" si="14"/>
        <v>0</v>
      </c>
      <c r="J38" s="622">
        <f t="shared" si="14"/>
        <v>160.9</v>
      </c>
      <c r="K38" s="622">
        <f t="shared" si="14"/>
        <v>58.4</v>
      </c>
      <c r="L38" s="622">
        <f t="shared" si="14"/>
        <v>34.5</v>
      </c>
      <c r="M38" s="622">
        <f t="shared" si="14"/>
        <v>21.4</v>
      </c>
      <c r="N38" s="622">
        <f t="shared" si="14"/>
        <v>13.3</v>
      </c>
      <c r="O38" s="622">
        <f t="shared" si="14"/>
        <v>21.804000000000041</v>
      </c>
      <c r="P38" s="539">
        <f t="shared" si="14"/>
        <v>51.919000000000011</v>
      </c>
      <c r="Q38" s="622">
        <f t="shared" si="14"/>
        <v>46.619</v>
      </c>
      <c r="R38" s="622">
        <f t="shared" si="14"/>
        <v>39.719000000000008</v>
      </c>
      <c r="S38" s="622">
        <f t="shared" si="14"/>
        <v>27.819000000000003</v>
      </c>
      <c r="T38" s="539">
        <f t="shared" si="14"/>
        <v>6.3160000000000007</v>
      </c>
      <c r="U38" s="539">
        <f t="shared" si="14"/>
        <v>1.4159999999999999</v>
      </c>
      <c r="V38" s="728">
        <f t="shared" si="14"/>
        <v>1.4159999999999999</v>
      </c>
      <c r="W38" s="544">
        <f t="shared" si="14"/>
        <v>1.4159999999999999</v>
      </c>
      <c r="X38" s="544">
        <f t="shared" si="14"/>
        <v>1.4790000000000001</v>
      </c>
      <c r="Y38" s="544">
        <f t="shared" si="14"/>
        <v>1.4790000000000001</v>
      </c>
      <c r="Z38" s="544">
        <f t="shared" si="14"/>
        <v>1.4790000000000001</v>
      </c>
      <c r="AA38" s="544">
        <f t="shared" si="14"/>
        <v>1.4790000000000001</v>
      </c>
      <c r="AB38" s="544">
        <f t="shared" si="14"/>
        <v>1.63</v>
      </c>
      <c r="AC38" s="544">
        <f t="shared" si="14"/>
        <v>1.63</v>
      </c>
    </row>
    <row r="39" spans="2:101" ht="44.85" customHeight="1" x14ac:dyDescent="0.25">
      <c r="B39" s="238" t="s">
        <v>803</v>
      </c>
      <c r="C39" s="230"/>
      <c r="D39" s="582">
        <f t="shared" ref="D39:AC39" si="15">D101</f>
        <v>1410.9</v>
      </c>
      <c r="E39" s="542">
        <f t="shared" si="15"/>
        <v>1471.1999999999998</v>
      </c>
      <c r="F39" s="542">
        <f t="shared" si="15"/>
        <v>1477.1000000000001</v>
      </c>
      <c r="G39" s="542">
        <f t="shared" si="15"/>
        <v>1484</v>
      </c>
      <c r="H39" s="542">
        <f t="shared" si="15"/>
        <v>1492</v>
      </c>
      <c r="I39" s="542">
        <f t="shared" si="15"/>
        <v>1543.2999999999997</v>
      </c>
      <c r="J39" s="542">
        <f t="shared" si="15"/>
        <v>1550.2333333333331</v>
      </c>
      <c r="K39" s="542">
        <f t="shared" si="15"/>
        <v>1557.1666666666665</v>
      </c>
      <c r="L39" s="542">
        <f t="shared" si="15"/>
        <v>1564.1</v>
      </c>
      <c r="M39" s="542">
        <f t="shared" si="15"/>
        <v>1588.5533333333333</v>
      </c>
      <c r="N39" s="542">
        <f t="shared" si="15"/>
        <v>1595.4866666666667</v>
      </c>
      <c r="O39" s="542">
        <f t="shared" si="15"/>
        <v>1602.42</v>
      </c>
      <c r="P39" s="542">
        <f t="shared" si="15"/>
        <v>1609.3533333333335</v>
      </c>
      <c r="Q39" s="542">
        <f t="shared" si="15"/>
        <v>1688.207466666667</v>
      </c>
      <c r="R39" s="542">
        <f t="shared" si="15"/>
        <v>1695.1408000000004</v>
      </c>
      <c r="S39" s="542">
        <f t="shared" si="15"/>
        <v>1702.0741333333337</v>
      </c>
      <c r="T39" s="542">
        <f t="shared" si="15"/>
        <v>1709.0074666666671</v>
      </c>
      <c r="U39" s="542">
        <f t="shared" si="15"/>
        <v>1822.5884450000005</v>
      </c>
      <c r="V39" s="542">
        <f t="shared" si="15"/>
        <v>1829.5217783333339</v>
      </c>
      <c r="W39" s="662">
        <f t="shared" si="15"/>
        <v>1836.4551116666673</v>
      </c>
      <c r="X39" s="662">
        <f t="shared" si="15"/>
        <v>1843.3884450000007</v>
      </c>
      <c r="Y39" s="662">
        <f t="shared" si="15"/>
        <v>1892.9800005333341</v>
      </c>
      <c r="Z39" s="662">
        <f t="shared" si="15"/>
        <v>1899.9133338666675</v>
      </c>
      <c r="AA39" s="662">
        <f t="shared" si="15"/>
        <v>1906.8466672000009</v>
      </c>
      <c r="AB39" s="662">
        <f t="shared" si="15"/>
        <v>1913.7800005333343</v>
      </c>
      <c r="AC39" s="708">
        <f t="shared" si="15"/>
        <v>1950.3705249626676</v>
      </c>
    </row>
    <row r="40" spans="2:101" ht="44.85" customHeight="1" x14ac:dyDescent="0.25">
      <c r="B40" s="416" t="s">
        <v>1185</v>
      </c>
      <c r="D40" s="582"/>
      <c r="E40" s="542"/>
      <c r="F40" s="542"/>
      <c r="G40" s="542"/>
      <c r="H40" s="542"/>
      <c r="I40" s="542"/>
      <c r="J40" s="542"/>
      <c r="K40" s="542"/>
      <c r="L40" s="542"/>
      <c r="M40" s="542"/>
      <c r="N40" s="542"/>
      <c r="O40" s="542"/>
      <c r="P40" s="542"/>
      <c r="Q40" s="542"/>
      <c r="R40" s="542"/>
      <c r="S40" s="652">
        <f>'IRA and CHIPS'!E191</f>
        <v>-0.622</v>
      </c>
      <c r="T40" s="652">
        <f>'IRA and CHIPS'!F191</f>
        <v>21.89</v>
      </c>
      <c r="U40" s="652">
        <f>'IRA and CHIPS'!G191</f>
        <v>21.89</v>
      </c>
      <c r="V40" s="652">
        <f>'IRA and CHIPS'!H191</f>
        <v>21.89</v>
      </c>
      <c r="W40" s="664">
        <f>'IRA and CHIPS'!I191</f>
        <v>21.89</v>
      </c>
      <c r="X40" s="664">
        <f>'IRA and CHIPS'!J191</f>
        <v>15.439</v>
      </c>
      <c r="Y40" s="664">
        <f>'IRA and CHIPS'!K191</f>
        <v>15.439</v>
      </c>
      <c r="Z40" s="664">
        <f>'IRA and CHIPS'!L191</f>
        <v>15.439</v>
      </c>
      <c r="AA40" s="664">
        <f>'IRA and CHIPS'!M191</f>
        <v>15.439</v>
      </c>
      <c r="AB40" s="664">
        <f>'IRA and CHIPS'!N191</f>
        <v>16.966999999999999</v>
      </c>
      <c r="AC40" s="732">
        <f>'IRA and CHIPS'!O191</f>
        <v>16.966999999999999</v>
      </c>
    </row>
    <row r="41" spans="2:101" ht="31.35" customHeight="1" x14ac:dyDescent="0.25">
      <c r="B41" s="570" t="s">
        <v>800</v>
      </c>
      <c r="C41" s="253"/>
      <c r="D41" s="539">
        <f t="shared" ref="D41:R41" si="16">D39+SUM(D34:D37)+D40</f>
        <v>1440.9</v>
      </c>
      <c r="E41" s="539">
        <f t="shared" si="16"/>
        <v>1501.1999999999998</v>
      </c>
      <c r="F41" s="539">
        <f t="shared" si="16"/>
        <v>1507.1000000000001</v>
      </c>
      <c r="G41" s="539">
        <f t="shared" si="16"/>
        <v>1514</v>
      </c>
      <c r="H41" s="539">
        <f t="shared" si="16"/>
        <v>1522</v>
      </c>
      <c r="I41" s="539">
        <f t="shared" si="16"/>
        <v>1573.3</v>
      </c>
      <c r="J41" s="539">
        <f t="shared" si="16"/>
        <v>1650.6000000000004</v>
      </c>
      <c r="K41" s="539">
        <f t="shared" si="16"/>
        <v>1808.6</v>
      </c>
      <c r="L41" s="539">
        <f t="shared" si="16"/>
        <v>1697.9</v>
      </c>
      <c r="M41" s="539">
        <f t="shared" si="16"/>
        <v>1739.3999999999999</v>
      </c>
      <c r="N41" s="539">
        <f t="shared" si="16"/>
        <v>1749.07816</v>
      </c>
      <c r="O41" s="539">
        <f t="shared" si="16"/>
        <v>1919.92984</v>
      </c>
      <c r="P41" s="539">
        <f t="shared" si="16"/>
        <v>1894.6239999999998</v>
      </c>
      <c r="Q41" s="539">
        <f t="shared" si="16"/>
        <v>1859.424</v>
      </c>
      <c r="R41" s="539">
        <f t="shared" si="16"/>
        <v>1856.6239999999998</v>
      </c>
      <c r="S41" s="539">
        <f>S39+SUM(S34:S37)+S40</f>
        <v>1839.4019999999998</v>
      </c>
      <c r="T41" s="682">
        <f>T39+SUM(T34:T37)+T40</f>
        <v>1925.9739999999999</v>
      </c>
      <c r="U41" s="682">
        <f>U39+SUM(U34:U37)+U40</f>
        <v>1994.1740000000004</v>
      </c>
      <c r="V41" s="728">
        <f>V39+SUM(V34:V37)+V40</f>
        <v>1973.6454285714285</v>
      </c>
      <c r="W41" s="544">
        <f t="shared" ref="W41:AC41" si="17">W39+SUM(W34:W37)+W40</f>
        <v>1980.5787619047619</v>
      </c>
      <c r="X41" s="544">
        <f t="shared" si="17"/>
        <v>1981.0610952380953</v>
      </c>
      <c r="Y41" s="544">
        <f t="shared" si="17"/>
        <v>2030.6526507714286</v>
      </c>
      <c r="Z41" s="544">
        <f t="shared" si="17"/>
        <v>2037.585984104762</v>
      </c>
      <c r="AA41" s="544">
        <f t="shared" si="17"/>
        <v>2044.5193174380954</v>
      </c>
      <c r="AB41" s="544">
        <f t="shared" si="17"/>
        <v>2052.9806507714288</v>
      </c>
      <c r="AC41" s="544">
        <f t="shared" si="17"/>
        <v>2089.5711752007619</v>
      </c>
    </row>
    <row r="42" spans="2:101" ht="31.35" customHeight="1" x14ac:dyDescent="0.25">
      <c r="B42" s="570"/>
      <c r="C42" s="253"/>
      <c r="D42" s="539"/>
      <c r="E42" s="539"/>
      <c r="F42" s="539"/>
      <c r="G42" s="539"/>
      <c r="H42" s="539"/>
      <c r="I42" s="539"/>
      <c r="J42" s="539"/>
      <c r="K42" s="539"/>
      <c r="L42" s="539"/>
      <c r="M42" s="539"/>
      <c r="N42" s="539"/>
      <c r="O42" s="539"/>
      <c r="P42" s="539"/>
      <c r="Q42" s="539"/>
      <c r="R42" s="539"/>
      <c r="S42" s="539"/>
      <c r="T42" s="539"/>
      <c r="U42" s="539"/>
      <c r="V42" s="539">
        <f>V12-SUM(V14,V17,V18,V21,V32,V33,V34,V35)+V40</f>
        <v>1891.2266785714285</v>
      </c>
      <c r="W42" s="544"/>
      <c r="X42" s="544"/>
      <c r="Y42" s="544"/>
      <c r="Z42" s="544"/>
      <c r="AA42" s="544"/>
      <c r="AB42" s="544"/>
      <c r="AC42" s="544"/>
    </row>
    <row r="43" spans="2:101" ht="31.35" customHeight="1" x14ac:dyDescent="0.25">
      <c r="B43" s="1387" t="s">
        <v>473</v>
      </c>
      <c r="C43" s="1388"/>
      <c r="D43" s="565"/>
      <c r="E43" s="566"/>
      <c r="F43" s="566"/>
      <c r="G43" s="566"/>
      <c r="H43" s="566"/>
      <c r="I43" s="566"/>
      <c r="J43" s="566"/>
      <c r="K43" s="566"/>
      <c r="L43" s="566"/>
      <c r="M43" s="566"/>
      <c r="N43" s="566"/>
      <c r="O43" s="566"/>
      <c r="P43" s="566"/>
      <c r="Q43" s="566"/>
      <c r="R43" s="566"/>
      <c r="S43" s="566"/>
      <c r="T43" s="539"/>
      <c r="U43" s="566"/>
      <c r="V43" s="539">
        <f>V39+V37</f>
        <v>1869.3366785714284</v>
      </c>
      <c r="W43" s="544"/>
      <c r="X43" s="544"/>
      <c r="Y43" s="544"/>
      <c r="Z43" s="544"/>
      <c r="AA43" s="544"/>
      <c r="AB43" s="544"/>
      <c r="AC43" s="675"/>
    </row>
    <row r="44" spans="2:101" x14ac:dyDescent="0.25">
      <c r="B44" s="450" t="s">
        <v>805</v>
      </c>
      <c r="C44" s="230" t="s">
        <v>474</v>
      </c>
      <c r="D44" s="265">
        <f>'Haver Pivoted'!GO37</f>
        <v>733.6</v>
      </c>
      <c r="E44" s="224">
        <f>'Haver Pivoted'!GP37</f>
        <v>744.2</v>
      </c>
      <c r="F44" s="224">
        <f>'Haver Pivoted'!GQ37</f>
        <v>762.1</v>
      </c>
      <c r="G44" s="224">
        <f>'Haver Pivoted'!GR37</f>
        <v>772.2</v>
      </c>
      <c r="H44" s="224">
        <f>'Haver Pivoted'!GS37</f>
        <v>772.4</v>
      </c>
      <c r="I44" s="224">
        <f>'Haver Pivoted'!GT37</f>
        <v>761.7</v>
      </c>
      <c r="J44" s="224">
        <f>'Haver Pivoted'!GU37</f>
        <v>812.1</v>
      </c>
      <c r="K44" s="224">
        <f>'Haver Pivoted'!GV37</f>
        <v>850.2</v>
      </c>
      <c r="L44" s="224">
        <f>'Haver Pivoted'!GW37</f>
        <v>838.8</v>
      </c>
      <c r="M44" s="224">
        <f>'Haver Pivoted'!GX37</f>
        <v>866.1</v>
      </c>
      <c r="N44" s="224">
        <f>'Haver Pivoted'!GY37</f>
        <v>908</v>
      </c>
      <c r="O44" s="224">
        <f>'Haver Pivoted'!GZ37</f>
        <v>915.6</v>
      </c>
      <c r="P44" s="224">
        <f>'Haver Pivoted'!HA37</f>
        <v>912.9</v>
      </c>
      <c r="Q44" s="224">
        <f>'Haver Pivoted'!HB37</f>
        <v>960.5</v>
      </c>
      <c r="R44" s="224">
        <f>'Haver Pivoted'!HC37</f>
        <v>995.3</v>
      </c>
      <c r="S44" s="621">
        <f>'Haver Pivoted'!HD37</f>
        <v>1015.5</v>
      </c>
      <c r="T44" s="621">
        <f>'Haver Pivoted'!HE37</f>
        <v>1078.2</v>
      </c>
      <c r="U44" s="621">
        <f>'Haver Pivoted'!HF37</f>
        <v>1055.7</v>
      </c>
      <c r="V44" s="621">
        <f>'Haver Pivoted'!HG37</f>
        <v>1087.5</v>
      </c>
      <c r="W44" s="665"/>
      <c r="X44" s="665"/>
      <c r="Y44" s="665"/>
      <c r="Z44" s="665"/>
      <c r="AA44" s="665"/>
      <c r="AB44" s="665"/>
      <c r="AC44" s="721"/>
    </row>
    <row r="45" spans="2:101" x14ac:dyDescent="0.25">
      <c r="B45" s="538" t="s">
        <v>209</v>
      </c>
      <c r="C45" s="230"/>
      <c r="D45" s="582">
        <f>Medicaid!D27</f>
        <v>589.5</v>
      </c>
      <c r="E45" s="542">
        <f>Medicaid!E27</f>
        <v>598.70000000000005</v>
      </c>
      <c r="F45" s="542">
        <f>Medicaid!F27</f>
        <v>614.4</v>
      </c>
      <c r="G45" s="542">
        <f>Medicaid!G27</f>
        <v>622.4</v>
      </c>
      <c r="H45" s="542">
        <f>Medicaid!H27</f>
        <v>620.6</v>
      </c>
      <c r="I45" s="542">
        <f>Medicaid!I27</f>
        <v>606.4</v>
      </c>
      <c r="J45" s="542">
        <f>Medicaid!J27</f>
        <v>654.6</v>
      </c>
      <c r="K45" s="542">
        <f>Medicaid!K27</f>
        <v>690.8</v>
      </c>
      <c r="L45" s="542">
        <f>Medicaid!L27</f>
        <v>678.6</v>
      </c>
      <c r="M45" s="542">
        <f>Medicaid!M27</f>
        <v>705</v>
      </c>
      <c r="N45" s="542">
        <f>Medicaid!N27</f>
        <v>745.7</v>
      </c>
      <c r="O45" s="542">
        <f>Medicaid!O27</f>
        <v>749.2</v>
      </c>
      <c r="P45" s="542">
        <f>Medicaid!P27</f>
        <v>746.1</v>
      </c>
      <c r="Q45" s="542">
        <f>Medicaid!Q27</f>
        <v>791.4</v>
      </c>
      <c r="R45" s="542">
        <f>Medicaid!R27</f>
        <v>818.7</v>
      </c>
      <c r="S45" s="621">
        <f>Medicaid!S27</f>
        <v>819</v>
      </c>
      <c r="T45" s="542">
        <f>Medicaid!T27</f>
        <v>828.4</v>
      </c>
      <c r="U45" s="542">
        <f>Medicaid!U27</f>
        <v>871.5</v>
      </c>
      <c r="V45" s="542">
        <f>Medicaid!V27</f>
        <v>911.4</v>
      </c>
      <c r="W45" s="662">
        <f>Medicaid!W27</f>
        <v>880.6</v>
      </c>
      <c r="X45" s="662">
        <f>Medicaid!X27</f>
        <v>868.3</v>
      </c>
      <c r="Y45" s="662">
        <f>Medicaid!Y27</f>
        <v>922.3</v>
      </c>
      <c r="Z45" s="662">
        <f>Medicaid!Z27</f>
        <v>980.51517997305109</v>
      </c>
      <c r="AA45" s="662">
        <f>Medicaid!AA27</f>
        <v>1002.3120181490897</v>
      </c>
      <c r="AB45" s="662">
        <f>Medicaid!AB27</f>
        <v>1009.8052605024984</v>
      </c>
      <c r="AC45" s="708">
        <f>Medicaid!AC27</f>
        <v>1017.354522019551</v>
      </c>
    </row>
    <row r="46" spans="2:101" ht="14.85" customHeight="1" x14ac:dyDescent="0.25">
      <c r="B46" s="570" t="s">
        <v>806</v>
      </c>
      <c r="C46" s="253"/>
      <c r="D46" s="581">
        <f>D44-D45</f>
        <v>144.10000000000002</v>
      </c>
      <c r="E46" s="539">
        <f t="shared" ref="E46:O46" si="18">E44-E45</f>
        <v>145.5</v>
      </c>
      <c r="F46" s="539">
        <f t="shared" si="18"/>
        <v>147.70000000000005</v>
      </c>
      <c r="G46" s="539">
        <f t="shared" si="18"/>
        <v>149.80000000000007</v>
      </c>
      <c r="H46" s="539">
        <f t="shared" si="18"/>
        <v>151.79999999999995</v>
      </c>
      <c r="I46" s="539">
        <f t="shared" si="18"/>
        <v>155.30000000000007</v>
      </c>
      <c r="J46" s="539">
        <f t="shared" si="18"/>
        <v>157.5</v>
      </c>
      <c r="K46" s="539">
        <f t="shared" si="18"/>
        <v>159.40000000000009</v>
      </c>
      <c r="L46" s="539">
        <f t="shared" si="18"/>
        <v>160.19999999999993</v>
      </c>
      <c r="M46" s="539">
        <f t="shared" si="18"/>
        <v>161.10000000000002</v>
      </c>
      <c r="N46" s="539">
        <f t="shared" si="18"/>
        <v>162.29999999999995</v>
      </c>
      <c r="O46" s="539">
        <f t="shared" si="18"/>
        <v>166.39999999999998</v>
      </c>
      <c r="P46" s="539">
        <f>P44-P45</f>
        <v>166.79999999999995</v>
      </c>
      <c r="Q46" s="539">
        <f>Q44-Q45</f>
        <v>169.10000000000002</v>
      </c>
      <c r="R46" s="539">
        <f>R44-R45</f>
        <v>176.59999999999991</v>
      </c>
      <c r="S46" s="621">
        <f>S44-S45</f>
        <v>196.5</v>
      </c>
      <c r="T46" s="621">
        <f>T44-T45</f>
        <v>249.80000000000007</v>
      </c>
      <c r="U46" s="539">
        <f>T46*(1+AVERAGE($F$48:$I$48))+U47</f>
        <v>183.90584224202988</v>
      </c>
      <c r="V46" s="728">
        <f>U46*(1+AVERAGE($F$48:$I$48))+V47</f>
        <v>186.92861396193939</v>
      </c>
      <c r="W46" s="544">
        <f t="shared" ref="W46:AC46" si="19">V46*(1+AVERAGE($F$48:$I$48))</f>
        <v>190.00106952418523</v>
      </c>
      <c r="X46" s="544">
        <f t="shared" si="19"/>
        <v>193.12402555814535</v>
      </c>
      <c r="Y46" s="544">
        <f t="shared" si="19"/>
        <v>196.29831211574134</v>
      </c>
      <c r="Z46" s="544">
        <f t="shared" si="19"/>
        <v>199.52477289205825</v>
      </c>
      <c r="AA46" s="544">
        <f t="shared" si="19"/>
        <v>202.80426544959073</v>
      </c>
      <c r="AB46" s="544">
        <f t="shared" si="19"/>
        <v>206.137661446175</v>
      </c>
      <c r="AC46" s="675">
        <f t="shared" si="19"/>
        <v>209.52584686666717</v>
      </c>
    </row>
    <row r="47" spans="2:101" ht="14.85" customHeight="1" x14ac:dyDescent="0.25">
      <c r="B47" s="570" t="s">
        <v>1695</v>
      </c>
      <c r="C47" s="253"/>
      <c r="D47" s="581"/>
      <c r="E47" s="539"/>
      <c r="F47" s="539"/>
      <c r="G47" s="539"/>
      <c r="H47" s="539"/>
      <c r="I47" s="539"/>
      <c r="J47" s="539"/>
      <c r="K47" s="539"/>
      <c r="L47" s="539"/>
      <c r="M47" s="539"/>
      <c r="N47" s="539"/>
      <c r="O47" s="539"/>
      <c r="P47" s="539"/>
      <c r="Q47" s="539"/>
      <c r="R47" s="539"/>
      <c r="S47" s="621"/>
      <c r="T47" s="539"/>
      <c r="U47" s="539">
        <v>-70</v>
      </c>
      <c r="V47" s="539"/>
      <c r="W47" s="544"/>
      <c r="X47" s="544"/>
      <c r="Y47" s="544"/>
      <c r="Z47" s="544"/>
      <c r="AA47" s="544"/>
      <c r="AB47" s="544"/>
      <c r="AC47" s="675"/>
    </row>
    <row r="48" spans="2:101" x14ac:dyDescent="0.25">
      <c r="B48" s="702" t="s">
        <v>807</v>
      </c>
      <c r="C48" s="348"/>
      <c r="D48" s="583"/>
      <c r="E48" s="569">
        <f>E46/D46-1</f>
        <v>9.7154753643302616E-3</v>
      </c>
      <c r="F48" s="569">
        <f t="shared" ref="F48:N48" si="20">F46/E46-1</f>
        <v>1.5120274914089737E-2</v>
      </c>
      <c r="G48" s="569">
        <f t="shared" si="20"/>
        <v>1.4218009478673244E-2</v>
      </c>
      <c r="H48" s="569">
        <f t="shared" si="20"/>
        <v>1.3351134846461221E-2</v>
      </c>
      <c r="I48" s="569">
        <f t="shared" si="20"/>
        <v>2.3056653491436929E-2</v>
      </c>
      <c r="J48" s="569">
        <f t="shared" si="20"/>
        <v>1.416613007083023E-2</v>
      </c>
      <c r="K48" s="569">
        <f t="shared" si="20"/>
        <v>1.2063492063492554E-2</v>
      </c>
      <c r="L48" s="569">
        <f t="shared" si="20"/>
        <v>5.0188205771632965E-3</v>
      </c>
      <c r="M48" s="569">
        <f t="shared" si="20"/>
        <v>5.6179775280904565E-3</v>
      </c>
      <c r="N48" s="569">
        <f t="shared" si="20"/>
        <v>7.4487895716941477E-3</v>
      </c>
      <c r="O48" s="569">
        <f>O46/N46-1</f>
        <v>2.5261860751694565E-2</v>
      </c>
      <c r="P48" s="569">
        <f t="shared" ref="P48:S48" si="21">P46/O46-1</f>
        <v>2.4038461538460343E-3</v>
      </c>
      <c r="Q48" s="569">
        <f t="shared" si="21"/>
        <v>1.3788968824940406E-2</v>
      </c>
      <c r="R48" s="569">
        <f t="shared" si="21"/>
        <v>4.4352454169130029E-2</v>
      </c>
      <c r="S48" s="641">
        <f t="shared" si="21"/>
        <v>0.1126840317100799</v>
      </c>
      <c r="T48" s="541"/>
      <c r="U48" s="541"/>
      <c r="V48" s="541"/>
      <c r="W48" s="577"/>
      <c r="X48" s="577"/>
      <c r="Y48" s="577"/>
      <c r="Z48" s="577"/>
      <c r="AA48" s="577"/>
      <c r="AB48" s="577"/>
      <c r="AC48" s="674"/>
    </row>
    <row r="51" spans="2:39" x14ac:dyDescent="0.25">
      <c r="B51" s="1337"/>
      <c r="C51" s="1337"/>
      <c r="U51" s="224"/>
      <c r="V51" s="224"/>
      <c r="W51" s="224"/>
      <c r="X51" s="224"/>
      <c r="Y51" s="224"/>
      <c r="Z51" s="224"/>
      <c r="AA51" s="224"/>
      <c r="AB51" s="224"/>
      <c r="AC51" s="224"/>
    </row>
    <row r="52" spans="2:39" x14ac:dyDescent="0.25">
      <c r="B52" s="460"/>
      <c r="C52" s="230"/>
      <c r="U52" s="542"/>
      <c r="V52" s="542">
        <f>V40+V39+V34+V35+V36+V37</f>
        <v>1973.6454285714285</v>
      </c>
      <c r="W52" s="542"/>
      <c r="X52" s="542"/>
      <c r="Y52" s="542"/>
      <c r="Z52" s="542"/>
      <c r="AA52" s="542"/>
      <c r="AB52" s="542"/>
      <c r="AC52" s="542"/>
      <c r="AD52" s="507"/>
      <c r="AE52" s="507"/>
      <c r="AF52" s="507"/>
      <c r="AG52" s="507"/>
      <c r="AH52" s="507"/>
      <c r="AI52" s="507"/>
      <c r="AJ52" s="507"/>
      <c r="AK52" s="507"/>
      <c r="AL52" s="507"/>
      <c r="AM52" s="507"/>
    </row>
    <row r="53" spans="2:39" x14ac:dyDescent="0.25">
      <c r="B53" s="460"/>
      <c r="C53" s="230"/>
      <c r="U53" s="224"/>
      <c r="V53" s="224"/>
      <c r="W53" s="224"/>
      <c r="X53" s="224"/>
      <c r="Y53" s="224"/>
      <c r="Z53" s="224"/>
      <c r="AA53" s="224"/>
      <c r="AB53" s="224"/>
      <c r="AC53" s="224"/>
      <c r="AD53" s="507"/>
      <c r="AE53" s="507"/>
      <c r="AF53" s="507"/>
      <c r="AG53" s="507"/>
      <c r="AH53" s="507"/>
      <c r="AI53" s="507"/>
      <c r="AJ53" s="507"/>
      <c r="AK53" s="507"/>
      <c r="AL53" s="507"/>
      <c r="AM53" s="507"/>
    </row>
    <row r="54" spans="2:39" ht="28.5" customHeight="1" x14ac:dyDescent="0.25">
      <c r="B54" s="239"/>
      <c r="C54" s="230"/>
      <c r="U54" s="542"/>
      <c r="V54" s="542"/>
      <c r="W54" s="542"/>
      <c r="X54" s="542"/>
      <c r="Y54" s="542"/>
      <c r="Z54" s="542"/>
      <c r="AA54" s="542"/>
      <c r="AB54" s="542"/>
      <c r="AC54" s="542"/>
      <c r="AD54" s="507"/>
      <c r="AE54" s="507"/>
      <c r="AF54" s="507"/>
      <c r="AG54" s="507"/>
      <c r="AH54" s="507"/>
      <c r="AI54" s="507"/>
      <c r="AJ54" s="507"/>
      <c r="AK54" s="507"/>
      <c r="AL54" s="507"/>
      <c r="AM54" s="507"/>
    </row>
    <row r="55" spans="2:39" x14ac:dyDescent="0.25">
      <c r="B55" s="239"/>
      <c r="C55" s="230"/>
      <c r="U55" s="542"/>
      <c r="V55" s="542"/>
      <c r="W55" s="542"/>
      <c r="X55" s="542"/>
      <c r="Y55" s="542"/>
      <c r="Z55" s="542"/>
      <c r="AA55" s="542"/>
      <c r="AB55" s="542"/>
      <c r="AC55" s="542"/>
      <c r="AD55" s="507"/>
      <c r="AE55" s="507"/>
      <c r="AF55" s="507"/>
      <c r="AG55" s="507"/>
      <c r="AH55" s="507"/>
      <c r="AI55" s="507"/>
      <c r="AJ55" s="507"/>
      <c r="AK55" s="507"/>
      <c r="AL55" s="507"/>
      <c r="AM55" s="507"/>
    </row>
    <row r="56" spans="2:39" x14ac:dyDescent="0.25">
      <c r="B56" s="460"/>
      <c r="C56" s="230"/>
      <c r="U56" s="542"/>
      <c r="V56" s="542"/>
      <c r="W56" s="542"/>
      <c r="X56" s="542"/>
      <c r="Y56" s="542"/>
      <c r="Z56" s="542"/>
      <c r="AA56" s="542"/>
      <c r="AB56" s="542"/>
      <c r="AC56" s="542"/>
      <c r="AD56" s="507"/>
      <c r="AE56" s="507"/>
      <c r="AF56" s="507"/>
      <c r="AG56" s="507"/>
      <c r="AH56" s="507"/>
      <c r="AI56" s="507"/>
      <c r="AJ56" s="507"/>
      <c r="AK56" s="507"/>
      <c r="AL56" s="507"/>
      <c r="AM56" s="507"/>
    </row>
    <row r="57" spans="2:39" x14ac:dyDescent="0.25">
      <c r="B57" s="245"/>
      <c r="C57" s="253"/>
      <c r="U57" s="539"/>
      <c r="V57" s="539"/>
      <c r="W57" s="539"/>
      <c r="X57" s="539"/>
      <c r="Y57" s="539"/>
      <c r="Z57" s="539"/>
      <c r="AA57" s="539"/>
      <c r="AB57" s="539"/>
      <c r="AC57" s="539"/>
      <c r="AD57" s="507"/>
      <c r="AE57" s="507"/>
      <c r="AF57" s="507"/>
      <c r="AG57" s="507"/>
      <c r="AH57" s="507"/>
      <c r="AI57" s="507"/>
      <c r="AJ57" s="507"/>
      <c r="AK57" s="507"/>
      <c r="AL57" s="507"/>
      <c r="AM57" s="507"/>
    </row>
    <row r="58" spans="2:39" x14ac:dyDescent="0.25">
      <c r="B58" s="239"/>
      <c r="C58" s="666"/>
      <c r="U58" s="542"/>
      <c r="V58" s="542"/>
      <c r="W58" s="542"/>
      <c r="X58" s="542"/>
      <c r="Y58" s="542"/>
      <c r="Z58" s="542"/>
      <c r="AA58" s="542"/>
      <c r="AB58" s="542"/>
      <c r="AC58" s="542"/>
      <c r="AD58" s="507"/>
      <c r="AE58" s="507"/>
      <c r="AF58" s="507"/>
      <c r="AG58" s="507"/>
      <c r="AH58" s="507"/>
      <c r="AI58" s="507"/>
      <c r="AJ58" s="507"/>
      <c r="AK58" s="507"/>
      <c r="AL58" s="507"/>
      <c r="AM58" s="507"/>
    </row>
    <row r="59" spans="2:39" x14ac:dyDescent="0.25">
      <c r="B59" s="239"/>
      <c r="C59" s="666"/>
      <c r="U59" s="220"/>
      <c r="V59" s="220"/>
      <c r="W59" s="220"/>
      <c r="X59" s="220"/>
      <c r="Y59" s="220"/>
      <c r="Z59" s="220"/>
      <c r="AA59" s="220"/>
      <c r="AB59" s="220"/>
      <c r="AC59" s="220"/>
      <c r="AD59" s="507"/>
      <c r="AE59" s="507"/>
      <c r="AF59" s="507"/>
      <c r="AG59" s="507"/>
      <c r="AH59" s="507"/>
      <c r="AI59" s="507"/>
      <c r="AJ59" s="507"/>
      <c r="AK59" s="507"/>
      <c r="AL59" s="507"/>
      <c r="AM59" s="507"/>
    </row>
    <row r="60" spans="2:39" x14ac:dyDescent="0.25">
      <c r="B60" s="239"/>
      <c r="C60" s="230"/>
      <c r="U60" s="542"/>
      <c r="V60" s="542"/>
      <c r="W60" s="542"/>
      <c r="X60" s="542"/>
      <c r="Y60" s="542"/>
      <c r="Z60" s="542"/>
      <c r="AA60" s="542"/>
      <c r="AB60" s="542"/>
      <c r="AC60" s="542"/>
      <c r="AD60" s="507"/>
      <c r="AE60" s="507"/>
      <c r="AF60" s="507"/>
      <c r="AG60" s="507"/>
      <c r="AH60" s="507"/>
      <c r="AI60" s="507"/>
      <c r="AJ60" s="507"/>
      <c r="AK60" s="507"/>
      <c r="AL60" s="507"/>
      <c r="AM60" s="507"/>
    </row>
    <row r="61" spans="2:39" x14ac:dyDescent="0.25">
      <c r="B61" s="239"/>
      <c r="C61" s="230"/>
      <c r="U61" s="542"/>
      <c r="V61" s="542"/>
      <c r="W61" s="542"/>
      <c r="X61" s="542"/>
      <c r="Y61" s="542"/>
      <c r="Z61" s="542"/>
      <c r="AA61" s="542"/>
      <c r="AB61" s="542"/>
      <c r="AC61" s="542"/>
      <c r="AD61" s="507"/>
      <c r="AE61" s="507"/>
      <c r="AF61" s="507"/>
      <c r="AG61" s="507"/>
      <c r="AH61" s="507"/>
      <c r="AI61" s="507"/>
      <c r="AJ61" s="507"/>
      <c r="AK61" s="507"/>
      <c r="AL61" s="507"/>
      <c r="AM61" s="507"/>
    </row>
    <row r="62" spans="2:39" x14ac:dyDescent="0.25">
      <c r="B62" s="239"/>
      <c r="C62" s="230"/>
      <c r="U62" s="542"/>
      <c r="V62" s="542"/>
      <c r="W62" s="542"/>
      <c r="X62" s="542"/>
      <c r="Y62" s="542"/>
      <c r="Z62" s="542"/>
      <c r="AA62" s="542"/>
      <c r="AB62" s="542"/>
      <c r="AC62" s="542"/>
      <c r="AD62" s="507"/>
      <c r="AE62" s="507"/>
      <c r="AF62" s="507"/>
      <c r="AG62" s="507"/>
      <c r="AH62" s="507"/>
      <c r="AI62" s="507"/>
      <c r="AJ62" s="507"/>
      <c r="AK62" s="507"/>
      <c r="AL62" s="507"/>
      <c r="AM62" s="507"/>
    </row>
    <row r="63" spans="2:39" x14ac:dyDescent="0.25">
      <c r="B63" s="460"/>
      <c r="C63" s="230"/>
      <c r="U63" s="542"/>
      <c r="V63" s="542"/>
      <c r="W63" s="542"/>
      <c r="X63" s="542"/>
      <c r="Y63" s="542"/>
      <c r="Z63" s="542"/>
      <c r="AA63" s="542"/>
      <c r="AB63" s="542"/>
      <c r="AC63" s="542"/>
      <c r="AD63" s="507"/>
      <c r="AE63" s="507"/>
      <c r="AF63" s="507"/>
      <c r="AG63" s="507"/>
      <c r="AH63" s="507"/>
      <c r="AI63" s="507"/>
      <c r="AJ63" s="507"/>
      <c r="AK63" s="507"/>
      <c r="AL63" s="507"/>
      <c r="AM63" s="507"/>
    </row>
    <row r="64" spans="2:39" x14ac:dyDescent="0.25">
      <c r="B64" s="245"/>
      <c r="C64" s="253"/>
      <c r="U64" s="622"/>
      <c r="V64" s="622"/>
      <c r="W64" s="622"/>
      <c r="X64" s="622"/>
      <c r="Y64" s="622"/>
      <c r="Z64" s="622"/>
      <c r="AA64" s="622"/>
      <c r="AB64" s="622"/>
      <c r="AC64" s="622"/>
      <c r="AD64" s="507"/>
      <c r="AE64" s="507"/>
      <c r="AF64" s="507"/>
      <c r="AG64" s="507"/>
      <c r="AH64" s="507"/>
      <c r="AI64" s="507"/>
      <c r="AJ64" s="507"/>
      <c r="AK64" s="507"/>
      <c r="AL64" s="507"/>
      <c r="AM64" s="507"/>
    </row>
    <row r="65" spans="2:39" ht="28.5" customHeight="1" x14ac:dyDescent="0.25">
      <c r="B65" s="239"/>
      <c r="C65" s="230"/>
      <c r="U65" s="542"/>
      <c r="V65" s="542"/>
      <c r="W65" s="542"/>
      <c r="X65" s="542"/>
      <c r="Y65" s="542"/>
      <c r="Z65" s="542"/>
      <c r="AA65" s="542"/>
      <c r="AB65" s="542"/>
      <c r="AC65" s="542"/>
      <c r="AD65" s="507"/>
      <c r="AE65" s="507"/>
      <c r="AF65" s="507"/>
      <c r="AG65" s="507"/>
      <c r="AH65" s="507"/>
      <c r="AI65" s="507"/>
      <c r="AJ65" s="507"/>
      <c r="AK65" s="507"/>
      <c r="AL65" s="507"/>
      <c r="AM65" s="507"/>
    </row>
    <row r="66" spans="2:39" x14ac:dyDescent="0.25">
      <c r="B66" s="369"/>
      <c r="C66" s="35"/>
      <c r="U66" s="652"/>
      <c r="V66" s="652"/>
      <c r="W66" s="652"/>
      <c r="X66" s="652"/>
      <c r="Y66" s="652"/>
      <c r="Z66" s="652"/>
      <c r="AA66" s="652"/>
      <c r="AB66" s="652"/>
      <c r="AC66" s="652"/>
      <c r="AD66" s="507"/>
      <c r="AE66" s="507"/>
      <c r="AF66" s="507"/>
      <c r="AG66" s="507"/>
      <c r="AH66" s="507"/>
      <c r="AI66" s="507"/>
      <c r="AJ66" s="507"/>
      <c r="AK66" s="507"/>
      <c r="AL66" s="507"/>
      <c r="AM66" s="507"/>
    </row>
    <row r="67" spans="2:39" x14ac:dyDescent="0.25">
      <c r="B67" s="253"/>
      <c r="C67" s="253"/>
      <c r="U67" s="539"/>
      <c r="V67" s="539"/>
      <c r="W67" s="539"/>
      <c r="X67" s="539"/>
      <c r="Y67" s="539"/>
      <c r="Z67" s="539"/>
      <c r="AA67" s="539"/>
      <c r="AB67" s="539"/>
      <c r="AC67" s="539"/>
      <c r="AD67" s="507"/>
      <c r="AE67" s="507"/>
      <c r="AF67" s="507"/>
      <c r="AG67" s="507"/>
      <c r="AH67" s="507"/>
      <c r="AI67" s="507"/>
      <c r="AJ67" s="507"/>
      <c r="AK67" s="507"/>
      <c r="AL67" s="507"/>
      <c r="AM67" s="507"/>
    </row>
    <row r="68" spans="2:39" x14ac:dyDescent="0.25">
      <c r="B68" s="1337"/>
      <c r="C68" s="1337"/>
      <c r="U68" s="539"/>
      <c r="V68" s="539"/>
      <c r="W68" s="539"/>
      <c r="X68" s="539"/>
      <c r="Y68" s="539"/>
      <c r="Z68" s="539"/>
      <c r="AA68" s="539"/>
      <c r="AB68" s="539"/>
      <c r="AC68" s="539"/>
      <c r="AD68" s="507"/>
      <c r="AE68" s="507"/>
      <c r="AF68" s="507"/>
      <c r="AG68" s="507"/>
      <c r="AH68" s="507"/>
      <c r="AI68" s="507"/>
      <c r="AJ68" s="507"/>
      <c r="AK68" s="507"/>
      <c r="AL68" s="507"/>
      <c r="AM68" s="507"/>
    </row>
    <row r="69" spans="2:39" x14ac:dyDescent="0.25">
      <c r="B69" s="460"/>
      <c r="C69" s="230"/>
      <c r="U69" s="230"/>
      <c r="V69" s="230"/>
      <c r="W69" s="230"/>
      <c r="X69" s="230"/>
      <c r="Y69" s="230"/>
      <c r="Z69" s="230"/>
      <c r="AA69" s="230"/>
      <c r="AB69" s="230"/>
      <c r="AC69" s="230"/>
      <c r="AD69" s="507"/>
      <c r="AE69" s="507"/>
      <c r="AF69" s="507"/>
      <c r="AG69" s="507"/>
      <c r="AH69" s="507"/>
      <c r="AI69" s="507"/>
      <c r="AJ69" s="507"/>
      <c r="AK69" s="507"/>
      <c r="AL69" s="507"/>
      <c r="AM69" s="507"/>
    </row>
    <row r="70" spans="2:39" x14ac:dyDescent="0.25">
      <c r="B70" s="230"/>
      <c r="C70" s="230"/>
      <c r="U70" s="542"/>
      <c r="V70" s="542"/>
      <c r="W70" s="542"/>
      <c r="X70" s="542"/>
      <c r="Y70" s="542"/>
      <c r="Z70" s="542"/>
      <c r="AA70" s="542"/>
      <c r="AB70" s="542"/>
      <c r="AC70" s="542"/>
      <c r="AD70" s="507"/>
      <c r="AE70" s="507"/>
      <c r="AF70" s="507"/>
      <c r="AG70" s="507"/>
      <c r="AH70" s="507"/>
      <c r="AI70" s="507"/>
      <c r="AJ70" s="507"/>
      <c r="AK70" s="507"/>
      <c r="AL70" s="507"/>
      <c r="AM70" s="507"/>
    </row>
    <row r="71" spans="2:39" x14ac:dyDescent="0.25">
      <c r="B71" s="253"/>
      <c r="C71" s="253"/>
      <c r="U71" s="539"/>
      <c r="V71" s="539"/>
      <c r="W71" s="539"/>
      <c r="X71" s="539"/>
      <c r="Y71" s="539"/>
      <c r="Z71" s="539"/>
      <c r="AA71" s="539"/>
      <c r="AB71" s="539"/>
      <c r="AC71" s="539"/>
      <c r="AD71" s="507"/>
      <c r="AE71" s="507"/>
      <c r="AF71" s="507"/>
      <c r="AG71" s="507"/>
      <c r="AH71" s="507"/>
      <c r="AI71" s="507"/>
      <c r="AJ71" s="507"/>
      <c r="AK71" s="507"/>
      <c r="AL71" s="507"/>
      <c r="AM71" s="507"/>
    </row>
    <row r="72" spans="2:39" x14ac:dyDescent="0.25">
      <c r="B72" s="253"/>
      <c r="C72" s="253"/>
      <c r="U72" s="539"/>
      <c r="V72" s="539"/>
      <c r="W72" s="539"/>
      <c r="X72" s="539"/>
      <c r="Y72" s="539"/>
      <c r="Z72" s="539"/>
      <c r="AA72" s="539"/>
      <c r="AB72" s="539"/>
      <c r="AC72" s="539"/>
      <c r="AD72" s="507"/>
      <c r="AE72" s="507"/>
      <c r="AF72" s="507"/>
      <c r="AG72" s="507"/>
      <c r="AH72" s="507"/>
      <c r="AI72" s="507"/>
      <c r="AJ72" s="507"/>
      <c r="AK72" s="507"/>
      <c r="AL72" s="507"/>
      <c r="AM72" s="507"/>
    </row>
    <row r="73" spans="2:39" x14ac:dyDescent="0.25">
      <c r="B73" s="667"/>
      <c r="C73" s="230"/>
      <c r="U73" s="542"/>
      <c r="V73" s="542"/>
      <c r="W73" s="542"/>
      <c r="X73" s="542"/>
      <c r="Y73" s="542"/>
      <c r="Z73" s="542"/>
      <c r="AA73" s="542"/>
      <c r="AB73" s="542"/>
      <c r="AC73" s="542"/>
      <c r="AD73" s="507"/>
      <c r="AE73" s="507"/>
      <c r="AF73" s="507"/>
      <c r="AG73" s="507"/>
      <c r="AH73" s="507"/>
      <c r="AI73" s="507"/>
      <c r="AJ73" s="507"/>
      <c r="AK73" s="507"/>
      <c r="AL73" s="507"/>
      <c r="AM73" s="507"/>
    </row>
    <row r="75" spans="2:39" x14ac:dyDescent="0.25">
      <c r="U75" s="1386"/>
      <c r="V75" s="1386"/>
      <c r="W75" s="1386"/>
      <c r="X75" s="1386"/>
    </row>
    <row r="76" spans="2:39" x14ac:dyDescent="0.25">
      <c r="U76" s="1386"/>
      <c r="V76" s="1386"/>
      <c r="W76" s="1386"/>
      <c r="X76" s="1386"/>
    </row>
    <row r="77" spans="2:39" x14ac:dyDescent="0.25">
      <c r="U77" s="1386"/>
      <c r="V77" s="1386"/>
      <c r="W77" s="1386"/>
      <c r="X77" s="1386"/>
    </row>
    <row r="79" spans="2:39" x14ac:dyDescent="0.25">
      <c r="P79" s="474"/>
      <c r="Q79" s="474"/>
    </row>
    <row r="80" spans="2:39" x14ac:dyDescent="0.25">
      <c r="B80" s="504" t="s">
        <v>352</v>
      </c>
      <c r="D80" s="542"/>
      <c r="E80" s="542"/>
      <c r="F80" s="542"/>
      <c r="G80" s="542"/>
      <c r="H80" s="542"/>
      <c r="I80" s="542"/>
      <c r="J80" s="542"/>
      <c r="K80" s="542"/>
      <c r="L80" s="542"/>
      <c r="M80" s="542"/>
      <c r="N80" s="542"/>
      <c r="O80" s="542"/>
      <c r="P80" s="542"/>
      <c r="Q80" s="542"/>
      <c r="R80" s="542"/>
      <c r="S80" s="542"/>
      <c r="T80" s="542"/>
      <c r="U80" s="542"/>
      <c r="V80" s="542"/>
      <c r="W80" s="542"/>
      <c r="X80" s="542"/>
      <c r="Y80" s="542"/>
      <c r="Z80" s="542"/>
      <c r="AA80" s="542"/>
      <c r="AB80" s="542"/>
      <c r="AC80" s="542"/>
    </row>
    <row r="81" spans="2:33" ht="45.75" customHeight="1" x14ac:dyDescent="0.25">
      <c r="B81" s="1389" t="s">
        <v>477</v>
      </c>
      <c r="C81" s="1389"/>
      <c r="D81" s="1389"/>
      <c r="E81" s="1389"/>
      <c r="F81" s="1389"/>
      <c r="G81" s="1389"/>
      <c r="H81" s="1389"/>
      <c r="I81" s="1389"/>
      <c r="J81" s="1389"/>
      <c r="K81" s="1389"/>
      <c r="L81" s="1389"/>
      <c r="M81" s="1389"/>
      <c r="N81" s="1389"/>
      <c r="O81" s="1389"/>
      <c r="P81" s="1389"/>
      <c r="Q81" s="1389"/>
      <c r="R81" s="1389"/>
      <c r="S81" s="1389"/>
      <c r="T81" s="1389"/>
      <c r="U81" s="1389"/>
      <c r="V81" s="1389"/>
      <c r="W81" s="1389"/>
      <c r="X81" s="1389"/>
      <c r="Y81" s="1389"/>
      <c r="Z81" s="1389"/>
      <c r="AA81" s="1389"/>
      <c r="AB81" s="1389"/>
      <c r="AC81" s="1389"/>
    </row>
    <row r="82" spans="2:33" ht="14.85" customHeight="1" x14ac:dyDescent="0.25">
      <c r="B82" s="1295" t="s">
        <v>478</v>
      </c>
      <c r="C82" s="1296"/>
      <c r="D82" s="1359" t="s">
        <v>280</v>
      </c>
      <c r="E82" s="1360"/>
      <c r="F82" s="1360"/>
      <c r="G82" s="1360"/>
      <c r="H82" s="1360"/>
      <c r="I82" s="1360"/>
      <c r="J82" s="1360"/>
      <c r="K82" s="1360"/>
      <c r="L82" s="1360"/>
      <c r="M82" s="1360"/>
      <c r="N82" s="1360"/>
      <c r="O82" s="1360"/>
      <c r="P82" s="1360"/>
      <c r="Q82" s="1360"/>
      <c r="R82" s="1360"/>
      <c r="S82" s="1360"/>
      <c r="T82" s="1360"/>
      <c r="U82" s="1360"/>
      <c r="V82" s="1384"/>
      <c r="W82" s="1340" t="s">
        <v>281</v>
      </c>
      <c r="X82" s="1330"/>
      <c r="Y82" s="1330"/>
      <c r="Z82" s="1330"/>
      <c r="AA82" s="1330"/>
      <c r="AB82" s="1330"/>
      <c r="AC82" s="1330"/>
      <c r="AD82" s="1330"/>
      <c r="AE82" s="1330"/>
      <c r="AF82" s="1330"/>
      <c r="AG82" s="1330"/>
    </row>
    <row r="83" spans="2:33" x14ac:dyDescent="0.25">
      <c r="B83" s="1295"/>
      <c r="C83" s="1296"/>
      <c r="D83" s="209">
        <v>2018</v>
      </c>
      <c r="E83" s="1302">
        <v>2019</v>
      </c>
      <c r="F83" s="1303"/>
      <c r="G83" s="1303"/>
      <c r="H83" s="1304"/>
      <c r="I83" s="1302">
        <v>2020</v>
      </c>
      <c r="J83" s="1303"/>
      <c r="K83" s="1303"/>
      <c r="L83" s="1303"/>
      <c r="M83" s="1302">
        <v>2021</v>
      </c>
      <c r="N83" s="1303"/>
      <c r="O83" s="1303"/>
      <c r="P83" s="1303"/>
      <c r="Q83" s="1302">
        <v>2022</v>
      </c>
      <c r="R83" s="1325"/>
      <c r="S83" s="1325"/>
      <c r="T83" s="1304"/>
      <c r="U83" s="278"/>
      <c r="V83" s="547">
        <v>2023</v>
      </c>
      <c r="W83" s="543"/>
      <c r="X83" s="250"/>
      <c r="Y83" s="1299">
        <v>2024</v>
      </c>
      <c r="Z83" s="1312"/>
      <c r="AA83" s="1312"/>
      <c r="AB83" s="1301"/>
      <c r="AC83" s="1299">
        <v>2025</v>
      </c>
      <c r="AD83" s="1312"/>
      <c r="AE83" s="1312"/>
      <c r="AF83" s="1301"/>
      <c r="AG83" s="493">
        <v>2026</v>
      </c>
    </row>
    <row r="84" spans="2:33" x14ac:dyDescent="0.25">
      <c r="B84" s="1297"/>
      <c r="C84" s="1298"/>
      <c r="D84" s="204" t="s">
        <v>282</v>
      </c>
      <c r="E84" s="204" t="s">
        <v>283</v>
      </c>
      <c r="F84" s="205" t="s">
        <v>284</v>
      </c>
      <c r="G84" s="205" t="s">
        <v>238</v>
      </c>
      <c r="H84" s="206" t="s">
        <v>282</v>
      </c>
      <c r="I84" s="205" t="s">
        <v>283</v>
      </c>
      <c r="J84" s="205" t="s">
        <v>284</v>
      </c>
      <c r="K84" s="205" t="s">
        <v>238</v>
      </c>
      <c r="L84" s="205" t="s">
        <v>282</v>
      </c>
      <c r="M84" s="204" t="s">
        <v>283</v>
      </c>
      <c r="N84" s="205" t="s">
        <v>284</v>
      </c>
      <c r="O84" s="205" t="s">
        <v>238</v>
      </c>
      <c r="P84" s="205" t="s">
        <v>282</v>
      </c>
      <c r="Q84" s="204" t="s">
        <v>283</v>
      </c>
      <c r="R84" s="205" t="s">
        <v>284</v>
      </c>
      <c r="S84" s="205" t="s">
        <v>238</v>
      </c>
      <c r="T84" s="206" t="s">
        <v>282</v>
      </c>
      <c r="U84" s="205" t="s">
        <v>283</v>
      </c>
      <c r="V84" s="276" t="s">
        <v>284</v>
      </c>
      <c r="W84" s="260" t="s">
        <v>238</v>
      </c>
      <c r="X84" s="261" t="s">
        <v>282</v>
      </c>
      <c r="Y84" s="259" t="s">
        <v>283</v>
      </c>
      <c r="Z84" s="257" t="s">
        <v>284</v>
      </c>
      <c r="AA84" s="260" t="s">
        <v>238</v>
      </c>
      <c r="AB84" s="260" t="s">
        <v>282</v>
      </c>
      <c r="AC84" s="259" t="s">
        <v>283</v>
      </c>
      <c r="AD84" s="257" t="s">
        <v>284</v>
      </c>
      <c r="AE84" s="260" t="s">
        <v>238</v>
      </c>
      <c r="AF84" s="260" t="s">
        <v>282</v>
      </c>
      <c r="AG84" s="259" t="s">
        <v>283</v>
      </c>
    </row>
    <row r="85" spans="2:33" x14ac:dyDescent="0.25">
      <c r="B85" s="538" t="s">
        <v>1434</v>
      </c>
      <c r="D85" s="243"/>
      <c r="E85" s="298"/>
      <c r="F85" s="298"/>
      <c r="G85" s="298"/>
      <c r="H85" s="298"/>
      <c r="I85" s="562">
        <f>(I86-AVERAGE($E86:$H86))</f>
        <v>6.6417500000000018</v>
      </c>
      <c r="J85" s="562">
        <f t="shared" ref="J85:U85" si="22">(J86-AVERAGE($E86:$H86))</f>
        <v>51.388749999999995</v>
      </c>
      <c r="K85" s="562">
        <f t="shared" si="22"/>
        <v>55.337750000000007</v>
      </c>
      <c r="L85" s="562">
        <f t="shared" si="22"/>
        <v>62.597749999999998</v>
      </c>
      <c r="M85" s="562">
        <f t="shared" si="22"/>
        <v>88.07774999999998</v>
      </c>
      <c r="N85" s="562">
        <f t="shared" si="22"/>
        <v>102.89075</v>
      </c>
      <c r="O85" s="562">
        <f t="shared" si="22"/>
        <v>94.404750000000007</v>
      </c>
      <c r="P85" s="562">
        <f t="shared" si="22"/>
        <v>91.919749999999993</v>
      </c>
      <c r="Q85" s="562">
        <f t="shared" si="22"/>
        <v>80.097749999999991</v>
      </c>
      <c r="R85" s="562">
        <f t="shared" si="22"/>
        <v>69.023750000000007</v>
      </c>
      <c r="S85" s="563">
        <f t="shared" si="22"/>
        <v>61.349750000000007</v>
      </c>
      <c r="T85" s="550">
        <f t="shared" si="22"/>
        <v>81.433750000000003</v>
      </c>
      <c r="U85" s="563">
        <f t="shared" si="22"/>
        <v>75.465749999999986</v>
      </c>
      <c r="V85" s="563">
        <f>(V86-AVERAGE($E86:$H86))</f>
        <v>48.418749999999996</v>
      </c>
      <c r="W85" s="711">
        <f>V85</f>
        <v>48.418749999999996</v>
      </c>
      <c r="X85" s="711">
        <f t="shared" ref="X85:AG85" si="23">W85</f>
        <v>48.418749999999996</v>
      </c>
      <c r="Y85" s="711">
        <f t="shared" si="23"/>
        <v>48.418749999999996</v>
      </c>
      <c r="Z85" s="711">
        <f t="shared" si="23"/>
        <v>48.418749999999996</v>
      </c>
      <c r="AA85" s="711">
        <f t="shared" si="23"/>
        <v>48.418749999999996</v>
      </c>
      <c r="AB85" s="711">
        <f t="shared" si="23"/>
        <v>48.418749999999996</v>
      </c>
      <c r="AC85" s="672">
        <f t="shared" si="23"/>
        <v>48.418749999999996</v>
      </c>
      <c r="AD85" s="711">
        <f t="shared" si="23"/>
        <v>48.418749999999996</v>
      </c>
      <c r="AE85" s="711">
        <f t="shared" si="23"/>
        <v>48.418749999999996</v>
      </c>
      <c r="AF85" s="711">
        <f t="shared" si="23"/>
        <v>48.418749999999996</v>
      </c>
      <c r="AG85" s="711">
        <f t="shared" si="23"/>
        <v>48.418749999999996</v>
      </c>
    </row>
    <row r="86" spans="2:33" x14ac:dyDescent="0.25">
      <c r="B86" s="538" t="s">
        <v>160</v>
      </c>
      <c r="C86" s="230" t="s">
        <v>479</v>
      </c>
      <c r="D86" s="265">
        <f>'Haver Pivoted'!GO66</f>
        <v>57.017000000000003</v>
      </c>
      <c r="E86" s="224">
        <f>'Haver Pivoted'!GP66</f>
        <v>55.847999999999999</v>
      </c>
      <c r="F86" s="224">
        <f>'Haver Pivoted'!GQ66</f>
        <v>54.531999999999996</v>
      </c>
      <c r="G86" s="224">
        <f>'Haver Pivoted'!GR66</f>
        <v>54.451999999999998</v>
      </c>
      <c r="H86" s="224">
        <f>'Haver Pivoted'!GS66</f>
        <v>54.012999999999998</v>
      </c>
      <c r="I86" s="224">
        <f>'Haver Pivoted'!GT66</f>
        <v>61.353000000000002</v>
      </c>
      <c r="J86" s="224">
        <f>'Haver Pivoted'!GU66</f>
        <v>106.1</v>
      </c>
      <c r="K86" s="224">
        <f>'Haver Pivoted'!GV66</f>
        <v>110.04900000000001</v>
      </c>
      <c r="L86" s="224">
        <f>'Haver Pivoted'!GW66</f>
        <v>117.309</v>
      </c>
      <c r="M86" s="224">
        <f>'Haver Pivoted'!GX66</f>
        <v>142.78899999999999</v>
      </c>
      <c r="N86" s="224">
        <f>'Haver Pivoted'!GY66</f>
        <v>157.602</v>
      </c>
      <c r="O86" s="224">
        <f>'Haver Pivoted'!GZ66</f>
        <v>149.11600000000001</v>
      </c>
      <c r="P86" s="224">
        <f>'Haver Pivoted'!HA66</f>
        <v>146.631</v>
      </c>
      <c r="Q86" s="224">
        <f>'Haver Pivoted'!HB66</f>
        <v>134.809</v>
      </c>
      <c r="R86" s="224">
        <f>'Haver Pivoted'!HC66</f>
        <v>123.735</v>
      </c>
      <c r="S86" s="205">
        <f>'Haver Pivoted'!HD66</f>
        <v>116.06100000000001</v>
      </c>
      <c r="T86" s="205">
        <f>'Haver Pivoted'!HE66</f>
        <v>136.14500000000001</v>
      </c>
      <c r="U86" s="205">
        <f>'Haver Pivoted'!HF66</f>
        <v>130.17699999999999</v>
      </c>
      <c r="V86" s="205">
        <f>'Haver Pivoted'!HG66</f>
        <v>103.13</v>
      </c>
      <c r="W86" s="316"/>
      <c r="X86" s="316"/>
      <c r="Y86" s="316"/>
      <c r="Z86" s="316"/>
      <c r="AA86" s="316"/>
      <c r="AB86" s="316"/>
      <c r="AC86" s="316"/>
      <c r="AD86" s="495"/>
      <c r="AE86" s="495"/>
      <c r="AF86" s="495"/>
      <c r="AG86" s="495"/>
    </row>
    <row r="87" spans="2:33" ht="29.1" customHeight="1" x14ac:dyDescent="0.25">
      <c r="B87" s="347" t="s">
        <v>480</v>
      </c>
      <c r="C87" s="348"/>
      <c r="D87" s="706"/>
      <c r="E87" s="553"/>
      <c r="F87" s="553"/>
      <c r="G87" s="553"/>
      <c r="H87" s="553"/>
      <c r="I87" s="553"/>
      <c r="J87" s="553">
        <f t="shared" ref="J87:V87" si="24">J86-$H86</f>
        <v>52.086999999999996</v>
      </c>
      <c r="K87" s="553">
        <f t="shared" si="24"/>
        <v>56.036000000000008</v>
      </c>
      <c r="L87" s="553">
        <f t="shared" si="24"/>
        <v>63.295999999999999</v>
      </c>
      <c r="M87" s="553">
        <f t="shared" si="24"/>
        <v>88.775999999999982</v>
      </c>
      <c r="N87" s="553">
        <f>N86-$H86</f>
        <v>103.589</v>
      </c>
      <c r="O87" s="553">
        <f>O86-$H86</f>
        <v>95.103000000000009</v>
      </c>
      <c r="P87" s="553">
        <f t="shared" si="24"/>
        <v>92.617999999999995</v>
      </c>
      <c r="Q87" s="553">
        <f t="shared" si="24"/>
        <v>80.795999999999992</v>
      </c>
      <c r="R87" s="553">
        <f t="shared" si="24"/>
        <v>69.722000000000008</v>
      </c>
      <c r="S87" s="276">
        <f t="shared" si="24"/>
        <v>62.048000000000009</v>
      </c>
      <c r="T87" s="276">
        <f t="shared" si="24"/>
        <v>82.132000000000005</v>
      </c>
      <c r="U87" s="276">
        <f t="shared" si="24"/>
        <v>76.163999999999987</v>
      </c>
      <c r="V87" s="276">
        <f t="shared" si="24"/>
        <v>49.116999999999997</v>
      </c>
      <c r="W87" s="260"/>
      <c r="X87" s="260"/>
      <c r="Y87" s="260"/>
      <c r="Z87" s="260"/>
      <c r="AA87" s="260"/>
      <c r="AB87" s="260"/>
      <c r="AC87" s="260"/>
      <c r="AD87" s="495"/>
      <c r="AE87" s="495"/>
      <c r="AF87" s="495"/>
      <c r="AG87" s="495"/>
    </row>
    <row r="88" spans="2:33" ht="29.1" customHeight="1" x14ac:dyDescent="0.25">
      <c r="B88" s="230"/>
      <c r="C88" s="230"/>
      <c r="D88" s="224"/>
      <c r="E88" s="224"/>
      <c r="F88" s="224"/>
      <c r="G88" s="224"/>
      <c r="H88" s="224"/>
      <c r="I88" s="224"/>
      <c r="J88" s="224"/>
      <c r="K88" s="224"/>
      <c r="L88" s="224"/>
      <c r="M88" s="224"/>
      <c r="N88" s="224"/>
      <c r="O88" s="224"/>
      <c r="P88" s="224"/>
      <c r="Q88" s="224"/>
      <c r="R88" s="224"/>
      <c r="S88" s="224"/>
      <c r="T88" s="224"/>
      <c r="U88" s="224"/>
      <c r="V88" s="224"/>
      <c r="W88" s="224"/>
      <c r="X88" s="224"/>
      <c r="Y88" s="224"/>
      <c r="Z88" s="224"/>
      <c r="AA88" s="224"/>
      <c r="AB88" s="224"/>
      <c r="AC88" s="224"/>
    </row>
    <row r="89" spans="2:33" ht="29.1" customHeight="1" x14ac:dyDescent="0.25">
      <c r="B89" s="230"/>
      <c r="C89" s="230"/>
      <c r="D89" s="224"/>
      <c r="E89" s="224"/>
      <c r="F89" s="224"/>
      <c r="G89" s="224"/>
      <c r="H89" s="224"/>
      <c r="I89" s="224"/>
      <c r="J89" s="224"/>
      <c r="K89" s="224"/>
      <c r="L89" s="224"/>
      <c r="M89" s="224"/>
      <c r="N89" s="224"/>
      <c r="O89" s="224"/>
      <c r="P89" s="224"/>
      <c r="Q89" s="224"/>
      <c r="R89" s="224"/>
      <c r="S89" s="224"/>
      <c r="T89" s="224"/>
      <c r="U89" s="224"/>
      <c r="V89" s="224"/>
      <c r="W89" s="224"/>
      <c r="X89" s="224"/>
      <c r="Y89" s="224"/>
      <c r="Z89" s="224"/>
      <c r="AA89" s="224"/>
      <c r="AB89" s="224"/>
      <c r="AC89" s="224"/>
    </row>
    <row r="90" spans="2:33" ht="29.1" customHeight="1" x14ac:dyDescent="0.25">
      <c r="B90" s="230"/>
      <c r="C90" s="230"/>
      <c r="D90" s="224"/>
      <c r="E90" s="224"/>
      <c r="F90" s="224"/>
      <c r="G90" s="224"/>
      <c r="H90" s="224"/>
      <c r="I90" s="224"/>
      <c r="J90" s="224"/>
      <c r="K90" s="224"/>
      <c r="L90" s="224"/>
      <c r="M90" s="224"/>
      <c r="N90" s="224"/>
      <c r="O90" s="224"/>
      <c r="P90" s="224"/>
      <c r="Q90" s="224"/>
      <c r="R90" s="224"/>
      <c r="S90" s="224"/>
      <c r="T90" s="224"/>
      <c r="U90" s="224"/>
      <c r="V90" s="224"/>
      <c r="W90" s="224"/>
      <c r="X90" s="224"/>
      <c r="Y90" s="224"/>
      <c r="Z90" s="224"/>
      <c r="AA90" s="224"/>
      <c r="AB90" s="224"/>
      <c r="AC90" s="224"/>
    </row>
    <row r="91" spans="2:33" ht="35.85" customHeight="1" x14ac:dyDescent="0.25"/>
    <row r="92" spans="2:33" x14ac:dyDescent="0.25">
      <c r="B92" s="504" t="s">
        <v>365</v>
      </c>
    </row>
    <row r="93" spans="2:33" x14ac:dyDescent="0.25">
      <c r="B93" s="1390" t="s">
        <v>804</v>
      </c>
      <c r="C93" s="1391"/>
      <c r="D93" s="1297" t="s">
        <v>280</v>
      </c>
      <c r="E93" s="1310"/>
      <c r="F93" s="1310"/>
      <c r="G93" s="1310"/>
      <c r="H93" s="1310"/>
      <c r="I93" s="1310"/>
      <c r="J93" s="1310"/>
      <c r="K93" s="1310"/>
      <c r="L93" s="1310"/>
      <c r="M93" s="1310"/>
      <c r="N93" s="1310"/>
      <c r="O93" s="1310"/>
      <c r="P93" s="1310"/>
      <c r="Q93" s="1310"/>
      <c r="R93" s="1310"/>
      <c r="S93" s="1310"/>
      <c r="T93" s="1310"/>
      <c r="U93" s="1310"/>
      <c r="V93" s="1298"/>
      <c r="W93" s="1340" t="s">
        <v>281</v>
      </c>
      <c r="X93" s="1330"/>
      <c r="Y93" s="1330"/>
      <c r="Z93" s="1330"/>
      <c r="AA93" s="1330"/>
      <c r="AB93" s="1330"/>
      <c r="AC93" s="1330"/>
      <c r="AD93" s="1330"/>
      <c r="AE93" s="1330"/>
      <c r="AF93" s="1330"/>
      <c r="AG93" s="1330"/>
    </row>
    <row r="94" spans="2:33" x14ac:dyDescent="0.25">
      <c r="B94" s="1392"/>
      <c r="C94" s="1393"/>
      <c r="D94" s="209">
        <v>2018</v>
      </c>
      <c r="E94" s="1302">
        <v>2019</v>
      </c>
      <c r="F94" s="1303"/>
      <c r="G94" s="1303"/>
      <c r="H94" s="1304"/>
      <c r="I94" s="1302">
        <v>2020</v>
      </c>
      <c r="J94" s="1303"/>
      <c r="K94" s="1303"/>
      <c r="L94" s="1303"/>
      <c r="M94" s="1302">
        <v>2021</v>
      </c>
      <c r="N94" s="1303"/>
      <c r="O94" s="1303"/>
      <c r="P94" s="1303"/>
      <c r="Q94" s="1302">
        <v>2022</v>
      </c>
      <c r="R94" s="1325"/>
      <c r="S94" s="1325"/>
      <c r="T94" s="1304"/>
      <c r="U94" s="278"/>
      <c r="V94" s="547">
        <v>2023</v>
      </c>
      <c r="W94" s="543"/>
      <c r="X94" s="250"/>
      <c r="Y94" s="1299">
        <v>2024</v>
      </c>
      <c r="Z94" s="1312"/>
      <c r="AA94" s="1312"/>
      <c r="AB94" s="1301"/>
      <c r="AC94" s="1299">
        <v>2025</v>
      </c>
      <c r="AD94" s="1312"/>
      <c r="AE94" s="1312"/>
      <c r="AF94" s="1301"/>
      <c r="AG94" s="493">
        <v>2026</v>
      </c>
    </row>
    <row r="95" spans="2:33" x14ac:dyDescent="0.25">
      <c r="B95" s="1392"/>
      <c r="C95" s="1393"/>
      <c r="D95" s="204" t="s">
        <v>282</v>
      </c>
      <c r="E95" s="204" t="s">
        <v>283</v>
      </c>
      <c r="F95" s="205" t="s">
        <v>284</v>
      </c>
      <c r="G95" s="205" t="s">
        <v>238</v>
      </c>
      <c r="H95" s="206" t="s">
        <v>282</v>
      </c>
      <c r="I95" s="205" t="s">
        <v>283</v>
      </c>
      <c r="J95" s="205" t="s">
        <v>284</v>
      </c>
      <c r="K95" s="205" t="s">
        <v>238</v>
      </c>
      <c r="L95" s="205" t="s">
        <v>282</v>
      </c>
      <c r="M95" s="204" t="s">
        <v>283</v>
      </c>
      <c r="N95" s="205" t="s">
        <v>284</v>
      </c>
      <c r="O95" s="205" t="s">
        <v>238</v>
      </c>
      <c r="P95" s="205" t="s">
        <v>282</v>
      </c>
      <c r="Q95" s="204" t="s">
        <v>283</v>
      </c>
      <c r="R95" s="205" t="s">
        <v>284</v>
      </c>
      <c r="S95" s="205" t="s">
        <v>238</v>
      </c>
      <c r="T95" s="206" t="s">
        <v>282</v>
      </c>
      <c r="U95" s="205" t="s">
        <v>283</v>
      </c>
      <c r="V95" s="276" t="s">
        <v>284</v>
      </c>
      <c r="W95" s="260" t="s">
        <v>238</v>
      </c>
      <c r="X95" s="261" t="s">
        <v>282</v>
      </c>
      <c r="Y95" s="259" t="s">
        <v>283</v>
      </c>
      <c r="Z95" s="257" t="s">
        <v>284</v>
      </c>
      <c r="AA95" s="260" t="s">
        <v>238</v>
      </c>
      <c r="AB95" s="260" t="s">
        <v>282</v>
      </c>
      <c r="AC95" s="259" t="s">
        <v>283</v>
      </c>
      <c r="AD95" s="257" t="s">
        <v>284</v>
      </c>
      <c r="AE95" s="260" t="s">
        <v>238</v>
      </c>
      <c r="AF95" s="260" t="s">
        <v>282</v>
      </c>
      <c r="AG95" s="259" t="s">
        <v>283</v>
      </c>
    </row>
    <row r="96" spans="2:33" ht="25.7" customHeight="1" x14ac:dyDescent="0.25">
      <c r="B96" s="661" t="s">
        <v>467</v>
      </c>
      <c r="C96" s="431" t="s">
        <v>468</v>
      </c>
      <c r="D96" s="356">
        <f>'Haver Pivoted'!GO31</f>
        <v>2223</v>
      </c>
      <c r="E96" s="357">
        <f>'Haver Pivoted'!GP31</f>
        <v>2303.6</v>
      </c>
      <c r="F96" s="357">
        <f>'Haver Pivoted'!GQ31</f>
        <v>2320.1</v>
      </c>
      <c r="G96" s="357">
        <f>'Haver Pivoted'!GR31</f>
        <v>2332.9</v>
      </c>
      <c r="H96" s="357">
        <f>'Haver Pivoted'!GS31</f>
        <v>2346.6</v>
      </c>
      <c r="I96" s="357">
        <f>'Haver Pivoted'!GT31</f>
        <v>2412.6</v>
      </c>
      <c r="J96" s="357">
        <f>'Haver Pivoted'!GU31</f>
        <v>4652.1000000000004</v>
      </c>
      <c r="K96" s="357">
        <f>'Haver Pivoted'!GV31</f>
        <v>3508</v>
      </c>
      <c r="L96" s="357">
        <f>'Haver Pivoted'!GW31</f>
        <v>2895.4</v>
      </c>
      <c r="M96" s="357">
        <f>'Haver Pivoted'!GX31</f>
        <v>5127.3999999999996</v>
      </c>
      <c r="N96" s="357">
        <f>'Haver Pivoted'!GY31</f>
        <v>3403.8</v>
      </c>
      <c r="O96" s="357">
        <f>'Haver Pivoted'!GZ31</f>
        <v>3135</v>
      </c>
      <c r="P96" s="357">
        <f>'Haver Pivoted'!HA31</f>
        <v>2947.7</v>
      </c>
      <c r="Q96" s="357">
        <f>'Haver Pivoted'!HB31</f>
        <v>2903.2</v>
      </c>
      <c r="R96" s="357">
        <f>'Haver Pivoted'!HC31</f>
        <v>2895.2</v>
      </c>
      <c r="S96" s="358">
        <f>'Haver Pivoted'!HD31</f>
        <v>2867.4</v>
      </c>
      <c r="T96" s="673">
        <f>'Haver Pivoted'!HE31</f>
        <v>2896.7</v>
      </c>
      <c r="U96" s="358">
        <f>'Haver Pivoted'!HF31</f>
        <v>2945.8</v>
      </c>
      <c r="V96" s="358">
        <f>'Haver Pivoted'!HG31</f>
        <v>2929.7</v>
      </c>
      <c r="W96" s="683"/>
      <c r="X96" s="683"/>
      <c r="Y96" s="683"/>
      <c r="Z96" s="683"/>
      <c r="AA96" s="683"/>
      <c r="AB96" s="683"/>
      <c r="AC96" s="725"/>
      <c r="AD96" s="725"/>
      <c r="AE96" s="725"/>
      <c r="AF96" s="725"/>
      <c r="AG96" s="495"/>
    </row>
    <row r="97" spans="2:33" ht="25.7" customHeight="1" x14ac:dyDescent="0.25">
      <c r="B97" s="469" t="s">
        <v>1850</v>
      </c>
      <c r="C97" s="230"/>
      <c r="D97" s="701">
        <f>D98+D99</f>
        <v>812.1</v>
      </c>
      <c r="E97" s="429">
        <f>E98+E99</f>
        <v>832.4</v>
      </c>
      <c r="F97" s="429">
        <f>F98+F99</f>
        <v>843</v>
      </c>
      <c r="G97" s="429">
        <f t="shared" ref="G97:N97" si="25">G98+G99</f>
        <v>848.9</v>
      </c>
      <c r="H97" s="429">
        <f t="shared" si="25"/>
        <v>854.6</v>
      </c>
      <c r="I97" s="429">
        <f t="shared" si="25"/>
        <v>875.94174999999996</v>
      </c>
      <c r="J97" s="429">
        <f t="shared" si="25"/>
        <v>3140.0887499999999</v>
      </c>
      <c r="K97" s="429">
        <f t="shared" si="25"/>
        <v>1866.1377500000001</v>
      </c>
      <c r="L97" s="429">
        <f t="shared" si="25"/>
        <v>1314.69775</v>
      </c>
      <c r="M97" s="429">
        <f t="shared" si="25"/>
        <v>3522.1777499999998</v>
      </c>
      <c r="N97" s="429">
        <f t="shared" si="25"/>
        <v>1820.5125900000003</v>
      </c>
      <c r="O97" s="429">
        <f>O98+O99</f>
        <v>1547.208243333333</v>
      </c>
      <c r="P97" s="429">
        <f t="shared" ref="P97:R97" si="26">P98+P99</f>
        <v>1369.7290833333329</v>
      </c>
      <c r="Q97" s="429">
        <f t="shared" si="26"/>
        <v>1218.1737499999999</v>
      </c>
      <c r="R97" s="429">
        <f t="shared" si="26"/>
        <v>1201.89975</v>
      </c>
      <c r="S97" s="668">
        <f>S98+S99</f>
        <v>1183.0257500000002</v>
      </c>
      <c r="T97" s="668">
        <f t="shared" ref="T97:U97" si="27">T98+T99</f>
        <v>1168.3497500000001</v>
      </c>
      <c r="U97" s="668">
        <f t="shared" si="27"/>
        <v>1082.9817499999999</v>
      </c>
      <c r="V97" s="668">
        <f>V98+V99</f>
        <v>1060.3633214285715</v>
      </c>
      <c r="W97" s="428"/>
      <c r="X97" s="428"/>
      <c r="Y97" s="428"/>
      <c r="Z97" s="428"/>
      <c r="AA97" s="428"/>
      <c r="AB97" s="428"/>
      <c r="AC97" s="428"/>
      <c r="AD97" s="428"/>
      <c r="AE97" s="428"/>
      <c r="AF97" s="428"/>
      <c r="AG97" s="495"/>
    </row>
    <row r="98" spans="2:33" ht="25.7" customHeight="1" x14ac:dyDescent="0.25">
      <c r="B98" s="415" t="s">
        <v>1848</v>
      </c>
      <c r="C98" s="230"/>
      <c r="D98" s="701">
        <f t="shared" ref="D98:V98" si="28">D14+D17+D35</f>
        <v>812.1</v>
      </c>
      <c r="E98" s="701">
        <f t="shared" si="28"/>
        <v>832.4</v>
      </c>
      <c r="F98" s="429">
        <f t="shared" si="28"/>
        <v>843</v>
      </c>
      <c r="G98" s="429">
        <f t="shared" si="28"/>
        <v>848.9</v>
      </c>
      <c r="H98" s="429">
        <f t="shared" si="28"/>
        <v>854.6</v>
      </c>
      <c r="I98" s="429">
        <f t="shared" si="28"/>
        <v>869.3</v>
      </c>
      <c r="J98" s="429">
        <f t="shared" si="28"/>
        <v>1792.5</v>
      </c>
      <c r="K98" s="429">
        <f t="shared" si="28"/>
        <v>1655.6000000000001</v>
      </c>
      <c r="L98" s="429">
        <f t="shared" si="28"/>
        <v>1188.2</v>
      </c>
      <c r="M98" s="429">
        <f t="shared" si="28"/>
        <v>1467.3000000000002</v>
      </c>
      <c r="N98" s="429">
        <f t="shared" si="28"/>
        <v>1351.8000000000002</v>
      </c>
      <c r="O98" s="429">
        <f t="shared" si="28"/>
        <v>1328.333333333333</v>
      </c>
      <c r="P98" s="429">
        <f t="shared" si="28"/>
        <v>1157.333333333333</v>
      </c>
      <c r="Q98" s="429">
        <f t="shared" si="28"/>
        <v>1038.7</v>
      </c>
      <c r="R98" s="429">
        <f t="shared" si="28"/>
        <v>1040.4000000000001</v>
      </c>
      <c r="S98" s="668">
        <f t="shared" si="28"/>
        <v>1041.1000000000001</v>
      </c>
      <c r="T98" s="668">
        <f t="shared" si="28"/>
        <v>1050.6000000000001</v>
      </c>
      <c r="U98" s="668">
        <f t="shared" si="28"/>
        <v>994.1</v>
      </c>
      <c r="V98" s="668">
        <f t="shared" si="28"/>
        <v>998.52857142857135</v>
      </c>
      <c r="W98" s="428"/>
      <c r="X98" s="428"/>
      <c r="Y98" s="428"/>
      <c r="Z98" s="428"/>
      <c r="AA98" s="428"/>
      <c r="AB98" s="428"/>
      <c r="AC98" s="428"/>
      <c r="AD98" s="428"/>
      <c r="AE98" s="428"/>
      <c r="AF98" s="428"/>
      <c r="AG98" s="428"/>
    </row>
    <row r="99" spans="2:33" ht="36" customHeight="1" x14ac:dyDescent="0.25">
      <c r="B99" s="415" t="s">
        <v>1849</v>
      </c>
      <c r="C99" s="230"/>
      <c r="D99" s="429">
        <f t="shared" ref="D99:AG99" si="29">D18+D21+D32+D33+D34+D36</f>
        <v>0</v>
      </c>
      <c r="E99" s="429">
        <f t="shared" si="29"/>
        <v>0</v>
      </c>
      <c r="F99" s="429">
        <f t="shared" si="29"/>
        <v>0</v>
      </c>
      <c r="G99" s="429">
        <f t="shared" si="29"/>
        <v>0</v>
      </c>
      <c r="H99" s="429">
        <f t="shared" si="29"/>
        <v>0</v>
      </c>
      <c r="I99" s="429">
        <f t="shared" si="29"/>
        <v>6.6417500000000018</v>
      </c>
      <c r="J99" s="429">
        <f t="shared" si="29"/>
        <v>1347.5887500000001</v>
      </c>
      <c r="K99" s="429">
        <f t="shared" si="29"/>
        <v>210.53775000000002</v>
      </c>
      <c r="L99" s="429">
        <f t="shared" si="29"/>
        <v>126.49775</v>
      </c>
      <c r="M99" s="429">
        <f t="shared" si="29"/>
        <v>2054.8777499999997</v>
      </c>
      <c r="N99" s="429">
        <f t="shared" si="29"/>
        <v>468.71259000000009</v>
      </c>
      <c r="O99" s="429">
        <f t="shared" si="29"/>
        <v>218.87491000000009</v>
      </c>
      <c r="P99" s="429">
        <f t="shared" si="29"/>
        <v>212.39574999999999</v>
      </c>
      <c r="Q99" s="429">
        <f t="shared" si="29"/>
        <v>179.47375</v>
      </c>
      <c r="R99" s="429">
        <f t="shared" si="29"/>
        <v>161.49975000000001</v>
      </c>
      <c r="S99" s="668">
        <f t="shared" si="29"/>
        <v>141.92575000000002</v>
      </c>
      <c r="T99" s="668">
        <f t="shared" si="29"/>
        <v>117.74975000000001</v>
      </c>
      <c r="U99" s="668">
        <f t="shared" si="29"/>
        <v>88.881749999999982</v>
      </c>
      <c r="V99" s="668">
        <f t="shared" si="29"/>
        <v>61.83475</v>
      </c>
      <c r="W99" s="428">
        <f t="shared" si="29"/>
        <v>61.83475</v>
      </c>
      <c r="X99" s="428">
        <f t="shared" si="29"/>
        <v>54.119749999999996</v>
      </c>
      <c r="Y99" s="428">
        <f t="shared" si="29"/>
        <v>54.119749999999996</v>
      </c>
      <c r="Z99" s="428">
        <f t="shared" si="29"/>
        <v>54.119749999999996</v>
      </c>
      <c r="AA99" s="428">
        <f t="shared" si="29"/>
        <v>54.119749999999996</v>
      </c>
      <c r="AB99" s="428">
        <f t="shared" si="29"/>
        <v>52.420749999999998</v>
      </c>
      <c r="AC99" s="428">
        <f t="shared" si="29"/>
        <v>52.420749999999998</v>
      </c>
      <c r="AD99" s="428">
        <f t="shared" si="29"/>
        <v>0</v>
      </c>
      <c r="AE99" s="428">
        <f t="shared" si="29"/>
        <v>0</v>
      </c>
      <c r="AF99" s="428">
        <f t="shared" si="29"/>
        <v>0</v>
      </c>
      <c r="AG99" s="428">
        <f t="shared" si="29"/>
        <v>0</v>
      </c>
    </row>
    <row r="100" spans="2:33" ht="25.7" customHeight="1" x14ac:dyDescent="0.25">
      <c r="B100" s="469" t="s">
        <v>801</v>
      </c>
      <c r="C100" s="230"/>
      <c r="D100" s="701">
        <f>D96-D97</f>
        <v>1410.9</v>
      </c>
      <c r="E100" s="429">
        <f t="shared" ref="E100:T100" si="30">E96-E97</f>
        <v>1471.1999999999998</v>
      </c>
      <c r="F100" s="429">
        <f t="shared" si="30"/>
        <v>1477.1</v>
      </c>
      <c r="G100" s="429">
        <f t="shared" si="30"/>
        <v>1484</v>
      </c>
      <c r="H100" s="429">
        <f t="shared" si="30"/>
        <v>1492</v>
      </c>
      <c r="I100" s="429">
        <f t="shared" si="30"/>
        <v>1536.65825</v>
      </c>
      <c r="J100" s="429">
        <f t="shared" si="30"/>
        <v>1512.0112500000005</v>
      </c>
      <c r="K100" s="429">
        <f t="shared" si="30"/>
        <v>1641.8622499999999</v>
      </c>
      <c r="L100" s="429">
        <f t="shared" si="30"/>
        <v>1580.70225</v>
      </c>
      <c r="M100" s="429">
        <f t="shared" si="30"/>
        <v>1605.2222499999998</v>
      </c>
      <c r="N100" s="429">
        <f t="shared" si="30"/>
        <v>1583.2874099999999</v>
      </c>
      <c r="O100" s="429">
        <f t="shared" si="30"/>
        <v>1587.791756666667</v>
      </c>
      <c r="P100" s="429">
        <f t="shared" si="30"/>
        <v>1577.9709166666669</v>
      </c>
      <c r="Q100" s="429">
        <f t="shared" si="30"/>
        <v>1685.0262499999999</v>
      </c>
      <c r="R100" s="429">
        <f t="shared" si="30"/>
        <v>1693.3002499999998</v>
      </c>
      <c r="S100" s="668">
        <f t="shared" si="30"/>
        <v>1684.3742499999998</v>
      </c>
      <c r="T100" s="668">
        <f t="shared" si="30"/>
        <v>1728.3502499999997</v>
      </c>
      <c r="U100" s="668">
        <f>U96-U97</f>
        <v>1862.8182500000003</v>
      </c>
      <c r="V100" s="668">
        <f>V96-V97</f>
        <v>1869.3366785714284</v>
      </c>
      <c r="W100" s="428"/>
      <c r="X100" s="428"/>
      <c r="Y100" s="428"/>
      <c r="Z100" s="428"/>
      <c r="AA100" s="428"/>
      <c r="AB100" s="428"/>
      <c r="AC100" s="428"/>
      <c r="AD100" s="428"/>
      <c r="AE100" s="428"/>
      <c r="AF100" s="428"/>
      <c r="AG100" s="495"/>
    </row>
    <row r="101" spans="2:33" ht="20.45" customHeight="1" x14ac:dyDescent="0.25">
      <c r="B101" s="684" t="s">
        <v>802</v>
      </c>
      <c r="C101" s="685"/>
      <c r="D101" s="691">
        <f t="shared" ref="D101:I101" si="31">D12-D14-D17-D35</f>
        <v>1410.9</v>
      </c>
      <c r="E101" s="653">
        <f t="shared" si="31"/>
        <v>1471.1999999999998</v>
      </c>
      <c r="F101" s="653">
        <f t="shared" si="31"/>
        <v>1477.1000000000001</v>
      </c>
      <c r="G101" s="653">
        <f t="shared" si="31"/>
        <v>1484</v>
      </c>
      <c r="H101" s="653">
        <f t="shared" si="31"/>
        <v>1492</v>
      </c>
      <c r="I101" s="653">
        <f t="shared" si="31"/>
        <v>1543.2999999999997</v>
      </c>
      <c r="J101" s="692">
        <f>I101+($H$101-$E$101)/3</f>
        <v>1550.2333333333331</v>
      </c>
      <c r="K101" s="692">
        <f>J101+($H$101-$E$101)/3</f>
        <v>1557.1666666666665</v>
      </c>
      <c r="L101" s="692">
        <f>K101+($H$101-$E$101)/3</f>
        <v>1564.1</v>
      </c>
      <c r="M101" s="693">
        <f>L101+($H$101-$E$101)/3 +(M105-L105)</f>
        <v>1588.5533333333333</v>
      </c>
      <c r="N101" s="692">
        <f>M101+($H$101-$E$101)/3</f>
        <v>1595.4866666666667</v>
      </c>
      <c r="O101" s="692">
        <f>N101+($H$101-$E$101)/3</f>
        <v>1602.42</v>
      </c>
      <c r="P101" s="692">
        <f>O101+($H$101-$E$101)/3</f>
        <v>1609.3533333333335</v>
      </c>
      <c r="Q101" s="693">
        <f>P101+($H$101-$E$101)/3 + 0.06*Q105</f>
        <v>1688.207466666667</v>
      </c>
      <c r="R101" s="692">
        <f>Q101+($H$101-$E$101)/3</f>
        <v>1695.1408000000004</v>
      </c>
      <c r="S101" s="692">
        <f>R101+($H$101-$E$101)/3</f>
        <v>1702.0741333333337</v>
      </c>
      <c r="T101" s="692">
        <f>S101+($H$101-$E$101)/3</f>
        <v>1709.0074666666671</v>
      </c>
      <c r="U101" s="692">
        <f>T101+U102</f>
        <v>1822.5884450000005</v>
      </c>
      <c r="V101" s="692">
        <f>U101+V102</f>
        <v>1829.5217783333339</v>
      </c>
      <c r="W101" s="686">
        <f t="shared" ref="W101:AF101" si="32">V101+W102</f>
        <v>1836.4551116666673</v>
      </c>
      <c r="X101" s="686">
        <f t="shared" si="32"/>
        <v>1843.3884450000007</v>
      </c>
      <c r="Y101" s="686">
        <f t="shared" si="32"/>
        <v>1892.9800005333341</v>
      </c>
      <c r="Z101" s="686">
        <f t="shared" si="32"/>
        <v>1899.9133338666675</v>
      </c>
      <c r="AA101" s="686">
        <f t="shared" si="32"/>
        <v>1906.8466672000009</v>
      </c>
      <c r="AB101" s="686">
        <f t="shared" si="32"/>
        <v>1913.7800005333343</v>
      </c>
      <c r="AC101" s="686">
        <f t="shared" si="32"/>
        <v>1950.3705249626676</v>
      </c>
      <c r="AD101" s="686">
        <f t="shared" si="32"/>
        <v>1957.303858296001</v>
      </c>
      <c r="AE101" s="686">
        <f t="shared" si="32"/>
        <v>1964.2371916293343</v>
      </c>
      <c r="AF101" s="686">
        <f t="shared" si="32"/>
        <v>1971.1705249626677</v>
      </c>
      <c r="AG101" s="495"/>
    </row>
    <row r="102" spans="2:33" ht="20.45" customHeight="1" x14ac:dyDescent="0.25">
      <c r="B102" s="687" t="s">
        <v>1808</v>
      </c>
      <c r="C102" s="230"/>
      <c r="D102" s="701"/>
      <c r="E102" s="429"/>
      <c r="F102" s="429"/>
      <c r="G102" s="429"/>
      <c r="H102" s="429"/>
      <c r="I102" s="429"/>
      <c r="J102" s="669"/>
      <c r="K102" s="669"/>
      <c r="L102" s="669"/>
      <c r="M102" s="694"/>
      <c r="N102" s="669"/>
      <c r="O102" s="669"/>
      <c r="P102" s="669"/>
      <c r="Q102" s="694"/>
      <c r="R102" s="669"/>
      <c r="S102" s="669"/>
      <c r="T102" s="669"/>
      <c r="U102" s="669">
        <f>U103+U104</f>
        <v>113.58097833333339</v>
      </c>
      <c r="V102" s="669">
        <f>V103+V104</f>
        <v>6.933333333333394</v>
      </c>
      <c r="W102" s="428">
        <f t="shared" ref="W102:AF102" si="33">W103+W108*W105</f>
        <v>6.933333333333394</v>
      </c>
      <c r="X102" s="428">
        <f t="shared" si="33"/>
        <v>6.933333333333394</v>
      </c>
      <c r="Y102" s="428">
        <f t="shared" si="33"/>
        <v>49.591555533333391</v>
      </c>
      <c r="Z102" s="428">
        <f t="shared" si="33"/>
        <v>6.933333333333394</v>
      </c>
      <c r="AA102" s="428">
        <f t="shared" si="33"/>
        <v>6.933333333333394</v>
      </c>
      <c r="AB102" s="428">
        <f t="shared" si="33"/>
        <v>6.933333333333394</v>
      </c>
      <c r="AC102" s="428">
        <f t="shared" si="33"/>
        <v>36.590524429333399</v>
      </c>
      <c r="AD102" s="428">
        <f t="shared" si="33"/>
        <v>6.933333333333394</v>
      </c>
      <c r="AE102" s="428">
        <f t="shared" si="33"/>
        <v>6.933333333333394</v>
      </c>
      <c r="AF102" s="428">
        <f t="shared" si="33"/>
        <v>6.933333333333394</v>
      </c>
      <c r="AG102" s="495"/>
    </row>
    <row r="103" spans="2:33" ht="28.35" customHeight="1" x14ac:dyDescent="0.25">
      <c r="B103" s="688" t="s">
        <v>1805</v>
      </c>
      <c r="C103" s="230"/>
      <c r="D103" s="701"/>
      <c r="E103" s="429"/>
      <c r="F103" s="429"/>
      <c r="G103" s="429"/>
      <c r="H103" s="429"/>
      <c r="I103" s="429"/>
      <c r="J103" s="669"/>
      <c r="K103" s="669"/>
      <c r="L103" s="669"/>
      <c r="M103" s="694"/>
      <c r="N103" s="669"/>
      <c r="O103" s="669"/>
      <c r="P103" s="669"/>
      <c r="Q103" s="694"/>
      <c r="R103" s="669"/>
      <c r="S103" s="669"/>
      <c r="T103" s="669"/>
      <c r="U103" s="669">
        <f>($H$101-$E$101)/3</f>
        <v>6.933333333333394</v>
      </c>
      <c r="V103" s="669">
        <f>($H$101-$E$101)/3</f>
        <v>6.933333333333394</v>
      </c>
      <c r="W103" s="428">
        <f t="shared" ref="W103:AF103" si="34">V103</f>
        <v>6.933333333333394</v>
      </c>
      <c r="X103" s="428">
        <f t="shared" si="34"/>
        <v>6.933333333333394</v>
      </c>
      <c r="Y103" s="428">
        <f t="shared" si="34"/>
        <v>6.933333333333394</v>
      </c>
      <c r="Z103" s="428">
        <f t="shared" si="34"/>
        <v>6.933333333333394</v>
      </c>
      <c r="AA103" s="428">
        <f t="shared" si="34"/>
        <v>6.933333333333394</v>
      </c>
      <c r="AB103" s="428">
        <f t="shared" si="34"/>
        <v>6.933333333333394</v>
      </c>
      <c r="AC103" s="428">
        <f t="shared" si="34"/>
        <v>6.933333333333394</v>
      </c>
      <c r="AD103" s="428">
        <f t="shared" si="34"/>
        <v>6.933333333333394</v>
      </c>
      <c r="AE103" s="428">
        <f t="shared" si="34"/>
        <v>6.933333333333394</v>
      </c>
      <c r="AF103" s="428">
        <f t="shared" si="34"/>
        <v>6.933333333333394</v>
      </c>
      <c r="AG103" s="495"/>
    </row>
    <row r="104" spans="2:33" ht="30.6" customHeight="1" x14ac:dyDescent="0.25">
      <c r="B104" s="689" t="s">
        <v>1806</v>
      </c>
      <c r="C104" s="690"/>
      <c r="D104" s="695"/>
      <c r="E104" s="654"/>
      <c r="F104" s="654"/>
      <c r="G104" s="654"/>
      <c r="H104" s="654"/>
      <c r="I104" s="654"/>
      <c r="J104" s="696"/>
      <c r="K104" s="696"/>
      <c r="L104" s="696"/>
      <c r="M104" s="697"/>
      <c r="N104" s="696"/>
      <c r="O104" s="696"/>
      <c r="P104" s="696"/>
      <c r="Q104" s="697"/>
      <c r="R104" s="696"/>
      <c r="S104" s="696"/>
      <c r="T104" s="696"/>
      <c r="U104" s="696">
        <f>U108*T105</f>
        <v>106.647645</v>
      </c>
      <c r="V104" s="696">
        <f>V108*U105</f>
        <v>0</v>
      </c>
      <c r="W104" s="698">
        <f t="shared" ref="W104:AF104" si="35">W108*V105</f>
        <v>0</v>
      </c>
      <c r="X104" s="698">
        <f t="shared" si="35"/>
        <v>0</v>
      </c>
      <c r="Y104" s="698">
        <f>Y108*X105</f>
        <v>41.182740000000003</v>
      </c>
      <c r="Z104" s="698">
        <f t="shared" si="35"/>
        <v>0</v>
      </c>
      <c r="AA104" s="698">
        <f t="shared" si="35"/>
        <v>0</v>
      </c>
      <c r="AB104" s="698">
        <f t="shared" si="35"/>
        <v>0</v>
      </c>
      <c r="AC104" s="698">
        <f t="shared" si="35"/>
        <v>28.9188148</v>
      </c>
      <c r="AD104" s="698">
        <f t="shared" si="35"/>
        <v>0</v>
      </c>
      <c r="AE104" s="698">
        <f t="shared" si="35"/>
        <v>0</v>
      </c>
      <c r="AF104" s="698">
        <f t="shared" si="35"/>
        <v>0</v>
      </c>
      <c r="AG104" s="495"/>
    </row>
    <row r="105" spans="2:33" ht="17.45" customHeight="1" x14ac:dyDescent="0.25">
      <c r="B105" s="538" t="s">
        <v>475</v>
      </c>
      <c r="C105" s="230" t="s">
        <v>476</v>
      </c>
      <c r="D105" s="701">
        <f>'Haver Pivoted'!GO88/1000</f>
        <v>983.86099999999999</v>
      </c>
      <c r="E105" s="429">
        <f>'Haver Pivoted'!GP88/1000</f>
        <v>1019.17</v>
      </c>
      <c r="F105" s="429">
        <f>'Haver Pivoted'!GQ88/1000</f>
        <v>1026.74</v>
      </c>
      <c r="G105" s="429">
        <f>'Haver Pivoted'!GR88/1000</f>
        <v>1034.364</v>
      </c>
      <c r="H105" s="429">
        <f>'Haver Pivoted'!GS88/1000</f>
        <v>1042.6969999999999</v>
      </c>
      <c r="I105" s="429">
        <f>'Haver Pivoted'!GT88/1000</f>
        <v>1068.172</v>
      </c>
      <c r="J105" s="429">
        <f>'Haver Pivoted'!GU88/1000</f>
        <v>1075.0809999999999</v>
      </c>
      <c r="K105" s="429">
        <f>'Haver Pivoted'!GV88/1000</f>
        <v>1080.296</v>
      </c>
      <c r="L105" s="429">
        <f>'Haver Pivoted'!GW88/1000</f>
        <v>1088.164</v>
      </c>
      <c r="M105" s="429">
        <f>'Haver Pivoted'!GX88/1000</f>
        <v>1105.684</v>
      </c>
      <c r="N105" s="429">
        <f>'Haver Pivoted'!GY88/1000</f>
        <v>1109.6220000000001</v>
      </c>
      <c r="O105" s="429">
        <f>'Haver Pivoted'!GZ88/1000</f>
        <v>1116.8399999999999</v>
      </c>
      <c r="P105" s="429">
        <f>'Haver Pivoted'!HA88/1000</f>
        <v>1126.2539999999999</v>
      </c>
      <c r="Q105" s="429">
        <f>'Haver Pivoted'!HB88/1000</f>
        <v>1198.68</v>
      </c>
      <c r="R105" s="429">
        <f>'Haver Pivoted'!HC88/1000</f>
        <v>1207.049</v>
      </c>
      <c r="S105" s="668">
        <f>'Haver Pivoted'!HD88/1000</f>
        <v>1214.451</v>
      </c>
      <c r="T105" s="668">
        <f>'Haver Pivoted'!HE88/1000</f>
        <v>1225.835</v>
      </c>
      <c r="U105" s="668">
        <f>'Haver Pivoted'!HF88/1000</f>
        <v>1339.9770000000001</v>
      </c>
      <c r="V105" s="668">
        <f>'Haver Pivoted'!HG88/1000</f>
        <v>1353.758</v>
      </c>
      <c r="W105" s="428">
        <f t="shared" ref="W105:AF105" si="36">V105+W106</f>
        <v>1364.758</v>
      </c>
      <c r="X105" s="428">
        <f t="shared" si="36"/>
        <v>1372.758</v>
      </c>
      <c r="Y105" s="428">
        <f t="shared" si="36"/>
        <v>1421.94074</v>
      </c>
      <c r="Z105" s="428">
        <f t="shared" si="36"/>
        <v>1429.94074</v>
      </c>
      <c r="AA105" s="428">
        <f t="shared" si="36"/>
        <v>1437.94074</v>
      </c>
      <c r="AB105" s="428">
        <f t="shared" si="36"/>
        <v>1445.94074</v>
      </c>
      <c r="AC105" s="428">
        <f t="shared" si="36"/>
        <v>1482.8595548000001</v>
      </c>
      <c r="AD105" s="428">
        <f t="shared" si="36"/>
        <v>1491.8595548000001</v>
      </c>
      <c r="AE105" s="428">
        <f t="shared" si="36"/>
        <v>1501.8595548000001</v>
      </c>
      <c r="AF105" s="428">
        <f t="shared" si="36"/>
        <v>1512.8595548000001</v>
      </c>
      <c r="AG105" s="495"/>
    </row>
    <row r="106" spans="2:33" ht="17.45" customHeight="1" x14ac:dyDescent="0.25">
      <c r="B106" s="415" t="s">
        <v>1807</v>
      </c>
      <c r="C106" s="230"/>
      <c r="D106" s="701"/>
      <c r="E106" s="429"/>
      <c r="F106" s="429"/>
      <c r="G106" s="429"/>
      <c r="H106" s="429"/>
      <c r="I106" s="429"/>
      <c r="J106" s="429"/>
      <c r="K106" s="429"/>
      <c r="L106" s="429"/>
      <c r="M106" s="429"/>
      <c r="N106" s="429"/>
      <c r="O106" s="429"/>
      <c r="P106" s="429"/>
      <c r="Q106" s="429"/>
      <c r="R106" s="429"/>
      <c r="S106" s="668"/>
      <c r="T106" s="668"/>
      <c r="U106" s="668">
        <f>U104+U107</f>
        <v>114.647645</v>
      </c>
      <c r="V106" s="668">
        <f>V104+V107</f>
        <v>8</v>
      </c>
      <c r="W106" s="428">
        <f t="shared" ref="W106:AF106" si="37">W104+W107</f>
        <v>11</v>
      </c>
      <c r="X106" s="428">
        <f t="shared" si="37"/>
        <v>8</v>
      </c>
      <c r="Y106" s="428">
        <f>Y104+Y107</f>
        <v>49.182740000000003</v>
      </c>
      <c r="Z106" s="428">
        <f t="shared" si="37"/>
        <v>8</v>
      </c>
      <c r="AA106" s="428">
        <f t="shared" si="37"/>
        <v>8</v>
      </c>
      <c r="AB106" s="428">
        <f t="shared" si="37"/>
        <v>8</v>
      </c>
      <c r="AC106" s="428">
        <f t="shared" si="37"/>
        <v>36.9188148</v>
      </c>
      <c r="AD106" s="428">
        <f t="shared" si="37"/>
        <v>9</v>
      </c>
      <c r="AE106" s="428">
        <f t="shared" si="37"/>
        <v>10</v>
      </c>
      <c r="AF106" s="428">
        <f t="shared" si="37"/>
        <v>11</v>
      </c>
      <c r="AG106" s="495"/>
    </row>
    <row r="107" spans="2:33" ht="17.45" customHeight="1" x14ac:dyDescent="0.25">
      <c r="B107" s="406" t="s">
        <v>1810</v>
      </c>
      <c r="C107" s="230"/>
      <c r="D107" s="701"/>
      <c r="E107" s="429"/>
      <c r="F107" s="429"/>
      <c r="G107" s="429"/>
      <c r="H107" s="429"/>
      <c r="I107" s="429"/>
      <c r="J107" s="429"/>
      <c r="K107" s="429"/>
      <c r="L107" s="429"/>
      <c r="M107" s="429"/>
      <c r="N107" s="429"/>
      <c r="O107" s="429"/>
      <c r="P107" s="429"/>
      <c r="Q107" s="429"/>
      <c r="R107" s="429"/>
      <c r="S107" s="668"/>
      <c r="T107" s="668"/>
      <c r="U107" s="668">
        <v>8</v>
      </c>
      <c r="V107" s="668">
        <v>8</v>
      </c>
      <c r="W107" s="428">
        <v>11</v>
      </c>
      <c r="X107" s="428">
        <v>8</v>
      </c>
      <c r="Y107" s="428">
        <v>8</v>
      </c>
      <c r="Z107" s="428">
        <v>8</v>
      </c>
      <c r="AA107" s="428">
        <v>8</v>
      </c>
      <c r="AB107" s="428">
        <v>8</v>
      </c>
      <c r="AC107" s="428">
        <v>8</v>
      </c>
      <c r="AD107" s="428">
        <v>9</v>
      </c>
      <c r="AE107" s="428">
        <v>10</v>
      </c>
      <c r="AF107" s="428">
        <v>11</v>
      </c>
      <c r="AG107" s="495"/>
    </row>
    <row r="108" spans="2:33" ht="39" customHeight="1" x14ac:dyDescent="0.25">
      <c r="B108" s="406" t="s">
        <v>1811</v>
      </c>
      <c r="C108" s="230"/>
      <c r="D108" s="701"/>
      <c r="E108" s="429"/>
      <c r="F108" s="429"/>
      <c r="G108" s="429"/>
      <c r="H108" s="429"/>
      <c r="I108" s="654"/>
      <c r="J108" s="654"/>
      <c r="K108" s="654"/>
      <c r="L108" s="654"/>
      <c r="M108" s="654"/>
      <c r="N108" s="654"/>
      <c r="O108" s="654"/>
      <c r="P108" s="654"/>
      <c r="Q108" s="654"/>
      <c r="R108" s="654"/>
      <c r="S108" s="699"/>
      <c r="T108" s="699"/>
      <c r="U108" s="670">
        <v>8.6999999999999994E-2</v>
      </c>
      <c r="V108" s="655">
        <v>0</v>
      </c>
      <c r="W108" s="700">
        <v>0</v>
      </c>
      <c r="X108" s="700">
        <v>0</v>
      </c>
      <c r="Y108" s="700">
        <v>0.03</v>
      </c>
      <c r="Z108" s="700">
        <v>0</v>
      </c>
      <c r="AA108" s="700">
        <v>0</v>
      </c>
      <c r="AB108" s="700">
        <v>0</v>
      </c>
      <c r="AC108" s="700">
        <v>0.02</v>
      </c>
      <c r="AD108" s="700">
        <v>0</v>
      </c>
      <c r="AE108" s="700">
        <v>0</v>
      </c>
      <c r="AF108" s="700">
        <v>0</v>
      </c>
      <c r="AG108" s="495"/>
    </row>
    <row r="109" spans="2:33" ht="49.7" customHeight="1" x14ac:dyDescent="0.25">
      <c r="B109" s="469" t="s">
        <v>1432</v>
      </c>
      <c r="C109" s="230"/>
      <c r="D109" s="701">
        <f t="shared" ref="D109:T109" si="38">D100-D101</f>
        <v>0</v>
      </c>
      <c r="E109" s="429">
        <f t="shared" si="38"/>
        <v>0</v>
      </c>
      <c r="F109" s="429">
        <f t="shared" si="38"/>
        <v>0</v>
      </c>
      <c r="G109" s="429">
        <f t="shared" si="38"/>
        <v>0</v>
      </c>
      <c r="H109" s="429">
        <f t="shared" si="38"/>
        <v>0</v>
      </c>
      <c r="I109" s="429">
        <f t="shared" si="38"/>
        <v>-6.6417499999997744</v>
      </c>
      <c r="J109" s="429">
        <f t="shared" si="38"/>
        <v>-38.222083333332648</v>
      </c>
      <c r="K109" s="429">
        <f t="shared" si="38"/>
        <v>84.695583333333389</v>
      </c>
      <c r="L109" s="429">
        <f t="shared" si="38"/>
        <v>16.60225000000014</v>
      </c>
      <c r="M109" s="429">
        <f t="shared" si="38"/>
        <v>16.668916666666519</v>
      </c>
      <c r="N109" s="429">
        <f t="shared" si="38"/>
        <v>-12.19925666666677</v>
      </c>
      <c r="O109" s="429">
        <f t="shared" si="38"/>
        <v>-14.628243333333103</v>
      </c>
      <c r="P109" s="429">
        <f t="shared" si="38"/>
        <v>-31.382416666666586</v>
      </c>
      <c r="Q109" s="429">
        <f t="shared" si="38"/>
        <v>-3.1812166666670691</v>
      </c>
      <c r="R109" s="429">
        <f t="shared" si="38"/>
        <v>-1.8405500000005759</v>
      </c>
      <c r="S109" s="668">
        <f t="shared" si="38"/>
        <v>-17.699883333333901</v>
      </c>
      <c r="T109" s="668">
        <f t="shared" si="38"/>
        <v>19.342783333332591</v>
      </c>
      <c r="U109" s="668">
        <f>U100-U101</f>
        <v>40.229804999999715</v>
      </c>
      <c r="V109" s="668">
        <f>V100-V101</f>
        <v>39.814900238094424</v>
      </c>
      <c r="W109" s="428">
        <f t="shared" ref="W109:AF109" si="39">V109</f>
        <v>39.814900238094424</v>
      </c>
      <c r="X109" s="428">
        <f t="shared" si="39"/>
        <v>39.814900238094424</v>
      </c>
      <c r="Y109" s="428">
        <f t="shared" si="39"/>
        <v>39.814900238094424</v>
      </c>
      <c r="Z109" s="428">
        <f t="shared" si="39"/>
        <v>39.814900238094424</v>
      </c>
      <c r="AA109" s="428">
        <f t="shared" si="39"/>
        <v>39.814900238094424</v>
      </c>
      <c r="AB109" s="428">
        <f t="shared" si="39"/>
        <v>39.814900238094424</v>
      </c>
      <c r="AC109" s="428">
        <f t="shared" si="39"/>
        <v>39.814900238094424</v>
      </c>
      <c r="AD109" s="428">
        <f t="shared" si="39"/>
        <v>39.814900238094424</v>
      </c>
      <c r="AE109" s="428">
        <f t="shared" si="39"/>
        <v>39.814900238094424</v>
      </c>
      <c r="AF109" s="428">
        <f t="shared" si="39"/>
        <v>39.814900238094424</v>
      </c>
      <c r="AG109" s="495"/>
    </row>
    <row r="110" spans="2:33" ht="29.45" customHeight="1" x14ac:dyDescent="0.25">
      <c r="B110" s="273"/>
      <c r="C110" s="230"/>
      <c r="D110" s="213"/>
      <c r="E110" s="213"/>
      <c r="F110" s="213"/>
      <c r="G110" s="213"/>
      <c r="H110" s="213"/>
      <c r="I110" s="213"/>
      <c r="J110" s="213"/>
      <c r="K110" s="213"/>
      <c r="L110" s="213"/>
      <c r="M110" s="213"/>
      <c r="N110" s="213"/>
      <c r="O110" s="213"/>
      <c r="P110" s="213"/>
      <c r="Q110" s="213"/>
      <c r="R110" s="213"/>
      <c r="S110" s="213"/>
      <c r="T110" s="213"/>
      <c r="U110" s="213"/>
      <c r="V110" s="213"/>
      <c r="W110" s="213"/>
      <c r="X110" s="213"/>
      <c r="Y110" s="213"/>
      <c r="Z110" s="213"/>
      <c r="AA110" s="213"/>
      <c r="AB110" s="213"/>
      <c r="AC110" s="213"/>
    </row>
    <row r="111" spans="2:33" ht="16.7" customHeight="1" x14ac:dyDescent="0.25">
      <c r="B111" s="230"/>
      <c r="C111" s="230"/>
      <c r="S111" s="542"/>
      <c r="T111" s="542"/>
      <c r="U111" s="230"/>
      <c r="V111" s="230"/>
      <c r="W111" s="230"/>
      <c r="X111" s="230"/>
      <c r="Y111" s="230"/>
      <c r="Z111" s="230"/>
      <c r="AA111" s="230"/>
      <c r="AB111" s="230"/>
      <c r="AC111" s="230"/>
    </row>
    <row r="112" spans="2:33" ht="16.7" customHeight="1" x14ac:dyDescent="0.25">
      <c r="B112" s="230"/>
      <c r="C112" s="230"/>
      <c r="S112" s="213"/>
      <c r="T112" s="213"/>
      <c r="U112" s="230"/>
      <c r="V112" s="230"/>
      <c r="W112" s="230"/>
      <c r="X112" s="230"/>
      <c r="Y112" s="230"/>
      <c r="Z112" s="230"/>
      <c r="AA112" s="230"/>
      <c r="AB112" s="230"/>
      <c r="AC112" s="230"/>
    </row>
    <row r="113" spans="2:30" ht="16.7" customHeight="1" x14ac:dyDescent="0.25">
      <c r="B113" s="230"/>
      <c r="C113" s="230"/>
      <c r="S113" s="213"/>
      <c r="T113" s="213"/>
      <c r="U113" s="230"/>
      <c r="V113" s="230"/>
      <c r="W113" s="230"/>
      <c r="X113" s="230"/>
      <c r="Y113" s="230"/>
      <c r="Z113" s="230"/>
      <c r="AA113" s="230"/>
      <c r="AB113" s="230"/>
      <c r="AC113" s="230"/>
    </row>
    <row r="114" spans="2:30" ht="16.7" customHeight="1" x14ac:dyDescent="0.25">
      <c r="B114" s="230"/>
      <c r="C114" s="230"/>
      <c r="S114" s="213"/>
      <c r="T114" s="213"/>
      <c r="U114" s="429"/>
      <c r="V114" s="429"/>
      <c r="W114" s="429"/>
      <c r="X114" s="429"/>
      <c r="Y114" s="429"/>
      <c r="Z114" s="429"/>
      <c r="AA114" s="429"/>
      <c r="AB114" s="429"/>
      <c r="AC114" s="429"/>
      <c r="AD114" s="507"/>
    </row>
    <row r="115" spans="2:30" ht="16.7" customHeight="1" x14ac:dyDescent="0.25">
      <c r="B115" s="460"/>
      <c r="C115" s="230"/>
      <c r="S115" s="213"/>
      <c r="T115" s="213"/>
      <c r="U115" s="213"/>
      <c r="V115" s="213"/>
      <c r="W115" s="213"/>
      <c r="X115" s="213"/>
      <c r="Y115" s="213"/>
      <c r="Z115" s="213"/>
      <c r="AA115" s="213"/>
      <c r="AB115" s="213"/>
      <c r="AC115" s="213"/>
      <c r="AD115" s="507"/>
    </row>
    <row r="116" spans="2:30" ht="16.7" customHeight="1" x14ac:dyDescent="0.25">
      <c r="B116" s="460"/>
      <c r="C116" s="230"/>
      <c r="S116" s="213"/>
      <c r="T116" s="213"/>
      <c r="U116" s="213"/>
      <c r="V116" s="213"/>
      <c r="W116" s="213"/>
      <c r="X116" s="213"/>
      <c r="Y116" s="213"/>
      <c r="Z116" s="213"/>
      <c r="AA116" s="213"/>
      <c r="AB116" s="213"/>
      <c r="AC116" s="213"/>
      <c r="AD116" s="507"/>
    </row>
    <row r="117" spans="2:30" ht="16.7" customHeight="1" x14ac:dyDescent="0.25">
      <c r="B117" s="460"/>
      <c r="C117" s="230"/>
      <c r="S117" s="213"/>
      <c r="T117" s="213"/>
      <c r="U117" s="213"/>
      <c r="V117" s="213"/>
      <c r="W117" s="213"/>
      <c r="X117" s="213"/>
      <c r="Y117" s="213"/>
      <c r="Z117" s="213"/>
      <c r="AA117" s="213"/>
      <c r="AB117" s="213"/>
      <c r="AC117" s="213"/>
      <c r="AD117" s="507"/>
    </row>
    <row r="118" spans="2:30" ht="16.7" customHeight="1" x14ac:dyDescent="0.25">
      <c r="B118" s="230"/>
      <c r="C118" s="230"/>
      <c r="S118" s="230"/>
      <c r="T118" s="230"/>
      <c r="U118" s="429"/>
      <c r="V118" s="429"/>
      <c r="W118" s="429"/>
      <c r="X118" s="429"/>
      <c r="Y118" s="429"/>
      <c r="Z118" s="429"/>
      <c r="AA118" s="429"/>
      <c r="AB118" s="429"/>
      <c r="AC118" s="429"/>
      <c r="AD118" s="507"/>
    </row>
    <row r="119" spans="2:30" ht="16.7" customHeight="1" x14ac:dyDescent="0.25">
      <c r="B119" s="460"/>
      <c r="C119" s="230"/>
      <c r="S119" s="230"/>
      <c r="T119" s="230"/>
      <c r="U119" s="429"/>
      <c r="V119" s="429"/>
      <c r="W119" s="429"/>
      <c r="X119" s="429"/>
      <c r="Y119" s="429"/>
      <c r="Z119" s="429"/>
      <c r="AA119" s="429"/>
      <c r="AB119" s="429"/>
      <c r="AC119" s="429"/>
      <c r="AD119" s="507"/>
    </row>
    <row r="120" spans="2:30" ht="16.7" customHeight="1" x14ac:dyDescent="0.25">
      <c r="B120" s="460"/>
      <c r="C120" s="230"/>
      <c r="S120" s="230"/>
      <c r="T120" s="230"/>
      <c r="U120" s="213"/>
      <c r="V120" s="213"/>
      <c r="W120" s="213"/>
      <c r="X120" s="213"/>
      <c r="Y120" s="213"/>
      <c r="Z120" s="213"/>
      <c r="AA120" s="213"/>
      <c r="AB120" s="213"/>
      <c r="AC120" s="213"/>
      <c r="AD120" s="507"/>
    </row>
    <row r="121" spans="2:30" ht="16.7" customHeight="1" x14ac:dyDescent="0.25">
      <c r="B121" s="460"/>
      <c r="C121" s="230"/>
      <c r="S121" s="230"/>
      <c r="T121" s="230"/>
      <c r="U121" s="671"/>
      <c r="V121" s="671"/>
      <c r="W121" s="671"/>
      <c r="X121" s="671"/>
      <c r="Y121" s="671"/>
      <c r="Z121" s="671"/>
      <c r="AA121" s="671"/>
      <c r="AB121" s="671"/>
      <c r="AC121" s="671"/>
      <c r="AD121" s="507"/>
    </row>
    <row r="122" spans="2:30" ht="16.7" customHeight="1" x14ac:dyDescent="0.25">
      <c r="B122" s="230"/>
      <c r="C122" s="230"/>
      <c r="S122" s="213"/>
      <c r="T122" s="213"/>
      <c r="U122" s="213"/>
      <c r="V122" s="213"/>
      <c r="W122" s="213"/>
      <c r="X122" s="213"/>
      <c r="Y122" s="213"/>
      <c r="Z122" s="213"/>
      <c r="AA122" s="213"/>
      <c r="AB122" s="213"/>
      <c r="AC122" s="213"/>
      <c r="AD122" s="507"/>
    </row>
    <row r="123" spans="2:30" ht="22.5" customHeight="1" x14ac:dyDescent="0.25">
      <c r="B123" s="273"/>
      <c r="C123" s="230"/>
      <c r="D123" s="213"/>
      <c r="E123" s="213"/>
      <c r="F123" s="213"/>
      <c r="G123" s="213"/>
      <c r="H123" s="213"/>
      <c r="I123" s="213"/>
      <c r="J123" s="213"/>
      <c r="K123" s="213"/>
      <c r="L123" s="213"/>
      <c r="M123" s="213"/>
      <c r="N123" s="213"/>
      <c r="O123" s="213"/>
      <c r="P123" s="213"/>
      <c r="Q123" s="213"/>
      <c r="R123" s="213"/>
      <c r="S123" s="213"/>
      <c r="T123" s="213"/>
      <c r="U123" s="213"/>
      <c r="V123" s="213"/>
      <c r="W123" s="213"/>
      <c r="X123" s="213"/>
      <c r="Y123" s="213"/>
      <c r="Z123" s="213"/>
      <c r="AA123" s="213"/>
      <c r="AB123" s="213"/>
      <c r="AC123" s="213"/>
    </row>
    <row r="124" spans="2:30" ht="22.5" customHeight="1" x14ac:dyDescent="0.25">
      <c r="B124" s="273"/>
      <c r="C124" s="230"/>
      <c r="D124" s="213"/>
      <c r="E124" s="213"/>
      <c r="F124" s="213"/>
      <c r="G124" s="213"/>
      <c r="H124" s="213"/>
      <c r="I124" s="213"/>
      <c r="J124" s="213"/>
      <c r="K124" s="213"/>
      <c r="L124" s="213"/>
      <c r="M124" s="213"/>
      <c r="N124" s="213"/>
      <c r="O124" s="213"/>
      <c r="P124" s="213"/>
      <c r="Q124" s="213"/>
      <c r="R124" s="213"/>
      <c r="S124" s="213"/>
      <c r="T124" s="213"/>
      <c r="U124" s="213"/>
      <c r="V124" s="213"/>
      <c r="W124" s="213"/>
      <c r="X124" s="213"/>
      <c r="Y124" s="213"/>
      <c r="Z124" s="213"/>
      <c r="AA124" s="213"/>
      <c r="AB124" s="213"/>
      <c r="AC124" s="213"/>
    </row>
    <row r="125" spans="2:30" ht="38.450000000000003" customHeight="1" x14ac:dyDescent="0.25">
      <c r="B125" s="478"/>
      <c r="C125" s="703">
        <v>2022</v>
      </c>
      <c r="D125" s="704">
        <v>2023</v>
      </c>
      <c r="E125" s="704">
        <v>2024</v>
      </c>
      <c r="F125" s="705">
        <v>2025</v>
      </c>
      <c r="G125" s="213">
        <v>2026</v>
      </c>
      <c r="H125" s="213"/>
      <c r="I125" s="213"/>
      <c r="J125" s="213"/>
      <c r="K125" s="213"/>
      <c r="L125" s="213"/>
      <c r="M125" s="213"/>
      <c r="N125" s="213"/>
      <c r="O125" s="213"/>
      <c r="P125" s="213"/>
      <c r="Q125" s="213"/>
      <c r="R125" s="213"/>
      <c r="S125" s="213"/>
      <c r="T125" s="213"/>
      <c r="U125" s="213"/>
      <c r="V125" s="213"/>
      <c r="W125" s="213"/>
      <c r="X125" s="213"/>
      <c r="Y125" s="213"/>
      <c r="Z125" s="213"/>
      <c r="AA125" s="213"/>
      <c r="AB125" s="213"/>
      <c r="AC125" s="213"/>
    </row>
    <row r="126" spans="2:30" ht="38.450000000000003" customHeight="1" x14ac:dyDescent="0.25">
      <c r="B126" s="516" t="s">
        <v>1804</v>
      </c>
      <c r="C126" s="256">
        <v>1212.4870000000001</v>
      </c>
      <c r="D126" s="256">
        <v>1344.7529999999999</v>
      </c>
      <c r="E126" s="256">
        <v>1456.7</v>
      </c>
      <c r="F126" s="256">
        <v>1553.5309999999999</v>
      </c>
      <c r="G126" s="256">
        <v>1643.9870000000001</v>
      </c>
      <c r="H126" s="213"/>
      <c r="I126" s="213"/>
      <c r="J126" s="213"/>
      <c r="K126" s="213"/>
      <c r="L126" s="213"/>
      <c r="M126" s="213"/>
      <c r="N126" s="213"/>
      <c r="O126" s="213"/>
      <c r="P126" s="213"/>
      <c r="Q126" s="213"/>
      <c r="R126" s="213"/>
      <c r="S126" s="213"/>
      <c r="T126" s="213"/>
      <c r="U126" s="213"/>
      <c r="V126" s="213"/>
      <c r="W126" s="213"/>
      <c r="X126" s="213"/>
      <c r="Y126" s="213"/>
      <c r="Z126" s="213"/>
      <c r="AA126" s="213"/>
      <c r="AB126" s="213"/>
      <c r="AC126" s="213"/>
    </row>
    <row r="127" spans="2:30" ht="69" customHeight="1" x14ac:dyDescent="0.25">
      <c r="B127" s="273"/>
      <c r="C127" s="230"/>
      <c r="D127" s="213"/>
      <c r="E127" s="213"/>
      <c r="F127" s="213"/>
      <c r="G127" s="213"/>
      <c r="H127" s="213"/>
      <c r="I127" s="213"/>
      <c r="J127" s="213"/>
      <c r="K127" s="213"/>
      <c r="L127" s="213"/>
      <c r="M127" s="213"/>
      <c r="N127" s="213"/>
      <c r="O127" s="213"/>
      <c r="P127" s="213"/>
      <c r="Q127" s="213"/>
      <c r="R127" s="213"/>
      <c r="S127" s="213"/>
      <c r="T127" s="213"/>
      <c r="U127" s="213"/>
      <c r="V127" s="213"/>
      <c r="W127" s="213"/>
      <c r="X127" s="213"/>
      <c r="Y127" s="213"/>
      <c r="Z127" s="213"/>
      <c r="AA127" s="213"/>
      <c r="AB127" s="213"/>
      <c r="AC127" s="213"/>
    </row>
    <row r="128" spans="2:30" x14ac:dyDescent="0.25">
      <c r="B128" s="76" t="s">
        <v>1431</v>
      </c>
      <c r="D128" s="230"/>
      <c r="E128" s="230"/>
      <c r="F128" s="230"/>
      <c r="G128" s="230"/>
      <c r="H128" s="230"/>
      <c r="I128" s="230"/>
      <c r="J128" s="230"/>
      <c r="K128" s="230"/>
      <c r="L128" s="230"/>
      <c r="M128" s="213"/>
      <c r="N128" s="213"/>
      <c r="O128" s="213"/>
      <c r="P128" s="230"/>
    </row>
    <row r="129" spans="2:18" x14ac:dyDescent="0.25">
      <c r="B129" s="552" t="s">
        <v>808</v>
      </c>
      <c r="C129" s="649"/>
      <c r="D129" s="717">
        <v>2021</v>
      </c>
      <c r="E129" s="717">
        <v>2022</v>
      </c>
      <c r="F129" s="717">
        <v>2023</v>
      </c>
      <c r="G129" s="718">
        <v>2024</v>
      </c>
      <c r="R129" s="507"/>
    </row>
    <row r="130" spans="2:18" x14ac:dyDescent="0.25">
      <c r="B130" s="618" t="s">
        <v>809</v>
      </c>
      <c r="C130" s="724"/>
      <c r="D130" s="712">
        <v>3605.8330000000001</v>
      </c>
      <c r="E130" s="712">
        <v>2900</v>
      </c>
      <c r="F130" s="712">
        <f>E130*1.02</f>
        <v>2958</v>
      </c>
      <c r="G130" s="713">
        <f>F130*1.06</f>
        <v>3135.48</v>
      </c>
    </row>
    <row r="131" spans="2:18" x14ac:dyDescent="0.25">
      <c r="B131" s="618" t="s">
        <v>812</v>
      </c>
      <c r="C131" s="714"/>
      <c r="D131" s="707">
        <f>AVERAGE(Medicare!L10:O10)</f>
        <v>858.02499999999998</v>
      </c>
      <c r="E131" s="707">
        <f>AVERAGE(Medicare!P10:S10)</f>
        <v>917.59999999999991</v>
      </c>
      <c r="F131" s="707">
        <f>AVERAGE(Medicare!T10:W10)</f>
        <v>940.125</v>
      </c>
      <c r="G131" s="722">
        <f>AVERAGE(Medicare!X10:AA10)</f>
        <v>973.33695177711047</v>
      </c>
    </row>
    <row r="132" spans="2:18" ht="13.35" customHeight="1" x14ac:dyDescent="0.25">
      <c r="B132" s="618" t="s">
        <v>810</v>
      </c>
      <c r="C132" s="714"/>
      <c r="D132" s="707">
        <f>D130-D131</f>
        <v>2747.808</v>
      </c>
      <c r="E132" s="707">
        <f t="shared" ref="E132:G132" si="40">E130-E131</f>
        <v>1982.4</v>
      </c>
      <c r="F132" s="707">
        <f t="shared" si="40"/>
        <v>2017.875</v>
      </c>
      <c r="G132" s="722">
        <f t="shared" si="40"/>
        <v>2162.1430482228898</v>
      </c>
    </row>
    <row r="133" spans="2:18" x14ac:dyDescent="0.25">
      <c r="B133" s="618" t="s">
        <v>813</v>
      </c>
      <c r="C133" s="714"/>
      <c r="D133" s="707">
        <f>AVERAGE(L12:O12)</f>
        <v>3640.3999999999996</v>
      </c>
      <c r="E133" s="707">
        <f>AVERAGE(P12:S12)</f>
        <v>2903.3749999999995</v>
      </c>
      <c r="F133" s="707">
        <f>AVERAGE(T12:W12)</f>
        <v>2965.6843958333334</v>
      </c>
      <c r="G133" s="722">
        <f>AVERAGE(X12:AA12)</f>
        <v>3159.3469636652062</v>
      </c>
    </row>
    <row r="134" spans="2:18" x14ac:dyDescent="0.25">
      <c r="B134" s="618" t="s">
        <v>812</v>
      </c>
      <c r="C134" s="714"/>
      <c r="D134" s="707">
        <f>AVERAGE(Medicare!L10:O10)</f>
        <v>858.02499999999998</v>
      </c>
      <c r="E134" s="707">
        <f>AVERAGE(Medicare!P10:S10)</f>
        <v>917.59999999999991</v>
      </c>
      <c r="F134" s="707">
        <f>AVERAGE(Medicare!T10:W10)</f>
        <v>940.125</v>
      </c>
      <c r="G134" s="722">
        <f>AVERAGE(Medicare!X10:AA10)</f>
        <v>973.33695177711047</v>
      </c>
    </row>
    <row r="135" spans="2:18" x14ac:dyDescent="0.25">
      <c r="B135" s="618" t="s">
        <v>532</v>
      </c>
      <c r="C135" s="714"/>
      <c r="D135" s="707">
        <f>AVERAGE(L39:O39)</f>
        <v>1587.6399999999999</v>
      </c>
      <c r="E135" s="707">
        <f>AVERAGE(P39:S39)</f>
        <v>1673.6939333333335</v>
      </c>
      <c r="F135" s="707">
        <f>AVERAGE(T39:W39)</f>
        <v>1799.3932004166672</v>
      </c>
      <c r="G135" s="722">
        <f>AVERAGE(X39:AA39)</f>
        <v>1885.7821116500008</v>
      </c>
    </row>
    <row r="136" spans="2:18" ht="27.6" customHeight="1" x14ac:dyDescent="0.25">
      <c r="B136" s="715" t="s">
        <v>811</v>
      </c>
      <c r="C136" s="347"/>
      <c r="D136" s="608"/>
      <c r="E136" s="719">
        <v>1.157</v>
      </c>
      <c r="F136" s="719">
        <v>1.0109999999999999</v>
      </c>
      <c r="G136" s="723">
        <v>1.0529999999999999</v>
      </c>
    </row>
    <row r="137" spans="2:18" x14ac:dyDescent="0.25">
      <c r="B137" s="230" t="s">
        <v>814</v>
      </c>
      <c r="D137" s="720">
        <f>D133-D130</f>
        <v>34.566999999999553</v>
      </c>
      <c r="E137" s="720">
        <f>E133-E130</f>
        <v>3.3749999999995453</v>
      </c>
      <c r="F137" s="720">
        <f>F133-F130</f>
        <v>7.6843958333333831</v>
      </c>
      <c r="G137" s="720">
        <f t="shared" ref="G137" si="41">G133-G130</f>
        <v>23.866963665206185</v>
      </c>
    </row>
    <row r="139" spans="2:18" x14ac:dyDescent="0.25">
      <c r="B139" t="s">
        <v>809</v>
      </c>
      <c r="D139">
        <v>3605.8330000000001</v>
      </c>
      <c r="E139">
        <v>2832.5949999999998</v>
      </c>
      <c r="F139">
        <v>2833.72</v>
      </c>
      <c r="G139">
        <v>2976.7339999999999</v>
      </c>
    </row>
  </sheetData>
  <mergeCells count="33">
    <mergeCell ref="B81:AC81"/>
    <mergeCell ref="B1:AC1"/>
    <mergeCell ref="B2:AC6"/>
    <mergeCell ref="P8:V8"/>
    <mergeCell ref="W8:AC8"/>
    <mergeCell ref="E9:H9"/>
    <mergeCell ref="I9:L9"/>
    <mergeCell ref="M9:P9"/>
    <mergeCell ref="Q9:T9"/>
    <mergeCell ref="Y9:AB9"/>
    <mergeCell ref="B11:C11"/>
    <mergeCell ref="B43:C43"/>
    <mergeCell ref="B51:C51"/>
    <mergeCell ref="B68:C68"/>
    <mergeCell ref="U75:X77"/>
    <mergeCell ref="B82:C84"/>
    <mergeCell ref="D82:V82"/>
    <mergeCell ref="W82:AG82"/>
    <mergeCell ref="E83:H83"/>
    <mergeCell ref="I83:L83"/>
    <mergeCell ref="M83:P83"/>
    <mergeCell ref="Q83:T83"/>
    <mergeCell ref="Y83:AB83"/>
    <mergeCell ref="AC83:AF83"/>
    <mergeCell ref="B93:C95"/>
    <mergeCell ref="D93:V93"/>
    <mergeCell ref="W93:AG93"/>
    <mergeCell ref="E94:H94"/>
    <mergeCell ref="I94:L94"/>
    <mergeCell ref="M94:P94"/>
    <mergeCell ref="Q94:T94"/>
    <mergeCell ref="Y94:AB94"/>
    <mergeCell ref="AC94:AF94"/>
  </mergeCells>
  <pageMargins left="0.7" right="0.7" top="0.75" bottom="0.75" header="0.3" footer="0.3"/>
  <pageSetup paperSize="9" orientation="portrait" horizontalDpi="300" verticalDpi="300"/>
  <drawing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M1:AA37"/>
  <sheetViews>
    <sheetView topLeftCell="M1" workbookViewId="0">
      <selection activeCell="AA15" sqref="AA15"/>
    </sheetView>
  </sheetViews>
  <sheetFormatPr defaultColWidth="10.85546875" defaultRowHeight="15" x14ac:dyDescent="0.25"/>
  <sheetData>
    <row r="1" spans="13:27" x14ac:dyDescent="0.25">
      <c r="M1" s="76" t="s">
        <v>1882</v>
      </c>
      <c r="S1" s="76" t="s">
        <v>1883</v>
      </c>
      <c r="Z1" t="s">
        <v>1917</v>
      </c>
      <c r="AA1" t="s">
        <v>1918</v>
      </c>
    </row>
    <row r="2" spans="13:27" x14ac:dyDescent="0.25">
      <c r="M2" t="s">
        <v>1884</v>
      </c>
      <c r="Q2">
        <v>2952.3</v>
      </c>
      <c r="S2" t="s">
        <v>1884</v>
      </c>
      <c r="X2">
        <v>2952.3</v>
      </c>
      <c r="Z2">
        <v>2917.6753774795288</v>
      </c>
      <c r="AA2" s="662">
        <v>2928.3</v>
      </c>
    </row>
    <row r="3" spans="13:27" x14ac:dyDescent="0.25">
      <c r="M3" t="s">
        <v>1885</v>
      </c>
      <c r="P3" t="s">
        <v>1886</v>
      </c>
      <c r="Q3">
        <v>23.1</v>
      </c>
      <c r="S3" t="s">
        <v>1885</v>
      </c>
      <c r="W3" t="s">
        <v>1886</v>
      </c>
      <c r="X3">
        <v>23.1</v>
      </c>
      <c r="Z3">
        <v>22.62857142857143</v>
      </c>
      <c r="AA3">
        <v>22.62857142857143</v>
      </c>
    </row>
    <row r="4" spans="13:27" x14ac:dyDescent="0.25">
      <c r="M4" t="s">
        <v>55</v>
      </c>
      <c r="P4" t="s">
        <v>1886</v>
      </c>
      <c r="Q4">
        <v>967.3</v>
      </c>
      <c r="S4" t="s">
        <v>55</v>
      </c>
      <c r="W4" t="s">
        <v>1886</v>
      </c>
      <c r="X4">
        <v>967.3</v>
      </c>
      <c r="Z4">
        <v>944.50347271762462</v>
      </c>
      <c r="AA4">
        <v>946.3</v>
      </c>
    </row>
    <row r="5" spans="13:27" x14ac:dyDescent="0.25">
      <c r="M5" t="s">
        <v>56</v>
      </c>
      <c r="P5" t="s">
        <v>1886</v>
      </c>
      <c r="Q5">
        <v>0</v>
      </c>
      <c r="S5" t="s">
        <v>56</v>
      </c>
      <c r="W5" t="s">
        <v>1886</v>
      </c>
      <c r="X5">
        <v>0</v>
      </c>
      <c r="Z5">
        <v>0</v>
      </c>
      <c r="AA5">
        <v>0</v>
      </c>
    </row>
    <row r="6" spans="13:27" x14ac:dyDescent="0.25">
      <c r="M6" t="s">
        <v>1887</v>
      </c>
      <c r="P6" t="s">
        <v>1886</v>
      </c>
      <c r="Q6">
        <v>0</v>
      </c>
      <c r="S6" t="s">
        <v>1887</v>
      </c>
      <c r="W6" t="s">
        <v>1886</v>
      </c>
      <c r="X6">
        <v>0</v>
      </c>
      <c r="Z6">
        <v>0</v>
      </c>
      <c r="AA6">
        <v>0</v>
      </c>
    </row>
    <row r="7" spans="13:27" x14ac:dyDescent="0.25">
      <c r="Q7">
        <f>Q2-SUM(Q3:Q6)</f>
        <v>1961.9</v>
      </c>
      <c r="X7">
        <f>X2-SUM(X3:X6)</f>
        <v>1961.9</v>
      </c>
      <c r="Z7">
        <f>Z2-SUM(Z3:Z6)</f>
        <v>1950.5433333333328</v>
      </c>
      <c r="AA7">
        <f>AA2-SUM(AA3:AA6)</f>
        <v>1959.3714285714289</v>
      </c>
    </row>
    <row r="8" spans="13:27" x14ac:dyDescent="0.25">
      <c r="S8" t="s">
        <v>1888</v>
      </c>
      <c r="W8" t="s">
        <v>1886</v>
      </c>
      <c r="X8">
        <v>34</v>
      </c>
    </row>
    <row r="9" spans="13:27" x14ac:dyDescent="0.25">
      <c r="S9" t="s">
        <v>1888</v>
      </c>
      <c r="W9" t="s">
        <v>1889</v>
      </c>
      <c r="X9">
        <v>34</v>
      </c>
    </row>
    <row r="10" spans="13:27" x14ac:dyDescent="0.25">
      <c r="S10" t="s">
        <v>1890</v>
      </c>
      <c r="W10" t="s">
        <v>1886</v>
      </c>
      <c r="X10">
        <v>37.700000000000003</v>
      </c>
    </row>
    <row r="11" spans="13:27" x14ac:dyDescent="0.25">
      <c r="S11" t="s">
        <v>1890</v>
      </c>
      <c r="W11" t="s">
        <v>1889</v>
      </c>
      <c r="X11">
        <v>37.700000000000003</v>
      </c>
    </row>
    <row r="12" spans="13:27" x14ac:dyDescent="0.25">
      <c r="S12" t="s">
        <v>470</v>
      </c>
      <c r="W12" t="s">
        <v>1886</v>
      </c>
      <c r="X12">
        <v>0</v>
      </c>
    </row>
    <row r="13" spans="13:27" x14ac:dyDescent="0.25">
      <c r="S13" t="s">
        <v>470</v>
      </c>
      <c r="W13" t="s">
        <v>1889</v>
      </c>
      <c r="X13">
        <v>0</v>
      </c>
    </row>
    <row r="14" spans="13:27" x14ac:dyDescent="0.25">
      <c r="S14" t="s">
        <v>1892</v>
      </c>
      <c r="W14" t="s">
        <v>1886</v>
      </c>
      <c r="X14">
        <v>21.9</v>
      </c>
    </row>
    <row r="15" spans="13:27" x14ac:dyDescent="0.25">
      <c r="S15" t="s">
        <v>1892</v>
      </c>
      <c r="W15" t="s">
        <v>1889</v>
      </c>
      <c r="X15">
        <f>X8-X9+X10-X11+X12-X13+X14</f>
        <v>21.9</v>
      </c>
      <c r="Z15">
        <v>21.9</v>
      </c>
      <c r="AA15">
        <v>21.89</v>
      </c>
    </row>
    <row r="16" spans="13:27" x14ac:dyDescent="0.25">
      <c r="X16">
        <f>X7-X8+X9-X10+X11-X12+X13-X14+X15</f>
        <v>1961.9</v>
      </c>
    </row>
    <row r="17" spans="13:27" x14ac:dyDescent="0.25">
      <c r="S17" t="s">
        <v>1891</v>
      </c>
      <c r="W17" t="s">
        <v>1886</v>
      </c>
      <c r="X17">
        <v>12</v>
      </c>
      <c r="Z17">
        <v>12</v>
      </c>
      <c r="AA17">
        <v>12</v>
      </c>
    </row>
    <row r="18" spans="13:27" x14ac:dyDescent="0.25">
      <c r="S18" t="s">
        <v>218</v>
      </c>
      <c r="W18" t="s">
        <v>1886</v>
      </c>
      <c r="X18">
        <v>1.4</v>
      </c>
      <c r="Z18">
        <v>1.4</v>
      </c>
      <c r="AA18">
        <v>1.4</v>
      </c>
    </row>
    <row r="19" spans="13:27" x14ac:dyDescent="0.25">
      <c r="X19">
        <f>X16-X17-X18</f>
        <v>1948.5</v>
      </c>
      <c r="Z19">
        <f>Z7-Z17-Z18+Z15</f>
        <v>1959.0433333333328</v>
      </c>
      <c r="AA19">
        <f>AA7-AA17-AA18+AA15</f>
        <v>1967.8614285714289</v>
      </c>
    </row>
    <row r="21" spans="13:27" x14ac:dyDescent="0.25">
      <c r="M21" s="76" t="s">
        <v>1893</v>
      </c>
    </row>
    <row r="22" spans="13:27" x14ac:dyDescent="0.25">
      <c r="M22" s="733" t="s">
        <v>123</v>
      </c>
      <c r="N22" s="489"/>
      <c r="O22" s="489"/>
      <c r="P22" s="489"/>
      <c r="Q22" s="489"/>
      <c r="R22" s="489"/>
      <c r="S22" s="489"/>
      <c r="T22" s="489"/>
      <c r="U22" s="489"/>
      <c r="V22" s="489"/>
      <c r="W22" s="437"/>
    </row>
    <row r="23" spans="13:27" x14ac:dyDescent="0.25">
      <c r="M23" s="734" t="s">
        <v>1902</v>
      </c>
      <c r="W23" s="214"/>
    </row>
    <row r="24" spans="13:27" x14ac:dyDescent="0.25">
      <c r="M24" s="734" t="s">
        <v>1901</v>
      </c>
      <c r="N24" s="85"/>
      <c r="O24" s="85"/>
      <c r="P24" s="85"/>
      <c r="Q24" s="85"/>
      <c r="R24" s="85"/>
      <c r="S24" s="85"/>
      <c r="T24" s="85"/>
      <c r="U24" s="85"/>
      <c r="V24" s="85"/>
      <c r="W24" s="735"/>
      <c r="X24" s="85"/>
      <c r="Y24" s="85"/>
    </row>
    <row r="25" spans="13:27" x14ac:dyDescent="0.25">
      <c r="M25" s="54" t="s">
        <v>203</v>
      </c>
      <c r="W25" s="214"/>
    </row>
    <row r="26" spans="13:27" x14ac:dyDescent="0.25">
      <c r="M26" s="54" t="s">
        <v>205</v>
      </c>
      <c r="W26" s="214"/>
    </row>
    <row r="27" spans="13:27" x14ac:dyDescent="0.25">
      <c r="M27" s="54" t="s">
        <v>56</v>
      </c>
      <c r="W27" s="214"/>
    </row>
    <row r="28" spans="13:27" x14ac:dyDescent="0.25">
      <c r="M28" s="54" t="s">
        <v>214</v>
      </c>
      <c r="W28" s="214"/>
    </row>
    <row r="29" spans="13:27" x14ac:dyDescent="0.25">
      <c r="M29" s="54" t="s">
        <v>1894</v>
      </c>
      <c r="W29" s="214"/>
    </row>
    <row r="30" spans="13:27" x14ac:dyDescent="0.25">
      <c r="M30" s="736" t="s">
        <v>1895</v>
      </c>
      <c r="N30" s="36"/>
      <c r="O30" s="36"/>
      <c r="P30" s="36"/>
      <c r="Q30" s="36"/>
      <c r="R30" s="36"/>
      <c r="S30" s="36"/>
      <c r="T30" s="36"/>
      <c r="U30" s="36"/>
      <c r="V30" s="36"/>
      <c r="W30" s="215"/>
      <c r="X30" t="s">
        <v>1896</v>
      </c>
    </row>
    <row r="31" spans="13:27" x14ac:dyDescent="0.25">
      <c r="M31" s="737" t="s">
        <v>1891</v>
      </c>
      <c r="N31" s="489"/>
      <c r="O31" s="489"/>
      <c r="P31" s="489"/>
      <c r="Q31" s="489"/>
      <c r="R31" s="489"/>
      <c r="S31" s="489"/>
      <c r="T31" s="489"/>
      <c r="U31" s="489"/>
      <c r="V31" s="489"/>
      <c r="W31" s="437"/>
    </row>
    <row r="32" spans="13:27" x14ac:dyDescent="0.25">
      <c r="M32" s="736" t="s">
        <v>218</v>
      </c>
      <c r="N32" s="36"/>
      <c r="O32" s="36"/>
      <c r="P32" s="36"/>
      <c r="Q32" s="36"/>
      <c r="R32" s="36"/>
      <c r="S32" s="36"/>
      <c r="T32" s="36"/>
      <c r="U32" s="36"/>
      <c r="V32" s="36"/>
      <c r="W32" s="215"/>
      <c r="X32" t="s">
        <v>1897</v>
      </c>
    </row>
    <row r="33" spans="13:24" x14ac:dyDescent="0.25">
      <c r="M33" s="737" t="s">
        <v>135</v>
      </c>
      <c r="N33" s="489"/>
      <c r="O33" s="489"/>
      <c r="P33" s="489"/>
      <c r="Q33" s="489"/>
      <c r="R33" s="489"/>
      <c r="S33" s="489"/>
      <c r="T33" s="489"/>
      <c r="U33" s="489"/>
      <c r="V33" s="489"/>
      <c r="W33" s="437"/>
    </row>
    <row r="34" spans="13:24" x14ac:dyDescent="0.25">
      <c r="M34" s="54" t="s">
        <v>136</v>
      </c>
      <c r="W34" s="214"/>
    </row>
    <row r="35" spans="13:24" x14ac:dyDescent="0.25">
      <c r="M35" s="54" t="s">
        <v>1898</v>
      </c>
      <c r="W35" s="214"/>
    </row>
    <row r="36" spans="13:24" x14ac:dyDescent="0.25">
      <c r="M36" s="54" t="s">
        <v>129</v>
      </c>
      <c r="W36" s="214"/>
    </row>
    <row r="37" spans="13:24" x14ac:dyDescent="0.25">
      <c r="M37" s="736" t="s">
        <v>1899</v>
      </c>
      <c r="N37" s="36"/>
      <c r="O37" s="36"/>
      <c r="P37" s="36"/>
      <c r="Q37" s="36"/>
      <c r="R37" s="36"/>
      <c r="S37" s="36"/>
      <c r="T37" s="36"/>
      <c r="U37" s="36"/>
      <c r="V37" s="36"/>
      <c r="W37" s="215"/>
      <c r="X37" t="s">
        <v>1900</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AJ23"/>
  <sheetViews>
    <sheetView topLeftCell="M1" workbookViewId="0">
      <selection activeCell="AB27" sqref="AB27"/>
    </sheetView>
  </sheetViews>
  <sheetFormatPr defaultColWidth="10.85546875" defaultRowHeight="15" x14ac:dyDescent="0.25"/>
  <sheetData>
    <row r="1" spans="2:36" x14ac:dyDescent="0.25">
      <c r="B1" s="1288" t="s">
        <v>1942</v>
      </c>
      <c r="C1" s="1288"/>
      <c r="D1" s="1288"/>
      <c r="E1" s="1288"/>
      <c r="F1" s="1288"/>
      <c r="G1" s="1288"/>
      <c r="H1" s="1288"/>
      <c r="I1" s="1288"/>
      <c r="J1" s="1288"/>
      <c r="K1" s="1288"/>
      <c r="L1" s="1288"/>
      <c r="M1" s="1288"/>
      <c r="N1" s="1288"/>
      <c r="O1" s="1288"/>
      <c r="P1" s="1288"/>
      <c r="Q1" s="1288"/>
      <c r="R1" s="1288"/>
      <c r="S1" s="1288"/>
      <c r="T1" s="1288"/>
      <c r="U1" s="1288"/>
      <c r="V1" s="1288"/>
      <c r="W1" s="1288"/>
      <c r="X1" s="1288"/>
      <c r="Y1" s="1288"/>
      <c r="Z1" s="1288"/>
      <c r="AA1" s="1288"/>
      <c r="AB1" s="1288"/>
      <c r="AC1" s="1288"/>
    </row>
    <row r="2" spans="2:36" ht="14.25" customHeight="1" x14ac:dyDescent="0.25">
      <c r="B2" s="1363" t="s">
        <v>1943</v>
      </c>
      <c r="C2" s="1363"/>
      <c r="D2" s="1363"/>
      <c r="E2" s="1363"/>
      <c r="F2" s="1363"/>
      <c r="G2" s="1363"/>
      <c r="H2" s="1363"/>
      <c r="I2" s="1363"/>
      <c r="J2" s="1363"/>
      <c r="K2" s="1363"/>
      <c r="L2" s="1363"/>
      <c r="M2" s="1363"/>
      <c r="N2" s="1363"/>
      <c r="O2" s="1363"/>
      <c r="P2" s="1363"/>
      <c r="Q2" s="1363"/>
      <c r="R2" s="1363"/>
      <c r="S2" s="586"/>
      <c r="T2" s="1382"/>
      <c r="U2" s="1382"/>
      <c r="V2" s="1382"/>
      <c r="W2" s="1382"/>
      <c r="X2" s="1382"/>
      <c r="Y2" s="1382"/>
      <c r="Z2" s="1382"/>
      <c r="AA2" s="1382"/>
      <c r="AB2" s="1382"/>
      <c r="AC2" s="1382"/>
    </row>
    <row r="3" spans="2:36" x14ac:dyDescent="0.25">
      <c r="B3" s="1363"/>
      <c r="C3" s="1363"/>
      <c r="D3" s="1363"/>
      <c r="E3" s="1363"/>
      <c r="F3" s="1363"/>
      <c r="G3" s="1363"/>
      <c r="H3" s="1363"/>
      <c r="I3" s="1363"/>
      <c r="J3" s="1363"/>
      <c r="K3" s="1363"/>
      <c r="L3" s="1363"/>
      <c r="M3" s="1363"/>
      <c r="N3" s="1363"/>
      <c r="O3" s="1363"/>
      <c r="P3" s="1363"/>
      <c r="Q3" s="1363"/>
      <c r="R3" s="1363"/>
      <c r="S3" s="586"/>
      <c r="T3" s="1382"/>
      <c r="U3" s="1382"/>
      <c r="V3" s="1382"/>
      <c r="W3" s="1382"/>
      <c r="X3" s="1382"/>
      <c r="Y3" s="1382"/>
      <c r="Z3" s="1382"/>
      <c r="AA3" s="1382"/>
      <c r="AB3" s="1382"/>
      <c r="AC3" s="1382"/>
    </row>
    <row r="4" spans="2:36" ht="21" customHeight="1" x14ac:dyDescent="0.25">
      <c r="B4" s="1363"/>
      <c r="C4" s="1363"/>
      <c r="D4" s="1363"/>
      <c r="E4" s="1363"/>
      <c r="F4" s="1363"/>
      <c r="G4" s="1363"/>
      <c r="H4" s="1363"/>
      <c r="I4" s="1363"/>
      <c r="J4" s="1363"/>
      <c r="K4" s="1363"/>
      <c r="L4" s="1363"/>
      <c r="M4" s="1363"/>
      <c r="N4" s="1363"/>
      <c r="O4" s="1363"/>
      <c r="P4" s="1363"/>
      <c r="Q4" s="1363"/>
      <c r="R4" s="1363"/>
      <c r="S4" s="586"/>
      <c r="T4" s="1382"/>
      <c r="U4" s="1382"/>
      <c r="V4" s="1382"/>
      <c r="W4" s="1382"/>
      <c r="X4" s="1382"/>
      <c r="Y4" s="1382"/>
      <c r="Z4" s="1382"/>
      <c r="AA4" s="1382"/>
      <c r="AB4" s="1382"/>
      <c r="AC4" s="1382"/>
    </row>
    <row r="6" spans="2:36" x14ac:dyDescent="0.25">
      <c r="B6" s="504" t="s">
        <v>333</v>
      </c>
    </row>
    <row r="7" spans="2:36" ht="14.85" customHeight="1" x14ac:dyDescent="0.25">
      <c r="B7" s="1293" t="s">
        <v>1904</v>
      </c>
      <c r="C7" s="1294"/>
      <c r="D7" s="1297" t="s">
        <v>280</v>
      </c>
      <c r="E7" s="1310"/>
      <c r="F7" s="1310"/>
      <c r="G7" s="1310"/>
      <c r="H7" s="1310"/>
      <c r="I7" s="1310"/>
      <c r="J7" s="1310"/>
      <c r="K7" s="1310"/>
      <c r="L7" s="1310"/>
      <c r="M7" s="1310"/>
      <c r="N7" s="1310"/>
      <c r="O7" s="1310"/>
      <c r="P7" s="1310"/>
      <c r="Q7" s="1310"/>
      <c r="R7" s="1310"/>
      <c r="S7" s="1310"/>
      <c r="T7" s="1310"/>
      <c r="U7" s="1311"/>
      <c r="V7" s="1296"/>
      <c r="W7" s="1340" t="s">
        <v>281</v>
      </c>
      <c r="X7" s="1330"/>
      <c r="Y7" s="1330"/>
      <c r="Z7" s="1330"/>
      <c r="AA7" s="1330"/>
      <c r="AB7" s="1330"/>
      <c r="AC7" s="1330"/>
      <c r="AD7" s="1330"/>
      <c r="AE7" s="1330"/>
      <c r="AF7" s="1330"/>
      <c r="AG7" s="1330"/>
    </row>
    <row r="8" spans="2:36" x14ac:dyDescent="0.25">
      <c r="B8" s="1295"/>
      <c r="C8" s="1296"/>
      <c r="D8" s="209">
        <v>2018</v>
      </c>
      <c r="E8" s="1302">
        <v>2019</v>
      </c>
      <c r="F8" s="1303"/>
      <c r="G8" s="1303"/>
      <c r="H8" s="1304"/>
      <c r="I8" s="1302">
        <v>2020</v>
      </c>
      <c r="J8" s="1303"/>
      <c r="K8" s="1303"/>
      <c r="L8" s="1303"/>
      <c r="M8" s="1302">
        <v>2021</v>
      </c>
      <c r="N8" s="1303"/>
      <c r="O8" s="1303"/>
      <c r="P8" s="1325"/>
      <c r="Q8" s="1302">
        <v>2022</v>
      </c>
      <c r="R8" s="1325"/>
      <c r="S8" s="1325"/>
      <c r="T8" s="1325"/>
      <c r="U8" s="229"/>
      <c r="V8" s="278">
        <v>2023</v>
      </c>
      <c r="W8" s="279"/>
      <c r="X8" s="250"/>
      <c r="Y8" s="1300">
        <v>2024</v>
      </c>
      <c r="Z8" s="1312"/>
      <c r="AA8" s="1312"/>
      <c r="AB8" s="1301"/>
      <c r="AC8" s="1299">
        <v>2025</v>
      </c>
      <c r="AD8" s="1312"/>
      <c r="AE8" s="1312"/>
      <c r="AF8" s="1301"/>
      <c r="AG8" s="493">
        <v>2026</v>
      </c>
    </row>
    <row r="9" spans="2:36" x14ac:dyDescent="0.25">
      <c r="B9" s="1297"/>
      <c r="C9" s="1298"/>
      <c r="D9" s="204" t="s">
        <v>282</v>
      </c>
      <c r="E9" s="204" t="s">
        <v>283</v>
      </c>
      <c r="F9" s="205" t="s">
        <v>284</v>
      </c>
      <c r="G9" s="205" t="s">
        <v>238</v>
      </c>
      <c r="H9" s="206" t="s">
        <v>282</v>
      </c>
      <c r="I9" s="205" t="s">
        <v>283</v>
      </c>
      <c r="J9" s="205" t="s">
        <v>284</v>
      </c>
      <c r="K9" s="205" t="s">
        <v>238</v>
      </c>
      <c r="L9" s="205" t="s">
        <v>282</v>
      </c>
      <c r="M9" s="204" t="s">
        <v>283</v>
      </c>
      <c r="N9" s="205" t="s">
        <v>284</v>
      </c>
      <c r="O9" s="205" t="s">
        <v>238</v>
      </c>
      <c r="P9" s="205" t="s">
        <v>282</v>
      </c>
      <c r="Q9" s="204" t="s">
        <v>283</v>
      </c>
      <c r="R9" s="205" t="s">
        <v>284</v>
      </c>
      <c r="S9" s="205" t="s">
        <v>238</v>
      </c>
      <c r="T9" s="205" t="s">
        <v>282</v>
      </c>
      <c r="U9" s="275" t="s">
        <v>283</v>
      </c>
      <c r="V9" s="276" t="s">
        <v>284</v>
      </c>
      <c r="W9" s="260" t="s">
        <v>238</v>
      </c>
      <c r="X9" s="261" t="s">
        <v>282</v>
      </c>
      <c r="Y9" s="260" t="s">
        <v>283</v>
      </c>
      <c r="Z9" s="257" t="s">
        <v>284</v>
      </c>
      <c r="AA9" s="260" t="s">
        <v>238</v>
      </c>
      <c r="AB9" s="260" t="s">
        <v>282</v>
      </c>
      <c r="AC9" s="259" t="s">
        <v>283</v>
      </c>
      <c r="AD9" s="257" t="s">
        <v>284</v>
      </c>
      <c r="AE9" s="260" t="s">
        <v>238</v>
      </c>
      <c r="AF9" s="260" t="s">
        <v>282</v>
      </c>
      <c r="AG9" s="259" t="s">
        <v>283</v>
      </c>
    </row>
    <row r="10" spans="2:36" x14ac:dyDescent="0.25">
      <c r="S10" s="745" t="s">
        <v>184</v>
      </c>
      <c r="T10" s="745" t="s">
        <v>185</v>
      </c>
      <c r="U10" s="745" t="s">
        <v>186</v>
      </c>
      <c r="V10" s="745" t="s">
        <v>187</v>
      </c>
      <c r="W10" s="745" t="s">
        <v>188</v>
      </c>
      <c r="X10" s="745" t="s">
        <v>189</v>
      </c>
      <c r="Y10" s="745" t="s">
        <v>190</v>
      </c>
      <c r="Z10" s="745" t="s">
        <v>191</v>
      </c>
      <c r="AA10" s="745" t="s">
        <v>175</v>
      </c>
      <c r="AB10" s="745" t="s">
        <v>176</v>
      </c>
      <c r="AC10" s="745" t="s">
        <v>177</v>
      </c>
      <c r="AD10" s="745" t="s">
        <v>765</v>
      </c>
      <c r="AE10" s="745" t="s">
        <v>766</v>
      </c>
      <c r="AF10" s="745" t="s">
        <v>767</v>
      </c>
      <c r="AG10" s="745" t="s">
        <v>1157</v>
      </c>
      <c r="AH10" s="745" t="s">
        <v>1158</v>
      </c>
      <c r="AI10" s="745" t="s">
        <v>1159</v>
      </c>
      <c r="AJ10" s="745" t="s">
        <v>1160</v>
      </c>
    </row>
    <row r="11" spans="2:36" x14ac:dyDescent="0.25">
      <c r="S11" s="744"/>
      <c r="T11" s="744"/>
      <c r="U11" s="744"/>
      <c r="V11" s="744"/>
      <c r="W11" s="744"/>
      <c r="X11" s="744"/>
      <c r="Y11" s="744"/>
      <c r="Z11" s="744"/>
      <c r="AA11" s="744"/>
      <c r="AB11" s="744"/>
      <c r="AC11" s="744"/>
      <c r="AD11" s="744"/>
      <c r="AE11" s="744"/>
      <c r="AF11" s="744"/>
      <c r="AG11" s="744"/>
      <c r="AH11" s="744"/>
    </row>
    <row r="12" spans="2:36" x14ac:dyDescent="0.25">
      <c r="B12" s="744" t="s">
        <v>1863</v>
      </c>
      <c r="P12" t="s">
        <v>1863</v>
      </c>
      <c r="S12" s="739">
        <v>9.676624590017175</v>
      </c>
      <c r="T12" s="739">
        <v>9.6670597070816413</v>
      </c>
      <c r="U12" s="739">
        <v>29.968874069165178</v>
      </c>
      <c r="V12" s="739">
        <v>48.407564583050345</v>
      </c>
      <c r="W12" s="739">
        <v>68.860864510897471</v>
      </c>
      <c r="X12" s="739">
        <v>88.107434654608909</v>
      </c>
      <c r="Y12" s="739">
        <v>101.08174054588757</v>
      </c>
      <c r="Z12" s="739">
        <v>103.56513754278419</v>
      </c>
      <c r="AA12" s="739">
        <v>106.00637033635157</v>
      </c>
      <c r="AB12" s="739">
        <v>108.38917414017335</v>
      </c>
      <c r="AC12" s="739">
        <v>110.69246087615031</v>
      </c>
      <c r="AD12" s="739">
        <v>112.95035167958687</v>
      </c>
      <c r="AE12" s="739">
        <v>115.16440141682602</v>
      </c>
      <c r="AF12" s="739">
        <v>117.3462460140392</v>
      </c>
      <c r="AG12" s="739">
        <v>118.52500129333946</v>
      </c>
      <c r="AH12" s="741">
        <v>40</v>
      </c>
      <c r="AI12" s="741"/>
      <c r="AJ12" s="741"/>
    </row>
    <row r="13" spans="2:36" x14ac:dyDescent="0.25">
      <c r="B13" s="744" t="s">
        <v>1864</v>
      </c>
      <c r="P13" t="s">
        <v>1864</v>
      </c>
      <c r="S13" s="740">
        <f>Deflators!S71</f>
        <v>1.1690178087443976</v>
      </c>
      <c r="T13" s="740">
        <f>Deflators!T71</f>
        <v>1.1809720922261624</v>
      </c>
      <c r="U13" s="740">
        <f>Deflators!U71</f>
        <v>1.1930855683769892</v>
      </c>
      <c r="V13" s="740">
        <f>Deflators!V71</f>
        <v>1.2004353606715503</v>
      </c>
      <c r="W13" s="740">
        <f>Deflators!W71</f>
        <v>1.208137684815088</v>
      </c>
      <c r="X13" s="740">
        <f>Deflators!X71</f>
        <v>1.2135025374197232</v>
      </c>
      <c r="Y13" s="740">
        <f>Deflators!Y71</f>
        <v>1.2236809385660088</v>
      </c>
      <c r="Z13" s="740">
        <f>Deflators!Z71</f>
        <v>1.233275799935512</v>
      </c>
      <c r="AA13" s="740">
        <f>Deflators!AA71</f>
        <v>1.2401475124550019</v>
      </c>
      <c r="AB13" s="740">
        <f>Deflators!AB71</f>
        <v>1.246450659789168</v>
      </c>
      <c r="AC13" s="740">
        <f>Deflators!AC71</f>
        <v>1.2531877614899707</v>
      </c>
      <c r="AD13" s="740">
        <f>Deflators!AD71</f>
        <v>1.2598936725213026</v>
      </c>
      <c r="AE13" s="740">
        <f>Deflators!AE71</f>
        <v>1.2663663310581259</v>
      </c>
      <c r="AF13" s="740">
        <f>Deflators!AF71</f>
        <v>1.2726857847671909</v>
      </c>
      <c r="AG13" s="740">
        <f>Deflators!AG71</f>
        <v>1.2789269673291086</v>
      </c>
      <c r="AH13" s="742">
        <f>Deflators!AH71</f>
        <v>0</v>
      </c>
      <c r="AI13" s="741"/>
      <c r="AJ13" s="741"/>
    </row>
    <row r="14" spans="2:36" x14ac:dyDescent="0.25">
      <c r="B14" s="744" t="s">
        <v>1865</v>
      </c>
      <c r="P14" t="s">
        <v>1865</v>
      </c>
      <c r="S14">
        <f>S12*S13</f>
        <v>11.312146474264033</v>
      </c>
      <c r="T14">
        <f t="shared" ref="T14:AJ14" si="0">T12*T13</f>
        <v>11.416527727947438</v>
      </c>
      <c r="U14">
        <f t="shared" si="0"/>
        <v>35.755431152428351</v>
      </c>
      <c r="V14">
        <f t="shared" si="0"/>
        <v>58.110152249485409</v>
      </c>
      <c r="W14">
        <f t="shared" si="0"/>
        <v>83.193405424561121</v>
      </c>
      <c r="X14">
        <f t="shared" si="0"/>
        <v>106.91859551891037</v>
      </c>
      <c r="Y14">
        <f t="shared" si="0"/>
        <v>123.69179914307749</v>
      </c>
      <c r="Z14">
        <f t="shared" si="0"/>
        <v>127.72437784850848</v>
      </c>
      <c r="AA14">
        <f t="shared" si="0"/>
        <v>131.46353647701008</v>
      </c>
      <c r="AB14">
        <f t="shared" si="0"/>
        <v>135.1017576210221</v>
      </c>
      <c r="AC14">
        <f t="shared" si="0"/>
        <v>138.71843725919896</v>
      </c>
      <c r="AD14">
        <f t="shared" si="0"/>
        <v>142.30543339016739</v>
      </c>
      <c r="AE14">
        <f t="shared" si="0"/>
        <v>145.84032049073122</v>
      </c>
      <c r="AF14">
        <f t="shared" si="0"/>
        <v>149.34489919786131</v>
      </c>
      <c r="AG14">
        <f t="shared" si="0"/>
        <v>151.58482045676931</v>
      </c>
      <c r="AH14" s="738">
        <f t="shared" si="0"/>
        <v>0</v>
      </c>
      <c r="AI14" s="738">
        <f t="shared" si="0"/>
        <v>0</v>
      </c>
      <c r="AJ14" s="738">
        <f t="shared" si="0"/>
        <v>0</v>
      </c>
    </row>
    <row r="16" spans="2:36" x14ac:dyDescent="0.25">
      <c r="Z16">
        <f>Z17-Y17</f>
        <v>-3.5714285714285552</v>
      </c>
      <c r="AA16">
        <f t="shared" ref="AA16:AG16" si="1">AA17-Z17</f>
        <v>-9.7523809523809462</v>
      </c>
      <c r="AB16">
        <f t="shared" si="1"/>
        <v>-9.4476190476190567</v>
      </c>
      <c r="AC16">
        <f t="shared" si="1"/>
        <v>-13.228571428571442</v>
      </c>
      <c r="AD16">
        <f t="shared" si="1"/>
        <v>-11</v>
      </c>
      <c r="AE16">
        <f t="shared" si="1"/>
        <v>-8</v>
      </c>
      <c r="AF16">
        <f t="shared" si="1"/>
        <v>0</v>
      </c>
      <c r="AG16">
        <f t="shared" si="1"/>
        <v>0</v>
      </c>
    </row>
    <row r="17" spans="16:34" x14ac:dyDescent="0.25">
      <c r="P17" s="743" t="s">
        <v>1863</v>
      </c>
      <c r="Q17" s="743"/>
      <c r="R17" s="743"/>
      <c r="S17" s="743">
        <v>9.1428571428571441</v>
      </c>
      <c r="T17" s="743">
        <v>9.1428571428571441</v>
      </c>
      <c r="U17" s="743">
        <v>28.342857142857145</v>
      </c>
      <c r="V17" s="743">
        <v>45.714285714285722</v>
      </c>
      <c r="W17" s="743">
        <v>65</v>
      </c>
      <c r="X17" s="743">
        <v>83</v>
      </c>
      <c r="Y17" s="743">
        <v>95</v>
      </c>
      <c r="Z17" s="743">
        <v>91.428571428571445</v>
      </c>
      <c r="AA17" s="743">
        <v>81.676190476190499</v>
      </c>
      <c r="AB17" s="743">
        <v>72.228571428571442</v>
      </c>
      <c r="AC17" s="743">
        <v>59</v>
      </c>
      <c r="AD17" s="743">
        <v>48</v>
      </c>
      <c r="AE17" s="743">
        <v>40</v>
      </c>
      <c r="AF17" s="743">
        <v>40</v>
      </c>
      <c r="AG17" s="743">
        <v>40</v>
      </c>
      <c r="AH17" s="743">
        <v>40</v>
      </c>
    </row>
    <row r="18" spans="16:34" x14ac:dyDescent="0.25">
      <c r="P18" s="743" t="s">
        <v>1864</v>
      </c>
      <c r="Q18" s="743"/>
      <c r="R18" s="743"/>
      <c r="S18" s="743">
        <v>1.2372660206226285</v>
      </c>
      <c r="T18" s="743">
        <v>1.248682720244251</v>
      </c>
      <c r="U18" s="743">
        <v>1.2615323491280164</v>
      </c>
      <c r="V18" s="743">
        <v>1.2711595804574931</v>
      </c>
      <c r="W18" s="743">
        <v>1.2805988589197217</v>
      </c>
      <c r="X18" s="743">
        <v>1.2903026473835131</v>
      </c>
      <c r="Y18" s="743">
        <v>1.2992703261336995</v>
      </c>
      <c r="Z18" s="743">
        <v>1.3072384685165053</v>
      </c>
      <c r="AA18" s="743">
        <v>1.3154269306958029</v>
      </c>
      <c r="AB18" s="743">
        <v>1.3233344552591992</v>
      </c>
      <c r="AC18" s="743">
        <v>1.3308984310938612</v>
      </c>
      <c r="AD18" s="743">
        <v>1.3383543012580754</v>
      </c>
      <c r="AE18" s="743">
        <v>1.3457221150918501</v>
      </c>
      <c r="AF18" s="743">
        <v>1.3530984416878797</v>
      </c>
      <c r="AG18" s="743">
        <v>0</v>
      </c>
      <c r="AH18" s="743">
        <v>0</v>
      </c>
    </row>
    <row r="19" spans="16:34" x14ac:dyDescent="0.25">
      <c r="P19" s="743" t="s">
        <v>1865</v>
      </c>
      <c r="Q19" s="743"/>
      <c r="R19" s="743"/>
      <c r="S19" s="743">
        <v>11.312146474264033</v>
      </c>
      <c r="T19" s="743">
        <v>11.41652772794744</v>
      </c>
      <c r="U19" s="743">
        <v>35.755431152428351</v>
      </c>
      <c r="V19" s="743">
        <v>58.110152249485409</v>
      </c>
      <c r="W19" s="743">
        <v>83.238925829781905</v>
      </c>
      <c r="X19" s="743">
        <v>107.09511973283159</v>
      </c>
      <c r="Y19" s="743">
        <v>123.43068098270146</v>
      </c>
      <c r="Z19" s="743">
        <v>119.51894569293765</v>
      </c>
      <c r="AA19" s="743">
        <v>107.43906054902104</v>
      </c>
      <c r="AB19" s="743">
        <v>95.582557225578753</v>
      </c>
      <c r="AC19" s="743">
        <v>78.523007434537817</v>
      </c>
      <c r="AD19" s="743">
        <v>64.241006460387624</v>
      </c>
      <c r="AE19" s="743">
        <v>53.828884603674005</v>
      </c>
      <c r="AF19" s="743">
        <v>54.1239376675152</v>
      </c>
      <c r="AG19" s="743">
        <v>48</v>
      </c>
      <c r="AH19" s="743">
        <v>0</v>
      </c>
    </row>
    <row r="21" spans="16:34" x14ac:dyDescent="0.25">
      <c r="S21">
        <f>S19/S13</f>
        <v>9.676624590017175</v>
      </c>
      <c r="T21">
        <f t="shared" ref="T21:Y21" si="2">T19/T13</f>
        <v>9.6670597070816413</v>
      </c>
      <c r="U21">
        <f t="shared" si="2"/>
        <v>29.968874069165178</v>
      </c>
      <c r="V21">
        <f t="shared" si="2"/>
        <v>48.407564583050345</v>
      </c>
      <c r="W21">
        <f t="shared" si="2"/>
        <v>68.89854267108808</v>
      </c>
      <c r="X21">
        <f t="shared" si="2"/>
        <v>88.252901358202763</v>
      </c>
      <c r="Y21">
        <f t="shared" si="2"/>
        <v>100.86835309157124</v>
      </c>
    </row>
    <row r="22" spans="16:34" x14ac:dyDescent="0.25">
      <c r="Z22">
        <f>Z16+7</f>
        <v>3.4285714285714448</v>
      </c>
      <c r="AA22">
        <f>AA16+14</f>
        <v>4.2476190476190538</v>
      </c>
      <c r="AB22">
        <f>AB16+21</f>
        <v>11.552380952380943</v>
      </c>
      <c r="AC22">
        <f>AC16+28</f>
        <v>14.771428571428558</v>
      </c>
      <c r="AD22">
        <f>AD16+35</f>
        <v>24</v>
      </c>
      <c r="AE22">
        <f>AE16+42</f>
        <v>34</v>
      </c>
      <c r="AF22">
        <f>AF16+49</f>
        <v>49</v>
      </c>
      <c r="AG22">
        <f>AG16+56</f>
        <v>56</v>
      </c>
    </row>
    <row r="23" spans="16:34" x14ac:dyDescent="0.25">
      <c r="S23">
        <f>S17</f>
        <v>9.1428571428571441</v>
      </c>
      <c r="T23">
        <f t="shared" ref="T23:Y23" si="3">T17</f>
        <v>9.1428571428571441</v>
      </c>
      <c r="U23">
        <f t="shared" si="3"/>
        <v>28.342857142857145</v>
      </c>
      <c r="V23">
        <f t="shared" si="3"/>
        <v>45.714285714285722</v>
      </c>
      <c r="W23">
        <f t="shared" si="3"/>
        <v>65</v>
      </c>
      <c r="X23">
        <f t="shared" si="3"/>
        <v>83</v>
      </c>
      <c r="Y23">
        <f t="shared" si="3"/>
        <v>95</v>
      </c>
      <c r="Z23">
        <f>Y23+Z22</f>
        <v>98.428571428571445</v>
      </c>
      <c r="AA23">
        <f t="shared" ref="AA23:AG23" si="4">Z23+AA22</f>
        <v>102.6761904761905</v>
      </c>
      <c r="AB23">
        <f t="shared" si="4"/>
        <v>114.22857142857144</v>
      </c>
      <c r="AC23">
        <f t="shared" si="4"/>
        <v>129</v>
      </c>
      <c r="AD23">
        <f t="shared" si="4"/>
        <v>153</v>
      </c>
      <c r="AE23">
        <f t="shared" si="4"/>
        <v>187</v>
      </c>
      <c r="AF23">
        <f t="shared" si="4"/>
        <v>236</v>
      </c>
      <c r="AG23">
        <f t="shared" si="4"/>
        <v>292</v>
      </c>
    </row>
  </sheetData>
  <mergeCells count="12">
    <mergeCell ref="Y8:AB8"/>
    <mergeCell ref="AC8:AF8"/>
    <mergeCell ref="B1:AC1"/>
    <mergeCell ref="B2:R4"/>
    <mergeCell ref="T2:AC4"/>
    <mergeCell ref="B7:C9"/>
    <mergeCell ref="D7:V7"/>
    <mergeCell ref="W7:AG7"/>
    <mergeCell ref="E8:H8"/>
    <mergeCell ref="I8:L8"/>
    <mergeCell ref="M8:P8"/>
    <mergeCell ref="Q8:T8"/>
  </mergeCells>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C1:BP147"/>
  <sheetViews>
    <sheetView topLeftCell="C1" zoomScale="87" zoomScaleNormal="87" workbookViewId="0">
      <selection activeCell="D135" sqref="D135:AC135"/>
    </sheetView>
  </sheetViews>
  <sheetFormatPr defaultColWidth="10.85546875" defaultRowHeight="15" x14ac:dyDescent="0.25"/>
  <cols>
    <col min="1" max="2" width="0" hidden="1" customWidth="1"/>
    <col min="4" max="4" width="45.140625" customWidth="1"/>
    <col min="5" max="5" width="11.140625" customWidth="1"/>
    <col min="11" max="11" width="10.85546875" customWidth="1"/>
    <col min="12" max="12" width="24.7109375" customWidth="1"/>
    <col min="13" max="13" width="12.42578125" customWidth="1"/>
    <col min="14" max="15" width="13.42578125" customWidth="1"/>
    <col min="16" max="16" width="11.140625" customWidth="1"/>
    <col min="19" max="19" width="12" customWidth="1"/>
    <col min="31" max="31" width="17.85546875" customWidth="1"/>
  </cols>
  <sheetData>
    <row r="1" spans="4:56" x14ac:dyDescent="0.25">
      <c r="D1" s="1288" t="s">
        <v>58</v>
      </c>
      <c r="E1" s="1288"/>
      <c r="F1" s="1288"/>
      <c r="G1" s="1288"/>
      <c r="H1" s="1288"/>
      <c r="I1" s="1288"/>
      <c r="J1" s="1288"/>
      <c r="K1" s="1288"/>
      <c r="L1" s="1288"/>
      <c r="M1" s="1288"/>
      <c r="N1" s="1288"/>
      <c r="O1" s="1288"/>
      <c r="P1" s="1288"/>
      <c r="Q1" s="1288"/>
      <c r="R1" s="1288"/>
      <c r="S1" s="1288"/>
      <c r="T1" s="1288"/>
      <c r="U1" s="1288"/>
      <c r="V1" s="1288"/>
      <c r="W1" s="1288"/>
      <c r="X1" s="1288"/>
      <c r="Y1" s="1288"/>
      <c r="Z1" s="1288"/>
      <c r="AA1" s="1288"/>
      <c r="AB1" s="1288"/>
      <c r="AC1" s="1288"/>
    </row>
    <row r="2" spans="4:56" ht="14.25" customHeight="1" x14ac:dyDescent="0.25">
      <c r="D2" s="1332" t="s">
        <v>912</v>
      </c>
      <c r="E2" s="1332"/>
      <c r="F2" s="1332"/>
      <c r="G2" s="1332"/>
      <c r="H2" s="1332"/>
      <c r="I2" s="1332"/>
      <c r="J2" s="1332"/>
      <c r="K2" s="1332"/>
      <c r="L2" s="1332"/>
      <c r="M2" s="1332"/>
      <c r="N2" s="1332"/>
      <c r="O2" s="1332"/>
      <c r="P2" s="1332"/>
      <c r="Q2" s="1332"/>
      <c r="R2" s="1332"/>
      <c r="S2" s="1332"/>
      <c r="T2" s="1332"/>
      <c r="U2" s="1332"/>
      <c r="V2" s="1332"/>
      <c r="W2" s="1332"/>
      <c r="X2" s="1332"/>
      <c r="Y2" s="1332"/>
      <c r="Z2" s="1332"/>
      <c r="AA2" s="1332"/>
      <c r="AB2" s="1332"/>
      <c r="AC2" s="1332"/>
    </row>
    <row r="3" spans="4:56" ht="84.75" customHeight="1" x14ac:dyDescent="0.25">
      <c r="D3" s="1332"/>
      <c r="E3" s="1332"/>
      <c r="F3" s="1332"/>
      <c r="G3" s="1332"/>
      <c r="H3" s="1332"/>
      <c r="I3" s="1332"/>
      <c r="J3" s="1332"/>
      <c r="K3" s="1332"/>
      <c r="L3" s="1332"/>
      <c r="M3" s="1332"/>
      <c r="N3" s="1332"/>
      <c r="O3" s="1332"/>
      <c r="P3" s="1332"/>
      <c r="Q3" s="1332"/>
      <c r="R3" s="1332"/>
      <c r="S3" s="1332"/>
      <c r="T3" s="1332"/>
      <c r="U3" s="1332"/>
      <c r="V3" s="1332"/>
      <c r="W3" s="1332"/>
      <c r="X3" s="1332"/>
      <c r="Y3" s="1332"/>
      <c r="Z3" s="1332"/>
      <c r="AA3" s="1332"/>
      <c r="AB3" s="1332"/>
      <c r="AC3" s="1332"/>
    </row>
    <row r="4" spans="4:56" x14ac:dyDescent="0.25">
      <c r="D4" s="753" t="s">
        <v>333</v>
      </c>
      <c r="W4" s="35"/>
    </row>
    <row r="5" spans="4:56" x14ac:dyDescent="0.25">
      <c r="D5" s="1293" t="s">
        <v>404</v>
      </c>
      <c r="E5" s="1294"/>
      <c r="F5" s="1403" t="s">
        <v>280</v>
      </c>
      <c r="G5" s="1404"/>
      <c r="H5" s="1404"/>
      <c r="I5" s="1404"/>
      <c r="J5" s="1404"/>
      <c r="K5" s="1404"/>
      <c r="L5" s="1404"/>
      <c r="M5" s="1404"/>
      <c r="N5" s="1404"/>
      <c r="O5" s="1404"/>
      <c r="P5" s="1404"/>
      <c r="Q5" s="1404"/>
      <c r="R5" s="1404"/>
      <c r="S5" s="1404"/>
      <c r="T5" s="1404"/>
      <c r="U5" s="1404"/>
      <c r="V5" s="1405"/>
      <c r="W5" s="1340" t="s">
        <v>281</v>
      </c>
      <c r="X5" s="1330"/>
      <c r="Y5" s="1330"/>
      <c r="Z5" s="1330"/>
      <c r="AA5" s="1330"/>
      <c r="AB5" s="1330"/>
      <c r="AC5" s="1330"/>
      <c r="AD5" s="1330"/>
      <c r="AE5" s="1330"/>
      <c r="AF5" s="1330"/>
      <c r="AG5" s="1330"/>
      <c r="AH5" s="841"/>
      <c r="AI5" s="841"/>
      <c r="AJ5" s="841"/>
      <c r="AK5" s="841"/>
      <c r="AL5" s="841"/>
      <c r="AM5" s="841"/>
      <c r="AN5" s="841"/>
      <c r="AO5" s="841"/>
      <c r="AP5" s="841"/>
      <c r="AQ5" s="841"/>
      <c r="AR5" s="841"/>
      <c r="AS5" s="841"/>
      <c r="AT5" s="841"/>
      <c r="AU5" s="841"/>
      <c r="AV5" s="841"/>
      <c r="AW5" s="841"/>
      <c r="AX5" s="841"/>
      <c r="AY5" s="841"/>
      <c r="AZ5" s="841"/>
      <c r="BA5" s="841"/>
      <c r="BB5" s="841"/>
      <c r="BC5" s="841"/>
      <c r="BD5" s="841"/>
    </row>
    <row r="6" spans="4:56" x14ac:dyDescent="0.25">
      <c r="D6" s="1295"/>
      <c r="E6" s="1311"/>
      <c r="F6" s="1290">
        <v>2019</v>
      </c>
      <c r="G6" s="1291"/>
      <c r="H6" s="1292"/>
      <c r="I6" s="1291">
        <v>2020</v>
      </c>
      <c r="J6" s="1291"/>
      <c r="K6" s="1291"/>
      <c r="L6" s="1291"/>
      <c r="M6" s="1302">
        <v>2021</v>
      </c>
      <c r="N6" s="1303"/>
      <c r="O6" s="1303"/>
      <c r="P6" s="1303"/>
      <c r="Q6" s="1302">
        <v>2022</v>
      </c>
      <c r="R6" s="1325"/>
      <c r="S6" s="1325"/>
      <c r="T6" s="1304"/>
      <c r="U6" s="278"/>
      <c r="V6" s="278">
        <v>2023</v>
      </c>
      <c r="W6" s="543"/>
      <c r="X6" s="250"/>
      <c r="Y6" s="1299">
        <v>2024</v>
      </c>
      <c r="Z6" s="1312"/>
      <c r="AA6" s="1312"/>
      <c r="AB6" s="1301"/>
      <c r="AC6" s="1299">
        <v>2025</v>
      </c>
      <c r="AD6" s="1312"/>
      <c r="AE6" s="1312"/>
      <c r="AF6" s="1301"/>
      <c r="AG6" s="493">
        <v>2026</v>
      </c>
      <c r="AH6" s="842"/>
      <c r="AI6" s="842"/>
      <c r="AJ6" s="842"/>
      <c r="AK6" s="842"/>
      <c r="AL6" s="842"/>
      <c r="AM6" s="842"/>
      <c r="AN6" s="842"/>
      <c r="AO6" s="842"/>
      <c r="AP6" s="842"/>
      <c r="AQ6" s="842"/>
      <c r="AR6" s="842"/>
      <c r="AS6" s="842"/>
      <c r="AT6" s="842"/>
      <c r="AU6" s="842"/>
      <c r="AV6" s="842"/>
      <c r="AW6" s="842"/>
      <c r="AX6" s="842"/>
      <c r="AY6" s="842"/>
      <c r="AZ6" s="842"/>
      <c r="BA6" s="842"/>
      <c r="BB6" s="842"/>
      <c r="BC6" s="842"/>
    </row>
    <row r="7" spans="4:56" x14ac:dyDescent="0.25">
      <c r="D7" s="1297"/>
      <c r="E7" s="1310"/>
      <c r="F7" s="204" t="s">
        <v>284</v>
      </c>
      <c r="G7" s="205" t="s">
        <v>238</v>
      </c>
      <c r="H7" s="206" t="s">
        <v>282</v>
      </c>
      <c r="I7" s="205" t="s">
        <v>283</v>
      </c>
      <c r="J7" s="205" t="s">
        <v>284</v>
      </c>
      <c r="K7" s="205" t="s">
        <v>238</v>
      </c>
      <c r="L7" s="205" t="s">
        <v>282</v>
      </c>
      <c r="M7" s="204" t="s">
        <v>283</v>
      </c>
      <c r="N7" s="205" t="s">
        <v>284</v>
      </c>
      <c r="O7" s="205" t="s">
        <v>238</v>
      </c>
      <c r="P7" s="205" t="s">
        <v>282</v>
      </c>
      <c r="Q7" s="204" t="s">
        <v>283</v>
      </c>
      <c r="R7" s="205" t="s">
        <v>284</v>
      </c>
      <c r="S7" s="205" t="s">
        <v>238</v>
      </c>
      <c r="T7" s="206" t="s">
        <v>282</v>
      </c>
      <c r="U7" s="205" t="s">
        <v>283</v>
      </c>
      <c r="V7" s="276" t="s">
        <v>284</v>
      </c>
      <c r="W7" s="316" t="s">
        <v>238</v>
      </c>
      <c r="X7" s="422" t="s">
        <v>282</v>
      </c>
      <c r="Y7" s="423" t="s">
        <v>283</v>
      </c>
      <c r="Z7" s="323" t="s">
        <v>284</v>
      </c>
      <c r="AA7" s="316" t="s">
        <v>238</v>
      </c>
      <c r="AB7" s="316" t="s">
        <v>282</v>
      </c>
      <c r="AC7" s="259" t="s">
        <v>283</v>
      </c>
      <c r="AD7" s="257" t="s">
        <v>284</v>
      </c>
      <c r="AE7" s="260" t="s">
        <v>238</v>
      </c>
      <c r="AF7" s="260" t="s">
        <v>282</v>
      </c>
      <c r="AG7" s="259" t="s">
        <v>283</v>
      </c>
      <c r="AH7" s="819"/>
      <c r="AI7" s="819"/>
      <c r="AJ7" s="819"/>
      <c r="AK7" s="819"/>
      <c r="AL7" s="819"/>
      <c r="AM7" s="819"/>
      <c r="AN7" s="819"/>
      <c r="AO7" s="819"/>
      <c r="AP7" s="819"/>
      <c r="AQ7" s="819"/>
      <c r="AR7" s="819"/>
      <c r="AS7" s="819"/>
      <c r="AT7" s="819"/>
      <c r="AU7" s="819"/>
      <c r="AV7" s="819"/>
      <c r="AW7" s="819"/>
      <c r="AX7" s="819"/>
      <c r="AY7" s="819"/>
      <c r="AZ7" s="819"/>
      <c r="BA7" s="819"/>
      <c r="BB7" s="819"/>
      <c r="BC7" s="819"/>
    </row>
    <row r="8" spans="4:56" x14ac:dyDescent="0.25">
      <c r="D8" s="770" t="s">
        <v>466</v>
      </c>
      <c r="E8" s="69"/>
      <c r="F8" s="764"/>
      <c r="G8" s="765"/>
      <c r="H8" s="765"/>
      <c r="I8" s="765"/>
      <c r="J8" s="765"/>
      <c r="K8" s="765"/>
      <c r="L8" s="765"/>
      <c r="M8" s="765"/>
      <c r="N8" s="765"/>
      <c r="O8" s="765"/>
      <c r="P8" s="765"/>
      <c r="Q8" s="765"/>
      <c r="R8" s="765"/>
      <c r="S8" s="765"/>
      <c r="T8" s="765"/>
      <c r="U8" s="818"/>
      <c r="V8" s="818"/>
      <c r="W8" s="818"/>
      <c r="X8" s="765"/>
      <c r="Y8" s="766"/>
      <c r="Z8" s="766"/>
      <c r="AA8" s="766"/>
      <c r="AB8" s="766"/>
      <c r="AC8" s="862"/>
      <c r="AD8" s="862"/>
      <c r="AE8" s="862"/>
      <c r="AF8" s="862"/>
      <c r="AG8" s="862"/>
      <c r="AH8" s="671"/>
      <c r="AI8" s="671"/>
      <c r="AJ8" s="671"/>
      <c r="AK8" s="671"/>
      <c r="AL8" s="671"/>
      <c r="AM8" s="671"/>
      <c r="AN8" s="671"/>
      <c r="AO8" s="671"/>
      <c r="AP8" s="671"/>
      <c r="AQ8" s="671"/>
      <c r="AR8" s="671"/>
      <c r="AS8" s="671"/>
      <c r="AT8" s="671"/>
      <c r="AU8" s="671"/>
      <c r="AV8" s="671"/>
      <c r="AW8" s="671"/>
      <c r="AX8" s="671"/>
      <c r="AY8" s="671"/>
      <c r="AZ8" s="671"/>
      <c r="BA8" s="671"/>
      <c r="BB8" s="671"/>
      <c r="BC8" s="671"/>
    </row>
    <row r="9" spans="4:56" ht="14.85" customHeight="1" x14ac:dyDescent="0.25">
      <c r="D9" s="480" t="s">
        <v>481</v>
      </c>
      <c r="E9" s="769"/>
      <c r="F9" s="814">
        <f t="shared" ref="F9:S9" si="0">SUM(F10:F14)</f>
        <v>3262.7999999999997</v>
      </c>
      <c r="G9" s="814">
        <f t="shared" si="0"/>
        <v>3288.1000000000004</v>
      </c>
      <c r="H9" s="814">
        <f t="shared" si="0"/>
        <v>3338</v>
      </c>
      <c r="I9" s="814">
        <f t="shared" si="0"/>
        <v>3404.2999999999997</v>
      </c>
      <c r="J9" s="814">
        <f t="shared" si="0"/>
        <v>3145.3</v>
      </c>
      <c r="K9" s="814">
        <f t="shared" si="0"/>
        <v>3330.5</v>
      </c>
      <c r="L9" s="814">
        <f t="shared" si="0"/>
        <v>3493.7000000000003</v>
      </c>
      <c r="M9" s="814">
        <f t="shared" si="0"/>
        <v>3658.9</v>
      </c>
      <c r="N9" s="814">
        <f t="shared" si="0"/>
        <v>3818.6000000000004</v>
      </c>
      <c r="O9" s="814">
        <f t="shared" si="0"/>
        <v>3938.9</v>
      </c>
      <c r="P9" s="814">
        <f t="shared" si="0"/>
        <v>4059.7000000000003</v>
      </c>
      <c r="Q9" s="814">
        <f t="shared" si="0"/>
        <v>4353.7</v>
      </c>
      <c r="R9" s="814">
        <f t="shared" si="0"/>
        <v>4373.2</v>
      </c>
      <c r="S9" s="814">
        <f t="shared" si="0"/>
        <v>4423.7</v>
      </c>
      <c r="T9" s="814">
        <f t="shared" ref="T9:AG9" si="1">SUM(T10,T12,T14)</f>
        <v>4387.7</v>
      </c>
      <c r="U9" s="814">
        <f t="shared" si="1"/>
        <v>4116.5</v>
      </c>
      <c r="V9" s="814">
        <f t="shared" si="1"/>
        <v>4129.2</v>
      </c>
      <c r="W9" s="814">
        <f t="shared" si="1"/>
        <v>4161.7</v>
      </c>
      <c r="X9" s="814">
        <f t="shared" si="1"/>
        <v>4178.3</v>
      </c>
      <c r="Y9" s="853">
        <f t="shared" si="1"/>
        <v>4382.3999999999996</v>
      </c>
      <c r="Z9" s="853">
        <f t="shared" si="1"/>
        <v>4466.4781167791452</v>
      </c>
      <c r="AA9" s="853">
        <f t="shared" si="1"/>
        <v>4499.1038589525842</v>
      </c>
      <c r="AB9" s="853">
        <f t="shared" si="1"/>
        <v>4530.2422654829452</v>
      </c>
      <c r="AC9" s="853">
        <f t="shared" si="1"/>
        <v>4652.7384420817316</v>
      </c>
      <c r="AD9" s="853">
        <f t="shared" si="1"/>
        <v>4684.8187235322102</v>
      </c>
      <c r="AE9" s="853">
        <f t="shared" si="1"/>
        <v>4717.1493907346949</v>
      </c>
      <c r="AF9" s="853">
        <f t="shared" si="1"/>
        <v>4749.7326853364484</v>
      </c>
      <c r="AG9" s="853">
        <f t="shared" si="1"/>
        <v>5013.6006802781867</v>
      </c>
      <c r="AH9" s="799"/>
      <c r="AI9" s="799"/>
      <c r="AJ9" s="799"/>
      <c r="AK9" s="799"/>
      <c r="AL9" s="799"/>
      <c r="AM9" s="799"/>
      <c r="AN9" s="799"/>
      <c r="AO9" s="799"/>
      <c r="AU9" s="845"/>
      <c r="AV9" s="845"/>
      <c r="AW9" s="845"/>
      <c r="AX9" s="845"/>
      <c r="AY9" s="845"/>
      <c r="AZ9" s="845"/>
      <c r="BA9" s="845"/>
      <c r="BB9" s="845"/>
      <c r="BC9" s="845"/>
    </row>
    <row r="10" spans="4:56" x14ac:dyDescent="0.25">
      <c r="D10" s="511" t="s">
        <v>482</v>
      </c>
      <c r="E10" s="52" t="s">
        <v>115</v>
      </c>
      <c r="F10" s="817">
        <f>'Haver Pivoted'!GQ27</f>
        <v>1689.1</v>
      </c>
      <c r="G10" s="817">
        <f>'Haver Pivoted'!GR27</f>
        <v>1700.3</v>
      </c>
      <c r="H10" s="817">
        <f>'Haver Pivoted'!GS27</f>
        <v>1732.4</v>
      </c>
      <c r="I10" s="817">
        <f>'Haver Pivoted'!GT27</f>
        <v>1767.8</v>
      </c>
      <c r="J10" s="817">
        <f>'Haver Pivoted'!GU27</f>
        <v>1631.4</v>
      </c>
      <c r="K10" s="817">
        <f>'Haver Pivoted'!GV27</f>
        <v>1747.9</v>
      </c>
      <c r="L10" s="817">
        <f>'Haver Pivoted'!GW27</f>
        <v>1866.9</v>
      </c>
      <c r="M10" s="817">
        <f>'Haver Pivoted'!GX27</f>
        <v>2013.4</v>
      </c>
      <c r="N10" s="817">
        <f>'Haver Pivoted'!GY27</f>
        <v>2118.4</v>
      </c>
      <c r="O10" s="817">
        <f>'Haver Pivoted'!GZ27</f>
        <v>2200</v>
      </c>
      <c r="P10" s="817">
        <f>'Haver Pivoted'!HA27</f>
        <v>2265.3000000000002</v>
      </c>
      <c r="Q10" s="817">
        <f>'Haver Pivoted'!HB27</f>
        <v>2506.9</v>
      </c>
      <c r="R10" s="817">
        <f>'Haver Pivoted'!HC27</f>
        <v>2502.6</v>
      </c>
      <c r="S10" s="817">
        <f>'Haver Pivoted'!HD27</f>
        <v>2521.9</v>
      </c>
      <c r="T10" s="852">
        <f>'Haver Pivoted'!HE27</f>
        <v>2490.1</v>
      </c>
      <c r="U10" s="852">
        <f>'Haver Pivoted'!HF27</f>
        <v>2181</v>
      </c>
      <c r="V10" s="852">
        <f>'Haver Pivoted'!HG27</f>
        <v>2175.1</v>
      </c>
      <c r="W10" s="852">
        <f>'Haver Pivoted'!HH27</f>
        <v>2188.6999999999998</v>
      </c>
      <c r="X10" s="852">
        <f>'Haver Pivoted'!HI27</f>
        <v>2199.8000000000002</v>
      </c>
      <c r="Y10" s="852">
        <f>'Haver Pivoted'!HJ27</f>
        <v>2365.3000000000002</v>
      </c>
      <c r="Z10" s="854">
        <f>Y10*(1.02)^0.25+Z11</f>
        <v>2424.038822050099</v>
      </c>
      <c r="AA10" s="854">
        <f>Z10*(1.02)^0.25+AA11</f>
        <v>2436.0691608547231</v>
      </c>
      <c r="AB10" s="854">
        <f>AA10*(1.02)^0.25+AB11</f>
        <v>2448.1592054076373</v>
      </c>
      <c r="AC10" s="812">
        <f>AB10*(1+$L35-0.02)+AC11</f>
        <v>2551.4232736071417</v>
      </c>
      <c r="AD10" s="854">
        <f>AC10*(1.02)^0.25+AD11</f>
        <v>2564.0858127283336</v>
      </c>
      <c r="AE10" s="854">
        <f>AD10*(1.02)^0.25+AE11</f>
        <v>2576.811195164727</v>
      </c>
      <c r="AF10" s="854">
        <f>AE10*(1.02)^0.25+AF11</f>
        <v>2589.599732803395</v>
      </c>
      <c r="AG10" s="812">
        <f>AF10*(1+$M35-0.02)+AG11</f>
        <v>2833.481547313374</v>
      </c>
      <c r="AH10" s="799"/>
      <c r="AI10" s="799"/>
      <c r="AJ10" s="799"/>
      <c r="AK10" s="799"/>
      <c r="AL10" s="799"/>
      <c r="AM10" s="799"/>
      <c r="AN10" s="799"/>
      <c r="AO10" s="799"/>
      <c r="AU10" s="671"/>
      <c r="AV10" s="671"/>
      <c r="AW10" s="671"/>
      <c r="AX10" s="671"/>
      <c r="AY10" s="671"/>
      <c r="AZ10" s="671"/>
      <c r="BA10" s="671"/>
      <c r="BB10" s="671"/>
      <c r="BC10" s="671"/>
    </row>
    <row r="11" spans="4:56" x14ac:dyDescent="0.25">
      <c r="D11" s="511" t="s">
        <v>1753</v>
      </c>
      <c r="E11" s="52"/>
      <c r="F11" s="767"/>
      <c r="G11" s="767"/>
      <c r="H11" s="767"/>
      <c r="I11" s="767"/>
      <c r="J11" s="767"/>
      <c r="K11" s="767"/>
      <c r="L11" s="767"/>
      <c r="M11" s="767"/>
      <c r="N11" s="767"/>
      <c r="O11" s="767"/>
      <c r="P11" s="767"/>
      <c r="Q11" s="767"/>
      <c r="R11" s="767"/>
      <c r="S11" s="815"/>
      <c r="T11" s="815">
        <v>46</v>
      </c>
      <c r="U11" s="815">
        <v>-5</v>
      </c>
      <c r="V11" s="815">
        <v>12</v>
      </c>
      <c r="W11" s="815">
        <v>67</v>
      </c>
      <c r="X11" s="815">
        <v>7</v>
      </c>
      <c r="Y11" s="763">
        <v>-205</v>
      </c>
      <c r="Z11" s="763">
        <v>47</v>
      </c>
      <c r="AA11" s="763">
        <v>0</v>
      </c>
      <c r="AB11" s="763">
        <v>0</v>
      </c>
      <c r="AC11" s="763">
        <v>0</v>
      </c>
      <c r="AD11" s="763">
        <v>0</v>
      </c>
      <c r="AE11" s="763">
        <v>0</v>
      </c>
      <c r="AF11" s="763">
        <v>0</v>
      </c>
      <c r="AG11" s="763">
        <v>0</v>
      </c>
      <c r="AH11" s="799"/>
      <c r="AI11" s="799"/>
      <c r="AJ11" s="799"/>
      <c r="AK11" s="799"/>
      <c r="AL11" s="799"/>
      <c r="AM11" s="799"/>
      <c r="AN11" s="799"/>
      <c r="AO11" s="799"/>
      <c r="AU11" s="671"/>
      <c r="AV11" s="671"/>
      <c r="AW11" s="671"/>
      <c r="AX11" s="671"/>
      <c r="AY11" s="671"/>
      <c r="AZ11" s="671"/>
      <c r="BA11" s="671"/>
      <c r="BB11" s="671"/>
      <c r="BC11" s="671"/>
    </row>
    <row r="12" spans="4:56" x14ac:dyDescent="0.25">
      <c r="D12" s="511" t="s">
        <v>483</v>
      </c>
      <c r="E12" s="49" t="s">
        <v>121</v>
      </c>
      <c r="F12" s="817">
        <f>'Haver Pivoted'!GQ30</f>
        <v>1403.3</v>
      </c>
      <c r="G12" s="817">
        <f>'Haver Pivoted'!GR30</f>
        <v>1410</v>
      </c>
      <c r="H12" s="817">
        <f>'Haver Pivoted'!GS30</f>
        <v>1427.9</v>
      </c>
      <c r="I12" s="817">
        <f>'Haver Pivoted'!GT30</f>
        <v>1453.3</v>
      </c>
      <c r="J12" s="817">
        <f>'Haver Pivoted'!GU30</f>
        <v>1383.5</v>
      </c>
      <c r="K12" s="817">
        <f>'Haver Pivoted'!GV30</f>
        <v>1432.5</v>
      </c>
      <c r="L12" s="817">
        <f>'Haver Pivoted'!GW30</f>
        <v>1469</v>
      </c>
      <c r="M12" s="817">
        <f>'Haver Pivoted'!GX30</f>
        <v>1484.6</v>
      </c>
      <c r="N12" s="817">
        <f>'Haver Pivoted'!GY30</f>
        <v>1519.7</v>
      </c>
      <c r="O12" s="817">
        <f>'Haver Pivoted'!GZ30</f>
        <v>1556.8</v>
      </c>
      <c r="P12" s="817">
        <f>'Haver Pivoted'!HA30</f>
        <v>1603.4</v>
      </c>
      <c r="Q12" s="817">
        <f>'Haver Pivoted'!HB30</f>
        <v>1645.9</v>
      </c>
      <c r="R12" s="817">
        <f>'Haver Pivoted'!HC30</f>
        <v>1667.8</v>
      </c>
      <c r="S12" s="817">
        <f>'Haver Pivoted'!HD30</f>
        <v>1709.6</v>
      </c>
      <c r="T12" s="852">
        <f>'Haver Pivoted'!HE30</f>
        <v>1716.7</v>
      </c>
      <c r="U12" s="852">
        <f>'Haver Pivoted'!HF30</f>
        <v>1758.5</v>
      </c>
      <c r="V12" s="852">
        <f>'Haver Pivoted'!HG30</f>
        <v>1778.7</v>
      </c>
      <c r="W12" s="852">
        <f>'Haver Pivoted'!HH30</f>
        <v>1801.4</v>
      </c>
      <c r="X12" s="852">
        <f>'Haver Pivoted'!HI30</f>
        <v>1808.9</v>
      </c>
      <c r="Y12" s="852">
        <f>'Haver Pivoted'!HJ30</f>
        <v>1845.7</v>
      </c>
      <c r="Z12" s="854">
        <f>Y12*(1+$K37)^0.25+Z13</f>
        <v>1868.7251037121227</v>
      </c>
      <c r="AA12" s="854">
        <f>Z12*(1+$K37)^0.25+AA13</f>
        <v>1886.9750705560616</v>
      </c>
      <c r="AB12" s="854">
        <f t="shared" ref="AB12:AG12" si="2">AA12*(1+$L37)^0.25+AB13</f>
        <v>1903.2721121416312</v>
      </c>
      <c r="AC12" s="854">
        <f t="shared" si="2"/>
        <v>1919.7099046934356</v>
      </c>
      <c r="AD12" s="854">
        <f t="shared" si="2"/>
        <v>1936.2896638207249</v>
      </c>
      <c r="AE12" s="854">
        <f t="shared" si="2"/>
        <v>1953.0126156314745</v>
      </c>
      <c r="AF12" s="854">
        <f t="shared" si="2"/>
        <v>1969.8799968230603</v>
      </c>
      <c r="AG12" s="854">
        <f t="shared" si="2"/>
        <v>1986.8930547737129</v>
      </c>
      <c r="AH12" s="799"/>
      <c r="AI12" s="799"/>
      <c r="AJ12" s="799"/>
      <c r="AK12" s="799"/>
      <c r="AL12" s="799"/>
      <c r="AM12" s="799"/>
      <c r="AN12" s="799"/>
      <c r="AO12" s="799"/>
      <c r="AU12" s="671"/>
      <c r="AV12" s="671"/>
      <c r="AW12" s="671"/>
      <c r="AX12" s="671"/>
      <c r="AY12" s="671"/>
      <c r="AZ12" s="671"/>
      <c r="BA12" s="671"/>
      <c r="BB12" s="671"/>
      <c r="BC12" s="671"/>
    </row>
    <row r="13" spans="4:56" x14ac:dyDescent="0.25">
      <c r="D13" s="511" t="s">
        <v>1736</v>
      </c>
      <c r="E13" s="49"/>
      <c r="F13" s="767"/>
      <c r="G13" s="767"/>
      <c r="H13" s="767"/>
      <c r="I13" s="767"/>
      <c r="J13" s="767"/>
      <c r="K13" s="767"/>
      <c r="L13" s="767"/>
      <c r="M13" s="767"/>
      <c r="N13" s="767"/>
      <c r="O13" s="767"/>
      <c r="P13" s="767"/>
      <c r="Q13" s="767"/>
      <c r="R13" s="767"/>
      <c r="S13" s="767"/>
      <c r="T13" s="815"/>
      <c r="U13" s="815">
        <v>8</v>
      </c>
      <c r="V13" s="815">
        <v>-10</v>
      </c>
      <c r="W13" s="815">
        <v>-5</v>
      </c>
      <c r="X13" s="815">
        <v>-6</v>
      </c>
      <c r="Y13" s="763">
        <v>21</v>
      </c>
      <c r="Z13" s="763">
        <v>5</v>
      </c>
      <c r="AA13" s="763"/>
      <c r="AB13" s="763"/>
      <c r="AC13" s="763"/>
      <c r="AD13" s="763"/>
      <c r="AE13" s="763"/>
      <c r="AF13" s="763"/>
      <c r="AG13" s="763"/>
      <c r="AH13" s="799"/>
      <c r="AI13" s="799"/>
      <c r="AJ13" s="799"/>
      <c r="AK13" s="799"/>
      <c r="AL13" s="799"/>
      <c r="AM13" s="799"/>
      <c r="AN13" s="799"/>
      <c r="AO13" s="799"/>
      <c r="AU13" s="671"/>
      <c r="AV13" s="671"/>
      <c r="AW13" s="671"/>
      <c r="AX13" s="671"/>
      <c r="AY13" s="671"/>
      <c r="AZ13" s="671"/>
      <c r="BA13" s="671"/>
      <c r="BB13" s="671"/>
      <c r="BC13" s="671"/>
    </row>
    <row r="14" spans="4:56" x14ac:dyDescent="0.25">
      <c r="D14" s="511" t="s">
        <v>484</v>
      </c>
      <c r="E14" s="52" t="s">
        <v>117</v>
      </c>
      <c r="F14" s="817">
        <f>'Haver Pivoted'!GQ28</f>
        <v>170.4</v>
      </c>
      <c r="G14" s="817">
        <f>'Haver Pivoted'!GR28</f>
        <v>177.8</v>
      </c>
      <c r="H14" s="817">
        <f>'Haver Pivoted'!GS28</f>
        <v>177.7</v>
      </c>
      <c r="I14" s="817">
        <f>'Haver Pivoted'!GT28</f>
        <v>183.2</v>
      </c>
      <c r="J14" s="817">
        <f>'Haver Pivoted'!GU28</f>
        <v>130.4</v>
      </c>
      <c r="K14" s="817">
        <f>'Haver Pivoted'!GV28</f>
        <v>150.1</v>
      </c>
      <c r="L14" s="817">
        <f>'Haver Pivoted'!GW28</f>
        <v>157.80000000000001</v>
      </c>
      <c r="M14" s="817">
        <f>'Haver Pivoted'!GX28</f>
        <v>160.9</v>
      </c>
      <c r="N14" s="817">
        <f>'Haver Pivoted'!GY28</f>
        <v>180.5</v>
      </c>
      <c r="O14" s="817">
        <f>'Haver Pivoted'!GZ28</f>
        <v>182.1</v>
      </c>
      <c r="P14" s="817">
        <f>'Haver Pivoted'!HA28</f>
        <v>191</v>
      </c>
      <c r="Q14" s="817">
        <f>'Haver Pivoted'!HB28</f>
        <v>200.9</v>
      </c>
      <c r="R14" s="817">
        <f>'Haver Pivoted'!HC28</f>
        <v>202.8</v>
      </c>
      <c r="S14" s="817">
        <f>'Haver Pivoted'!HD28</f>
        <v>192.2</v>
      </c>
      <c r="T14" s="852">
        <f>'Haver Pivoted'!HE28</f>
        <v>180.9</v>
      </c>
      <c r="U14" s="852">
        <f>'Haver Pivoted'!HF28</f>
        <v>177</v>
      </c>
      <c r="V14" s="852">
        <f>'Haver Pivoted'!HG28</f>
        <v>175.4</v>
      </c>
      <c r="W14" s="852">
        <f>'Haver Pivoted'!HH28</f>
        <v>171.6</v>
      </c>
      <c r="X14" s="852">
        <f>'Haver Pivoted'!HI28</f>
        <v>169.6</v>
      </c>
      <c r="Y14" s="852">
        <f>'Haver Pivoted'!HJ28</f>
        <v>171.4</v>
      </c>
      <c r="Z14" s="854">
        <f>Y14*(1+$K38)^0.25</f>
        <v>173.7141910169243</v>
      </c>
      <c r="AA14" s="854">
        <f>Z14*(1+$K38)^0.25</f>
        <v>176.05962754179967</v>
      </c>
      <c r="AB14" s="854">
        <f t="shared" ref="AB14:AG14" si="3">AA14*(1+$L38)^0.25</f>
        <v>178.81094793367757</v>
      </c>
      <c r="AC14" s="854">
        <f t="shared" si="3"/>
        <v>181.60526378115455</v>
      </c>
      <c r="AD14" s="854">
        <f t="shared" si="3"/>
        <v>184.44324698315143</v>
      </c>
      <c r="AE14" s="854">
        <f t="shared" si="3"/>
        <v>187.32557993849315</v>
      </c>
      <c r="AF14" s="854">
        <f t="shared" si="3"/>
        <v>190.25295570999288</v>
      </c>
      <c r="AG14" s="854">
        <f t="shared" si="3"/>
        <v>193.22607819110041</v>
      </c>
      <c r="AH14" s="799"/>
      <c r="AI14" s="799"/>
      <c r="AJ14" s="799"/>
      <c r="AK14" s="799"/>
      <c r="AL14" s="799"/>
      <c r="AM14" s="799"/>
      <c r="AN14" s="799"/>
      <c r="AO14" s="799"/>
      <c r="AU14" s="671"/>
      <c r="AV14" s="671"/>
      <c r="AW14" s="671"/>
      <c r="AX14" s="671"/>
      <c r="AY14" s="671"/>
      <c r="AZ14" s="671"/>
      <c r="BA14" s="671"/>
      <c r="BB14" s="671"/>
      <c r="BC14" s="671"/>
    </row>
    <row r="15" spans="4:56" x14ac:dyDescent="0.25">
      <c r="D15" s="837" t="s">
        <v>1430</v>
      </c>
      <c r="E15" s="838"/>
      <c r="F15" s="768"/>
      <c r="G15" s="767"/>
      <c r="H15" s="767"/>
      <c r="I15" s="767"/>
      <c r="J15" s="767"/>
      <c r="K15" s="767"/>
      <c r="L15" s="767"/>
      <c r="M15" s="767"/>
      <c r="N15" s="767"/>
      <c r="O15" s="767"/>
      <c r="P15" s="767"/>
      <c r="Q15" s="767"/>
      <c r="R15" s="767"/>
      <c r="S15" s="815"/>
      <c r="T15" s="815"/>
      <c r="U15" s="815">
        <v>0</v>
      </c>
      <c r="V15" s="815">
        <v>0</v>
      </c>
      <c r="W15" s="815">
        <v>0</v>
      </c>
      <c r="X15" s="815">
        <v>0</v>
      </c>
      <c r="Y15" s="763">
        <v>0</v>
      </c>
      <c r="Z15" s="763">
        <v>0</v>
      </c>
      <c r="AA15" s="763">
        <v>0</v>
      </c>
      <c r="AB15" s="763">
        <v>0</v>
      </c>
      <c r="AC15" s="763">
        <v>0</v>
      </c>
      <c r="AD15" s="763">
        <v>1</v>
      </c>
      <c r="AE15" s="763">
        <v>2</v>
      </c>
      <c r="AF15" s="763">
        <v>3</v>
      </c>
      <c r="AG15" s="763">
        <v>4</v>
      </c>
      <c r="AH15" s="799"/>
      <c r="AI15" s="799"/>
      <c r="AJ15" s="799"/>
      <c r="AK15" s="799"/>
      <c r="AL15" s="799"/>
      <c r="AM15" s="799"/>
      <c r="AN15" s="799"/>
      <c r="AO15" s="799"/>
      <c r="AU15" s="671"/>
      <c r="AV15" s="671"/>
      <c r="AW15" s="671"/>
      <c r="AX15" s="671"/>
      <c r="AY15" s="671"/>
      <c r="AZ15" s="671"/>
      <c r="BA15" s="671"/>
      <c r="BB15" s="671"/>
      <c r="BC15" s="671"/>
    </row>
    <row r="16" spans="4:56" ht="14.85" customHeight="1" x14ac:dyDescent="0.25">
      <c r="D16" s="414" t="s">
        <v>1903</v>
      </c>
      <c r="E16" s="834" t="s">
        <v>119</v>
      </c>
      <c r="F16" s="754">
        <f>'Haver Pivoted'!GQ29</f>
        <v>210.4</v>
      </c>
      <c r="G16" s="816">
        <f>'Haver Pivoted'!GR29</f>
        <v>198.2</v>
      </c>
      <c r="H16" s="816">
        <f>'Haver Pivoted'!GS29</f>
        <v>233.1</v>
      </c>
      <c r="I16" s="816">
        <f>'Haver Pivoted'!GT29</f>
        <v>189.6</v>
      </c>
      <c r="J16" s="816">
        <f>'Haver Pivoted'!GU29</f>
        <v>199.8</v>
      </c>
      <c r="K16" s="816">
        <f>'Haver Pivoted'!GV29</f>
        <v>246.8</v>
      </c>
      <c r="L16" s="816">
        <f>'Haver Pivoted'!GW29</f>
        <v>250.9</v>
      </c>
      <c r="M16" s="816">
        <f>'Haver Pivoted'!GX29</f>
        <v>252.3</v>
      </c>
      <c r="N16" s="816">
        <f>'Haver Pivoted'!GY29</f>
        <v>283.60000000000002</v>
      </c>
      <c r="O16" s="816">
        <f>'Haver Pivoted'!GZ29</f>
        <v>279.8</v>
      </c>
      <c r="P16" s="816">
        <f>'Haver Pivoted'!HA29</f>
        <v>303.89999999999998</v>
      </c>
      <c r="Q16" s="816">
        <f>'Haver Pivoted'!HB29</f>
        <v>329.8</v>
      </c>
      <c r="R16" s="816">
        <f>'Haver Pivoted'!HC29</f>
        <v>388.8</v>
      </c>
      <c r="S16" s="816">
        <f>'Haver Pivoted'!HD29</f>
        <v>383.6</v>
      </c>
      <c r="T16" s="809">
        <f>'Haver Pivoted'!HE29</f>
        <v>373.6</v>
      </c>
      <c r="U16" s="809">
        <f>'Haver Pivoted'!HF29</f>
        <v>388.6</v>
      </c>
      <c r="V16" s="809">
        <f>'Haver Pivoted'!HG29</f>
        <v>403.3</v>
      </c>
      <c r="W16" s="809">
        <f>'Haver Pivoted'!HH29</f>
        <v>418</v>
      </c>
      <c r="X16" s="809">
        <f>'Haver Pivoted'!HI29</f>
        <v>429.4</v>
      </c>
      <c r="Y16" s="809">
        <f>'Haver Pivoted'!HJ29</f>
        <v>457</v>
      </c>
      <c r="Z16" s="854">
        <f>Y16*(1+$K39)^0.25</f>
        <v>456.1059343380187</v>
      </c>
      <c r="AA16" s="854">
        <f>Z16*(1+$K39)^0.25</f>
        <v>455.21361780822104</v>
      </c>
      <c r="AB16" s="854">
        <f t="shared" ref="AB16:AG16" si="4">AA16*(1+$L39)^0.25</f>
        <v>470.65879510155628</v>
      </c>
      <c r="AC16" s="854">
        <f t="shared" si="4"/>
        <v>486.62801977021206</v>
      </c>
      <c r="AD16" s="854">
        <f t="shared" si="4"/>
        <v>503.13907248749268</v>
      </c>
      <c r="AE16" s="854">
        <f t="shared" si="4"/>
        <v>520.21033721632489</v>
      </c>
      <c r="AF16" s="854">
        <f t="shared" si="4"/>
        <v>537.86082167858206</v>
      </c>
      <c r="AG16" s="854">
        <f t="shared" si="4"/>
        <v>556.11017851892268</v>
      </c>
      <c r="AH16" s="799"/>
      <c r="AI16" s="799"/>
      <c r="AJ16" s="799"/>
      <c r="AK16" s="799"/>
      <c r="AL16" s="799"/>
      <c r="AM16" s="799"/>
      <c r="AN16" s="799"/>
      <c r="AO16" s="799"/>
      <c r="AU16" s="845"/>
      <c r="AV16" s="845"/>
      <c r="AW16" s="845"/>
      <c r="AX16" s="845"/>
      <c r="AY16" s="845"/>
      <c r="AZ16" s="845"/>
      <c r="BA16" s="845"/>
      <c r="BB16" s="845"/>
      <c r="BC16" s="845"/>
    </row>
    <row r="17" spans="4:55" ht="14.85" customHeight="1" x14ac:dyDescent="0.25">
      <c r="D17" s="414"/>
      <c r="E17" s="834"/>
      <c r="F17" s="754"/>
      <c r="G17" s="816"/>
      <c r="H17" s="816"/>
      <c r="I17" s="816"/>
      <c r="J17" s="816"/>
      <c r="K17" s="816"/>
      <c r="L17" s="816"/>
      <c r="M17" s="816"/>
      <c r="N17" s="816"/>
      <c r="O17" s="816"/>
      <c r="P17" s="816"/>
      <c r="Q17" s="816"/>
      <c r="R17" s="816"/>
      <c r="S17" s="816"/>
      <c r="T17" s="816"/>
      <c r="U17" s="816"/>
      <c r="V17" s="816"/>
      <c r="W17" s="816"/>
      <c r="X17" s="850"/>
      <c r="Y17" s="850"/>
      <c r="Z17" s="850"/>
      <c r="AA17" s="850"/>
      <c r="AB17" s="850"/>
      <c r="AC17" s="850"/>
      <c r="AD17" s="850"/>
      <c r="AE17" s="850"/>
      <c r="AF17" s="850"/>
      <c r="AG17" s="850"/>
      <c r="AH17" s="799"/>
      <c r="AI17" s="799"/>
      <c r="AJ17" s="799"/>
      <c r="AK17" s="799"/>
      <c r="AL17" s="799"/>
      <c r="AM17" s="799"/>
      <c r="AN17" s="799"/>
      <c r="AO17" s="799"/>
      <c r="AU17" s="845"/>
      <c r="AV17" s="845"/>
      <c r="AW17" s="845"/>
      <c r="AX17" s="845"/>
      <c r="AY17" s="845"/>
      <c r="AZ17" s="845"/>
      <c r="BA17" s="845"/>
      <c r="BB17" s="845"/>
      <c r="BC17" s="845"/>
    </row>
    <row r="18" spans="4:55" x14ac:dyDescent="0.25">
      <c r="D18" s="762" t="s">
        <v>473</v>
      </c>
      <c r="E18" s="407"/>
      <c r="F18" s="871"/>
      <c r="G18" s="863"/>
      <c r="H18" s="863"/>
      <c r="I18" s="863"/>
      <c r="J18" s="863"/>
      <c r="K18" s="863"/>
      <c r="L18" s="863"/>
      <c r="M18" s="863"/>
      <c r="N18" s="863"/>
      <c r="O18" s="863"/>
      <c r="P18" s="863"/>
      <c r="Q18" s="863"/>
      <c r="R18" s="863"/>
      <c r="S18" s="863"/>
      <c r="T18" s="863"/>
      <c r="U18" s="765"/>
      <c r="V18" s="863"/>
      <c r="W18" s="863"/>
      <c r="X18" s="863"/>
      <c r="Y18" s="863"/>
      <c r="Z18" s="863"/>
      <c r="AA18" s="863"/>
      <c r="AB18" s="863"/>
      <c r="AC18" s="863"/>
      <c r="AF18" s="799"/>
      <c r="AG18" s="799"/>
      <c r="AH18" s="799"/>
      <c r="AI18" s="799"/>
      <c r="AJ18" s="799"/>
      <c r="AK18" s="799"/>
      <c r="AL18" s="799"/>
      <c r="AM18" s="799"/>
      <c r="AN18" s="799"/>
      <c r="AO18" s="799"/>
    </row>
    <row r="19" spans="4:55" ht="14.85" customHeight="1" x14ac:dyDescent="0.25">
      <c r="D19" s="844" t="s">
        <v>481</v>
      </c>
      <c r="E19" s="835"/>
      <c r="F19" s="754">
        <f t="shared" ref="F19:P19" si="5">SUM(F21:F24)</f>
        <v>1902.6999999999998</v>
      </c>
      <c r="G19" s="816">
        <f t="shared" si="5"/>
        <v>1892.4</v>
      </c>
      <c r="H19" s="816">
        <f t="shared" si="5"/>
        <v>1884.5</v>
      </c>
      <c r="I19" s="816">
        <f t="shared" si="5"/>
        <v>1887.9</v>
      </c>
      <c r="J19" s="816">
        <f t="shared" si="5"/>
        <v>1790.3</v>
      </c>
      <c r="K19" s="816">
        <f t="shared" si="5"/>
        <v>1921.1</v>
      </c>
      <c r="L19" s="816">
        <f t="shared" si="5"/>
        <v>1953.6</v>
      </c>
      <c r="M19" s="816">
        <f t="shared" si="5"/>
        <v>2006.3</v>
      </c>
      <c r="N19" s="816">
        <f t="shared" si="5"/>
        <v>2102.1999999999998</v>
      </c>
      <c r="O19" s="816">
        <f t="shared" si="5"/>
        <v>2115.6999999999998</v>
      </c>
      <c r="P19" s="816">
        <f t="shared" si="5"/>
        <v>2213.6999999999998</v>
      </c>
      <c r="Q19" s="816">
        <f>SUM(Q20:Q24)</f>
        <v>2261.8999999999996</v>
      </c>
      <c r="R19" s="816">
        <f t="shared" ref="R19:T19" si="6">SUM(R20:R24)</f>
        <v>2287.3000000000002</v>
      </c>
      <c r="S19" s="816">
        <f t="shared" si="6"/>
        <v>2269.4</v>
      </c>
      <c r="T19" s="816">
        <f t="shared" si="6"/>
        <v>2267.1999999999998</v>
      </c>
      <c r="U19" s="816">
        <f>SUM(U21:U24)</f>
        <v>2258.3000000000002</v>
      </c>
      <c r="V19" s="816">
        <f>SUM(V20:V24)</f>
        <v>2196.4</v>
      </c>
      <c r="W19" s="816">
        <f>SUM(W20,W21,W23,W24)</f>
        <v>2257.6999999999998</v>
      </c>
      <c r="X19" s="816">
        <f>SUM(X20,X21,X23,X24)</f>
        <v>2293</v>
      </c>
      <c r="Y19" s="856">
        <f>SUM(Y20,Y21,Y23,Y24)</f>
        <v>2272.8999999999996</v>
      </c>
      <c r="Z19" s="856">
        <f t="shared" ref="Z19:AF19" si="7">SUM(Z20,Z21,Z23,Z24)</f>
        <v>2314.8691404679494</v>
      </c>
      <c r="AA19" s="856">
        <f t="shared" si="7"/>
        <v>2346.2922256810743</v>
      </c>
      <c r="AB19" s="856">
        <f t="shared" si="7"/>
        <v>2369.8143532507133</v>
      </c>
      <c r="AC19" s="856">
        <f t="shared" si="7"/>
        <v>2394.0872359096611</v>
      </c>
      <c r="AD19" s="856">
        <f t="shared" si="7"/>
        <v>2418.3031537582128</v>
      </c>
      <c r="AE19" s="856">
        <f t="shared" si="7"/>
        <v>2441.567557390515</v>
      </c>
      <c r="AF19" s="856">
        <f t="shared" si="7"/>
        <v>2464.5145424124066</v>
      </c>
      <c r="AG19" s="856">
        <f>SUM(AG20,AG21,AG23,AG24)</f>
        <v>2485.0275481775334</v>
      </c>
      <c r="AH19" s="799"/>
      <c r="AI19" s="799"/>
      <c r="AJ19" s="799"/>
      <c r="AK19" s="799"/>
      <c r="AL19" s="799"/>
      <c r="AM19" s="799"/>
      <c r="AN19" s="799"/>
      <c r="AO19" s="799"/>
    </row>
    <row r="20" spans="4:55" ht="42" customHeight="1" x14ac:dyDescent="0.25">
      <c r="D20" s="840" t="s">
        <v>827</v>
      </c>
      <c r="E20" s="835"/>
      <c r="F20" s="754"/>
      <c r="G20" s="816"/>
      <c r="H20" s="816"/>
      <c r="I20" s="816"/>
      <c r="J20" s="816"/>
      <c r="K20" s="816"/>
      <c r="L20" s="816"/>
      <c r="M20" s="816"/>
      <c r="N20" s="816"/>
      <c r="O20" s="816"/>
      <c r="P20" s="816"/>
      <c r="Q20" s="391"/>
      <c r="R20" s="391"/>
      <c r="S20" s="391"/>
      <c r="T20" s="391"/>
      <c r="U20" s="391">
        <v>0</v>
      </c>
      <c r="V20" s="391"/>
      <c r="W20" s="391"/>
      <c r="X20" s="391"/>
      <c r="Y20" s="336"/>
      <c r="Z20" s="336"/>
      <c r="AA20" s="336"/>
      <c r="AB20" s="336"/>
      <c r="AC20" s="336"/>
      <c r="AD20" s="336"/>
      <c r="AE20" s="336"/>
      <c r="AF20" s="336"/>
      <c r="AG20" s="336"/>
      <c r="AH20" s="799"/>
      <c r="AI20" s="799"/>
      <c r="AJ20" s="799"/>
      <c r="AK20" s="799"/>
      <c r="AL20" s="799"/>
      <c r="AM20" s="799"/>
      <c r="AN20" s="799"/>
      <c r="AO20" s="799"/>
    </row>
    <row r="21" spans="4:55" x14ac:dyDescent="0.25">
      <c r="D21" s="511" t="s">
        <v>486</v>
      </c>
      <c r="E21" s="49" t="s">
        <v>487</v>
      </c>
      <c r="F21" s="802">
        <f>'Haver Pivoted'!GQ33</f>
        <v>533.1</v>
      </c>
      <c r="G21" s="817">
        <f>'Haver Pivoted'!GR33</f>
        <v>497.6</v>
      </c>
      <c r="H21" s="817">
        <f>'Haver Pivoted'!GS33</f>
        <v>488</v>
      </c>
      <c r="I21" s="817">
        <f>'Haver Pivoted'!GT33</f>
        <v>488.2</v>
      </c>
      <c r="J21" s="817">
        <f>'Haver Pivoted'!GU33</f>
        <v>480.5</v>
      </c>
      <c r="K21" s="817">
        <f>'Haver Pivoted'!GV33</f>
        <v>515.5</v>
      </c>
      <c r="L21" s="817">
        <f>'Haver Pivoted'!GW33</f>
        <v>527.9</v>
      </c>
      <c r="M21" s="817">
        <f>'Haver Pivoted'!GX33</f>
        <v>564.20000000000005</v>
      </c>
      <c r="N21" s="817">
        <f>'Haver Pivoted'!GY33</f>
        <v>585.6</v>
      </c>
      <c r="O21" s="817">
        <f>'Haver Pivoted'!GZ33</f>
        <v>589.79999999999995</v>
      </c>
      <c r="P21" s="817">
        <f>'Haver Pivoted'!HA33</f>
        <v>636.29999999999995</v>
      </c>
      <c r="Q21" s="817">
        <f>'Haver Pivoted'!HB33</f>
        <v>655.9</v>
      </c>
      <c r="R21" s="817">
        <f>'Haver Pivoted'!HC33</f>
        <v>655.1</v>
      </c>
      <c r="S21" s="817">
        <f>'Haver Pivoted'!HD33</f>
        <v>615.20000000000005</v>
      </c>
      <c r="T21" s="852">
        <f>'Haver Pivoted'!HE33</f>
        <v>605.6</v>
      </c>
      <c r="U21" s="852">
        <f>'Haver Pivoted'!HF33</f>
        <v>582.70000000000005</v>
      </c>
      <c r="V21" s="852">
        <f>'Haver Pivoted'!HG33</f>
        <v>528.79999999999995</v>
      </c>
      <c r="W21" s="852">
        <f>'Haver Pivoted'!HH33</f>
        <v>576.6</v>
      </c>
      <c r="X21" s="852">
        <f>'Haver Pivoted'!HI33</f>
        <v>592.6</v>
      </c>
      <c r="Y21" s="852">
        <f>'Haver Pivoted'!HJ33</f>
        <v>564.79999999999995</v>
      </c>
      <c r="Z21" s="857">
        <f t="shared" ref="Z21:AG21" si="8">$Y119*Z128*(Z101/$Y101)+Z20+Z22</f>
        <v>578.79048618843103</v>
      </c>
      <c r="AA21" s="857">
        <f t="shared" si="8"/>
        <v>589.45403955251572</v>
      </c>
      <c r="AB21" s="857">
        <f t="shared" si="8"/>
        <v>597.60218016011879</v>
      </c>
      <c r="AC21" s="857">
        <f t="shared" si="8"/>
        <v>605.22028736546304</v>
      </c>
      <c r="AD21" s="857">
        <f t="shared" si="8"/>
        <v>612.72759662796238</v>
      </c>
      <c r="AE21" s="857">
        <f t="shared" si="8"/>
        <v>620.07619532368381</v>
      </c>
      <c r="AF21" s="857">
        <f t="shared" si="8"/>
        <v>627.616444515137</v>
      </c>
      <c r="AG21" s="857">
        <f t="shared" si="8"/>
        <v>634.71949101320183</v>
      </c>
      <c r="AH21" s="799"/>
      <c r="AI21" s="799"/>
      <c r="AJ21" s="799"/>
      <c r="AK21" s="799"/>
      <c r="AL21" s="799"/>
      <c r="AM21" s="799"/>
      <c r="AN21" s="799"/>
      <c r="AO21" s="799"/>
    </row>
    <row r="22" spans="4:55" x14ac:dyDescent="0.25">
      <c r="D22" s="511" t="s">
        <v>1914</v>
      </c>
      <c r="E22" s="49"/>
      <c r="F22" s="802"/>
      <c r="G22" s="817"/>
      <c r="H22" s="817"/>
      <c r="I22" s="817"/>
      <c r="J22" s="817"/>
      <c r="K22" s="817"/>
      <c r="L22" s="817"/>
      <c r="M22" s="817"/>
      <c r="N22" s="817"/>
      <c r="O22" s="817"/>
      <c r="P22" s="817"/>
      <c r="Q22" s="817"/>
      <c r="R22" s="817"/>
      <c r="S22" s="817"/>
      <c r="T22" s="852"/>
      <c r="U22" s="852"/>
      <c r="V22" s="852"/>
      <c r="W22" s="817">
        <v>20</v>
      </c>
      <c r="X22" s="817">
        <v>20</v>
      </c>
      <c r="Y22" s="857">
        <v>0</v>
      </c>
      <c r="Z22" s="857">
        <v>0</v>
      </c>
      <c r="AA22" s="857">
        <v>0</v>
      </c>
      <c r="AB22" s="857">
        <v>0</v>
      </c>
      <c r="AC22" s="857">
        <v>0</v>
      </c>
      <c r="AD22" s="857">
        <v>0</v>
      </c>
      <c r="AE22" s="857">
        <v>0</v>
      </c>
      <c r="AF22" s="857">
        <v>0</v>
      </c>
      <c r="AG22" s="857">
        <v>0</v>
      </c>
      <c r="AH22" s="799"/>
      <c r="AI22" s="799"/>
      <c r="AJ22" s="799"/>
      <c r="AK22" s="799"/>
      <c r="AL22" s="799"/>
      <c r="AM22" s="799"/>
      <c r="AN22" s="799"/>
      <c r="AO22" s="799"/>
    </row>
    <row r="23" spans="4:55" x14ac:dyDescent="0.25">
      <c r="D23" s="511" t="s">
        <v>483</v>
      </c>
      <c r="E23" s="49" t="s">
        <v>488</v>
      </c>
      <c r="F23" s="802">
        <f>'Haver Pivoted'!GQ36</f>
        <v>20.8</v>
      </c>
      <c r="G23" s="817">
        <f>'Haver Pivoted'!GR36</f>
        <v>20.6</v>
      </c>
      <c r="H23" s="817">
        <f>'Haver Pivoted'!GS36</f>
        <v>20.399999999999999</v>
      </c>
      <c r="I23" s="817">
        <f>'Haver Pivoted'!GT36</f>
        <v>20.3</v>
      </c>
      <c r="J23" s="817">
        <f>'Haver Pivoted'!GU36</f>
        <v>19.3</v>
      </c>
      <c r="K23" s="817">
        <f>'Haver Pivoted'!GV36</f>
        <v>19.899999999999999</v>
      </c>
      <c r="L23" s="817">
        <f>'Haver Pivoted'!GW36</f>
        <v>20.7</v>
      </c>
      <c r="M23" s="817">
        <f>'Haver Pivoted'!GX36</f>
        <v>21.3</v>
      </c>
      <c r="N23" s="817">
        <f>'Haver Pivoted'!GY36</f>
        <v>22</v>
      </c>
      <c r="O23" s="817">
        <f>'Haver Pivoted'!GZ36</f>
        <v>22.6</v>
      </c>
      <c r="P23" s="817">
        <f>'Haver Pivoted'!HA36</f>
        <v>22.9</v>
      </c>
      <c r="Q23" s="817">
        <f>'Haver Pivoted'!HB36</f>
        <v>22.9</v>
      </c>
      <c r="R23" s="817">
        <f>'Haver Pivoted'!HC36</f>
        <v>22.6</v>
      </c>
      <c r="S23" s="817">
        <f>'Haver Pivoted'!HD36</f>
        <v>22.4</v>
      </c>
      <c r="T23" s="852">
        <f>'Haver Pivoted'!HE36</f>
        <v>22</v>
      </c>
      <c r="U23" s="852">
        <f>'Haver Pivoted'!HF36</f>
        <v>21.5</v>
      </c>
      <c r="V23" s="852">
        <f>'Haver Pivoted'!HG36</f>
        <v>21.4</v>
      </c>
      <c r="W23" s="852">
        <f>'Haver Pivoted'!HH36</f>
        <v>21.9</v>
      </c>
      <c r="X23" s="852">
        <f>'Haver Pivoted'!HI36</f>
        <v>22.8</v>
      </c>
      <c r="Y23" s="852">
        <f>'Haver Pivoted'!HJ36</f>
        <v>24.3</v>
      </c>
      <c r="Z23" s="857">
        <f>$Y120*Z129*(Z102/$Y102)</f>
        <v>24.641719370495661</v>
      </c>
      <c r="AA23" s="857">
        <f t="shared" ref="AA23:AG23" si="9">$Y120*AA129*(AA102/$Y102)</f>
        <v>24.941145756728933</v>
      </c>
      <c r="AB23" s="857">
        <f t="shared" si="9"/>
        <v>25.224488895425797</v>
      </c>
      <c r="AC23" s="857">
        <f t="shared" si="9"/>
        <v>25.498896896602439</v>
      </c>
      <c r="AD23" s="857">
        <f t="shared" si="9"/>
        <v>25.774496249448447</v>
      </c>
      <c r="AE23" s="857">
        <f t="shared" si="9"/>
        <v>26.046918664509487</v>
      </c>
      <c r="AF23" s="857">
        <f t="shared" si="9"/>
        <v>26.319142520958966</v>
      </c>
      <c r="AG23" s="857">
        <f t="shared" si="9"/>
        <v>26.586203853507868</v>
      </c>
      <c r="AH23" s="799"/>
      <c r="AI23" s="799"/>
      <c r="AJ23" s="799"/>
      <c r="AK23" s="799"/>
      <c r="AL23" s="799"/>
      <c r="AM23" s="799"/>
      <c r="AN23" s="799"/>
      <c r="AO23" s="799"/>
    </row>
    <row r="24" spans="4:55" x14ac:dyDescent="0.25">
      <c r="D24" s="511" t="s">
        <v>484</v>
      </c>
      <c r="E24" s="49" t="s">
        <v>489</v>
      </c>
      <c r="F24" s="802">
        <f>'Haver Pivoted'!GQ34</f>
        <v>1348.8</v>
      </c>
      <c r="G24" s="817">
        <f>'Haver Pivoted'!GR34</f>
        <v>1374.2</v>
      </c>
      <c r="H24" s="817">
        <f>'Haver Pivoted'!GS34</f>
        <v>1376.1</v>
      </c>
      <c r="I24" s="817">
        <f>'Haver Pivoted'!GT34</f>
        <v>1379.4</v>
      </c>
      <c r="J24" s="817">
        <f>'Haver Pivoted'!GU34</f>
        <v>1290.5</v>
      </c>
      <c r="K24" s="817">
        <f>'Haver Pivoted'!GV34</f>
        <v>1385.7</v>
      </c>
      <c r="L24" s="817">
        <f>'Haver Pivoted'!GW34</f>
        <v>1405</v>
      </c>
      <c r="M24" s="817">
        <f>'Haver Pivoted'!GX34</f>
        <v>1420.8</v>
      </c>
      <c r="N24" s="817">
        <f>'Haver Pivoted'!GY34</f>
        <v>1494.6</v>
      </c>
      <c r="O24" s="817">
        <f>'Haver Pivoted'!GZ34</f>
        <v>1503.3</v>
      </c>
      <c r="P24" s="817">
        <f>'Haver Pivoted'!HA34</f>
        <v>1554.5</v>
      </c>
      <c r="Q24" s="817">
        <f>'Haver Pivoted'!HB34</f>
        <v>1583.1</v>
      </c>
      <c r="R24" s="817">
        <f>'Haver Pivoted'!HC34</f>
        <v>1609.6</v>
      </c>
      <c r="S24" s="817">
        <f>'Haver Pivoted'!HD34</f>
        <v>1631.8</v>
      </c>
      <c r="T24" s="852">
        <f>'Haver Pivoted'!HE34</f>
        <v>1639.6</v>
      </c>
      <c r="U24" s="852">
        <f>'Haver Pivoted'!HF34</f>
        <v>1654.1</v>
      </c>
      <c r="V24" s="852">
        <f>'Haver Pivoted'!HG34</f>
        <v>1646.2</v>
      </c>
      <c r="W24" s="852">
        <f>'Haver Pivoted'!HH34</f>
        <v>1659.2</v>
      </c>
      <c r="X24" s="852">
        <f>'Haver Pivoted'!HI34</f>
        <v>1677.6</v>
      </c>
      <c r="Y24" s="852">
        <f>'Haver Pivoted'!HJ34</f>
        <v>1683.8</v>
      </c>
      <c r="Z24" s="857">
        <f>$Y125*Z130*(Z104/$Y104)</f>
        <v>1711.4369349090225</v>
      </c>
      <c r="AA24" s="857">
        <f t="shared" ref="AA24:AG24" si="10">$Y125*AA130*(AA104/$Y104)</f>
        <v>1731.8970403718295</v>
      </c>
      <c r="AB24" s="857">
        <f t="shared" si="10"/>
        <v>1746.9876841951689</v>
      </c>
      <c r="AC24" s="857">
        <f t="shared" si="10"/>
        <v>1763.3680516475958</v>
      </c>
      <c r="AD24" s="857">
        <f t="shared" si="10"/>
        <v>1779.8010608808022</v>
      </c>
      <c r="AE24" s="857">
        <f t="shared" si="10"/>
        <v>1795.4444434023219</v>
      </c>
      <c r="AF24" s="857">
        <f t="shared" si="10"/>
        <v>1810.5789553763107</v>
      </c>
      <c r="AG24" s="857">
        <f t="shared" si="10"/>
        <v>1823.7218533108239</v>
      </c>
      <c r="AH24" s="799"/>
      <c r="AI24" s="799"/>
      <c r="AJ24" s="799"/>
      <c r="AK24" s="799"/>
      <c r="AL24" s="799"/>
      <c r="AM24" s="799"/>
      <c r="AN24" s="799"/>
      <c r="AO24" s="799"/>
    </row>
    <row r="25" spans="4:55" ht="14.85" customHeight="1" x14ac:dyDescent="0.25">
      <c r="D25" s="846" t="s">
        <v>485</v>
      </c>
      <c r="E25" s="872" t="s">
        <v>490</v>
      </c>
      <c r="F25" s="755">
        <f>'Haver Pivoted'!GQ35</f>
        <v>74.7</v>
      </c>
      <c r="G25" s="771">
        <f>'Haver Pivoted'!GR35</f>
        <v>74.2</v>
      </c>
      <c r="H25" s="771">
        <f>'Haver Pivoted'!GS35</f>
        <v>71.7</v>
      </c>
      <c r="I25" s="771">
        <f>'Haver Pivoted'!GT35</f>
        <v>65.8</v>
      </c>
      <c r="J25" s="771">
        <f>'Haver Pivoted'!GU35</f>
        <v>63.7</v>
      </c>
      <c r="K25" s="771">
        <f>'Haver Pivoted'!GV35</f>
        <v>79.599999999999994</v>
      </c>
      <c r="L25" s="771">
        <f>'Haver Pivoted'!GW35</f>
        <v>82.3</v>
      </c>
      <c r="M25" s="771">
        <f>'Haver Pivoted'!GX35</f>
        <v>86.5</v>
      </c>
      <c r="N25" s="771">
        <f>'Haver Pivoted'!GY35</f>
        <v>95.3</v>
      </c>
      <c r="O25" s="771">
        <f>'Haver Pivoted'!GZ35</f>
        <v>111.7</v>
      </c>
      <c r="P25" s="771">
        <f>'Haver Pivoted'!HA35</f>
        <v>150.1</v>
      </c>
      <c r="Q25" s="771">
        <f>'Haver Pivoted'!HB35</f>
        <v>184.2</v>
      </c>
      <c r="R25" s="771">
        <f>'Haver Pivoted'!HC35</f>
        <v>143.5</v>
      </c>
      <c r="S25" s="771">
        <f>'Haver Pivoted'!HD35</f>
        <v>146.19999999999999</v>
      </c>
      <c r="T25" s="773">
        <f>'Haver Pivoted'!HE35</f>
        <v>160.5</v>
      </c>
      <c r="U25" s="855">
        <f>'Haver Pivoted'!HF35</f>
        <v>172.5</v>
      </c>
      <c r="V25" s="855">
        <f>'Haver Pivoted'!HG35</f>
        <v>150.69999999999999</v>
      </c>
      <c r="W25" s="855">
        <f>'Haver Pivoted'!HH35</f>
        <v>148.69999999999999</v>
      </c>
      <c r="X25" s="855">
        <f>'Haver Pivoted'!HI35</f>
        <v>165.7</v>
      </c>
      <c r="Y25" s="855">
        <f>'Haver Pivoted'!HJ35</f>
        <v>164.9</v>
      </c>
      <c r="Z25" s="772">
        <f t="shared" ref="Z25:AC25" si="11">$U126*Z131*(Z105/$U105)</f>
        <v>167.9617119479702</v>
      </c>
      <c r="AA25" s="772">
        <f t="shared" si="11"/>
        <v>170.5852127696773</v>
      </c>
      <c r="AB25" s="772">
        <f t="shared" si="11"/>
        <v>171.87101646910733</v>
      </c>
      <c r="AC25" s="772">
        <f t="shared" si="11"/>
        <v>173.44511696213158</v>
      </c>
      <c r="AD25" s="772">
        <f t="shared" ref="AD25:AG25" si="12">$U126*AD131*(AD105/$U105)</f>
        <v>175.0134515192839</v>
      </c>
      <c r="AE25" s="772">
        <f t="shared" si="12"/>
        <v>176.01095842511978</v>
      </c>
      <c r="AF25" s="772">
        <f t="shared" si="12"/>
        <v>176.09744746319802</v>
      </c>
      <c r="AG25" s="772">
        <f t="shared" si="12"/>
        <v>175.32481205636563</v>
      </c>
      <c r="AH25" s="799"/>
      <c r="AI25" s="799"/>
      <c r="AJ25" s="799"/>
      <c r="AK25" s="799"/>
      <c r="AL25" s="799"/>
      <c r="AM25" s="799"/>
      <c r="AN25" s="799"/>
      <c r="AO25" s="799"/>
    </row>
    <row r="26" spans="4:55" ht="14.85" customHeight="1" x14ac:dyDescent="0.25">
      <c r="D26" s="813" t="s">
        <v>1916</v>
      </c>
      <c r="E26" s="835"/>
      <c r="F26" s="542">
        <f t="shared" ref="F26:AG26" si="13">F9+F19</f>
        <v>5165.5</v>
      </c>
      <c r="G26" s="542">
        <f t="shared" si="13"/>
        <v>5180.5</v>
      </c>
      <c r="H26" s="542">
        <f t="shared" si="13"/>
        <v>5222.5</v>
      </c>
      <c r="I26" s="542">
        <f t="shared" si="13"/>
        <v>5292.2</v>
      </c>
      <c r="J26" s="542">
        <f t="shared" si="13"/>
        <v>4935.6000000000004</v>
      </c>
      <c r="K26" s="542">
        <f t="shared" si="13"/>
        <v>5251.6</v>
      </c>
      <c r="L26" s="542">
        <f t="shared" si="13"/>
        <v>5447.3</v>
      </c>
      <c r="M26" s="542">
        <f t="shared" si="13"/>
        <v>5665.2</v>
      </c>
      <c r="N26" s="542">
        <f t="shared" si="13"/>
        <v>5920.8</v>
      </c>
      <c r="O26" s="542">
        <f t="shared" si="13"/>
        <v>6054.6</v>
      </c>
      <c r="P26" s="542">
        <f t="shared" si="13"/>
        <v>6273.4</v>
      </c>
      <c r="Q26" s="542">
        <f t="shared" si="13"/>
        <v>6615.5999999999995</v>
      </c>
      <c r="R26" s="542">
        <f t="shared" si="13"/>
        <v>6660.5</v>
      </c>
      <c r="S26" s="542">
        <f t="shared" si="13"/>
        <v>6693.1</v>
      </c>
      <c r="T26" s="542">
        <f t="shared" si="13"/>
        <v>6654.9</v>
      </c>
      <c r="U26" s="542">
        <f t="shared" si="13"/>
        <v>6374.8</v>
      </c>
      <c r="V26" s="542">
        <f t="shared" si="13"/>
        <v>6325.6</v>
      </c>
      <c r="W26" s="542">
        <f t="shared" si="13"/>
        <v>6419.4</v>
      </c>
      <c r="X26" s="542">
        <f t="shared" si="13"/>
        <v>6471.3</v>
      </c>
      <c r="Y26" s="662">
        <f t="shared" si="13"/>
        <v>6655.2999999999993</v>
      </c>
      <c r="Z26" s="662">
        <f t="shared" si="13"/>
        <v>6781.3472572470946</v>
      </c>
      <c r="AA26" s="662">
        <f t="shared" si="13"/>
        <v>6845.3960846336586</v>
      </c>
      <c r="AB26" s="662">
        <f t="shared" si="13"/>
        <v>6900.056618733659</v>
      </c>
      <c r="AC26" s="662">
        <f t="shared" si="13"/>
        <v>7046.8256779913927</v>
      </c>
      <c r="AD26" s="662">
        <f t="shared" si="13"/>
        <v>7103.1218772904231</v>
      </c>
      <c r="AE26" s="662">
        <f t="shared" si="13"/>
        <v>7158.7169481252095</v>
      </c>
      <c r="AF26" s="662">
        <f t="shared" si="13"/>
        <v>7214.247227748855</v>
      </c>
      <c r="AG26" s="662">
        <f t="shared" si="13"/>
        <v>7498.6282284557201</v>
      </c>
    </row>
    <row r="27" spans="4:55" ht="14.85" customHeight="1" x14ac:dyDescent="0.25">
      <c r="D27" s="813" t="s">
        <v>1940</v>
      </c>
      <c r="E27" s="835"/>
      <c r="F27" s="542">
        <f t="shared" ref="F27:AG27" si="14">F10+F21</f>
        <v>2222.1999999999998</v>
      </c>
      <c r="G27" s="542">
        <f t="shared" si="14"/>
        <v>2197.9</v>
      </c>
      <c r="H27" s="542">
        <f t="shared" si="14"/>
        <v>2220.4</v>
      </c>
      <c r="I27" s="542">
        <f t="shared" si="14"/>
        <v>2256</v>
      </c>
      <c r="J27" s="542">
        <f t="shared" si="14"/>
        <v>2111.9</v>
      </c>
      <c r="K27" s="542">
        <f t="shared" si="14"/>
        <v>2263.4</v>
      </c>
      <c r="L27" s="542">
        <f t="shared" si="14"/>
        <v>2394.8000000000002</v>
      </c>
      <c r="M27" s="542">
        <f t="shared" si="14"/>
        <v>2577.6000000000004</v>
      </c>
      <c r="N27" s="542">
        <f t="shared" si="14"/>
        <v>2704</v>
      </c>
      <c r="O27" s="542">
        <f t="shared" si="14"/>
        <v>2789.8</v>
      </c>
      <c r="P27" s="542">
        <f t="shared" si="14"/>
        <v>2901.6000000000004</v>
      </c>
      <c r="Q27" s="542">
        <f t="shared" si="14"/>
        <v>3162.8</v>
      </c>
      <c r="R27" s="542">
        <f t="shared" si="14"/>
        <v>3157.7</v>
      </c>
      <c r="S27" s="542">
        <f t="shared" si="14"/>
        <v>3137.1000000000004</v>
      </c>
      <c r="T27" s="542">
        <f t="shared" si="14"/>
        <v>3095.7</v>
      </c>
      <c r="U27" s="542">
        <f t="shared" si="14"/>
        <v>2763.7</v>
      </c>
      <c r="V27" s="542">
        <f t="shared" si="14"/>
        <v>2703.8999999999996</v>
      </c>
      <c r="W27" s="542">
        <f t="shared" si="14"/>
        <v>2765.2999999999997</v>
      </c>
      <c r="X27" s="542">
        <f t="shared" si="14"/>
        <v>2792.4</v>
      </c>
      <c r="Y27" s="542">
        <f t="shared" si="14"/>
        <v>2930.1000000000004</v>
      </c>
      <c r="Z27" s="542">
        <f t="shared" si="14"/>
        <v>3002.8293082385298</v>
      </c>
      <c r="AA27" s="542">
        <f t="shared" si="14"/>
        <v>3025.5232004072386</v>
      </c>
      <c r="AB27" s="542">
        <f t="shared" si="14"/>
        <v>3045.761385567756</v>
      </c>
      <c r="AC27" s="542">
        <f t="shared" si="14"/>
        <v>3156.643560972605</v>
      </c>
      <c r="AD27" s="542">
        <f t="shared" si="14"/>
        <v>3176.8134093562958</v>
      </c>
      <c r="AE27" s="542">
        <f t="shared" si="14"/>
        <v>3196.8873904884108</v>
      </c>
      <c r="AF27" s="542">
        <f t="shared" si="14"/>
        <v>3217.2161773185321</v>
      </c>
      <c r="AG27" s="542">
        <f t="shared" si="14"/>
        <v>3468.2010383265761</v>
      </c>
    </row>
    <row r="28" spans="4:55" ht="14.85" customHeight="1" x14ac:dyDescent="0.25">
      <c r="D28" s="813" t="s">
        <v>1941</v>
      </c>
      <c r="E28" s="835"/>
      <c r="F28" s="542">
        <f>F12+F23</f>
        <v>1424.1</v>
      </c>
      <c r="G28" s="542">
        <f t="shared" ref="G28:AG28" si="15">G12+G23</f>
        <v>1430.6</v>
      </c>
      <c r="H28" s="542">
        <f t="shared" si="15"/>
        <v>1448.3000000000002</v>
      </c>
      <c r="I28" s="542">
        <f t="shared" si="15"/>
        <v>1473.6</v>
      </c>
      <c r="J28" s="542">
        <f t="shared" si="15"/>
        <v>1402.8</v>
      </c>
      <c r="K28" s="542">
        <f t="shared" si="15"/>
        <v>1452.4</v>
      </c>
      <c r="L28" s="542">
        <f t="shared" si="15"/>
        <v>1489.7</v>
      </c>
      <c r="M28" s="542">
        <f t="shared" si="15"/>
        <v>1505.8999999999999</v>
      </c>
      <c r="N28" s="542">
        <f t="shared" si="15"/>
        <v>1541.7</v>
      </c>
      <c r="O28" s="542">
        <f t="shared" si="15"/>
        <v>1579.3999999999999</v>
      </c>
      <c r="P28" s="542">
        <f t="shared" si="15"/>
        <v>1626.3000000000002</v>
      </c>
      <c r="Q28" s="542">
        <f t="shared" si="15"/>
        <v>1668.8000000000002</v>
      </c>
      <c r="R28" s="542">
        <f t="shared" si="15"/>
        <v>1690.3999999999999</v>
      </c>
      <c r="S28" s="542">
        <f t="shared" si="15"/>
        <v>1732</v>
      </c>
      <c r="T28" s="542">
        <f t="shared" si="15"/>
        <v>1738.7</v>
      </c>
      <c r="U28" s="542">
        <f t="shared" si="15"/>
        <v>1780</v>
      </c>
      <c r="V28" s="542">
        <f t="shared" si="15"/>
        <v>1800.1000000000001</v>
      </c>
      <c r="W28" s="542">
        <f t="shared" si="15"/>
        <v>1823.3000000000002</v>
      </c>
      <c r="X28" s="542">
        <f t="shared" si="15"/>
        <v>1831.7</v>
      </c>
      <c r="Y28" s="542">
        <f t="shared" si="15"/>
        <v>1870</v>
      </c>
      <c r="Z28" s="542">
        <f t="shared" si="15"/>
        <v>1893.3668230826183</v>
      </c>
      <c r="AA28" s="542">
        <f t="shared" si="15"/>
        <v>1911.9162163127905</v>
      </c>
      <c r="AB28" s="542">
        <f t="shared" si="15"/>
        <v>1928.496601037057</v>
      </c>
      <c r="AC28" s="542">
        <f t="shared" si="15"/>
        <v>1945.2088015900381</v>
      </c>
      <c r="AD28" s="542">
        <f t="shared" si="15"/>
        <v>1962.0641600701733</v>
      </c>
      <c r="AE28" s="542">
        <f t="shared" si="15"/>
        <v>1979.0595342959841</v>
      </c>
      <c r="AF28" s="542">
        <f t="shared" si="15"/>
        <v>1996.1991393440194</v>
      </c>
      <c r="AG28" s="542">
        <f t="shared" si="15"/>
        <v>2013.4792586272208</v>
      </c>
    </row>
    <row r="29" spans="4:55" ht="14.85" customHeight="1" x14ac:dyDescent="0.25">
      <c r="D29" s="504"/>
      <c r="E29" s="190"/>
      <c r="F29" s="190"/>
      <c r="G29" s="190"/>
      <c r="H29" s="190"/>
      <c r="I29" s="190"/>
      <c r="J29" s="190"/>
      <c r="K29" s="190"/>
      <c r="L29" s="190"/>
      <c r="AH29" s="253"/>
      <c r="AI29" s="253"/>
      <c r="AJ29" s="253"/>
      <c r="AK29" s="253"/>
      <c r="AL29" s="253"/>
      <c r="AM29" s="253"/>
      <c r="AN29" s="253"/>
    </row>
    <row r="30" spans="4:55" ht="14.85" customHeight="1" x14ac:dyDescent="0.25">
      <c r="D30" s="1400" t="s">
        <v>918</v>
      </c>
      <c r="E30" s="1401"/>
      <c r="F30" s="1402"/>
      <c r="G30" s="484">
        <v>2020</v>
      </c>
      <c r="H30" s="485">
        <v>2021</v>
      </c>
      <c r="I30" s="484">
        <v>2022</v>
      </c>
      <c r="J30" s="874">
        <v>2023</v>
      </c>
      <c r="K30" s="874">
        <v>2024</v>
      </c>
      <c r="L30" s="875">
        <v>2025</v>
      </c>
      <c r="M30" s="875">
        <v>2026</v>
      </c>
      <c r="AH30" s="253"/>
      <c r="AI30" s="253"/>
      <c r="AJ30" s="253"/>
      <c r="AK30" s="253"/>
      <c r="AL30" s="253"/>
      <c r="AM30" s="253"/>
      <c r="AN30" s="253"/>
    </row>
    <row r="31" spans="4:55" ht="14.85" customHeight="1" x14ac:dyDescent="0.25">
      <c r="D31" s="839" t="s">
        <v>491</v>
      </c>
      <c r="E31" s="277"/>
      <c r="F31" s="298"/>
      <c r="G31" s="1204">
        <f>AVERAGE(H10:K10)</f>
        <v>1719.875</v>
      </c>
      <c r="H31" s="451">
        <f>AVERAGE(L10:O10)</f>
        <v>2049.6750000000002</v>
      </c>
      <c r="I31" s="451">
        <f>AVERAGE(P10:S10)</f>
        <v>2449.1750000000002</v>
      </c>
      <c r="J31" s="451">
        <f t="shared" ref="J31:M33" si="16">I31*J55/I55</f>
        <v>2025.1858667265676</v>
      </c>
      <c r="K31" s="451">
        <f t="shared" si="16"/>
        <v>2276.5874608731669</v>
      </c>
      <c r="L31" s="451">
        <f t="shared" si="16"/>
        <v>2372.614582925713</v>
      </c>
      <c r="M31" s="451">
        <f t="shared" si="16"/>
        <v>2643.5135881002002</v>
      </c>
      <c r="N31" t="s">
        <v>2253</v>
      </c>
    </row>
    <row r="32" spans="4:55" ht="14.85" customHeight="1" x14ac:dyDescent="0.25">
      <c r="D32" s="864" t="s">
        <v>496</v>
      </c>
      <c r="E32" s="224"/>
      <c r="F32" s="224"/>
      <c r="G32" s="1205">
        <f>AVERAGE(H12:K12)</f>
        <v>1424.3</v>
      </c>
      <c r="H32" s="221">
        <f>AVERAGE(L12:O12)</f>
        <v>1507.5250000000001</v>
      </c>
      <c r="I32" s="221">
        <f>AVERAGE(P12:S12)</f>
        <v>1656.6750000000002</v>
      </c>
      <c r="J32" s="221">
        <f t="shared" si="16"/>
        <v>1802.8864298974202</v>
      </c>
      <c r="K32" s="221">
        <f t="shared" si="16"/>
        <v>1874.3528079555063</v>
      </c>
      <c r="L32" s="221">
        <f t="shared" si="16"/>
        <v>1939.9486178705331</v>
      </c>
      <c r="M32" s="221">
        <f t="shared" si="16"/>
        <v>2025.9948204817445</v>
      </c>
    </row>
    <row r="33" spans="3:33" ht="14.85" customHeight="1" x14ac:dyDescent="0.25">
      <c r="D33" s="864" t="s">
        <v>105</v>
      </c>
      <c r="E33" s="224"/>
      <c r="F33" s="224"/>
      <c r="G33" s="1205">
        <f>AVERAGE(H14:K14)</f>
        <v>160.35</v>
      </c>
      <c r="H33" s="221">
        <f>AVERAGE(L14:O14)</f>
        <v>170.32500000000002</v>
      </c>
      <c r="I33" s="221">
        <f>AVERAGE(P14:S14)</f>
        <v>196.72500000000002</v>
      </c>
      <c r="J33" s="221">
        <f t="shared" si="16"/>
        <v>163.38743736702131</v>
      </c>
      <c r="K33" s="221">
        <f t="shared" si="16"/>
        <v>172.39179175531913</v>
      </c>
      <c r="L33" s="221">
        <f t="shared" si="16"/>
        <v>183.42304148936171</v>
      </c>
      <c r="M33" s="221">
        <f t="shared" si="16"/>
        <v>192.53936170212765</v>
      </c>
    </row>
    <row r="34" spans="3:33" ht="14.85" customHeight="1" x14ac:dyDescent="0.25">
      <c r="D34" s="864" t="s">
        <v>258</v>
      </c>
      <c r="E34" s="224"/>
      <c r="F34" s="224"/>
      <c r="G34" s="1205">
        <f>AVERAGE(H16:K16)</f>
        <v>217.32499999999999</v>
      </c>
      <c r="H34" s="221">
        <f>AVERAGE(L16:O16)</f>
        <v>266.65000000000003</v>
      </c>
      <c r="I34" s="221">
        <f>AVERAGE(P16:S16)</f>
        <v>351.52499999999998</v>
      </c>
      <c r="J34" s="221">
        <f>I34*J60/I60</f>
        <v>347.15396959519092</v>
      </c>
      <c r="K34" s="221">
        <f>J34*K60/J60</f>
        <v>434.7053031889979</v>
      </c>
      <c r="L34" s="221">
        <f>K34*L60/K60</f>
        <v>405.48567233981447</v>
      </c>
      <c r="M34" s="221">
        <f>L34*M60/L60</f>
        <v>389.24096081832658</v>
      </c>
    </row>
    <row r="35" spans="3:33" ht="14.85" customHeight="1" x14ac:dyDescent="0.25">
      <c r="C35" s="35"/>
      <c r="D35" s="864" t="s">
        <v>914</v>
      </c>
      <c r="E35" s="35"/>
      <c r="F35" s="230"/>
      <c r="G35" s="538"/>
      <c r="H35" s="1203">
        <f>H31/G31-1+0.021</f>
        <v>0.21275812195653762</v>
      </c>
      <c r="I35" s="1203">
        <f>I31/H31-1.05</f>
        <v>0.14490894897971618</v>
      </c>
      <c r="J35" s="1203">
        <f>J31/I31-1</f>
        <v>-0.17311508294565825</v>
      </c>
      <c r="K35" s="1203">
        <f>K31/J31-1+K36</f>
        <v>0.17913754128797815</v>
      </c>
      <c r="L35" s="1203">
        <f>L31/K31-1+L36</f>
        <v>6.2180291204676927E-2</v>
      </c>
      <c r="M35" s="1203">
        <f>M31/L31-1+M36</f>
        <v>0.11417741723581454</v>
      </c>
      <c r="N35" t="s">
        <v>901</v>
      </c>
    </row>
    <row r="36" spans="3:33" ht="14.85" customHeight="1" x14ac:dyDescent="0.25">
      <c r="C36" s="35"/>
      <c r="D36" s="864" t="s">
        <v>1915</v>
      </c>
      <c r="E36" s="35"/>
      <c r="F36" s="230"/>
      <c r="G36" s="538"/>
      <c r="H36" s="1203"/>
      <c r="I36" s="1203"/>
      <c r="J36" s="1203"/>
      <c r="K36" s="1203">
        <v>5.5E-2</v>
      </c>
      <c r="L36" s="1203">
        <v>0.02</v>
      </c>
      <c r="M36" s="1203"/>
    </row>
    <row r="37" spans="3:33" ht="14.85" customHeight="1" x14ac:dyDescent="0.25">
      <c r="C37" s="35"/>
      <c r="D37" s="864" t="s">
        <v>915</v>
      </c>
      <c r="E37" s="35"/>
      <c r="F37" s="230"/>
      <c r="G37" s="538"/>
      <c r="H37" s="1203">
        <f>H32/G32-1.03</f>
        <v>2.8432212314821292E-2</v>
      </c>
      <c r="I37" s="1203">
        <f>I32/H32-1.013</f>
        <v>8.5936999386411639E-2</v>
      </c>
      <c r="J37" s="819">
        <f>J32/I32-1</f>
        <v>8.8255952372927604E-2</v>
      </c>
      <c r="K37" s="1203">
        <f>K32/J32-1</f>
        <v>3.9639977800571824E-2</v>
      </c>
      <c r="L37" s="1203">
        <f>L32/K32-1</f>
        <v>3.4996511668780705E-2</v>
      </c>
      <c r="M37" s="1203">
        <f>M32/L32-1</f>
        <v>4.4354887453495362E-2</v>
      </c>
      <c r="N37" t="s">
        <v>902</v>
      </c>
    </row>
    <row r="38" spans="3:33" ht="14.85" customHeight="1" x14ac:dyDescent="0.25">
      <c r="C38" s="35"/>
      <c r="D38" s="864" t="s">
        <v>916</v>
      </c>
      <c r="E38" s="35"/>
      <c r="F38" s="230"/>
      <c r="G38" s="538"/>
      <c r="H38" s="1203">
        <f>H33/G33-1</f>
        <v>6.2207670720299424E-2</v>
      </c>
      <c r="I38" s="1203">
        <f>I33/H33-1.01</f>
        <v>0.14499779832672832</v>
      </c>
      <c r="J38" s="1203">
        <f>J33/I33-1</f>
        <v>-0.1694627659574468</v>
      </c>
      <c r="K38" s="1203">
        <f t="shared" ref="K38" si="17">K33/J33-1</f>
        <v>5.5110445046464118E-2</v>
      </c>
      <c r="L38" s="1203">
        <f>L33/K33-1</f>
        <v>6.3989414007016965E-2</v>
      </c>
      <c r="M38" s="1203">
        <f>M33/L33-1</f>
        <v>4.9701063392816325E-2</v>
      </c>
    </row>
    <row r="39" spans="3:33" ht="14.85" customHeight="1" x14ac:dyDescent="0.25">
      <c r="C39" s="35"/>
      <c r="D39" s="820" t="s">
        <v>917</v>
      </c>
      <c r="E39" s="36"/>
      <c r="F39" s="348"/>
      <c r="G39" s="347"/>
      <c r="H39" s="821">
        <f>H34/G34-1</f>
        <v>0.22696422408834716</v>
      </c>
      <c r="I39" s="821">
        <f>I34/H34-1.103</f>
        <v>0.21530114382148868</v>
      </c>
      <c r="J39" s="821">
        <f>J34/I34-1</f>
        <v>-1.2434479495936457E-2</v>
      </c>
      <c r="K39" s="821">
        <f>K34/J34-1-0.26</f>
        <v>-7.8025854179377685E-3</v>
      </c>
      <c r="L39" s="821">
        <f>L34/K34-1+0.21</f>
        <v>0.14278289766692923</v>
      </c>
      <c r="M39" s="821">
        <f>M34/L34-1+0.03</f>
        <v>-1.0062356402753797E-2</v>
      </c>
    </row>
    <row r="40" spans="3:33" ht="14.85" customHeight="1" x14ac:dyDescent="0.25">
      <c r="D40" s="836"/>
      <c r="E40" s="835"/>
      <c r="F40" s="848"/>
      <c r="G40" s="848"/>
      <c r="H40" s="816"/>
      <c r="I40" s="816"/>
      <c r="J40" s="816"/>
      <c r="K40" s="816"/>
      <c r="L40" s="816"/>
    </row>
    <row r="41" spans="3:33" ht="14.85" customHeight="1" x14ac:dyDescent="0.25">
      <c r="D41" s="836"/>
      <c r="E41" s="835"/>
      <c r="F41" s="848"/>
      <c r="G41" s="848"/>
      <c r="H41" s="816"/>
      <c r="I41" s="816"/>
      <c r="J41" s="816"/>
      <c r="K41" s="816"/>
      <c r="L41" s="816"/>
    </row>
    <row r="42" spans="3:33" ht="14.85" customHeight="1" x14ac:dyDescent="0.25">
      <c r="D42" s="836"/>
      <c r="E42" s="835"/>
      <c r="F42" s="1403" t="s">
        <v>280</v>
      </c>
      <c r="G42" s="1404"/>
      <c r="H42" s="1404"/>
      <c r="I42" s="1404"/>
      <c r="J42" s="1404"/>
      <c r="K42" s="1404"/>
      <c r="L42" s="1404"/>
      <c r="M42" s="1404"/>
      <c r="N42" s="1404"/>
      <c r="O42" s="1404"/>
      <c r="P42" s="1404"/>
      <c r="Q42" s="1404"/>
      <c r="R42" s="1404"/>
      <c r="S42" s="1404"/>
      <c r="T42" s="1404"/>
      <c r="U42" s="1404"/>
      <c r="V42" s="1405"/>
      <c r="W42" s="1340" t="s">
        <v>281</v>
      </c>
      <c r="X42" s="1330"/>
      <c r="Y42" s="1330"/>
      <c r="Z42" s="1330"/>
      <c r="AA42" s="1330"/>
      <c r="AB42" s="1330"/>
      <c r="AC42" s="1330"/>
      <c r="AD42" s="1330"/>
      <c r="AE42" s="1330"/>
      <c r="AF42" s="1330"/>
      <c r="AG42" s="1330"/>
    </row>
    <row r="43" spans="3:33" ht="14.85" customHeight="1" x14ac:dyDescent="0.25">
      <c r="D43" s="836"/>
      <c r="E43" s="835"/>
      <c r="F43" s="1290">
        <v>2019</v>
      </c>
      <c r="G43" s="1291"/>
      <c r="H43" s="1292"/>
      <c r="I43" s="1291">
        <v>2020</v>
      </c>
      <c r="J43" s="1291"/>
      <c r="K43" s="1291"/>
      <c r="L43" s="1291"/>
      <c r="M43" s="1302">
        <v>2021</v>
      </c>
      <c r="N43" s="1303"/>
      <c r="O43" s="1303"/>
      <c r="P43" s="1303"/>
      <c r="Q43" s="1302">
        <v>2022</v>
      </c>
      <c r="R43" s="1325"/>
      <c r="S43" s="1325"/>
      <c r="T43" s="1304"/>
      <c r="U43" s="278"/>
      <c r="V43" s="278">
        <v>2023</v>
      </c>
      <c r="W43" s="543"/>
      <c r="X43" s="250"/>
      <c r="Y43" s="1299">
        <v>2024</v>
      </c>
      <c r="Z43" s="1312"/>
      <c r="AA43" s="1312"/>
      <c r="AB43" s="1301"/>
      <c r="AC43" s="1299">
        <v>2025</v>
      </c>
      <c r="AD43" s="1312"/>
      <c r="AE43" s="1312"/>
      <c r="AF43" s="1301"/>
      <c r="AG43" s="493">
        <v>2026</v>
      </c>
    </row>
    <row r="44" spans="3:33" ht="14.85" customHeight="1" x14ac:dyDescent="0.25">
      <c r="D44" s="836"/>
      <c r="E44" s="835"/>
      <c r="F44" s="204" t="s">
        <v>284</v>
      </c>
      <c r="G44" s="205" t="s">
        <v>238</v>
      </c>
      <c r="H44" s="206" t="s">
        <v>282</v>
      </c>
      <c r="I44" s="205" t="s">
        <v>283</v>
      </c>
      <c r="J44" s="205" t="s">
        <v>284</v>
      </c>
      <c r="K44" s="205" t="s">
        <v>238</v>
      </c>
      <c r="L44" s="205" t="s">
        <v>282</v>
      </c>
      <c r="M44" s="204" t="s">
        <v>283</v>
      </c>
      <c r="N44" s="205" t="s">
        <v>284</v>
      </c>
      <c r="O44" s="205" t="s">
        <v>238</v>
      </c>
      <c r="P44" s="205" t="s">
        <v>282</v>
      </c>
      <c r="Q44" s="204" t="s">
        <v>283</v>
      </c>
      <c r="R44" s="205" t="s">
        <v>284</v>
      </c>
      <c r="S44" s="205" t="s">
        <v>238</v>
      </c>
      <c r="T44" s="206" t="s">
        <v>282</v>
      </c>
      <c r="U44" s="205" t="s">
        <v>283</v>
      </c>
      <c r="V44" s="276" t="s">
        <v>284</v>
      </c>
      <c r="W44" s="316" t="s">
        <v>238</v>
      </c>
      <c r="X44" s="422" t="s">
        <v>282</v>
      </c>
      <c r="Y44" s="423" t="s">
        <v>283</v>
      </c>
      <c r="Z44" s="323" t="s">
        <v>284</v>
      </c>
      <c r="AA44" s="316" t="s">
        <v>238</v>
      </c>
      <c r="AB44" s="316" t="s">
        <v>282</v>
      </c>
      <c r="AC44" s="259" t="s">
        <v>283</v>
      </c>
      <c r="AD44" s="257" t="s">
        <v>284</v>
      </c>
      <c r="AE44" s="260" t="s">
        <v>238</v>
      </c>
      <c r="AF44" s="260" t="s">
        <v>282</v>
      </c>
      <c r="AG44" s="259" t="s">
        <v>283</v>
      </c>
    </row>
    <row r="45" spans="3:33" ht="14.85" customHeight="1" x14ac:dyDescent="0.25">
      <c r="D45" s="864" t="s">
        <v>914</v>
      </c>
      <c r="E45" s="835"/>
      <c r="F45" s="848"/>
      <c r="G45" s="848"/>
      <c r="H45" s="816"/>
      <c r="I45" s="816"/>
      <c r="J45" s="816"/>
      <c r="K45" s="816"/>
      <c r="L45" s="816"/>
    </row>
    <row r="46" spans="3:33" ht="14.85" customHeight="1" x14ac:dyDescent="0.25">
      <c r="D46" s="864" t="s">
        <v>1915</v>
      </c>
      <c r="E46" s="835"/>
      <c r="F46" s="848"/>
      <c r="G46" s="848"/>
      <c r="H46" s="816"/>
      <c r="I46" s="816"/>
      <c r="J46" s="816"/>
      <c r="K46" s="816"/>
      <c r="L46" s="816"/>
      <c r="M46" s="811">
        <f>H35</f>
        <v>0.21275812195653762</v>
      </c>
      <c r="N46" s="811">
        <f>H35</f>
        <v>0.21275812195653762</v>
      </c>
      <c r="O46" s="811">
        <f>H35</f>
        <v>0.21275812195653762</v>
      </c>
      <c r="P46" s="811">
        <f>H35</f>
        <v>0.21275812195653762</v>
      </c>
      <c r="Q46" s="811">
        <f>I35</f>
        <v>0.14490894897971618</v>
      </c>
      <c r="R46" s="811">
        <f>I35</f>
        <v>0.14490894897971618</v>
      </c>
      <c r="S46" s="811">
        <f>I35</f>
        <v>0.14490894897971618</v>
      </c>
      <c r="T46" s="811">
        <f>I35</f>
        <v>0.14490894897971618</v>
      </c>
      <c r="U46" s="811">
        <f>J35</f>
        <v>-0.17311508294565825</v>
      </c>
      <c r="V46" s="811">
        <f>J35</f>
        <v>-0.17311508294565825</v>
      </c>
      <c r="W46" s="811">
        <f>J35</f>
        <v>-0.17311508294565825</v>
      </c>
      <c r="X46" s="811">
        <f>J35</f>
        <v>-0.17311508294565825</v>
      </c>
      <c r="Y46" s="811">
        <f>K35</f>
        <v>0.17913754128797815</v>
      </c>
      <c r="Z46" s="811">
        <f>K35</f>
        <v>0.17913754128797815</v>
      </c>
      <c r="AA46" s="811">
        <f>K35</f>
        <v>0.17913754128797815</v>
      </c>
      <c r="AB46" s="811">
        <f t="shared" ref="AB46:AC50" si="18">K35</f>
        <v>0.17913754128797815</v>
      </c>
      <c r="AC46" s="811">
        <f t="shared" si="18"/>
        <v>6.2180291204676927E-2</v>
      </c>
      <c r="AD46" s="811">
        <f>L35</f>
        <v>6.2180291204676927E-2</v>
      </c>
      <c r="AE46" s="811">
        <f>L35</f>
        <v>6.2180291204676927E-2</v>
      </c>
      <c r="AF46" s="811">
        <f>L35</f>
        <v>6.2180291204676927E-2</v>
      </c>
      <c r="AG46" s="811">
        <f>L35</f>
        <v>6.2180291204676927E-2</v>
      </c>
    </row>
    <row r="47" spans="3:33" ht="14.85" customHeight="1" x14ac:dyDescent="0.25">
      <c r="D47" s="864" t="s">
        <v>915</v>
      </c>
      <c r="E47" s="835"/>
      <c r="F47" s="848"/>
      <c r="G47" s="848"/>
      <c r="H47" s="816"/>
      <c r="I47" s="816"/>
      <c r="J47" s="816"/>
      <c r="K47" s="816"/>
      <c r="L47" s="816"/>
      <c r="Y47" s="811">
        <f>K36</f>
        <v>5.5E-2</v>
      </c>
      <c r="Z47" s="811">
        <f>K36</f>
        <v>5.5E-2</v>
      </c>
      <c r="AA47" s="811">
        <f>K36</f>
        <v>5.5E-2</v>
      </c>
      <c r="AB47" s="811">
        <f t="shared" si="18"/>
        <v>5.5E-2</v>
      </c>
      <c r="AC47" s="811">
        <f t="shared" si="18"/>
        <v>0.02</v>
      </c>
      <c r="AD47" s="811">
        <f>L36</f>
        <v>0.02</v>
      </c>
      <c r="AE47" s="811">
        <f>L36</f>
        <v>0.02</v>
      </c>
      <c r="AF47" s="811">
        <f>L36</f>
        <v>0.02</v>
      </c>
      <c r="AG47" s="811">
        <f>L36</f>
        <v>0.02</v>
      </c>
    </row>
    <row r="48" spans="3:33" ht="14.85" customHeight="1" x14ac:dyDescent="0.25">
      <c r="D48" s="864" t="s">
        <v>916</v>
      </c>
      <c r="E48" s="835"/>
      <c r="F48" s="848"/>
      <c r="G48" s="848"/>
      <c r="H48" s="816"/>
      <c r="I48" s="816"/>
      <c r="J48" s="816"/>
      <c r="K48" s="816"/>
      <c r="L48" s="816"/>
      <c r="M48" s="811">
        <f>H37</f>
        <v>2.8432212314821292E-2</v>
      </c>
      <c r="N48" s="811">
        <f>H37</f>
        <v>2.8432212314821292E-2</v>
      </c>
      <c r="O48" s="73">
        <f>H37</f>
        <v>2.8432212314821292E-2</v>
      </c>
      <c r="P48" s="811">
        <f t="shared" ref="P48:Q50" si="19">H37</f>
        <v>2.8432212314821292E-2</v>
      </c>
      <c r="Q48" s="811">
        <f t="shared" si="19"/>
        <v>8.5936999386411639E-2</v>
      </c>
      <c r="R48" s="811">
        <f>I37</f>
        <v>8.5936999386411639E-2</v>
      </c>
      <c r="S48" s="811">
        <f>I37</f>
        <v>8.5936999386411639E-2</v>
      </c>
      <c r="T48" s="811">
        <f t="shared" ref="T48:U50" si="20">I37</f>
        <v>8.5936999386411639E-2</v>
      </c>
      <c r="U48" s="73">
        <f t="shared" si="20"/>
        <v>8.8255952372927604E-2</v>
      </c>
      <c r="V48" s="73">
        <f>J37</f>
        <v>8.8255952372927604E-2</v>
      </c>
      <c r="W48" s="73">
        <f>J37</f>
        <v>8.8255952372927604E-2</v>
      </c>
      <c r="X48" s="73">
        <f>J37</f>
        <v>8.8255952372927604E-2</v>
      </c>
      <c r="Y48" s="811">
        <f>K37</f>
        <v>3.9639977800571824E-2</v>
      </c>
      <c r="Z48" s="811">
        <f>K37</f>
        <v>3.9639977800571824E-2</v>
      </c>
      <c r="AA48" s="811">
        <f>K37</f>
        <v>3.9639977800571824E-2</v>
      </c>
      <c r="AB48" s="811">
        <f t="shared" si="18"/>
        <v>3.9639977800571824E-2</v>
      </c>
      <c r="AC48" s="811">
        <f t="shared" si="18"/>
        <v>3.4996511668780705E-2</v>
      </c>
      <c r="AD48" s="811">
        <f>L37</f>
        <v>3.4996511668780705E-2</v>
      </c>
      <c r="AE48" s="811">
        <f>L37</f>
        <v>3.4996511668780705E-2</v>
      </c>
      <c r="AF48" s="811">
        <f>L37</f>
        <v>3.4996511668780705E-2</v>
      </c>
      <c r="AG48" s="811">
        <f>L37</f>
        <v>3.4996511668780705E-2</v>
      </c>
    </row>
    <row r="49" spans="4:40" ht="14.85" customHeight="1" x14ac:dyDescent="0.25">
      <c r="D49" s="820" t="s">
        <v>917</v>
      </c>
      <c r="E49" s="835"/>
      <c r="F49" s="848"/>
      <c r="G49" s="848"/>
      <c r="H49" s="816"/>
      <c r="I49" s="816"/>
      <c r="J49" s="816"/>
      <c r="K49" s="816"/>
      <c r="L49" s="816"/>
      <c r="M49" s="811">
        <f>H38</f>
        <v>6.2207670720299424E-2</v>
      </c>
      <c r="N49" s="811">
        <f>H38</f>
        <v>6.2207670720299424E-2</v>
      </c>
      <c r="O49" s="811">
        <f>H38</f>
        <v>6.2207670720299424E-2</v>
      </c>
      <c r="P49" s="811">
        <f t="shared" si="19"/>
        <v>6.2207670720299424E-2</v>
      </c>
      <c r="Q49" s="811">
        <f t="shared" si="19"/>
        <v>0.14499779832672832</v>
      </c>
      <c r="R49" s="811">
        <f>I38</f>
        <v>0.14499779832672832</v>
      </c>
      <c r="S49" s="811">
        <f>I38</f>
        <v>0.14499779832672832</v>
      </c>
      <c r="T49" s="811">
        <f t="shared" si="20"/>
        <v>0.14499779832672832</v>
      </c>
      <c r="U49" s="811">
        <f t="shared" si="20"/>
        <v>-0.1694627659574468</v>
      </c>
      <c r="V49" s="811">
        <f>J38</f>
        <v>-0.1694627659574468</v>
      </c>
      <c r="W49" s="811">
        <f>J38</f>
        <v>-0.1694627659574468</v>
      </c>
      <c r="X49" s="811">
        <f>J38</f>
        <v>-0.1694627659574468</v>
      </c>
      <c r="Y49" s="811">
        <f>K38</f>
        <v>5.5110445046464118E-2</v>
      </c>
      <c r="Z49" s="811">
        <f>K38</f>
        <v>5.5110445046464118E-2</v>
      </c>
      <c r="AA49" s="811">
        <f>K38</f>
        <v>5.5110445046464118E-2</v>
      </c>
      <c r="AB49" s="811">
        <f t="shared" si="18"/>
        <v>5.5110445046464118E-2</v>
      </c>
      <c r="AC49" s="811">
        <f t="shared" si="18"/>
        <v>6.3989414007016965E-2</v>
      </c>
      <c r="AD49" s="811">
        <f>L38</f>
        <v>6.3989414007016965E-2</v>
      </c>
      <c r="AE49" s="811">
        <f>L38</f>
        <v>6.3989414007016965E-2</v>
      </c>
      <c r="AF49" s="811">
        <f>L38</f>
        <v>6.3989414007016965E-2</v>
      </c>
      <c r="AG49" s="811">
        <f>L38</f>
        <v>6.3989414007016965E-2</v>
      </c>
    </row>
    <row r="50" spans="4:40" ht="14.85" customHeight="1" x14ac:dyDescent="0.25">
      <c r="D50" s="836"/>
      <c r="E50" s="835"/>
      <c r="F50" s="848"/>
      <c r="G50" s="848"/>
      <c r="H50" s="816"/>
      <c r="I50" s="816"/>
      <c r="J50" s="816"/>
      <c r="K50" s="816"/>
      <c r="L50" s="816"/>
      <c r="M50" s="811">
        <f>H39</f>
        <v>0.22696422408834716</v>
      </c>
      <c r="N50" s="811">
        <f>H39</f>
        <v>0.22696422408834716</v>
      </c>
      <c r="O50" s="811">
        <f>H39</f>
        <v>0.22696422408834716</v>
      </c>
      <c r="P50" s="811">
        <f t="shared" si="19"/>
        <v>0.22696422408834716</v>
      </c>
      <c r="Q50" s="811">
        <f t="shared" si="19"/>
        <v>0.21530114382148868</v>
      </c>
      <c r="R50" s="811">
        <f>I39</f>
        <v>0.21530114382148868</v>
      </c>
      <c r="S50" s="811">
        <f>I39</f>
        <v>0.21530114382148868</v>
      </c>
      <c r="T50" s="811">
        <f t="shared" si="20"/>
        <v>0.21530114382148868</v>
      </c>
      <c r="U50" s="811">
        <f t="shared" si="20"/>
        <v>-1.2434479495936457E-2</v>
      </c>
      <c r="V50" s="811">
        <f>J39</f>
        <v>-1.2434479495936457E-2</v>
      </c>
      <c r="W50" s="811">
        <f>J39</f>
        <v>-1.2434479495936457E-2</v>
      </c>
      <c r="X50" s="811">
        <f>J39</f>
        <v>-1.2434479495936457E-2</v>
      </c>
      <c r="Y50" s="811">
        <f>K39</f>
        <v>-7.8025854179377685E-3</v>
      </c>
      <c r="Z50" s="811">
        <f>K39</f>
        <v>-7.8025854179377685E-3</v>
      </c>
      <c r="AA50" s="811">
        <f>K39</f>
        <v>-7.8025854179377685E-3</v>
      </c>
      <c r="AB50" s="811">
        <f t="shared" si="18"/>
        <v>-7.8025854179377685E-3</v>
      </c>
      <c r="AC50" s="811">
        <f t="shared" si="18"/>
        <v>0.14278289766692923</v>
      </c>
      <c r="AD50" s="811">
        <f>L39</f>
        <v>0.14278289766692923</v>
      </c>
      <c r="AE50" s="811">
        <f>L39</f>
        <v>0.14278289766692923</v>
      </c>
      <c r="AF50" s="811">
        <f>L39</f>
        <v>0.14278289766692923</v>
      </c>
      <c r="AG50" s="811">
        <f>L39</f>
        <v>0.14278289766692923</v>
      </c>
    </row>
    <row r="51" spans="4:40" ht="14.85" customHeight="1" x14ac:dyDescent="0.25">
      <c r="D51" s="836"/>
      <c r="E51" s="835"/>
      <c r="F51" s="848"/>
      <c r="G51" s="848"/>
      <c r="H51" s="816"/>
      <c r="I51" s="816"/>
      <c r="J51" s="759"/>
      <c r="K51" s="816"/>
      <c r="L51" s="816"/>
    </row>
    <row r="52" spans="4:40" ht="14.85" customHeight="1" x14ac:dyDescent="0.25">
      <c r="D52" s="836"/>
      <c r="E52" s="835"/>
      <c r="F52" s="848"/>
      <c r="G52" s="848"/>
      <c r="H52" s="816"/>
      <c r="I52" s="816"/>
      <c r="J52" s="816"/>
      <c r="K52" s="816"/>
      <c r="L52" s="816"/>
    </row>
    <row r="53" spans="4:40" ht="41.85" customHeight="1" x14ac:dyDescent="0.25">
      <c r="F53" s="230"/>
      <c r="G53" s="230"/>
      <c r="H53" s="707"/>
      <c r="I53" s="707"/>
      <c r="J53" s="707"/>
      <c r="K53" s="707"/>
      <c r="L53" s="707"/>
      <c r="M53" s="1452" t="s">
        <v>2273</v>
      </c>
      <c r="N53" s="273"/>
      <c r="AF53" s="707"/>
      <c r="AG53" s="707"/>
      <c r="AH53" s="707"/>
      <c r="AI53" s="707"/>
      <c r="AJ53" s="707"/>
      <c r="AK53" s="707"/>
      <c r="AM53" s="707"/>
      <c r="AN53" s="707"/>
    </row>
    <row r="54" spans="4:40" ht="30.75" customHeight="1" x14ac:dyDescent="0.25">
      <c r="D54" s="788" t="s">
        <v>2274</v>
      </c>
      <c r="E54" s="647">
        <v>2018</v>
      </c>
      <c r="F54" s="790">
        <v>2019</v>
      </c>
      <c r="G54" s="790">
        <v>2020</v>
      </c>
      <c r="H54" s="790">
        <v>2021</v>
      </c>
      <c r="I54" s="791">
        <v>2022</v>
      </c>
      <c r="J54" s="1184">
        <v>2023</v>
      </c>
      <c r="K54" s="1185">
        <v>2024</v>
      </c>
      <c r="L54" s="1186">
        <v>2025</v>
      </c>
      <c r="M54" s="1186">
        <v>2026</v>
      </c>
      <c r="N54" s="873"/>
      <c r="O54" s="213"/>
    </row>
    <row r="55" spans="4:40" ht="30.75" customHeight="1" x14ac:dyDescent="0.25">
      <c r="D55" s="792" t="s">
        <v>491</v>
      </c>
      <c r="E55" s="793">
        <v>1683.5</v>
      </c>
      <c r="F55" s="793">
        <v>1717.9</v>
      </c>
      <c r="G55" s="793">
        <v>1609</v>
      </c>
      <c r="H55" s="357">
        <v>2044.377</v>
      </c>
      <c r="I55" s="451">
        <v>2632.145</v>
      </c>
      <c r="J55" s="451">
        <v>2176.4810000000002</v>
      </c>
      <c r="K55" s="451">
        <v>2446.6640000000002</v>
      </c>
      <c r="L55" s="451">
        <v>2549.8649999999998</v>
      </c>
      <c r="M55" s="865">
        <v>2841.002</v>
      </c>
      <c r="N55" s="747">
        <v>3121.953</v>
      </c>
      <c r="O55" s="213">
        <v>3224.15</v>
      </c>
      <c r="P55">
        <v>3326.8539999999998</v>
      </c>
      <c r="Q55">
        <v>3455.0859999999998</v>
      </c>
      <c r="R55">
        <v>3583.2</v>
      </c>
      <c r="S55">
        <v>3710.4380000000001</v>
      </c>
      <c r="T55">
        <v>3858.924</v>
      </c>
      <c r="U55">
        <v>4020.6480000000001</v>
      </c>
    </row>
    <row r="56" spans="4:40" ht="16.5" customHeight="1" x14ac:dyDescent="0.25">
      <c r="D56" s="877" t="s">
        <v>492</v>
      </c>
      <c r="E56" s="1187">
        <v>1170.7</v>
      </c>
      <c r="F56" s="1187">
        <v>1243.4000000000001</v>
      </c>
      <c r="G56" s="1187">
        <v>1310</v>
      </c>
      <c r="H56" s="426">
        <v>1314.088</v>
      </c>
      <c r="I56" s="221">
        <v>1483.5260000000001</v>
      </c>
      <c r="J56" s="221">
        <v>1614.4559999999999</v>
      </c>
      <c r="K56" s="221">
        <v>1678.453</v>
      </c>
      <c r="L56" s="221">
        <v>1737.193</v>
      </c>
      <c r="M56" s="1206">
        <v>1814.2460000000001</v>
      </c>
      <c r="N56" s="869">
        <v>1885.5429999999999</v>
      </c>
      <c r="O56" s="843">
        <v>1960.0719999999999</v>
      </c>
      <c r="P56" s="866">
        <v>2038.2460000000001</v>
      </c>
      <c r="Q56">
        <v>2118.127</v>
      </c>
      <c r="R56">
        <v>2199.9830000000002</v>
      </c>
      <c r="S56">
        <v>2283.1770000000001</v>
      </c>
      <c r="T56">
        <v>2367.9110000000001</v>
      </c>
      <c r="U56">
        <v>2455.0839999999998</v>
      </c>
    </row>
    <row r="57" spans="4:40" x14ac:dyDescent="0.25">
      <c r="D57" s="1453" t="s">
        <v>493</v>
      </c>
      <c r="E57" s="1454">
        <f t="shared" ref="E57:L57" si="21">E58+E59</f>
        <v>136.30000000000001</v>
      </c>
      <c r="F57" s="1454">
        <f t="shared" si="21"/>
        <v>170.6</v>
      </c>
      <c r="G57" s="1454">
        <f t="shared" si="21"/>
        <v>156</v>
      </c>
      <c r="H57" s="1454">
        <f t="shared" si="21"/>
        <v>155.25900000000001</v>
      </c>
      <c r="I57" s="1454">
        <f t="shared" si="21"/>
        <v>188</v>
      </c>
      <c r="J57" s="1454">
        <f t="shared" si="21"/>
        <v>156.14100000000002</v>
      </c>
      <c r="K57" s="1454">
        <f t="shared" si="21"/>
        <v>164.74599999999998</v>
      </c>
      <c r="L57" s="1454">
        <f t="shared" si="21"/>
        <v>175.28800000000001</v>
      </c>
      <c r="M57" s="1454">
        <f>M58+M59</f>
        <v>184</v>
      </c>
      <c r="N57" s="190"/>
      <c r="P57" s="870"/>
      <c r="Q57" s="870"/>
      <c r="R57" s="870"/>
      <c r="S57" s="870"/>
      <c r="T57" s="870"/>
      <c r="U57" s="870"/>
      <c r="V57" s="870"/>
      <c r="W57" s="870"/>
    </row>
    <row r="58" spans="4:40" x14ac:dyDescent="0.25">
      <c r="D58" s="1455" t="s">
        <v>2255</v>
      </c>
      <c r="E58" s="1456">
        <v>95</v>
      </c>
      <c r="F58" s="1456">
        <v>99.8</v>
      </c>
      <c r="G58" s="1456">
        <v>87</v>
      </c>
      <c r="H58" s="1454">
        <v>75.274000000000001</v>
      </c>
      <c r="I58" s="1457">
        <v>88</v>
      </c>
      <c r="J58" s="1457">
        <v>75.804000000000002</v>
      </c>
      <c r="K58" s="1457">
        <v>85.135999999999996</v>
      </c>
      <c r="L58" s="1457">
        <v>92.344999999999999</v>
      </c>
      <c r="M58" s="1458">
        <v>97</v>
      </c>
      <c r="N58" s="190"/>
      <c r="P58" s="870"/>
      <c r="Q58" s="870"/>
      <c r="R58" s="870"/>
      <c r="S58" s="870"/>
      <c r="T58" s="870"/>
      <c r="U58" s="870"/>
      <c r="V58" s="870"/>
      <c r="W58" s="870"/>
    </row>
    <row r="59" spans="4:40" ht="16.5" customHeight="1" x14ac:dyDescent="0.25">
      <c r="D59" s="1178" t="s">
        <v>2254</v>
      </c>
      <c r="E59" s="1456">
        <v>41.3</v>
      </c>
      <c r="F59" s="1456">
        <v>70.8</v>
      </c>
      <c r="G59" s="1456">
        <v>69</v>
      </c>
      <c r="H59" s="1454">
        <v>79.984999999999999</v>
      </c>
      <c r="I59" s="1457">
        <v>100</v>
      </c>
      <c r="J59" s="1457">
        <v>80.337000000000003</v>
      </c>
      <c r="K59" s="1457">
        <v>79.61</v>
      </c>
      <c r="L59" s="1457">
        <v>82.942999999999998</v>
      </c>
      <c r="M59" s="1459">
        <v>87</v>
      </c>
      <c r="N59" s="849"/>
      <c r="O59" s="868"/>
      <c r="P59" s="866"/>
      <c r="Q59" s="866"/>
      <c r="R59" s="866"/>
      <c r="S59" s="866"/>
      <c r="T59" s="866"/>
      <c r="U59" s="866"/>
      <c r="V59" s="866"/>
      <c r="W59" s="866"/>
      <c r="X59" s="849"/>
      <c r="Y59" s="849"/>
      <c r="Z59" s="867"/>
    </row>
    <row r="60" spans="4:40" ht="16.5" customHeight="1" x14ac:dyDescent="0.25">
      <c r="D60" s="794" t="s">
        <v>106</v>
      </c>
      <c r="E60" s="795">
        <v>204.7</v>
      </c>
      <c r="F60" s="795">
        <v>230.2</v>
      </c>
      <c r="G60" s="795">
        <v>212</v>
      </c>
      <c r="H60" s="832">
        <v>371.83100000000002</v>
      </c>
      <c r="I60" s="476">
        <v>424.86700000000002</v>
      </c>
      <c r="J60" s="476">
        <v>419.584</v>
      </c>
      <c r="K60" s="476">
        <v>525.40200000000004</v>
      </c>
      <c r="L60" s="476">
        <v>490.08600000000001</v>
      </c>
      <c r="M60" s="758">
        <v>470.452</v>
      </c>
      <c r="N60" s="849">
        <v>459.399</v>
      </c>
      <c r="O60" s="868">
        <v>461.55399999999997</v>
      </c>
      <c r="P60" s="866">
        <v>460.858</v>
      </c>
      <c r="Q60" s="866">
        <v>462.81099999999998</v>
      </c>
      <c r="R60" s="866">
        <v>465.98700000000002</v>
      </c>
      <c r="S60" s="866">
        <v>471.01</v>
      </c>
      <c r="T60" s="866">
        <v>495.30399999999997</v>
      </c>
      <c r="U60" s="866">
        <v>506.70400000000001</v>
      </c>
      <c r="V60" s="866"/>
      <c r="W60" s="866"/>
      <c r="X60" s="849"/>
      <c r="Y60" s="849"/>
      <c r="Z60" s="867"/>
    </row>
    <row r="61" spans="4:40" ht="16.5" customHeight="1" x14ac:dyDescent="0.25"/>
    <row r="62" spans="4:40" x14ac:dyDescent="0.25">
      <c r="D62" s="599" t="s">
        <v>494</v>
      </c>
      <c r="E62" s="647">
        <v>2018</v>
      </c>
      <c r="F62" s="709">
        <v>2019</v>
      </c>
      <c r="G62" s="1179">
        <v>2020</v>
      </c>
      <c r="H62" s="709">
        <v>2021</v>
      </c>
      <c r="I62" s="709">
        <v>2022</v>
      </c>
      <c r="J62" s="1190">
        <v>2023</v>
      </c>
      <c r="K62" s="1190">
        <v>2024</v>
      </c>
      <c r="L62" s="876">
        <v>2025</v>
      </c>
      <c r="M62" s="1186">
        <v>2026</v>
      </c>
      <c r="O62" s="504" t="s">
        <v>495</v>
      </c>
    </row>
    <row r="63" spans="4:40" ht="14.85" customHeight="1" x14ac:dyDescent="0.25">
      <c r="D63" s="839" t="s">
        <v>491</v>
      </c>
      <c r="E63" s="298">
        <v>1622</v>
      </c>
      <c r="F63" s="298">
        <v>1687</v>
      </c>
      <c r="G63" s="1192">
        <f t="shared" ref="G63:L66" si="22">G31</f>
        <v>1719.875</v>
      </c>
      <c r="H63" s="1192">
        <f t="shared" si="22"/>
        <v>2049.6750000000002</v>
      </c>
      <c r="I63" s="1192">
        <f t="shared" si="22"/>
        <v>2449.1750000000002</v>
      </c>
      <c r="J63" s="1192">
        <f t="shared" si="22"/>
        <v>2025.1858667265676</v>
      </c>
      <c r="K63" s="1192">
        <f t="shared" si="22"/>
        <v>2276.5874608731669</v>
      </c>
      <c r="L63" s="1192">
        <f t="shared" si="22"/>
        <v>2372.614582925713</v>
      </c>
      <c r="M63" s="1188"/>
    </row>
    <row r="64" spans="4:40" x14ac:dyDescent="0.25">
      <c r="D64" s="864" t="s">
        <v>496</v>
      </c>
      <c r="E64" s="224">
        <v>1332</v>
      </c>
      <c r="F64" s="224">
        <v>1388</v>
      </c>
      <c r="G64" s="1191">
        <f t="shared" si="22"/>
        <v>1424.3</v>
      </c>
      <c r="H64" s="1191">
        <f t="shared" si="22"/>
        <v>1507.5250000000001</v>
      </c>
      <c r="I64" s="1191">
        <f t="shared" si="22"/>
        <v>1656.6750000000002</v>
      </c>
      <c r="J64" s="1191">
        <f t="shared" si="22"/>
        <v>1802.8864298974202</v>
      </c>
      <c r="K64" s="1191">
        <f t="shared" si="22"/>
        <v>1874.3528079555063</v>
      </c>
      <c r="L64" s="1191">
        <f t="shared" si="22"/>
        <v>1939.9486178705331</v>
      </c>
      <c r="M64" s="1189"/>
      <c r="N64" s="847"/>
    </row>
    <row r="65" spans="4:22" x14ac:dyDescent="0.25">
      <c r="D65" s="864" t="s">
        <v>105</v>
      </c>
      <c r="E65" s="224">
        <v>150</v>
      </c>
      <c r="F65" s="224">
        <v>175</v>
      </c>
      <c r="G65" s="1191">
        <f t="shared" si="22"/>
        <v>160.35</v>
      </c>
      <c r="H65" s="1191">
        <f t="shared" si="22"/>
        <v>170.32500000000002</v>
      </c>
      <c r="I65" s="1191">
        <f t="shared" si="22"/>
        <v>196.72500000000002</v>
      </c>
      <c r="J65" s="1191">
        <f t="shared" si="22"/>
        <v>163.38743736702131</v>
      </c>
      <c r="K65" s="1191">
        <f t="shared" si="22"/>
        <v>172.39179175531913</v>
      </c>
      <c r="L65" s="1191">
        <f t="shared" si="22"/>
        <v>183.42304148936171</v>
      </c>
      <c r="M65" s="1189"/>
      <c r="N65" s="847"/>
    </row>
    <row r="66" spans="4:22" x14ac:dyDescent="0.25">
      <c r="D66" s="820" t="s">
        <v>258</v>
      </c>
      <c r="E66" s="553">
        <v>208</v>
      </c>
      <c r="F66" s="553">
        <v>219</v>
      </c>
      <c r="G66" s="1193">
        <f t="shared" si="22"/>
        <v>217.32499999999999</v>
      </c>
      <c r="H66" s="1193">
        <f t="shared" si="22"/>
        <v>266.65000000000003</v>
      </c>
      <c r="I66" s="1193">
        <f t="shared" si="22"/>
        <v>351.52499999999998</v>
      </c>
      <c r="J66" s="1193">
        <f t="shared" si="22"/>
        <v>347.15396959519092</v>
      </c>
      <c r="K66" s="1193">
        <f t="shared" si="22"/>
        <v>434.7053031889979</v>
      </c>
      <c r="L66" s="1193">
        <f t="shared" si="22"/>
        <v>405.48567233981447</v>
      </c>
      <c r="M66" s="1194"/>
      <c r="O66" s="1275" t="s">
        <v>896</v>
      </c>
      <c r="P66" s="1275" t="s">
        <v>896</v>
      </c>
      <c r="Q66" s="1275" t="s">
        <v>896</v>
      </c>
      <c r="R66" s="1275" t="s">
        <v>896</v>
      </c>
      <c r="S66" s="1275" t="s">
        <v>896</v>
      </c>
      <c r="T66" s="1275" t="s">
        <v>896</v>
      </c>
      <c r="U66" s="1275" t="s">
        <v>896</v>
      </c>
      <c r="V66" s="1276" t="s">
        <v>896</v>
      </c>
    </row>
    <row r="67" spans="4:22" ht="14.85" customHeight="1" x14ac:dyDescent="0.25">
      <c r="D67" s="255"/>
      <c r="E67" s="224"/>
      <c r="F67" s="224"/>
      <c r="G67" s="224"/>
      <c r="P67" s="1277">
        <v>2022</v>
      </c>
      <c r="Q67" s="1278">
        <v>2022</v>
      </c>
      <c r="R67" s="1278">
        <v>2022</v>
      </c>
      <c r="S67" s="1279">
        <v>2022</v>
      </c>
    </row>
    <row r="68" spans="4:22" ht="17.25" customHeight="1" x14ac:dyDescent="0.25">
      <c r="D68" s="460" t="s">
        <v>498</v>
      </c>
      <c r="E68" s="224"/>
      <c r="F68" s="224"/>
      <c r="G68" s="224"/>
      <c r="P68" s="90" t="s">
        <v>897</v>
      </c>
      <c r="Q68" s="90" t="s">
        <v>898</v>
      </c>
      <c r="R68" s="90" t="s">
        <v>899</v>
      </c>
      <c r="S68" s="90" t="s">
        <v>900</v>
      </c>
      <c r="T68" s="122" t="s">
        <v>913</v>
      </c>
    </row>
    <row r="69" spans="4:22" ht="30" customHeight="1" x14ac:dyDescent="0.25">
      <c r="D69" s="1201" t="s">
        <v>499</v>
      </c>
      <c r="E69" s="709">
        <v>2018</v>
      </c>
      <c r="F69" s="709">
        <v>2019</v>
      </c>
      <c r="G69" s="1179">
        <v>2020</v>
      </c>
      <c r="H69" s="647">
        <v>2021</v>
      </c>
      <c r="I69" s="709">
        <v>2022</v>
      </c>
      <c r="J69" s="1190">
        <v>2023</v>
      </c>
      <c r="K69" s="1190">
        <v>2024</v>
      </c>
      <c r="L69" s="876">
        <v>2025</v>
      </c>
      <c r="M69" s="1186">
        <v>2026</v>
      </c>
      <c r="O69" s="30" t="s">
        <v>497</v>
      </c>
      <c r="P69" s="94">
        <v>2973</v>
      </c>
      <c r="Q69" s="94">
        <v>3062.8</v>
      </c>
      <c r="R69" s="94">
        <v>3085.2</v>
      </c>
      <c r="S69" s="789">
        <v>2106.1999999999998</v>
      </c>
      <c r="T69" s="94">
        <v>3123.2</v>
      </c>
    </row>
    <row r="70" spans="4:22" x14ac:dyDescent="0.25">
      <c r="D70" s="839" t="s">
        <v>491</v>
      </c>
      <c r="E70" s="1202">
        <f t="shared" ref="E70:K72" si="23">E63/E55</f>
        <v>0.96346896346896349</v>
      </c>
      <c r="F70" s="1202">
        <f t="shared" si="23"/>
        <v>0.98201292275452579</v>
      </c>
      <c r="G70" s="1202">
        <f t="shared" si="23"/>
        <v>1.0689092604101926</v>
      </c>
      <c r="H70" s="1202">
        <f t="shared" si="23"/>
        <v>1.0025914985347615</v>
      </c>
      <c r="I70" s="1202">
        <f t="shared" si="23"/>
        <v>0.93048635238560196</v>
      </c>
      <c r="J70" s="1202">
        <f t="shared" si="23"/>
        <v>0.93048635238560196</v>
      </c>
      <c r="K70" s="1202">
        <f t="shared" si="23"/>
        <v>0.93048635238560207</v>
      </c>
      <c r="L70" s="1202"/>
      <c r="M70" s="1188"/>
      <c r="T70" s="213"/>
    </row>
    <row r="71" spans="4:22" x14ac:dyDescent="0.25">
      <c r="D71" s="864" t="s">
        <v>496</v>
      </c>
      <c r="E71" s="810">
        <f t="shared" si="23"/>
        <v>1.1377808148970701</v>
      </c>
      <c r="F71" s="810">
        <f t="shared" si="23"/>
        <v>1.1162940324915553</v>
      </c>
      <c r="G71" s="810">
        <f t="shared" si="23"/>
        <v>1.0872519083969465</v>
      </c>
      <c r="H71" s="810">
        <f t="shared" si="23"/>
        <v>1.1472024704585995</v>
      </c>
      <c r="I71" s="810">
        <f t="shared" si="23"/>
        <v>1.1167145031499279</v>
      </c>
      <c r="J71" s="810">
        <f t="shared" si="23"/>
        <v>1.1167145031499282</v>
      </c>
      <c r="K71" s="810">
        <f t="shared" si="23"/>
        <v>1.1167145031499282</v>
      </c>
      <c r="L71" s="230"/>
      <c r="M71" s="1189"/>
    </row>
    <row r="72" spans="4:22" x14ac:dyDescent="0.25">
      <c r="D72" s="864" t="s">
        <v>105</v>
      </c>
      <c r="E72" s="810">
        <f t="shared" si="23"/>
        <v>1.1005135730007336</v>
      </c>
      <c r="F72" s="810">
        <f t="shared" si="23"/>
        <v>1.0257913247362251</v>
      </c>
      <c r="G72" s="810">
        <f t="shared" si="23"/>
        <v>1.0278846153846153</v>
      </c>
      <c r="H72" s="810">
        <f t="shared" si="23"/>
        <v>1.097037852878094</v>
      </c>
      <c r="I72" s="810">
        <f t="shared" si="23"/>
        <v>1.0464095744680852</v>
      </c>
      <c r="J72" s="810">
        <f t="shared" si="23"/>
        <v>1.0464095744680852</v>
      </c>
      <c r="K72" s="810">
        <f t="shared" si="23"/>
        <v>1.046409574468085</v>
      </c>
      <c r="L72" s="230"/>
      <c r="M72" s="1189"/>
    </row>
    <row r="73" spans="4:22" x14ac:dyDescent="0.25">
      <c r="D73" s="820" t="s">
        <v>258</v>
      </c>
      <c r="E73" s="824">
        <f t="shared" ref="E73:K73" si="24">E66/E60</f>
        <v>1.0161211529066927</v>
      </c>
      <c r="F73" s="824">
        <f t="shared" si="24"/>
        <v>0.95134665508253702</v>
      </c>
      <c r="G73" s="824">
        <f t="shared" si="24"/>
        <v>1.0251179245283017</v>
      </c>
      <c r="H73" s="824">
        <f t="shared" si="24"/>
        <v>0.71712686677549753</v>
      </c>
      <c r="I73" s="824">
        <f t="shared" si="24"/>
        <v>0.82737656725516451</v>
      </c>
      <c r="J73" s="824">
        <f t="shared" si="24"/>
        <v>0.8273765672551644</v>
      </c>
      <c r="K73" s="824">
        <f t="shared" si="24"/>
        <v>0.8273765672551644</v>
      </c>
      <c r="L73" s="348"/>
      <c r="M73" s="1194"/>
    </row>
    <row r="75" spans="4:22" x14ac:dyDescent="0.25">
      <c r="D75" s="255"/>
      <c r="E75" s="224"/>
      <c r="F75" s="224"/>
      <c r="G75" s="224"/>
    </row>
    <row r="76" spans="4:22" x14ac:dyDescent="0.25">
      <c r="D76" s="230"/>
    </row>
    <row r="77" spans="4:22" ht="30" x14ac:dyDescent="0.25">
      <c r="D77" s="389" t="s">
        <v>2275</v>
      </c>
      <c r="E77" s="647">
        <v>2018</v>
      </c>
      <c r="F77" s="790">
        <v>2019</v>
      </c>
      <c r="G77" s="790">
        <v>2020</v>
      </c>
      <c r="H77" s="803">
        <v>2021</v>
      </c>
      <c r="I77" s="790">
        <v>2022</v>
      </c>
      <c r="J77" s="796">
        <v>2023</v>
      </c>
      <c r="K77" s="796">
        <v>2024</v>
      </c>
      <c r="L77" s="746">
        <v>2025</v>
      </c>
      <c r="M77" s="1186">
        <v>2026</v>
      </c>
    </row>
    <row r="78" spans="4:22" x14ac:dyDescent="0.25">
      <c r="D78" s="552" t="s">
        <v>2257</v>
      </c>
      <c r="E78" s="357">
        <v>14016.099999999999</v>
      </c>
      <c r="F78" s="357">
        <v>14604.2</v>
      </c>
      <c r="G78" s="357">
        <v>14711.300000000001</v>
      </c>
      <c r="H78" s="851">
        <v>21015.3</v>
      </c>
      <c r="I78" s="704">
        <v>21593.3</v>
      </c>
      <c r="J78" s="704">
        <v>22717.9</v>
      </c>
      <c r="K78" s="704">
        <v>24019.200000000001</v>
      </c>
      <c r="L78" s="704">
        <v>25601.3</v>
      </c>
      <c r="M78" s="1188">
        <v>26829.599999999999</v>
      </c>
      <c r="N78">
        <v>27946.1</v>
      </c>
      <c r="O78">
        <v>29114.3</v>
      </c>
      <c r="P78">
        <v>30350.5</v>
      </c>
      <c r="Q78">
        <v>31638.799999999999</v>
      </c>
      <c r="R78">
        <v>32975.4</v>
      </c>
      <c r="S78">
        <v>34369.5</v>
      </c>
      <c r="T78">
        <v>35806.400000000001</v>
      </c>
      <c r="U78">
        <v>37320.199999999997</v>
      </c>
    </row>
    <row r="79" spans="4:22" x14ac:dyDescent="0.25">
      <c r="D79" s="864" t="s">
        <v>501</v>
      </c>
      <c r="E79" s="224">
        <v>8804</v>
      </c>
      <c r="F79" s="224">
        <v>9209</v>
      </c>
      <c r="G79" s="426">
        <v>9300</v>
      </c>
      <c r="H79" s="1200">
        <v>10074.1</v>
      </c>
      <c r="I79" s="429">
        <v>10975.3</v>
      </c>
      <c r="J79" s="429">
        <v>11633.3</v>
      </c>
      <c r="K79" s="429">
        <v>12314.7</v>
      </c>
      <c r="L79" s="429">
        <v>12911.1</v>
      </c>
      <c r="M79" s="1189">
        <v>13456.5</v>
      </c>
      <c r="N79">
        <v>13986.1</v>
      </c>
      <c r="O79">
        <v>14525.5</v>
      </c>
      <c r="P79">
        <v>15089.5</v>
      </c>
      <c r="Q79">
        <v>15670.2</v>
      </c>
      <c r="R79">
        <v>16264.2</v>
      </c>
      <c r="S79">
        <v>16872.900000000001</v>
      </c>
      <c r="T79">
        <v>17495.7</v>
      </c>
      <c r="U79">
        <v>18140.7</v>
      </c>
    </row>
    <row r="80" spans="4:22" x14ac:dyDescent="0.25">
      <c r="D80" s="864" t="s">
        <v>502</v>
      </c>
      <c r="E80" s="224">
        <v>13844</v>
      </c>
      <c r="F80" s="224">
        <v>14403</v>
      </c>
      <c r="G80" s="426">
        <v>14201</v>
      </c>
      <c r="H80" s="1200">
        <v>15545.1</v>
      </c>
      <c r="I80" s="429">
        <v>17212</v>
      </c>
      <c r="J80" s="429">
        <v>18321.3</v>
      </c>
      <c r="K80" s="429">
        <v>19338.099999999999</v>
      </c>
      <c r="L80" s="429">
        <v>20190.099999999999</v>
      </c>
      <c r="M80" s="1189">
        <v>20873.900000000001</v>
      </c>
      <c r="N80">
        <v>21571.5</v>
      </c>
      <c r="O80">
        <v>22340.1</v>
      </c>
      <c r="P80">
        <v>23227.9</v>
      </c>
      <c r="Q80">
        <v>24187.599999999999</v>
      </c>
      <c r="R80">
        <v>25198.1</v>
      </c>
      <c r="S80">
        <v>26280.5</v>
      </c>
      <c r="T80">
        <v>27389</v>
      </c>
      <c r="U80">
        <v>28538.6</v>
      </c>
    </row>
    <row r="81" spans="4:25" x14ac:dyDescent="0.25">
      <c r="D81" s="820" t="s">
        <v>2256</v>
      </c>
      <c r="E81" s="832">
        <v>2335</v>
      </c>
      <c r="F81" s="832">
        <v>2442</v>
      </c>
      <c r="G81" s="832">
        <v>2392</v>
      </c>
      <c r="H81" s="797">
        <v>2796</v>
      </c>
      <c r="I81" s="804">
        <v>3144.3</v>
      </c>
      <c r="J81" s="804">
        <v>3216.6</v>
      </c>
      <c r="K81" s="804">
        <v>3412.7</v>
      </c>
      <c r="L81" s="804">
        <v>3518.9</v>
      </c>
      <c r="M81" s="1194">
        <v>3584.9</v>
      </c>
      <c r="N81">
        <v>3652.1</v>
      </c>
      <c r="O81">
        <v>3702.7</v>
      </c>
      <c r="P81">
        <v>3767.6</v>
      </c>
      <c r="Q81">
        <v>3875.9</v>
      </c>
      <c r="R81">
        <v>4003.6</v>
      </c>
      <c r="S81">
        <v>4146.8999999999996</v>
      </c>
      <c r="T81">
        <v>4293.6000000000004</v>
      </c>
      <c r="U81">
        <v>4443.3999999999996</v>
      </c>
    </row>
    <row r="83" spans="4:25" x14ac:dyDescent="0.25">
      <c r="D83" s="230" t="s">
        <v>503</v>
      </c>
    </row>
    <row r="84" spans="4:25" x14ac:dyDescent="0.25">
      <c r="D84" s="599" t="s">
        <v>504</v>
      </c>
      <c r="E84" s="709">
        <v>2018</v>
      </c>
      <c r="F84" s="790">
        <v>2019</v>
      </c>
      <c r="G84" s="790">
        <v>2020</v>
      </c>
      <c r="H84" s="803">
        <v>2021</v>
      </c>
      <c r="I84" s="790">
        <v>2022</v>
      </c>
      <c r="J84" s="796">
        <v>2023</v>
      </c>
      <c r="K84" s="796">
        <v>2024</v>
      </c>
      <c r="L84" s="746">
        <v>2025</v>
      </c>
      <c r="M84" s="1186">
        <v>2026</v>
      </c>
    </row>
    <row r="85" spans="4:25" x14ac:dyDescent="0.25">
      <c r="D85" s="1195" t="s">
        <v>491</v>
      </c>
      <c r="E85" s="1196">
        <f t="shared" ref="E85:L87" si="25">E55/E78</f>
        <v>0.12011187134794987</v>
      </c>
      <c r="F85" s="1196">
        <f t="shared" si="25"/>
        <v>0.11763054463784391</v>
      </c>
      <c r="G85" s="1196">
        <f t="shared" si="25"/>
        <v>0.10937170746297063</v>
      </c>
      <c r="H85" s="1196">
        <f t="shared" si="25"/>
        <v>9.7280409987009472E-2</v>
      </c>
      <c r="I85" s="1196">
        <f t="shared" si="25"/>
        <v>0.12189637526454966</v>
      </c>
      <c r="J85" s="1196">
        <f t="shared" si="25"/>
        <v>9.5804673847494706E-2</v>
      </c>
      <c r="K85" s="1196">
        <f t="shared" si="25"/>
        <v>0.10186284305888622</v>
      </c>
      <c r="L85" s="1196">
        <f t="shared" si="25"/>
        <v>9.9599043798557094E-2</v>
      </c>
      <c r="M85" s="1196">
        <f>M55/M78</f>
        <v>0.10589058353460358</v>
      </c>
    </row>
    <row r="86" spans="4:25" x14ac:dyDescent="0.25">
      <c r="D86" s="748" t="s">
        <v>492</v>
      </c>
      <c r="E86" s="860">
        <f t="shared" si="25"/>
        <v>0.13297364834166289</v>
      </c>
      <c r="F86" s="860">
        <f>F56/F79</f>
        <v>0.13502008904332718</v>
      </c>
      <c r="G86" s="860">
        <f>G56/G79</f>
        <v>0.14086021505376345</v>
      </c>
      <c r="H86" s="860">
        <f t="shared" si="25"/>
        <v>0.13044222312663165</v>
      </c>
      <c r="I86" s="860">
        <f t="shared" si="25"/>
        <v>0.13516951700636887</v>
      </c>
      <c r="J86" s="860">
        <f t="shared" si="25"/>
        <v>0.13877885036919876</v>
      </c>
      <c r="K86" s="860">
        <f t="shared" si="25"/>
        <v>0.13629670231511931</v>
      </c>
      <c r="L86" s="860">
        <f t="shared" si="25"/>
        <v>0.13455034815004144</v>
      </c>
      <c r="M86" s="860">
        <f t="shared" ref="M86" si="26">M56/M79</f>
        <v>0.1348230223312154</v>
      </c>
    </row>
    <row r="87" spans="4:25" x14ac:dyDescent="0.25">
      <c r="D87" s="864" t="s">
        <v>505</v>
      </c>
      <c r="E87" s="860">
        <f t="shared" si="25"/>
        <v>9.8454203987286912E-3</v>
      </c>
      <c r="F87" s="860">
        <f t="shared" si="25"/>
        <v>1.1844754565021176E-2</v>
      </c>
      <c r="G87" s="860">
        <f t="shared" si="25"/>
        <v>1.0985141891416098E-2</v>
      </c>
      <c r="H87" s="860">
        <f t="shared" si="25"/>
        <v>9.9876488411139216E-3</v>
      </c>
      <c r="I87" s="860">
        <f t="shared" si="25"/>
        <v>1.0922612131071346E-2</v>
      </c>
      <c r="J87" s="860">
        <f t="shared" si="25"/>
        <v>8.5223755956182166E-3</v>
      </c>
      <c r="K87" s="860">
        <f t="shared" si="25"/>
        <v>8.5192443931927132E-3</v>
      </c>
      <c r="L87" s="860">
        <f t="shared" si="25"/>
        <v>8.6818787425520447E-3</v>
      </c>
      <c r="M87" s="860">
        <f t="shared" ref="M87" si="27">M57/M80</f>
        <v>8.8148357518240475E-3</v>
      </c>
    </row>
    <row r="88" spans="4:25" x14ac:dyDescent="0.25">
      <c r="D88" s="749" t="s">
        <v>106</v>
      </c>
      <c r="E88" s="826">
        <f t="shared" ref="E88:L88" si="28">E60/E81</f>
        <v>8.7665952890792292E-2</v>
      </c>
      <c r="F88" s="826">
        <f t="shared" si="28"/>
        <v>9.4266994266994267E-2</v>
      </c>
      <c r="G88" s="826">
        <f t="shared" si="28"/>
        <v>8.8628762541806017E-2</v>
      </c>
      <c r="H88" s="826">
        <f t="shared" si="28"/>
        <v>0.13298676680972818</v>
      </c>
      <c r="I88" s="826">
        <f t="shared" si="28"/>
        <v>0.13512292084088667</v>
      </c>
      <c r="J88" s="826">
        <f t="shared" si="28"/>
        <v>0.13044332525026425</v>
      </c>
      <c r="K88" s="826">
        <f t="shared" si="28"/>
        <v>0.1539549330442172</v>
      </c>
      <c r="L88" s="826">
        <f t="shared" si="28"/>
        <v>0.13927249992895507</v>
      </c>
      <c r="M88" s="826">
        <f t="shared" ref="M88" si="29">M60/M81</f>
        <v>0.1312315545761388</v>
      </c>
    </row>
    <row r="90" spans="4:25" x14ac:dyDescent="0.25">
      <c r="D90" s="230" t="s">
        <v>506</v>
      </c>
    </row>
    <row r="91" spans="4:25" x14ac:dyDescent="0.25">
      <c r="D91" s="753" t="s">
        <v>352</v>
      </c>
    </row>
    <row r="92" spans="4:25" x14ac:dyDescent="0.25">
      <c r="D92" s="599" t="s">
        <v>507</v>
      </c>
      <c r="E92" s="709">
        <v>2018</v>
      </c>
      <c r="F92" s="790">
        <v>2019</v>
      </c>
      <c r="G92" s="790">
        <v>2020</v>
      </c>
      <c r="H92" s="803">
        <v>2021</v>
      </c>
      <c r="I92" s="790">
        <v>2022</v>
      </c>
      <c r="J92" s="796">
        <v>2023</v>
      </c>
      <c r="K92" s="796">
        <v>2024</v>
      </c>
      <c r="L92" s="746">
        <v>2025</v>
      </c>
      <c r="M92" s="1186">
        <v>2026</v>
      </c>
    </row>
    <row r="93" spans="4:25" ht="20.25" customHeight="1" x14ac:dyDescent="0.25">
      <c r="D93" s="1195" t="s">
        <v>491</v>
      </c>
      <c r="E93" s="1196">
        <f t="shared" ref="E93:G96" si="30">E85*E70</f>
        <v>0.11572406018792676</v>
      </c>
      <c r="F93" s="1196">
        <f t="shared" si="30"/>
        <v>0.11551471494501581</v>
      </c>
      <c r="G93" s="1196">
        <f t="shared" si="30"/>
        <v>0.11690843093404389</v>
      </c>
      <c r="H93" s="1196">
        <f>N112</f>
        <v>0.13265203887386032</v>
      </c>
      <c r="I93" s="1196">
        <f>H93</f>
        <v>0.13265203887386032</v>
      </c>
      <c r="J93" s="1196">
        <f t="shared" ref="J93" si="31">I93</f>
        <v>0.13265203887386032</v>
      </c>
      <c r="K93" s="1196">
        <f>J93</f>
        <v>0.13265203887386032</v>
      </c>
      <c r="L93" s="1196">
        <f>K93</f>
        <v>0.13265203887386032</v>
      </c>
      <c r="M93" s="1197"/>
      <c r="N93" s="750"/>
      <c r="O93" s="860"/>
      <c r="P93" s="860"/>
      <c r="Q93" s="860"/>
      <c r="R93" s="860"/>
      <c r="S93" s="860"/>
      <c r="T93" s="860"/>
      <c r="U93" s="860"/>
      <c r="V93" s="860"/>
      <c r="W93" s="860"/>
      <c r="X93" s="860"/>
      <c r="Y93" s="860"/>
    </row>
    <row r="94" spans="4:25" ht="18.75" customHeight="1" x14ac:dyDescent="0.25">
      <c r="D94" s="748" t="s">
        <v>492</v>
      </c>
      <c r="E94" s="860">
        <f t="shared" si="30"/>
        <v>0.15129486597001363</v>
      </c>
      <c r="F94" s="860">
        <f t="shared" si="30"/>
        <v>0.15072211966554458</v>
      </c>
      <c r="G94" s="860">
        <f t="shared" si="30"/>
        <v>0.15315053763440861</v>
      </c>
      <c r="H94" s="860">
        <f>N114</f>
        <v>0.14928290766208252</v>
      </c>
      <c r="I94" s="860">
        <f>H94</f>
        <v>0.14928290766208252</v>
      </c>
      <c r="J94" s="860">
        <f>I94</f>
        <v>0.14928290766208252</v>
      </c>
      <c r="K94" s="860">
        <f t="shared" ref="K94:L94" si="32">J94</f>
        <v>0.14928290766208252</v>
      </c>
      <c r="L94" s="860">
        <f t="shared" si="32"/>
        <v>0.14928290766208252</v>
      </c>
      <c r="M94" s="1198"/>
      <c r="N94" s="750"/>
      <c r="O94" s="860"/>
      <c r="P94" s="860"/>
      <c r="Q94" s="860"/>
      <c r="R94" s="860"/>
      <c r="S94" s="860"/>
      <c r="T94" s="860"/>
      <c r="U94" s="860"/>
      <c r="V94" s="860"/>
      <c r="W94" s="860"/>
      <c r="X94" s="860"/>
      <c r="Y94" s="860"/>
    </row>
    <row r="95" spans="4:25" ht="19.350000000000001" customHeight="1" x14ac:dyDescent="0.25">
      <c r="D95" s="864" t="s">
        <v>105</v>
      </c>
      <c r="E95" s="860">
        <f t="shared" si="30"/>
        <v>1.0835018780699219E-2</v>
      </c>
      <c r="F95" s="860">
        <f t="shared" si="30"/>
        <v>1.2150246476428523E-2</v>
      </c>
      <c r="G95" s="860">
        <f t="shared" si="30"/>
        <v>1.1291458348003661E-2</v>
      </c>
      <c r="H95" s="860">
        <f>N115</f>
        <v>1.1315975901046335E-2</v>
      </c>
      <c r="I95" s="860">
        <f>AVERAGE($F72:$G72)*I87</f>
        <v>1.1215752868426621E-2</v>
      </c>
      <c r="J95" s="860">
        <f>AVERAGE($F72:$G72)*J87</f>
        <v>8.7510988566970749E-3</v>
      </c>
      <c r="K95" s="860">
        <f>J95</f>
        <v>8.7510988566970749E-3</v>
      </c>
      <c r="L95" s="860">
        <f>K95</f>
        <v>8.7510988566970749E-3</v>
      </c>
      <c r="M95" s="1198"/>
      <c r="N95" s="750"/>
      <c r="O95" s="860"/>
      <c r="P95" s="860"/>
      <c r="Q95" s="860"/>
      <c r="R95" s="860"/>
      <c r="S95" s="860"/>
      <c r="T95" s="860"/>
      <c r="U95" s="860"/>
      <c r="V95" s="860"/>
      <c r="W95" s="860"/>
      <c r="X95" s="860"/>
      <c r="Y95" s="860"/>
    </row>
    <row r="96" spans="4:25" ht="19.350000000000001" customHeight="1" x14ac:dyDescent="0.25">
      <c r="D96" s="749" t="s">
        <v>106</v>
      </c>
      <c r="E96" s="826">
        <f t="shared" si="30"/>
        <v>8.9079229122055667E-2</v>
      </c>
      <c r="F96" s="826">
        <f t="shared" si="30"/>
        <v>8.9680589680589687E-2</v>
      </c>
      <c r="G96" s="826">
        <f t="shared" si="30"/>
        <v>9.085493311036788E-2</v>
      </c>
      <c r="H96" s="826">
        <f>M116</f>
        <v>0.11063848447640764</v>
      </c>
      <c r="I96" s="826">
        <f>N116</f>
        <v>0.10992248062015504</v>
      </c>
      <c r="J96" s="826">
        <f>I96</f>
        <v>0.10992248062015504</v>
      </c>
      <c r="K96" s="826">
        <f>J96</f>
        <v>0.10992248062015504</v>
      </c>
      <c r="L96" s="826">
        <f>K96</f>
        <v>0.10992248062015504</v>
      </c>
      <c r="M96" s="1199"/>
      <c r="N96" s="750"/>
      <c r="O96" s="860"/>
      <c r="P96" s="860"/>
      <c r="Q96" s="860"/>
      <c r="R96" s="860"/>
      <c r="S96" s="860"/>
      <c r="T96" s="860"/>
      <c r="U96" s="860"/>
      <c r="V96" s="860"/>
      <c r="W96" s="860"/>
      <c r="X96" s="860"/>
      <c r="Y96" s="860"/>
    </row>
    <row r="97" spans="4:68" x14ac:dyDescent="0.25">
      <c r="E97" s="671"/>
      <c r="F97" s="671"/>
      <c r="G97" s="671"/>
      <c r="H97" s="671"/>
      <c r="I97" s="671"/>
      <c r="J97" s="671"/>
      <c r="K97" s="671"/>
      <c r="L97" s="671"/>
    </row>
    <row r="98" spans="4:68" x14ac:dyDescent="0.25">
      <c r="D98" s="752" t="s">
        <v>365</v>
      </c>
      <c r="E98" s="860"/>
      <c r="F98" s="860"/>
      <c r="G98" s="860"/>
      <c r="H98" s="860"/>
      <c r="I98" s="860"/>
      <c r="J98" s="860"/>
      <c r="K98" s="860"/>
      <c r="L98" s="860"/>
      <c r="M98" s="860"/>
      <c r="N98" s="860"/>
      <c r="O98" s="860"/>
      <c r="P98" s="860"/>
      <c r="Q98" s="860"/>
      <c r="R98" s="860"/>
      <c r="S98" s="860"/>
      <c r="T98" s="860"/>
      <c r="U98" s="860"/>
      <c r="V98" s="860"/>
      <c r="W98" s="860"/>
      <c r="X98" s="860"/>
      <c r="Y98" s="860"/>
    </row>
    <row r="99" spans="4:68" x14ac:dyDescent="0.25">
      <c r="D99" s="1387" t="s">
        <v>2276</v>
      </c>
      <c r="E99" s="1395"/>
      <c r="F99" s="1302">
        <v>2019</v>
      </c>
      <c r="G99" s="1303"/>
      <c r="H99" s="1304"/>
      <c r="I99" s="1302">
        <v>2020</v>
      </c>
      <c r="J99" s="1303"/>
      <c r="K99" s="1303"/>
      <c r="L99" s="1304"/>
      <c r="M99" s="1302">
        <v>2021</v>
      </c>
      <c r="N99" s="1303"/>
      <c r="O99" s="1303"/>
      <c r="P99" s="1303"/>
      <c r="Q99" s="1302">
        <v>2022</v>
      </c>
      <c r="R99" s="1325"/>
      <c r="S99" s="1325"/>
      <c r="T99" s="1304"/>
      <c r="U99" s="278"/>
      <c r="V99" s="278">
        <v>2023</v>
      </c>
      <c r="W99" s="543"/>
      <c r="X99" s="250"/>
      <c r="Y99" s="1299">
        <v>2024</v>
      </c>
      <c r="Z99" s="1312"/>
      <c r="AA99" s="1312"/>
      <c r="AB99" s="1301"/>
      <c r="AC99" s="1299">
        <v>2025</v>
      </c>
      <c r="AD99" s="1312"/>
      <c r="AE99" s="1312"/>
      <c r="AF99" s="1301"/>
      <c r="AG99" s="330">
        <v>2026</v>
      </c>
    </row>
    <row r="100" spans="4:68" x14ac:dyDescent="0.25">
      <c r="D100" s="1398"/>
      <c r="E100" s="1399"/>
      <c r="F100" s="204" t="s">
        <v>284</v>
      </c>
      <c r="G100" s="205" t="s">
        <v>238</v>
      </c>
      <c r="H100" s="206" t="s">
        <v>282</v>
      </c>
      <c r="I100" s="204" t="s">
        <v>283</v>
      </c>
      <c r="J100" s="205" t="s">
        <v>284</v>
      </c>
      <c r="K100" s="205" t="s">
        <v>238</v>
      </c>
      <c r="L100" s="206" t="s">
        <v>282</v>
      </c>
      <c r="M100" s="204" t="s">
        <v>283</v>
      </c>
      <c r="N100" s="205" t="s">
        <v>284</v>
      </c>
      <c r="O100" s="205" t="s">
        <v>238</v>
      </c>
      <c r="P100" s="205" t="s">
        <v>282</v>
      </c>
      <c r="Q100" s="204" t="s">
        <v>283</v>
      </c>
      <c r="R100" s="205" t="s">
        <v>284</v>
      </c>
      <c r="S100" s="205" t="s">
        <v>238</v>
      </c>
      <c r="T100" s="206" t="s">
        <v>282</v>
      </c>
      <c r="U100" s="205" t="s">
        <v>283</v>
      </c>
      <c r="V100" s="276" t="s">
        <v>284</v>
      </c>
      <c r="W100" s="260" t="s">
        <v>238</v>
      </c>
      <c r="X100" s="261" t="s">
        <v>282</v>
      </c>
      <c r="Y100" s="259" t="s">
        <v>283</v>
      </c>
      <c r="Z100" s="257" t="s">
        <v>284</v>
      </c>
      <c r="AA100" s="260" t="s">
        <v>238</v>
      </c>
      <c r="AB100" s="260" t="s">
        <v>282</v>
      </c>
      <c r="AC100" s="259" t="s">
        <v>283</v>
      </c>
      <c r="AD100" s="257" t="s">
        <v>284</v>
      </c>
      <c r="AE100" s="260" t="s">
        <v>238</v>
      </c>
      <c r="AF100" s="260" t="s">
        <v>282</v>
      </c>
      <c r="AG100" s="262" t="s">
        <v>283</v>
      </c>
    </row>
    <row r="101" spans="4:68" x14ac:dyDescent="0.25">
      <c r="D101" s="756" t="s">
        <v>500</v>
      </c>
      <c r="E101" s="798"/>
      <c r="F101" s="357">
        <f t="shared" ref="F101:AC101" si="33">F102+F103</f>
        <v>0</v>
      </c>
      <c r="G101" s="357">
        <f t="shared" si="33"/>
        <v>0</v>
      </c>
      <c r="H101" s="357">
        <f t="shared" si="33"/>
        <v>0</v>
      </c>
      <c r="I101" s="357">
        <f t="shared" si="33"/>
        <v>15134.800000000001</v>
      </c>
      <c r="J101" s="357">
        <f t="shared" si="33"/>
        <v>14265.5</v>
      </c>
      <c r="K101" s="357">
        <f t="shared" si="33"/>
        <v>14943.5</v>
      </c>
      <c r="L101" s="357">
        <f t="shared" si="33"/>
        <v>15319.300000000001</v>
      </c>
      <c r="M101" s="357">
        <f t="shared" si="33"/>
        <v>15399.800000000001</v>
      </c>
      <c r="N101" s="357">
        <f t="shared" si="33"/>
        <v>15959.6</v>
      </c>
      <c r="O101" s="357">
        <f t="shared" si="33"/>
        <v>16325.6</v>
      </c>
      <c r="P101" s="357">
        <f t="shared" si="33"/>
        <v>16677.3</v>
      </c>
      <c r="Q101" s="357">
        <f t="shared" si="33"/>
        <v>16822.5</v>
      </c>
      <c r="R101" s="357">
        <f t="shared" si="33"/>
        <v>17045.7</v>
      </c>
      <c r="S101" s="357">
        <f t="shared" si="33"/>
        <v>17425.3</v>
      </c>
      <c r="T101" s="774">
        <f t="shared" si="33"/>
        <v>17575.3</v>
      </c>
      <c r="U101" s="357">
        <f t="shared" si="33"/>
        <v>17915.599999999999</v>
      </c>
      <c r="V101" s="357">
        <f t="shared" si="33"/>
        <v>18121.099999999999</v>
      </c>
      <c r="W101" s="357">
        <f>W102+W103</f>
        <v>18358</v>
      </c>
      <c r="X101" s="357">
        <f t="shared" si="33"/>
        <v>18587</v>
      </c>
      <c r="Y101" s="801">
        <f t="shared" si="33"/>
        <v>18861</v>
      </c>
      <c r="Z101" s="801">
        <f t="shared" si="33"/>
        <v>19328.199999999997</v>
      </c>
      <c r="AA101" s="801">
        <f t="shared" si="33"/>
        <v>19684.3</v>
      </c>
      <c r="AB101" s="801">
        <f t="shared" si="33"/>
        <v>19956.400000000001</v>
      </c>
      <c r="AC101" s="801">
        <f t="shared" si="33"/>
        <v>20210.8</v>
      </c>
      <c r="AD101" s="801">
        <f t="shared" ref="AD101:AG101" si="34">AD102+AD103</f>
        <v>20461.5</v>
      </c>
      <c r="AE101" s="801">
        <f t="shared" si="34"/>
        <v>20706.900000000001</v>
      </c>
      <c r="AF101" s="801">
        <f t="shared" si="34"/>
        <v>20958.7</v>
      </c>
      <c r="AG101" s="800">
        <f t="shared" si="34"/>
        <v>21195.9</v>
      </c>
    </row>
    <row r="102" spans="4:68" x14ac:dyDescent="0.25">
      <c r="D102" s="658" t="s">
        <v>501</v>
      </c>
      <c r="E102" s="592"/>
      <c r="F102" s="426"/>
      <c r="G102" s="426"/>
      <c r="H102" s="426"/>
      <c r="I102" s="213">
        <v>9624.7000000000007</v>
      </c>
      <c r="J102" s="429">
        <v>8995.7000000000007</v>
      </c>
      <c r="K102" s="429">
        <v>9425.4</v>
      </c>
      <c r="L102" s="429">
        <v>9783.7000000000007</v>
      </c>
      <c r="M102" s="429">
        <v>9878.7000000000007</v>
      </c>
      <c r="N102" s="429">
        <v>10170</v>
      </c>
      <c r="O102" s="429">
        <v>10447.700000000001</v>
      </c>
      <c r="P102" s="429">
        <v>10754.1</v>
      </c>
      <c r="Q102" s="429">
        <v>10886.7</v>
      </c>
      <c r="R102" s="429">
        <v>10988.9</v>
      </c>
      <c r="S102" s="429">
        <v>11271.4</v>
      </c>
      <c r="T102" s="429">
        <v>11317</v>
      </c>
      <c r="U102" s="429">
        <v>11565.4</v>
      </c>
      <c r="V102" s="429">
        <v>11733.3</v>
      </c>
      <c r="W102" s="429">
        <v>11917.5</v>
      </c>
      <c r="X102" s="429">
        <v>12049</v>
      </c>
      <c r="Y102" s="428">
        <v>12238.2</v>
      </c>
      <c r="Z102" s="428">
        <v>12410.3</v>
      </c>
      <c r="AA102" s="428">
        <v>12561.1</v>
      </c>
      <c r="AB102" s="428">
        <v>12703.8</v>
      </c>
      <c r="AC102" s="428">
        <v>12842</v>
      </c>
      <c r="AD102" s="428">
        <v>12980.8</v>
      </c>
      <c r="AE102" s="428">
        <v>13118</v>
      </c>
      <c r="AF102" s="428">
        <v>13255.1</v>
      </c>
      <c r="AG102" s="807">
        <v>13389.6</v>
      </c>
      <c r="AH102">
        <v>13523.9</v>
      </c>
      <c r="AI102">
        <v>13657.4</v>
      </c>
      <c r="AJ102">
        <v>13786.3</v>
      </c>
      <c r="AK102">
        <v>13919.5</v>
      </c>
      <c r="AL102">
        <v>14052.5</v>
      </c>
      <c r="AM102">
        <v>14186.3</v>
      </c>
      <c r="AN102">
        <v>14318</v>
      </c>
      <c r="AO102">
        <v>14454.9</v>
      </c>
      <c r="AP102">
        <v>14594.1</v>
      </c>
      <c r="AQ102">
        <v>14734.9</v>
      </c>
      <c r="AR102">
        <v>14873.8</v>
      </c>
      <c r="AS102">
        <v>15016.8</v>
      </c>
      <c r="AT102">
        <v>15161.1</v>
      </c>
      <c r="AU102">
        <v>15306.5</v>
      </c>
      <c r="AV102">
        <v>15449.3</v>
      </c>
      <c r="AW102">
        <v>15596</v>
      </c>
      <c r="AX102">
        <v>15743.5</v>
      </c>
      <c r="AY102">
        <v>15892</v>
      </c>
      <c r="AZ102">
        <v>16036.9</v>
      </c>
      <c r="BA102">
        <v>16187.6</v>
      </c>
      <c r="BB102">
        <v>16339.5</v>
      </c>
      <c r="BC102">
        <v>16492.599999999999</v>
      </c>
      <c r="BD102">
        <v>16640.900000000001</v>
      </c>
      <c r="BE102">
        <v>16794.7</v>
      </c>
      <c r="BF102">
        <v>16949.900000000001</v>
      </c>
      <c r="BG102">
        <v>17106</v>
      </c>
      <c r="BH102">
        <v>17257.8</v>
      </c>
      <c r="BI102">
        <v>17415.7</v>
      </c>
      <c r="BJ102">
        <v>17574.7</v>
      </c>
      <c r="BK102">
        <v>17734.5</v>
      </c>
      <c r="BL102">
        <v>17895.5</v>
      </c>
      <c r="BM102">
        <v>18057.8</v>
      </c>
      <c r="BN102">
        <v>18221.7</v>
      </c>
      <c r="BO102">
        <v>18387.8</v>
      </c>
      <c r="BP102">
        <v>18556.3</v>
      </c>
    </row>
    <row r="103" spans="4:68" x14ac:dyDescent="0.25">
      <c r="D103" s="264" t="s">
        <v>895</v>
      </c>
      <c r="E103" s="546"/>
      <c r="F103" s="426"/>
      <c r="G103" s="426"/>
      <c r="H103" s="426"/>
      <c r="I103" s="429">
        <v>5510.1</v>
      </c>
      <c r="J103" s="429">
        <v>5269.8</v>
      </c>
      <c r="K103" s="429">
        <v>5518.1</v>
      </c>
      <c r="L103" s="429">
        <v>5535.6</v>
      </c>
      <c r="M103" s="429">
        <v>5521.1</v>
      </c>
      <c r="N103" s="429">
        <v>5789.6</v>
      </c>
      <c r="O103" s="429">
        <v>5877.9</v>
      </c>
      <c r="P103" s="429">
        <v>5923.2</v>
      </c>
      <c r="Q103" s="429">
        <v>5935.8</v>
      </c>
      <c r="R103" s="429">
        <v>6056.8</v>
      </c>
      <c r="S103" s="429">
        <v>6153.9</v>
      </c>
      <c r="T103" s="429">
        <v>6258.3</v>
      </c>
      <c r="U103" s="429">
        <v>6350.2</v>
      </c>
      <c r="V103" s="429">
        <v>6387.8</v>
      </c>
      <c r="W103" s="429">
        <v>6440.5</v>
      </c>
      <c r="X103" s="429">
        <v>6538</v>
      </c>
      <c r="Y103" s="428">
        <v>6622.8</v>
      </c>
      <c r="Z103" s="428">
        <v>6917.9</v>
      </c>
      <c r="AA103" s="428">
        <v>7123.2</v>
      </c>
      <c r="AB103" s="428">
        <v>7252.6</v>
      </c>
      <c r="AC103" s="428">
        <v>7368.8</v>
      </c>
      <c r="AD103" s="428">
        <v>7480.7</v>
      </c>
      <c r="AE103" s="428">
        <v>7588.9</v>
      </c>
      <c r="AF103" s="428">
        <v>7703.6</v>
      </c>
      <c r="AG103" s="807">
        <v>7806.3</v>
      </c>
      <c r="AH103">
        <v>7898.1</v>
      </c>
      <c r="AI103">
        <v>7980.1</v>
      </c>
      <c r="AJ103">
        <v>8046.4</v>
      </c>
      <c r="AK103">
        <v>8109.6</v>
      </c>
      <c r="AL103">
        <v>8174.2</v>
      </c>
      <c r="AM103">
        <v>8244.5</v>
      </c>
      <c r="AN103">
        <v>8320.6</v>
      </c>
      <c r="AO103">
        <v>8405.2000000000007</v>
      </c>
      <c r="AP103">
        <v>8493.1</v>
      </c>
      <c r="AQ103">
        <v>8577.5</v>
      </c>
      <c r="AR103">
        <v>8661.2000000000007</v>
      </c>
      <c r="AS103">
        <v>8744.5</v>
      </c>
      <c r="AT103">
        <v>8829.2999999999993</v>
      </c>
      <c r="AU103">
        <v>8916.2999999999993</v>
      </c>
      <c r="AV103">
        <v>9007.5</v>
      </c>
      <c r="AW103">
        <v>9103.1</v>
      </c>
      <c r="AX103">
        <v>9198.1</v>
      </c>
      <c r="AY103">
        <v>9293.2000000000007</v>
      </c>
      <c r="AZ103">
        <v>9389.7999999999993</v>
      </c>
      <c r="BA103">
        <v>9488</v>
      </c>
      <c r="BB103">
        <v>9588.2000000000007</v>
      </c>
      <c r="BC103">
        <v>9688.9</v>
      </c>
      <c r="BD103">
        <v>9791.6</v>
      </c>
      <c r="BE103">
        <v>9896.2999999999993</v>
      </c>
      <c r="BF103">
        <v>10000.6</v>
      </c>
      <c r="BG103">
        <v>10103.6</v>
      </c>
      <c r="BH103">
        <v>10206.200000000001</v>
      </c>
      <c r="BI103">
        <v>10307.5</v>
      </c>
      <c r="BJ103">
        <v>10409.1</v>
      </c>
      <c r="BK103">
        <v>10513.6</v>
      </c>
      <c r="BL103">
        <v>10627.5</v>
      </c>
      <c r="BM103">
        <v>10741.4</v>
      </c>
      <c r="BN103">
        <v>10856.5</v>
      </c>
      <c r="BO103">
        <v>10971.8</v>
      </c>
      <c r="BP103">
        <v>11088.6</v>
      </c>
    </row>
    <row r="104" spans="4:68" x14ac:dyDescent="0.25">
      <c r="D104" s="264" t="s">
        <v>502</v>
      </c>
      <c r="E104" s="546"/>
      <c r="F104" s="426"/>
      <c r="G104" s="426"/>
      <c r="H104" s="426"/>
      <c r="I104" s="429">
        <v>14440.2</v>
      </c>
      <c r="J104" s="429">
        <v>13049.8</v>
      </c>
      <c r="K104" s="429">
        <v>14388.7</v>
      </c>
      <c r="L104" s="429">
        <v>14586</v>
      </c>
      <c r="M104" s="429">
        <v>15217.7</v>
      </c>
      <c r="N104" s="429">
        <v>15950.9</v>
      </c>
      <c r="O104" s="429">
        <v>16285.1</v>
      </c>
      <c r="P104" s="429">
        <v>16718.2</v>
      </c>
      <c r="Q104" s="429">
        <v>17030.599999999999</v>
      </c>
      <c r="R104" s="429">
        <v>17415.099999999999</v>
      </c>
      <c r="S104" s="429">
        <v>17684.2</v>
      </c>
      <c r="T104" s="429">
        <v>17917</v>
      </c>
      <c r="U104" s="429">
        <v>18269.599999999999</v>
      </c>
      <c r="V104" s="429">
        <v>18419</v>
      </c>
      <c r="W104" s="429">
        <v>18679.5</v>
      </c>
      <c r="X104" s="429">
        <v>18914.5</v>
      </c>
      <c r="Y104" s="428">
        <v>19191.599999999999</v>
      </c>
      <c r="Z104" s="428">
        <v>19506.599999999999</v>
      </c>
      <c r="AA104" s="428">
        <v>19739.8</v>
      </c>
      <c r="AB104" s="428">
        <v>19911.8</v>
      </c>
      <c r="AC104" s="428">
        <v>20098.5</v>
      </c>
      <c r="AD104" s="428">
        <v>20285.8</v>
      </c>
      <c r="AE104" s="428">
        <v>20464.099999999999</v>
      </c>
      <c r="AF104" s="428">
        <v>20636.599999999999</v>
      </c>
      <c r="AG104" s="807">
        <v>20786.400000000001</v>
      </c>
      <c r="AH104">
        <v>20949.8</v>
      </c>
      <c r="AI104">
        <v>21122.799999999999</v>
      </c>
      <c r="AJ104">
        <v>21304.1</v>
      </c>
      <c r="AK104">
        <v>21479.7</v>
      </c>
      <c r="AL104">
        <v>21659.5</v>
      </c>
      <c r="AM104">
        <v>21842.799999999999</v>
      </c>
      <c r="AN104">
        <v>22030.5</v>
      </c>
      <c r="AO104">
        <v>22229.7</v>
      </c>
      <c r="AP104">
        <v>22441.1</v>
      </c>
      <c r="AQ104">
        <v>22659.200000000001</v>
      </c>
      <c r="AR104">
        <v>22881.599999999999</v>
      </c>
      <c r="AS104">
        <v>23107.1</v>
      </c>
      <c r="AT104">
        <v>23342.5</v>
      </c>
      <c r="AU104">
        <v>23580.400000000001</v>
      </c>
      <c r="AV104">
        <v>23821.599999999999</v>
      </c>
      <c r="AW104">
        <v>24060.6</v>
      </c>
      <c r="AX104">
        <v>24308.3</v>
      </c>
      <c r="AY104">
        <v>24560.1</v>
      </c>
      <c r="AZ104">
        <v>24811.200000000001</v>
      </c>
      <c r="BA104">
        <v>25066.3</v>
      </c>
      <c r="BB104">
        <v>25325.5</v>
      </c>
      <c r="BC104">
        <v>25589.4</v>
      </c>
      <c r="BD104">
        <v>25868.400000000001</v>
      </c>
      <c r="BE104">
        <v>26142.400000000001</v>
      </c>
      <c r="BF104">
        <v>26418</v>
      </c>
      <c r="BG104">
        <v>26693</v>
      </c>
      <c r="BH104">
        <v>26968</v>
      </c>
      <c r="BI104">
        <v>27246.7</v>
      </c>
      <c r="BJ104">
        <v>27528.2</v>
      </c>
      <c r="BK104">
        <v>27813.200000000001</v>
      </c>
      <c r="BL104">
        <v>28100.799999999999</v>
      </c>
      <c r="BM104">
        <v>28391.5</v>
      </c>
      <c r="BN104">
        <v>28683.8</v>
      </c>
      <c r="BO104">
        <v>28978.400000000001</v>
      </c>
      <c r="BP104">
        <v>29274.3</v>
      </c>
    </row>
    <row r="105" spans="4:68" x14ac:dyDescent="0.25">
      <c r="D105" s="706" t="s">
        <v>2277</v>
      </c>
      <c r="E105" s="569"/>
      <c r="F105" s="569"/>
      <c r="G105" s="569"/>
      <c r="H105" s="832"/>
      <c r="I105" s="804">
        <v>1736.3</v>
      </c>
      <c r="J105" s="804">
        <v>1597.1</v>
      </c>
      <c r="K105" s="804">
        <v>2041.1</v>
      </c>
      <c r="L105" s="804">
        <v>1947.4</v>
      </c>
      <c r="M105" s="804">
        <v>2280.4</v>
      </c>
      <c r="N105" s="804">
        <v>2580</v>
      </c>
      <c r="O105" s="804">
        <v>2541.1</v>
      </c>
      <c r="P105" s="804">
        <v>2555</v>
      </c>
      <c r="Q105" s="804">
        <v>2604.4</v>
      </c>
      <c r="R105" s="804">
        <v>2781.5</v>
      </c>
      <c r="S105" s="804">
        <v>2809</v>
      </c>
      <c r="T105" s="804">
        <v>2748.4</v>
      </c>
      <c r="U105" s="804">
        <v>2673.1</v>
      </c>
      <c r="V105" s="804">
        <v>2658</v>
      </c>
      <c r="W105" s="804">
        <v>2757.8</v>
      </c>
      <c r="X105" s="804">
        <v>2900.3</v>
      </c>
      <c r="Y105" s="806">
        <v>2860.5</v>
      </c>
      <c r="Z105" s="806">
        <v>2913</v>
      </c>
      <c r="AA105" s="806">
        <v>2958.5</v>
      </c>
      <c r="AB105" s="806">
        <v>2980.8</v>
      </c>
      <c r="AC105" s="806">
        <v>3008.1</v>
      </c>
      <c r="AD105" s="806">
        <v>3035.3</v>
      </c>
      <c r="AE105" s="806">
        <v>3052.6</v>
      </c>
      <c r="AF105" s="806">
        <v>3054.1</v>
      </c>
      <c r="AG105" s="808">
        <v>3040.7</v>
      </c>
      <c r="AH105">
        <v>3038.5</v>
      </c>
      <c r="AI105">
        <v>3046.6</v>
      </c>
      <c r="AJ105">
        <v>3065.6</v>
      </c>
      <c r="AK105">
        <v>3073.9</v>
      </c>
      <c r="AL105">
        <v>3078.4</v>
      </c>
      <c r="AM105">
        <v>3078.6</v>
      </c>
      <c r="AN105">
        <v>3087.1</v>
      </c>
      <c r="AO105">
        <v>3087.3</v>
      </c>
      <c r="AP105">
        <v>3092.4</v>
      </c>
      <c r="AQ105">
        <v>3097</v>
      </c>
      <c r="AR105">
        <v>3111</v>
      </c>
      <c r="AS105">
        <v>3123.3</v>
      </c>
      <c r="AT105">
        <v>3140.7</v>
      </c>
      <c r="AU105">
        <v>3157.2</v>
      </c>
      <c r="AV105">
        <v>3188.9</v>
      </c>
      <c r="AW105">
        <v>3210.6</v>
      </c>
      <c r="AX105">
        <v>3237</v>
      </c>
      <c r="AY105">
        <v>3261.4</v>
      </c>
      <c r="AZ105">
        <v>3297</v>
      </c>
      <c r="BA105">
        <v>3322.8</v>
      </c>
      <c r="BB105">
        <v>3352.1</v>
      </c>
      <c r="BC105">
        <v>3378.8</v>
      </c>
      <c r="BD105">
        <v>3422.6</v>
      </c>
      <c r="BE105">
        <v>3449.9</v>
      </c>
      <c r="BF105">
        <v>3480.4</v>
      </c>
      <c r="BG105">
        <v>3508.6</v>
      </c>
      <c r="BH105">
        <v>3548.1</v>
      </c>
      <c r="BI105">
        <v>3576.2</v>
      </c>
      <c r="BJ105">
        <v>3607.8</v>
      </c>
      <c r="BK105">
        <v>3635.6</v>
      </c>
      <c r="BL105">
        <v>3674.3</v>
      </c>
      <c r="BM105">
        <v>3704.5</v>
      </c>
      <c r="BN105">
        <v>3737.4</v>
      </c>
      <c r="BO105">
        <v>3768.1</v>
      </c>
      <c r="BP105">
        <v>3807.3</v>
      </c>
    </row>
    <row r="106" spans="4:68" ht="18.75" customHeight="1" x14ac:dyDescent="0.25"/>
    <row r="107" spans="4:68" x14ac:dyDescent="0.25">
      <c r="D107" s="757"/>
      <c r="E107" s="592"/>
      <c r="F107" s="592"/>
      <c r="G107" s="592"/>
      <c r="H107" s="426"/>
      <c r="I107" s="426"/>
      <c r="J107" s="426"/>
      <c r="K107" s="426"/>
      <c r="L107" s="426"/>
      <c r="M107" s="426"/>
      <c r="N107" s="426"/>
      <c r="O107" s="426"/>
      <c r="P107" s="426"/>
      <c r="Q107" s="426"/>
      <c r="R107" s="426"/>
      <c r="S107" s="426"/>
      <c r="T107" s="426"/>
      <c r="U107" s="426"/>
      <c r="V107" s="426"/>
      <c r="W107" s="426"/>
      <c r="X107" s="426"/>
      <c r="Y107" s="426"/>
      <c r="Z107" s="426"/>
      <c r="AA107" s="426"/>
      <c r="AB107" s="426"/>
      <c r="AC107" s="426"/>
    </row>
    <row r="108" spans="4:68" x14ac:dyDescent="0.25">
      <c r="D108" s="504"/>
      <c r="AC108" s="35"/>
    </row>
    <row r="109" spans="4:68" x14ac:dyDescent="0.25">
      <c r="D109" s="1387" t="s">
        <v>508</v>
      </c>
      <c r="E109" s="1395"/>
      <c r="F109" s="1302">
        <v>2019</v>
      </c>
      <c r="G109" s="1303"/>
      <c r="H109" s="1304"/>
      <c r="I109" s="1303">
        <v>2020</v>
      </c>
      <c r="J109" s="1303"/>
      <c r="K109" s="1303"/>
      <c r="L109" s="1304"/>
      <c r="M109" s="1302">
        <v>2021</v>
      </c>
      <c r="N109" s="1303"/>
      <c r="O109" s="1303"/>
      <c r="P109" s="1303"/>
      <c r="Q109" s="1302">
        <v>2022</v>
      </c>
      <c r="R109" s="1325"/>
      <c r="S109" s="1325"/>
      <c r="T109" s="1304"/>
      <c r="U109" s="278"/>
      <c r="V109" s="278">
        <v>2023</v>
      </c>
      <c r="W109" s="543"/>
      <c r="X109" s="250"/>
      <c r="Y109" s="1299">
        <v>2024</v>
      </c>
      <c r="Z109" s="1312"/>
      <c r="AA109" s="1312"/>
      <c r="AB109" s="1301"/>
      <c r="AC109" s="1299">
        <v>2025</v>
      </c>
      <c r="AD109" s="1312"/>
      <c r="AE109" s="1312"/>
      <c r="AF109" s="1301"/>
      <c r="AG109" s="493">
        <v>2026</v>
      </c>
    </row>
    <row r="110" spans="4:68" x14ac:dyDescent="0.25">
      <c r="D110" s="1398"/>
      <c r="E110" s="1399"/>
      <c r="F110" s="204" t="s">
        <v>284</v>
      </c>
      <c r="G110" s="205" t="s">
        <v>238</v>
      </c>
      <c r="H110" s="206" t="s">
        <v>282</v>
      </c>
      <c r="I110" s="205" t="s">
        <v>283</v>
      </c>
      <c r="J110" s="205" t="s">
        <v>284</v>
      </c>
      <c r="K110" s="205" t="s">
        <v>238</v>
      </c>
      <c r="L110" s="206" t="s">
        <v>282</v>
      </c>
      <c r="M110" s="204" t="s">
        <v>283</v>
      </c>
      <c r="N110" s="205" t="s">
        <v>284</v>
      </c>
      <c r="O110" s="205" t="s">
        <v>238</v>
      </c>
      <c r="P110" s="205" t="s">
        <v>282</v>
      </c>
      <c r="Q110" s="204" t="s">
        <v>283</v>
      </c>
      <c r="R110" s="205" t="s">
        <v>284</v>
      </c>
      <c r="S110" s="205" t="s">
        <v>238</v>
      </c>
      <c r="T110" s="206" t="s">
        <v>282</v>
      </c>
      <c r="U110" s="204" t="s">
        <v>283</v>
      </c>
      <c r="V110" s="276" t="s">
        <v>284</v>
      </c>
      <c r="W110" s="260" t="s">
        <v>238</v>
      </c>
      <c r="X110" s="261" t="s">
        <v>282</v>
      </c>
      <c r="Y110" s="259" t="s">
        <v>283</v>
      </c>
      <c r="Z110" s="257" t="s">
        <v>284</v>
      </c>
      <c r="AA110" s="260" t="s">
        <v>238</v>
      </c>
      <c r="AB110" s="260" t="s">
        <v>282</v>
      </c>
      <c r="AC110" s="259" t="s">
        <v>283</v>
      </c>
      <c r="AD110" s="257" t="s">
        <v>284</v>
      </c>
      <c r="AE110" s="260" t="s">
        <v>238</v>
      </c>
      <c r="AF110" s="260" t="s">
        <v>282</v>
      </c>
      <c r="AG110" s="259" t="s">
        <v>283</v>
      </c>
    </row>
    <row r="111" spans="4:68" x14ac:dyDescent="0.25">
      <c r="D111" s="1396" t="s">
        <v>509</v>
      </c>
      <c r="E111" s="1397"/>
      <c r="F111" s="243"/>
      <c r="G111" s="298"/>
      <c r="H111" s="298"/>
      <c r="I111" s="298"/>
      <c r="J111" s="298"/>
      <c r="K111" s="298"/>
      <c r="L111" s="298"/>
      <c r="M111" s="298"/>
      <c r="N111" s="298"/>
      <c r="O111" s="298"/>
      <c r="P111" s="298"/>
      <c r="Q111" s="298"/>
      <c r="R111" s="298"/>
      <c r="S111" s="298"/>
      <c r="T111" s="277"/>
      <c r="U111" s="298"/>
      <c r="V111" s="298"/>
      <c r="W111" s="277"/>
      <c r="X111" s="277"/>
      <c r="Y111" s="277"/>
      <c r="Z111" s="277"/>
      <c r="AA111" s="277"/>
      <c r="AB111" s="277"/>
      <c r="AC111" s="298"/>
    </row>
    <row r="112" spans="4:68" x14ac:dyDescent="0.25">
      <c r="D112" s="511" t="s">
        <v>482</v>
      </c>
      <c r="F112" s="833"/>
      <c r="G112" s="860"/>
      <c r="H112" s="860">
        <f t="shared" ref="H112:Y112" si="35">H10/H119</f>
        <v>0.11759515065945329</v>
      </c>
      <c r="I112" s="860">
        <f t="shared" si="35"/>
        <v>0.11879897315968442</v>
      </c>
      <c r="J112" s="860">
        <f t="shared" si="35"/>
        <v>0.11632832053393799</v>
      </c>
      <c r="K112" s="860">
        <f t="shared" si="35"/>
        <v>0.11840135478408127</v>
      </c>
      <c r="L112" s="860">
        <f t="shared" si="35"/>
        <v>0.12252813966462116</v>
      </c>
      <c r="M112" s="860">
        <f t="shared" si="35"/>
        <v>0.1306605059249549</v>
      </c>
      <c r="N112" s="860">
        <f t="shared" si="35"/>
        <v>0.13265203887386032</v>
      </c>
      <c r="O112" s="860">
        <f t="shared" si="35"/>
        <v>0.1346644712277115</v>
      </c>
      <c r="P112" s="860">
        <f t="shared" si="35"/>
        <v>0.13573367367115458</v>
      </c>
      <c r="Q112" s="860">
        <f t="shared" si="35"/>
        <v>0.1488843620641529</v>
      </c>
      <c r="R112" s="860">
        <f t="shared" si="35"/>
        <v>0.14668284362856288</v>
      </c>
      <c r="S112" s="858">
        <f t="shared" si="35"/>
        <v>0.14459192156637904</v>
      </c>
      <c r="T112" s="858">
        <f t="shared" si="35"/>
        <v>0.14154488043064295</v>
      </c>
      <c r="U112" s="858">
        <f t="shared" si="35"/>
        <v>0.12162546494833289</v>
      </c>
      <c r="V112" s="858">
        <f t="shared" si="35"/>
        <v>0.1199155392367658</v>
      </c>
      <c r="W112" s="858">
        <f t="shared" si="35"/>
        <v>0.11910968409022883</v>
      </c>
      <c r="X112" s="858">
        <f t="shared" si="35"/>
        <v>0.11870086281789094</v>
      </c>
      <c r="Y112" s="858">
        <f t="shared" si="35"/>
        <v>0.12599746438958909</v>
      </c>
      <c r="Z112" s="859">
        <f t="shared" ref="Z112:AC112" si="36">Y112+Z113</f>
        <v>0.12599746438958909</v>
      </c>
      <c r="AA112" s="859">
        <f t="shared" si="36"/>
        <v>0.12599746438958909</v>
      </c>
      <c r="AB112" s="859">
        <f t="shared" si="36"/>
        <v>0.12599746438958909</v>
      </c>
      <c r="AC112" s="859">
        <f t="shared" si="36"/>
        <v>0.12599746438958909</v>
      </c>
      <c r="AD112" s="859">
        <f t="shared" ref="AD112" si="37">AC112+AD113</f>
        <v>0.12599746438958909</v>
      </c>
      <c r="AE112" s="859">
        <f t="shared" ref="AE112" si="38">AD112+AE113</f>
        <v>0.12599746438958909</v>
      </c>
      <c r="AF112" s="859">
        <f t="shared" ref="AF112" si="39">AE112+AF113</f>
        <v>0.12599746438958909</v>
      </c>
      <c r="AG112" s="859">
        <f t="shared" ref="AG112" si="40">AF112+AG113</f>
        <v>0.12599746438958909</v>
      </c>
    </row>
    <row r="113" spans="4:33" x14ac:dyDescent="0.25">
      <c r="D113" s="511" t="s">
        <v>892</v>
      </c>
      <c r="F113" s="833"/>
      <c r="G113" s="860"/>
      <c r="H113" s="860"/>
      <c r="I113" s="860"/>
      <c r="J113" s="860"/>
      <c r="K113" s="860"/>
      <c r="L113" s="860"/>
      <c r="M113" s="860"/>
      <c r="N113" s="860"/>
      <c r="O113" s="860"/>
      <c r="P113" s="860"/>
      <c r="Q113" s="860"/>
      <c r="R113" s="860"/>
      <c r="S113" s="858"/>
      <c r="T113" s="858"/>
      <c r="U113" s="858"/>
      <c r="V113" s="858"/>
      <c r="W113" s="860"/>
      <c r="X113" s="860"/>
      <c r="Y113" s="859"/>
      <c r="Z113" s="859"/>
      <c r="AA113" s="859"/>
      <c r="AB113" s="859"/>
      <c r="AC113" s="859"/>
      <c r="AD113" s="859"/>
      <c r="AE113" s="859"/>
      <c r="AF113" s="859"/>
      <c r="AG113" s="859"/>
    </row>
    <row r="114" spans="4:33" x14ac:dyDescent="0.25">
      <c r="D114" s="511" t="s">
        <v>483</v>
      </c>
      <c r="F114" s="833"/>
      <c r="G114" s="860"/>
      <c r="H114" s="860">
        <f t="shared" ref="H114:Y114" si="41">H12/H124</f>
        <v>0.15049219029952995</v>
      </c>
      <c r="I114" s="860">
        <f t="shared" si="41"/>
        <v>0.15082140744507519</v>
      </c>
      <c r="J114" s="860">
        <f t="shared" si="41"/>
        <v>0.15364369322346355</v>
      </c>
      <c r="K114" s="860">
        <f t="shared" si="41"/>
        <v>0.15173662969906893</v>
      </c>
      <c r="L114" s="860">
        <f t="shared" si="41"/>
        <v>0.14977874752747813</v>
      </c>
      <c r="M114" s="860">
        <f t="shared" si="41"/>
        <v>0.15013551231746289</v>
      </c>
      <c r="N114" s="860">
        <f t="shared" si="41"/>
        <v>0.14928290766208252</v>
      </c>
      <c r="O114" s="860">
        <f t="shared" si="41"/>
        <v>0.14884645906435542</v>
      </c>
      <c r="P114" s="860">
        <f t="shared" si="41"/>
        <v>0.14893182240386402</v>
      </c>
      <c r="Q114" s="860">
        <f t="shared" si="41"/>
        <v>0.15097091386063236</v>
      </c>
      <c r="R114" s="860">
        <f t="shared" si="41"/>
        <v>0.15155480435454263</v>
      </c>
      <c r="S114" s="858">
        <f t="shared" si="41"/>
        <v>0.15145823735780856</v>
      </c>
      <c r="T114" s="858">
        <f t="shared" si="41"/>
        <v>0.15146328336612525</v>
      </c>
      <c r="U114" s="858">
        <f t="shared" si="41"/>
        <v>0.15183173745240419</v>
      </c>
      <c r="V114" s="858">
        <f t="shared" si="41"/>
        <v>0.1513684174694489</v>
      </c>
      <c r="W114" s="858">
        <f t="shared" si="41"/>
        <v>0.15093422706325932</v>
      </c>
      <c r="X114" s="858">
        <f t="shared" si="41"/>
        <v>0.15081330298558485</v>
      </c>
      <c r="Y114" s="858">
        <f t="shared" si="41"/>
        <v>0.15178329125582848</v>
      </c>
      <c r="Z114" s="859">
        <f t="shared" ref="Z114:AC114" si="42">Y114</f>
        <v>0.15178329125582848</v>
      </c>
      <c r="AA114" s="859">
        <f t="shared" si="42"/>
        <v>0.15178329125582848</v>
      </c>
      <c r="AB114" s="859">
        <f t="shared" si="42"/>
        <v>0.15178329125582848</v>
      </c>
      <c r="AC114" s="859">
        <f t="shared" si="42"/>
        <v>0.15178329125582848</v>
      </c>
      <c r="AD114" s="859">
        <f t="shared" ref="AD114:AD115" si="43">AC114</f>
        <v>0.15178329125582848</v>
      </c>
      <c r="AE114" s="859">
        <f t="shared" ref="AE114:AE115" si="44">AD114</f>
        <v>0.15178329125582848</v>
      </c>
      <c r="AF114" s="859">
        <f t="shared" ref="AF114:AF115" si="45">AE114</f>
        <v>0.15178329125582848</v>
      </c>
      <c r="AG114" s="859">
        <f t="shared" ref="AG114:AG115" si="46">AF114</f>
        <v>0.15178329125582848</v>
      </c>
    </row>
    <row r="115" spans="4:33" x14ac:dyDescent="0.25">
      <c r="D115" s="511" t="s">
        <v>484</v>
      </c>
      <c r="F115" s="833"/>
      <c r="G115" s="860"/>
      <c r="H115" s="860">
        <f t="shared" ref="H115:Y115" si="47">H14/H125</f>
        <v>1.2114807744750477E-2</v>
      </c>
      <c r="I115" s="860">
        <f t="shared" si="47"/>
        <v>1.2657965466969756E-2</v>
      </c>
      <c r="J115" s="860">
        <f t="shared" si="47"/>
        <v>9.9021178686146908E-3</v>
      </c>
      <c r="K115" s="860">
        <f t="shared" si="47"/>
        <v>1.0383088225121401E-2</v>
      </c>
      <c r="L115" s="860">
        <f t="shared" si="47"/>
        <v>1.0715231518262747E-2</v>
      </c>
      <c r="M115" s="860">
        <f t="shared" si="47"/>
        <v>1.0573214086228536E-2</v>
      </c>
      <c r="N115" s="860">
        <f t="shared" si="47"/>
        <v>1.1315975901046335E-2</v>
      </c>
      <c r="O115" s="860">
        <f t="shared" si="47"/>
        <v>1.1182000724588734E-2</v>
      </c>
      <c r="P115" s="860">
        <f t="shared" si="47"/>
        <v>1.1424674905193142E-2</v>
      </c>
      <c r="Q115" s="860">
        <f t="shared" si="47"/>
        <v>1.1796413514497435E-2</v>
      </c>
      <c r="R115" s="860">
        <f t="shared" si="47"/>
        <v>1.1645066637573143E-2</v>
      </c>
      <c r="S115" s="858">
        <f t="shared" si="47"/>
        <v>1.0868458850273124E-2</v>
      </c>
      <c r="T115" s="858">
        <f t="shared" si="47"/>
        <v>1.0096556343137802E-2</v>
      </c>
      <c r="U115" s="858">
        <f t="shared" si="47"/>
        <v>9.6882252485002412E-3</v>
      </c>
      <c r="V115" s="858">
        <f t="shared" si="47"/>
        <v>9.5227753949725831E-3</v>
      </c>
      <c r="W115" s="858">
        <f t="shared" si="47"/>
        <v>9.1865413956476356E-3</v>
      </c>
      <c r="X115" s="858">
        <f t="shared" si="47"/>
        <v>8.9666657855084729E-3</v>
      </c>
      <c r="Y115" s="858">
        <f t="shared" si="47"/>
        <v>8.9437597186420512E-3</v>
      </c>
      <c r="Z115" s="859">
        <f t="shared" ref="Z115:AC115" si="48">Y115</f>
        <v>8.9437597186420512E-3</v>
      </c>
      <c r="AA115" s="859">
        <f t="shared" si="48"/>
        <v>8.9437597186420512E-3</v>
      </c>
      <c r="AB115" s="859">
        <f t="shared" si="48"/>
        <v>8.9437597186420512E-3</v>
      </c>
      <c r="AC115" s="859">
        <f t="shared" si="48"/>
        <v>8.9437597186420512E-3</v>
      </c>
      <c r="AD115" s="859">
        <f t="shared" si="43"/>
        <v>8.9437597186420512E-3</v>
      </c>
      <c r="AE115" s="859">
        <f t="shared" si="44"/>
        <v>8.9437597186420512E-3</v>
      </c>
      <c r="AF115" s="859">
        <f t="shared" si="45"/>
        <v>8.9437597186420512E-3</v>
      </c>
      <c r="AG115" s="859">
        <f t="shared" si="46"/>
        <v>8.9437597186420512E-3</v>
      </c>
    </row>
    <row r="116" spans="4:33" x14ac:dyDescent="0.25">
      <c r="D116" s="414" t="s">
        <v>485</v>
      </c>
      <c r="F116" s="833"/>
      <c r="G116" s="860"/>
      <c r="H116" s="860">
        <f t="shared" ref="H116:Y116" si="49">H16/H126</f>
        <v>0.1161666500548191</v>
      </c>
      <c r="I116" s="860">
        <f t="shared" si="49"/>
        <v>0.10825625214114422</v>
      </c>
      <c r="J116" s="860">
        <f t="shared" si="49"/>
        <v>0.12146635053802662</v>
      </c>
      <c r="K116" s="860">
        <f t="shared" si="49"/>
        <v>0.10805604203152365</v>
      </c>
      <c r="L116" s="860">
        <f t="shared" si="49"/>
        <v>0.12181977082928724</v>
      </c>
      <c r="M116" s="860">
        <f t="shared" si="49"/>
        <v>0.11063848447640764</v>
      </c>
      <c r="N116" s="860">
        <f t="shared" si="49"/>
        <v>0.10992248062015504</v>
      </c>
      <c r="O116" s="860">
        <f t="shared" si="49"/>
        <v>0.11010979497068199</v>
      </c>
      <c r="P116" s="860">
        <f t="shared" si="49"/>
        <v>0.11894324853228962</v>
      </c>
      <c r="Q116" s="860">
        <f t="shared" si="49"/>
        <v>0.12663185378590078</v>
      </c>
      <c r="R116" s="858">
        <f t="shared" si="49"/>
        <v>0.13978069387021391</v>
      </c>
      <c r="S116" s="858">
        <f t="shared" si="49"/>
        <v>0.13656105375578498</v>
      </c>
      <c r="T116" s="858">
        <f t="shared" si="49"/>
        <v>0.13593363411439383</v>
      </c>
      <c r="U116" s="858">
        <f t="shared" si="49"/>
        <v>0.14537428453855075</v>
      </c>
      <c r="V116" s="858">
        <f t="shared" si="49"/>
        <v>0.15173062452972161</v>
      </c>
      <c r="W116" s="858">
        <f t="shared" si="49"/>
        <v>0.15157009210240047</v>
      </c>
      <c r="X116" s="858">
        <f t="shared" si="49"/>
        <v>0.14805364962245282</v>
      </c>
      <c r="Y116" s="858">
        <f t="shared" si="49"/>
        <v>0.1597957970558411</v>
      </c>
      <c r="Z116" s="859">
        <f t="shared" ref="Z116:AC116" si="50">Y116+Z117</f>
        <v>0.1597957970558411</v>
      </c>
      <c r="AA116" s="859">
        <f t="shared" si="50"/>
        <v>0.1597957970558411</v>
      </c>
      <c r="AB116" s="859">
        <f t="shared" si="50"/>
        <v>0.1597957970558411</v>
      </c>
      <c r="AC116" s="859">
        <f t="shared" si="50"/>
        <v>0.1597957970558411</v>
      </c>
      <c r="AD116" s="859">
        <f t="shared" ref="AD116" si="51">AC116+AD117</f>
        <v>0.1597957970558411</v>
      </c>
      <c r="AE116" s="859">
        <f t="shared" ref="AE116" si="52">AD116+AE117</f>
        <v>0.1597957970558411</v>
      </c>
      <c r="AF116" s="859">
        <f t="shared" ref="AF116" si="53">AE116+AF117</f>
        <v>0.1597957970558411</v>
      </c>
      <c r="AG116" s="859">
        <f t="shared" ref="AG116" si="54">AF116+AG117</f>
        <v>0.1597957970558411</v>
      </c>
    </row>
    <row r="117" spans="4:33" x14ac:dyDescent="0.25">
      <c r="D117" s="414" t="s">
        <v>1751</v>
      </c>
      <c r="F117" s="833"/>
      <c r="G117" s="860"/>
      <c r="H117" s="860"/>
      <c r="I117" s="860"/>
      <c r="J117" s="860"/>
      <c r="K117" s="860"/>
      <c r="L117" s="860"/>
      <c r="M117" s="860"/>
      <c r="N117" s="860"/>
      <c r="O117" s="860"/>
      <c r="P117" s="860"/>
      <c r="Q117" s="860"/>
      <c r="R117" s="860"/>
      <c r="S117" s="860"/>
      <c r="T117" s="860"/>
      <c r="U117" s="860">
        <v>-1.2E-2</v>
      </c>
      <c r="V117" s="860"/>
      <c r="W117" s="860"/>
      <c r="X117" s="860"/>
      <c r="Y117" s="859"/>
      <c r="Z117" s="859"/>
      <c r="AA117" s="859"/>
      <c r="AB117" s="859"/>
      <c r="AC117" s="859"/>
      <c r="AD117" s="859"/>
      <c r="AE117" s="859"/>
      <c r="AF117" s="859"/>
      <c r="AG117" s="859"/>
    </row>
    <row r="118" spans="4:33" x14ac:dyDescent="0.25">
      <c r="D118" s="280" t="s">
        <v>510</v>
      </c>
      <c r="F118" s="265"/>
      <c r="G118" s="224"/>
      <c r="H118" s="224"/>
      <c r="I118" s="224"/>
      <c r="J118" s="224"/>
      <c r="K118" s="224"/>
      <c r="L118" s="224"/>
      <c r="M118" s="224"/>
      <c r="N118" s="224"/>
      <c r="O118" s="224"/>
      <c r="P118" s="224"/>
      <c r="Q118" s="224"/>
      <c r="R118" s="224"/>
      <c r="S118" s="224"/>
      <c r="T118" s="224"/>
      <c r="U118" s="224"/>
      <c r="V118" s="224"/>
      <c r="W118" s="224"/>
      <c r="X118" s="224"/>
      <c r="Y118" s="224"/>
      <c r="Z118" s="224"/>
      <c r="AA118" s="224"/>
      <c r="AB118" s="224"/>
      <c r="AC118" s="224"/>
    </row>
    <row r="119" spans="4:33" ht="14.85" customHeight="1" x14ac:dyDescent="0.25">
      <c r="D119" s="658" t="s">
        <v>511</v>
      </c>
      <c r="F119" s="828">
        <f>SUM(F120:F123)</f>
        <v>14456.2</v>
      </c>
      <c r="G119" s="426">
        <f t="shared" ref="G119:O119" si="55">SUM(G120:G123)</f>
        <v>14559</v>
      </c>
      <c r="H119" s="426">
        <f t="shared" si="55"/>
        <v>14731.900000000001</v>
      </c>
      <c r="I119" s="426">
        <f t="shared" si="55"/>
        <v>14880.6</v>
      </c>
      <c r="J119" s="426">
        <f t="shared" si="55"/>
        <v>14024.100000000002</v>
      </c>
      <c r="K119" s="426">
        <f t="shared" si="55"/>
        <v>14762.500000000002</v>
      </c>
      <c r="L119" s="426">
        <f t="shared" si="55"/>
        <v>15236.499999999998</v>
      </c>
      <c r="M119" s="426">
        <f t="shared" si="55"/>
        <v>15409.400000000001</v>
      </c>
      <c r="N119" s="426">
        <f t="shared" si="55"/>
        <v>15969.600000000002</v>
      </c>
      <c r="O119" s="426">
        <f t="shared" si="55"/>
        <v>16336.9</v>
      </c>
      <c r="P119" s="426">
        <f t="shared" ref="P119:T119" si="56">SUM(P120:P123)</f>
        <v>16689.3</v>
      </c>
      <c r="Q119" s="426">
        <f t="shared" si="56"/>
        <v>16837.900000000001</v>
      </c>
      <c r="R119" s="426">
        <f t="shared" si="56"/>
        <v>17061.3</v>
      </c>
      <c r="S119" s="321">
        <f t="shared" si="56"/>
        <v>17441.5</v>
      </c>
      <c r="T119" s="321">
        <f t="shared" si="56"/>
        <v>17592.3</v>
      </c>
      <c r="U119" s="321">
        <f t="shared" ref="U119:W119" si="57">SUM(U120:U123)</f>
        <v>17932.099999999999</v>
      </c>
      <c r="V119" s="321">
        <f t="shared" si="57"/>
        <v>18138.599999999999</v>
      </c>
      <c r="W119" s="321">
        <f t="shared" si="57"/>
        <v>18375.5</v>
      </c>
      <c r="X119" s="321">
        <f t="shared" ref="X119:Y119" si="58">SUM(X120:X123)</f>
        <v>18532.3</v>
      </c>
      <c r="Y119" s="321">
        <f t="shared" si="58"/>
        <v>18772.600000000002</v>
      </c>
      <c r="Z119" s="316"/>
      <c r="AA119" s="316"/>
      <c r="AB119" s="316"/>
      <c r="AC119" s="316"/>
      <c r="AD119" s="316"/>
      <c r="AE119" s="316"/>
      <c r="AF119" s="316"/>
      <c r="AG119" s="316"/>
    </row>
    <row r="120" spans="4:33" x14ac:dyDescent="0.25">
      <c r="D120" s="751" t="s">
        <v>785</v>
      </c>
      <c r="E120" s="230" t="s">
        <v>781</v>
      </c>
      <c r="F120" s="828">
        <f>'Haver Pivoted'!GQ81</f>
        <v>9284.9</v>
      </c>
      <c r="G120" s="426">
        <f>'Haver Pivoted'!GR81</f>
        <v>9340.9</v>
      </c>
      <c r="H120" s="426">
        <f>'Haver Pivoted'!GS81</f>
        <v>9488.2000000000007</v>
      </c>
      <c r="I120" s="426">
        <f>'Haver Pivoted'!GT81</f>
        <v>9635.9</v>
      </c>
      <c r="J120" s="426">
        <f>'Haver Pivoted'!GU81</f>
        <v>9004.6</v>
      </c>
      <c r="K120" s="426">
        <f>'Haver Pivoted'!GV81</f>
        <v>9440.7000000000007</v>
      </c>
      <c r="L120" s="426">
        <f>'Haver Pivoted'!GW81</f>
        <v>9807.7999999999993</v>
      </c>
      <c r="M120" s="426">
        <f>'Haver Pivoted'!GX81</f>
        <v>9888.4</v>
      </c>
      <c r="N120" s="426">
        <f>'Haver Pivoted'!GY81</f>
        <v>10180</v>
      </c>
      <c r="O120" s="426">
        <f>'Haver Pivoted'!GZ81</f>
        <v>10459.1</v>
      </c>
      <c r="P120" s="426">
        <f>'Haver Pivoted'!HA81</f>
        <v>10766</v>
      </c>
      <c r="Q120" s="426">
        <f>'Haver Pivoted'!HB81</f>
        <v>10902.1</v>
      </c>
      <c r="R120" s="426">
        <f>'Haver Pivoted'!HC81</f>
        <v>11004.6</v>
      </c>
      <c r="S120" s="321">
        <f>'Haver Pivoted'!HD81</f>
        <v>11287.6</v>
      </c>
      <c r="T120" s="321">
        <f>'Haver Pivoted'!HE81</f>
        <v>11334.1</v>
      </c>
      <c r="U120" s="321">
        <f>'Haver Pivoted'!HF81</f>
        <v>11581.9</v>
      </c>
      <c r="V120" s="321">
        <f>'Haver Pivoted'!HG81</f>
        <v>11750.8</v>
      </c>
      <c r="W120" s="321">
        <f>'Haver Pivoted'!HH81</f>
        <v>11935</v>
      </c>
      <c r="X120" s="321">
        <f>'Haver Pivoted'!HI81</f>
        <v>11994.3</v>
      </c>
      <c r="Y120" s="321">
        <f>'Haver Pivoted'!HJ81</f>
        <v>12160.1</v>
      </c>
      <c r="Z120" s="316"/>
      <c r="AA120" s="316"/>
      <c r="AB120" s="316"/>
      <c r="AC120" s="316"/>
      <c r="AD120" s="316"/>
      <c r="AE120" s="316"/>
      <c r="AF120" s="316"/>
      <c r="AG120" s="316"/>
    </row>
    <row r="121" spans="4:33" x14ac:dyDescent="0.25">
      <c r="D121" s="751" t="s">
        <v>512</v>
      </c>
      <c r="E121" s="230" t="s">
        <v>782</v>
      </c>
      <c r="F121" s="828">
        <f>'Haver Pivoted'!GQ82</f>
        <v>1533.5</v>
      </c>
      <c r="G121" s="426">
        <f>'Haver Pivoted'!GR82</f>
        <v>1570.1</v>
      </c>
      <c r="H121" s="426">
        <f>'Haver Pivoted'!GS82</f>
        <v>1581.1</v>
      </c>
      <c r="I121" s="426">
        <f>'Haver Pivoted'!GT82</f>
        <v>1577.7</v>
      </c>
      <c r="J121" s="426">
        <f>'Haver Pivoted'!GU82</f>
        <v>1411.5</v>
      </c>
      <c r="K121" s="426">
        <f>'Haver Pivoted'!GV82</f>
        <v>1691.6</v>
      </c>
      <c r="L121" s="426">
        <f>'Haver Pivoted'!GW82</f>
        <v>1654.4</v>
      </c>
      <c r="M121" s="426">
        <f>'Haver Pivoted'!GX82</f>
        <v>1650.2</v>
      </c>
      <c r="N121" s="426">
        <f>'Haver Pivoted'!GY82</f>
        <v>1784.1</v>
      </c>
      <c r="O121" s="426">
        <f>'Haver Pivoted'!GZ82</f>
        <v>1792.8</v>
      </c>
      <c r="P121" s="426">
        <f>'Haver Pivoted'!HA82</f>
        <v>1769.2</v>
      </c>
      <c r="Q121" s="426">
        <f>'Haver Pivoted'!HB82</f>
        <v>1756.4</v>
      </c>
      <c r="R121" s="426">
        <f>'Haver Pivoted'!HC82</f>
        <v>1774.4</v>
      </c>
      <c r="S121" s="321">
        <f>'Haver Pivoted'!HD82</f>
        <v>1807.4</v>
      </c>
      <c r="T121" s="321">
        <f>'Haver Pivoted'!HE82</f>
        <v>1825.3</v>
      </c>
      <c r="U121" s="321">
        <f>'Haver Pivoted'!HF82</f>
        <v>1827.4</v>
      </c>
      <c r="V121" s="321">
        <f>'Haver Pivoted'!HG82</f>
        <v>1824.1</v>
      </c>
      <c r="W121" s="321">
        <f>'Haver Pivoted'!HH82</f>
        <v>1859.6</v>
      </c>
      <c r="X121" s="321">
        <f>'Haver Pivoted'!HI82</f>
        <v>1882.6</v>
      </c>
      <c r="Y121" s="321">
        <f>'Haver Pivoted'!HJ82</f>
        <v>1890.4</v>
      </c>
      <c r="Z121" s="316"/>
      <c r="AA121" s="316"/>
      <c r="AB121" s="316"/>
      <c r="AC121" s="316"/>
      <c r="AD121" s="316"/>
      <c r="AE121" s="316"/>
      <c r="AF121" s="316"/>
      <c r="AG121" s="316"/>
    </row>
    <row r="122" spans="4:33" x14ac:dyDescent="0.25">
      <c r="D122" s="751" t="s">
        <v>513</v>
      </c>
      <c r="E122" s="230" t="s">
        <v>788</v>
      </c>
      <c r="F122" s="828">
        <f>'Haver Pivoted'!GQ83</f>
        <v>674.7</v>
      </c>
      <c r="G122" s="426">
        <f>'Haver Pivoted'!GR83</f>
        <v>685.7</v>
      </c>
      <c r="H122" s="426">
        <f>'Haver Pivoted'!GS83</f>
        <v>709.8</v>
      </c>
      <c r="I122" s="426">
        <f>'Haver Pivoted'!GT83</f>
        <v>740.9</v>
      </c>
      <c r="J122" s="426">
        <f>'Haver Pivoted'!GU83</f>
        <v>738.2</v>
      </c>
      <c r="K122" s="426">
        <f>'Haver Pivoted'!GV83</f>
        <v>765.2</v>
      </c>
      <c r="L122" s="426">
        <f>'Haver Pivoted'!GW83</f>
        <v>780.3</v>
      </c>
      <c r="M122" s="426">
        <f>'Haver Pivoted'!GX83</f>
        <v>791.6</v>
      </c>
      <c r="N122" s="426">
        <f>'Haver Pivoted'!GY83</f>
        <v>807.2</v>
      </c>
      <c r="O122" s="426">
        <f>'Haver Pivoted'!GZ83</f>
        <v>822.4</v>
      </c>
      <c r="P122" s="426">
        <f>'Haver Pivoted'!HA83</f>
        <v>835.5</v>
      </c>
      <c r="Q122" s="426">
        <f>'Haver Pivoted'!HB83</f>
        <v>837.2</v>
      </c>
      <c r="R122" s="426">
        <f>'Haver Pivoted'!HC83</f>
        <v>875.3</v>
      </c>
      <c r="S122" s="321">
        <f>'Haver Pivoted'!HD83</f>
        <v>893.1</v>
      </c>
      <c r="T122" s="321">
        <f>'Haver Pivoted'!HE83</f>
        <v>907.5</v>
      </c>
      <c r="U122" s="321">
        <f>'Haver Pivoted'!HF83</f>
        <v>945.8</v>
      </c>
      <c r="V122" s="321">
        <f>'Haver Pivoted'!HG83</f>
        <v>961.1</v>
      </c>
      <c r="W122" s="321">
        <f>'Haver Pivoted'!HH83</f>
        <v>974.4</v>
      </c>
      <c r="X122" s="321">
        <f>'Haver Pivoted'!HI83</f>
        <v>988.1</v>
      </c>
      <c r="Y122" s="321">
        <f>'Haver Pivoted'!HJ83</f>
        <v>1023.2</v>
      </c>
      <c r="Z122" s="316"/>
      <c r="AA122" s="316"/>
      <c r="AB122" s="316"/>
      <c r="AC122" s="316"/>
      <c r="AD122" s="316"/>
      <c r="AE122" s="316"/>
      <c r="AF122" s="316"/>
      <c r="AG122" s="316"/>
    </row>
    <row r="123" spans="4:33" x14ac:dyDescent="0.25">
      <c r="D123" s="751" t="s">
        <v>514</v>
      </c>
      <c r="E123" s="230" t="s">
        <v>784</v>
      </c>
      <c r="F123" s="828">
        <f>'Haver Pivoted'!GQ84</f>
        <v>2963.1</v>
      </c>
      <c r="G123" s="426">
        <f>'Haver Pivoted'!GR84</f>
        <v>2962.3</v>
      </c>
      <c r="H123" s="426">
        <f>'Haver Pivoted'!GS84</f>
        <v>2952.8</v>
      </c>
      <c r="I123" s="426">
        <f>'Haver Pivoted'!GT84</f>
        <v>2926.1</v>
      </c>
      <c r="J123" s="426">
        <f>'Haver Pivoted'!GU84</f>
        <v>2869.8</v>
      </c>
      <c r="K123" s="426">
        <f>'Haver Pivoted'!GV84</f>
        <v>2865</v>
      </c>
      <c r="L123" s="426">
        <f>'Haver Pivoted'!GW84</f>
        <v>2994</v>
      </c>
      <c r="M123" s="426">
        <f>'Haver Pivoted'!GX84</f>
        <v>3079.2</v>
      </c>
      <c r="N123" s="426">
        <f>'Haver Pivoted'!GY84</f>
        <v>3198.3</v>
      </c>
      <c r="O123" s="426">
        <f>'Haver Pivoted'!GZ84</f>
        <v>3262.6</v>
      </c>
      <c r="P123" s="426">
        <f>'Haver Pivoted'!HA84</f>
        <v>3318.6</v>
      </c>
      <c r="Q123" s="426">
        <f>'Haver Pivoted'!HB84</f>
        <v>3342.2</v>
      </c>
      <c r="R123" s="426">
        <f>'Haver Pivoted'!HC84</f>
        <v>3407</v>
      </c>
      <c r="S123" s="321">
        <f>'Haver Pivoted'!HD84</f>
        <v>3453.4</v>
      </c>
      <c r="T123" s="321">
        <f>'Haver Pivoted'!HE84</f>
        <v>3525.4</v>
      </c>
      <c r="U123" s="321">
        <f>'Haver Pivoted'!HF84</f>
        <v>3577</v>
      </c>
      <c r="V123" s="321">
        <f>'Haver Pivoted'!HG84</f>
        <v>3602.6</v>
      </c>
      <c r="W123" s="321">
        <f>'Haver Pivoted'!HH84</f>
        <v>3606.5</v>
      </c>
      <c r="X123" s="321">
        <f>'Haver Pivoted'!HI84</f>
        <v>3667.3</v>
      </c>
      <c r="Y123" s="321">
        <f>'Haver Pivoted'!HJ84</f>
        <v>3698.9</v>
      </c>
      <c r="Z123" s="316"/>
      <c r="AA123" s="316"/>
      <c r="AB123" s="316"/>
      <c r="AC123" s="316"/>
      <c r="AD123" s="316"/>
      <c r="AE123" s="316"/>
      <c r="AF123" s="316"/>
      <c r="AG123" s="316"/>
    </row>
    <row r="124" spans="4:33" x14ac:dyDescent="0.25">
      <c r="D124" s="658" t="s">
        <v>501</v>
      </c>
      <c r="F124" s="828">
        <f>F120</f>
        <v>9284.9</v>
      </c>
      <c r="G124" s="426">
        <f t="shared" ref="G124:O124" si="59">G120</f>
        <v>9340.9</v>
      </c>
      <c r="H124" s="426">
        <f t="shared" si="59"/>
        <v>9488.2000000000007</v>
      </c>
      <c r="I124" s="426">
        <f t="shared" si="59"/>
        <v>9635.9</v>
      </c>
      <c r="J124" s="426">
        <f t="shared" si="59"/>
        <v>9004.6</v>
      </c>
      <c r="K124" s="426">
        <f t="shared" si="59"/>
        <v>9440.7000000000007</v>
      </c>
      <c r="L124" s="426">
        <f t="shared" si="59"/>
        <v>9807.7999999999993</v>
      </c>
      <c r="M124" s="426">
        <f t="shared" si="59"/>
        <v>9888.4</v>
      </c>
      <c r="N124" s="426">
        <f t="shared" si="59"/>
        <v>10180</v>
      </c>
      <c r="O124" s="426">
        <f t="shared" si="59"/>
        <v>10459.1</v>
      </c>
      <c r="P124" s="426">
        <f t="shared" ref="P124:T124" si="60">P120</f>
        <v>10766</v>
      </c>
      <c r="Q124" s="426">
        <f t="shared" si="60"/>
        <v>10902.1</v>
      </c>
      <c r="R124" s="426">
        <f t="shared" si="60"/>
        <v>11004.6</v>
      </c>
      <c r="S124" s="321">
        <f t="shared" si="60"/>
        <v>11287.6</v>
      </c>
      <c r="T124" s="321">
        <f t="shared" si="60"/>
        <v>11334.1</v>
      </c>
      <c r="U124" s="321">
        <f t="shared" ref="U124:W124" si="61">U120</f>
        <v>11581.9</v>
      </c>
      <c r="V124" s="321">
        <f t="shared" si="61"/>
        <v>11750.8</v>
      </c>
      <c r="W124" s="321">
        <f t="shared" si="61"/>
        <v>11935</v>
      </c>
      <c r="X124" s="321">
        <f t="shared" ref="X124:Y124" si="62">X120</f>
        <v>11994.3</v>
      </c>
      <c r="Y124" s="321">
        <f t="shared" si="62"/>
        <v>12160.1</v>
      </c>
      <c r="Z124" s="316"/>
      <c r="AA124" s="316"/>
      <c r="AB124" s="316"/>
      <c r="AC124" s="316"/>
      <c r="AD124" s="316"/>
      <c r="AE124" s="316"/>
      <c r="AF124" s="316"/>
      <c r="AG124" s="316"/>
    </row>
    <row r="125" spans="4:33" x14ac:dyDescent="0.25">
      <c r="D125" s="658" t="s">
        <v>502</v>
      </c>
      <c r="E125" s="230" t="s">
        <v>518</v>
      </c>
      <c r="F125" s="828">
        <f>'Haver Pivoted'!GQ5</f>
        <v>14336.8</v>
      </c>
      <c r="G125" s="426">
        <f>'Haver Pivoted'!GR5</f>
        <v>14517.7</v>
      </c>
      <c r="H125" s="426">
        <f>'Haver Pivoted'!GS5</f>
        <v>14668</v>
      </c>
      <c r="I125" s="426">
        <f>'Haver Pivoted'!GT5</f>
        <v>14473.1</v>
      </c>
      <c r="J125" s="426">
        <f>'Haver Pivoted'!GU5</f>
        <v>13168.9</v>
      </c>
      <c r="K125" s="426">
        <f>'Haver Pivoted'!GV5</f>
        <v>14456.2</v>
      </c>
      <c r="L125" s="426">
        <f>'Haver Pivoted'!GW5</f>
        <v>14726.7</v>
      </c>
      <c r="M125" s="426">
        <f>'Haver Pivoted'!GX5</f>
        <v>15217.7</v>
      </c>
      <c r="N125" s="426">
        <f>'Haver Pivoted'!GY5</f>
        <v>15950.9</v>
      </c>
      <c r="O125" s="426">
        <f>'Haver Pivoted'!GZ5</f>
        <v>16285.1</v>
      </c>
      <c r="P125" s="426">
        <f>'Haver Pivoted'!HA5</f>
        <v>16718.2</v>
      </c>
      <c r="Q125" s="426">
        <f>'Haver Pivoted'!HB5</f>
        <v>17030.599999999999</v>
      </c>
      <c r="R125" s="426">
        <f>'Haver Pivoted'!HC5</f>
        <v>17415.099999999999</v>
      </c>
      <c r="S125" s="321">
        <f>'Haver Pivoted'!HD5</f>
        <v>17684.2</v>
      </c>
      <c r="T125" s="321">
        <f>'Haver Pivoted'!HE5</f>
        <v>17917</v>
      </c>
      <c r="U125" s="321">
        <f>'Haver Pivoted'!HF5</f>
        <v>18269.599999999999</v>
      </c>
      <c r="V125" s="321">
        <f>'Haver Pivoted'!HG5</f>
        <v>18419</v>
      </c>
      <c r="W125" s="321">
        <f>'Haver Pivoted'!HH5</f>
        <v>18679.5</v>
      </c>
      <c r="X125" s="321">
        <f>'Haver Pivoted'!HI5</f>
        <v>18914.5</v>
      </c>
      <c r="Y125" s="321">
        <f>'Haver Pivoted'!HJ5</f>
        <v>19164.2</v>
      </c>
      <c r="Z125" s="316"/>
      <c r="AA125" s="316"/>
      <c r="AB125" s="316"/>
      <c r="AC125" s="316"/>
      <c r="AD125" s="316"/>
      <c r="AE125" s="316"/>
      <c r="AF125" s="316"/>
      <c r="AG125" s="316"/>
    </row>
    <row r="126" spans="4:33" x14ac:dyDescent="0.25">
      <c r="D126" s="658" t="s">
        <v>515</v>
      </c>
      <c r="E126" s="230" t="s">
        <v>783</v>
      </c>
      <c r="F126" s="828">
        <f>'Haver Pivoted'!GQ85</f>
        <v>1896.6</v>
      </c>
      <c r="G126" s="426">
        <f>'Haver Pivoted'!GR85</f>
        <v>1975</v>
      </c>
      <c r="H126" s="426">
        <f>'Haver Pivoted'!GS85</f>
        <v>2006.6</v>
      </c>
      <c r="I126" s="426">
        <f>'Haver Pivoted'!GT85</f>
        <v>1751.4</v>
      </c>
      <c r="J126" s="426">
        <f>'Haver Pivoted'!GU85</f>
        <v>1644.9</v>
      </c>
      <c r="K126" s="426">
        <f>'Haver Pivoted'!GV85</f>
        <v>2284</v>
      </c>
      <c r="L126" s="426">
        <f>'Haver Pivoted'!GW85</f>
        <v>2059.6</v>
      </c>
      <c r="M126" s="426">
        <f>'Haver Pivoted'!GX85</f>
        <v>2280.4</v>
      </c>
      <c r="N126" s="426">
        <f>'Haver Pivoted'!GY85</f>
        <v>2580</v>
      </c>
      <c r="O126" s="426">
        <f>'Haver Pivoted'!GZ85</f>
        <v>2541.1</v>
      </c>
      <c r="P126" s="426">
        <f>'Haver Pivoted'!HA85</f>
        <v>2555</v>
      </c>
      <c r="Q126" s="426">
        <f>'Haver Pivoted'!HB85</f>
        <v>2604.4</v>
      </c>
      <c r="R126" s="321">
        <f>'Haver Pivoted'!HC85</f>
        <v>2781.5</v>
      </c>
      <c r="S126" s="321">
        <f>'Haver Pivoted'!HD85</f>
        <v>2809</v>
      </c>
      <c r="T126" s="321">
        <f>'Haver Pivoted'!HE85</f>
        <v>2748.4</v>
      </c>
      <c r="U126" s="321">
        <f>'Haver Pivoted'!HF85</f>
        <v>2673.1</v>
      </c>
      <c r="V126" s="321">
        <f>'Haver Pivoted'!HG85</f>
        <v>2658</v>
      </c>
      <c r="W126" s="321">
        <f>'Haver Pivoted'!HH85</f>
        <v>2757.8</v>
      </c>
      <c r="X126" s="321">
        <f>'Haver Pivoted'!HI85</f>
        <v>2900.3</v>
      </c>
      <c r="Y126" s="321">
        <f>'Haver Pivoted'!HJ85</f>
        <v>2859.9</v>
      </c>
      <c r="Z126" s="316"/>
      <c r="AA126" s="316"/>
      <c r="AB126" s="316"/>
      <c r="AC126" s="316"/>
      <c r="AD126" s="316"/>
      <c r="AE126" s="316"/>
      <c r="AF126" s="316"/>
      <c r="AG126" s="316"/>
    </row>
    <row r="127" spans="4:33" x14ac:dyDescent="0.25">
      <c r="D127" s="280" t="s">
        <v>516</v>
      </c>
      <c r="F127" s="265"/>
      <c r="G127" s="224"/>
      <c r="H127" s="224"/>
      <c r="I127" s="224"/>
      <c r="J127" s="224"/>
      <c r="K127" s="224"/>
      <c r="L127" s="224"/>
      <c r="M127" s="224"/>
      <c r="N127" s="224"/>
      <c r="O127" s="224"/>
      <c r="P127" s="224"/>
      <c r="Q127" s="224"/>
      <c r="R127" s="224"/>
      <c r="S127" s="224"/>
      <c r="T127" s="224"/>
      <c r="U127" s="224"/>
      <c r="V127" s="224"/>
      <c r="W127" s="224"/>
      <c r="X127" s="224"/>
      <c r="Y127" s="224"/>
      <c r="Z127" s="224"/>
      <c r="AA127" s="224"/>
      <c r="AB127" s="224"/>
      <c r="AC127" s="224"/>
      <c r="AD127" s="224"/>
      <c r="AE127" s="224"/>
      <c r="AF127" s="224"/>
      <c r="AG127" s="224"/>
    </row>
    <row r="128" spans="4:33" x14ac:dyDescent="0.25">
      <c r="D128" s="864" t="s">
        <v>486</v>
      </c>
      <c r="F128" s="833">
        <f t="shared" ref="F128:Y128" si="63">F21/F119</f>
        <v>3.6876910944784937E-2</v>
      </c>
      <c r="G128" s="860">
        <f t="shared" si="63"/>
        <v>3.4178171577718248E-2</v>
      </c>
      <c r="H128" s="860">
        <f t="shared" si="63"/>
        <v>3.3125394551958669E-2</v>
      </c>
      <c r="I128" s="860">
        <f t="shared" si="63"/>
        <v>3.2807816889103933E-2</v>
      </c>
      <c r="J128" s="860">
        <f t="shared" si="63"/>
        <v>3.4262448214145647E-2</v>
      </c>
      <c r="K128" s="860">
        <f t="shared" si="63"/>
        <v>3.4919559695173574E-2</v>
      </c>
      <c r="L128" s="860">
        <f t="shared" si="63"/>
        <v>3.4647064614576839E-2</v>
      </c>
      <c r="M128" s="860">
        <f t="shared" si="63"/>
        <v>3.6614014822121559E-2</v>
      </c>
      <c r="N128" s="860">
        <f t="shared" si="63"/>
        <v>3.6669672377517282E-2</v>
      </c>
      <c r="O128" s="860">
        <f t="shared" si="63"/>
        <v>3.6102320513683742E-2</v>
      </c>
      <c r="P128" s="860">
        <f t="shared" si="63"/>
        <v>3.8126224587010836E-2</v>
      </c>
      <c r="Q128" s="860">
        <f t="shared" si="63"/>
        <v>3.8953788774134537E-2</v>
      </c>
      <c r="R128" s="860">
        <f t="shared" si="63"/>
        <v>3.8396839631212161E-2</v>
      </c>
      <c r="S128" s="858">
        <f t="shared" si="63"/>
        <v>3.5272195625376257E-2</v>
      </c>
      <c r="T128" s="858">
        <f t="shared" si="63"/>
        <v>3.4424151475361382E-2</v>
      </c>
      <c r="U128" s="830">
        <f t="shared" si="63"/>
        <v>3.2494799828240981E-2</v>
      </c>
      <c r="V128" s="830">
        <f t="shared" si="63"/>
        <v>2.9153297387891016E-2</v>
      </c>
      <c r="W128" s="830">
        <f t="shared" si="63"/>
        <v>3.1378737993523989E-2</v>
      </c>
      <c r="X128" s="830">
        <f t="shared" si="63"/>
        <v>3.1976603012038446E-2</v>
      </c>
      <c r="Y128" s="830">
        <f t="shared" si="63"/>
        <v>3.0086402522825816E-2</v>
      </c>
      <c r="Z128" s="859">
        <f t="shared" ref="Z128:AC130" si="64">Y128</f>
        <v>3.0086402522825816E-2</v>
      </c>
      <c r="AA128" s="859">
        <f t="shared" si="64"/>
        <v>3.0086402522825816E-2</v>
      </c>
      <c r="AB128" s="859">
        <f t="shared" si="64"/>
        <v>3.0086402522825816E-2</v>
      </c>
      <c r="AC128" s="859">
        <f t="shared" si="64"/>
        <v>3.0086402522825816E-2</v>
      </c>
      <c r="AD128" s="859">
        <f t="shared" ref="AD128:AD131" si="65">AC128</f>
        <v>3.0086402522825816E-2</v>
      </c>
      <c r="AE128" s="859">
        <f t="shared" ref="AE128:AE131" si="66">AD128</f>
        <v>3.0086402522825816E-2</v>
      </c>
      <c r="AF128" s="859">
        <f t="shared" ref="AF128:AF131" si="67">AE128</f>
        <v>3.0086402522825816E-2</v>
      </c>
      <c r="AG128" s="859">
        <f t="shared" ref="AG128:AG131" si="68">AF128</f>
        <v>3.0086402522825816E-2</v>
      </c>
    </row>
    <row r="129" spans="4:33" x14ac:dyDescent="0.25">
      <c r="D129" s="864" t="s">
        <v>483</v>
      </c>
      <c r="F129" s="833">
        <f t="shared" ref="F129:Y129" si="69">F23/F124</f>
        <v>2.240196447996209E-3</v>
      </c>
      <c r="G129" s="860">
        <f t="shared" si="69"/>
        <v>2.2053549443843742E-3</v>
      </c>
      <c r="H129" s="860">
        <f t="shared" si="69"/>
        <v>2.1500389958053158E-3</v>
      </c>
      <c r="I129" s="860">
        <f t="shared" si="69"/>
        <v>2.106705133926255E-3</v>
      </c>
      <c r="J129" s="860">
        <f t="shared" si="69"/>
        <v>2.1433489549785665E-3</v>
      </c>
      <c r="K129" s="860">
        <f t="shared" si="69"/>
        <v>2.1078945417183047E-3</v>
      </c>
      <c r="L129" s="860">
        <f t="shared" si="69"/>
        <v>2.1105650604620811E-3</v>
      </c>
      <c r="M129" s="860">
        <f t="shared" si="69"/>
        <v>2.1540390760891553E-3</v>
      </c>
      <c r="N129" s="860">
        <f t="shared" si="69"/>
        <v>2.1611001964636544E-3</v>
      </c>
      <c r="O129" s="860">
        <f t="shared" si="69"/>
        <v>2.1607977741870715E-3</v>
      </c>
      <c r="P129" s="860">
        <f t="shared" si="69"/>
        <v>2.1270666914360021E-3</v>
      </c>
      <c r="Q129" s="860">
        <f t="shared" si="69"/>
        <v>2.1005127452509149E-3</v>
      </c>
      <c r="R129" s="860">
        <f t="shared" si="69"/>
        <v>2.0536866401323086E-3</v>
      </c>
      <c r="S129" s="858">
        <f t="shared" si="69"/>
        <v>1.9844785428257557E-3</v>
      </c>
      <c r="T129" s="858">
        <f t="shared" si="69"/>
        <v>1.9410451645918069E-3</v>
      </c>
      <c r="U129" s="830">
        <f t="shared" si="69"/>
        <v>1.8563448138906398E-3</v>
      </c>
      <c r="V129" s="830">
        <f t="shared" si="69"/>
        <v>1.8211526023760084E-3</v>
      </c>
      <c r="W129" s="830">
        <f t="shared" si="69"/>
        <v>1.8349392542940928E-3</v>
      </c>
      <c r="X129" s="830">
        <f t="shared" si="69"/>
        <v>1.9009029288912236E-3</v>
      </c>
      <c r="Y129" s="830">
        <f t="shared" si="69"/>
        <v>1.9983388294504156E-3</v>
      </c>
      <c r="Z129" s="859">
        <f t="shared" si="64"/>
        <v>1.9983388294504156E-3</v>
      </c>
      <c r="AA129" s="859">
        <f t="shared" si="64"/>
        <v>1.9983388294504156E-3</v>
      </c>
      <c r="AB129" s="859">
        <f t="shared" si="64"/>
        <v>1.9983388294504156E-3</v>
      </c>
      <c r="AC129" s="859">
        <f t="shared" si="64"/>
        <v>1.9983388294504156E-3</v>
      </c>
      <c r="AD129" s="859">
        <f t="shared" si="65"/>
        <v>1.9983388294504156E-3</v>
      </c>
      <c r="AE129" s="859">
        <f t="shared" si="66"/>
        <v>1.9983388294504156E-3</v>
      </c>
      <c r="AF129" s="859">
        <f t="shared" si="67"/>
        <v>1.9983388294504156E-3</v>
      </c>
      <c r="AG129" s="859">
        <f t="shared" si="68"/>
        <v>1.9983388294504156E-3</v>
      </c>
    </row>
    <row r="130" spans="4:33" x14ac:dyDescent="0.25">
      <c r="D130" s="864" t="s">
        <v>484</v>
      </c>
      <c r="F130" s="833">
        <f t="shared" ref="F130:Y130" si="70">F24/F125</f>
        <v>9.4079571452485911E-2</v>
      </c>
      <c r="G130" s="860">
        <f t="shared" si="70"/>
        <v>9.4656867134601211E-2</v>
      </c>
      <c r="H130" s="860">
        <f t="shared" si="70"/>
        <v>9.381647122988819E-2</v>
      </c>
      <c r="I130" s="860">
        <f t="shared" si="70"/>
        <v>9.5307846971277754E-2</v>
      </c>
      <c r="J130" s="860">
        <f t="shared" si="70"/>
        <v>9.7996036115393093E-2</v>
      </c>
      <c r="K130" s="860">
        <f t="shared" si="70"/>
        <v>9.5855065646573784E-2</v>
      </c>
      <c r="L130" s="860">
        <f t="shared" si="70"/>
        <v>9.5404944760197466E-2</v>
      </c>
      <c r="M130" s="860">
        <f t="shared" si="70"/>
        <v>9.3364963167890017E-2</v>
      </c>
      <c r="N130" s="860">
        <f t="shared" si="70"/>
        <v>9.3700042003899461E-2</v>
      </c>
      <c r="O130" s="860">
        <f t="shared" si="70"/>
        <v>9.2311376657189692E-2</v>
      </c>
      <c r="P130" s="860">
        <f t="shared" si="70"/>
        <v>9.298249811582586E-2</v>
      </c>
      <c r="Q130" s="860">
        <f t="shared" si="70"/>
        <v>9.2956208236938218E-2</v>
      </c>
      <c r="R130" s="860">
        <f t="shared" si="70"/>
        <v>9.2425538756596287E-2</v>
      </c>
      <c r="S130" s="858">
        <f t="shared" si="70"/>
        <v>9.2274459687178373E-2</v>
      </c>
      <c r="T130" s="858">
        <f t="shared" si="70"/>
        <v>9.1510855611988615E-2</v>
      </c>
      <c r="U130" s="830">
        <f t="shared" si="70"/>
        <v>9.0538380697990112E-2</v>
      </c>
      <c r="V130" s="830">
        <f t="shared" si="70"/>
        <v>8.9375101797057391E-2</v>
      </c>
      <c r="W130" s="830">
        <f t="shared" si="70"/>
        <v>8.8824647340667584E-2</v>
      </c>
      <c r="X130" s="830">
        <f t="shared" si="70"/>
        <v>8.869385920854371E-2</v>
      </c>
      <c r="Y130" s="830">
        <f t="shared" si="70"/>
        <v>8.7861742206823135E-2</v>
      </c>
      <c r="Z130" s="859">
        <f t="shared" si="64"/>
        <v>8.7861742206823135E-2</v>
      </c>
      <c r="AA130" s="859">
        <f t="shared" si="64"/>
        <v>8.7861742206823135E-2</v>
      </c>
      <c r="AB130" s="859">
        <f t="shared" si="64"/>
        <v>8.7861742206823135E-2</v>
      </c>
      <c r="AC130" s="859">
        <f t="shared" si="64"/>
        <v>8.7861742206823135E-2</v>
      </c>
      <c r="AD130" s="859">
        <f t="shared" si="65"/>
        <v>8.7861742206823135E-2</v>
      </c>
      <c r="AE130" s="859">
        <f t="shared" si="66"/>
        <v>8.7861742206823135E-2</v>
      </c>
      <c r="AF130" s="859">
        <f t="shared" si="67"/>
        <v>8.7861742206823135E-2</v>
      </c>
      <c r="AG130" s="859">
        <f t="shared" si="68"/>
        <v>8.7861742206823135E-2</v>
      </c>
    </row>
    <row r="131" spans="4:33" x14ac:dyDescent="0.25">
      <c r="D131" s="820" t="s">
        <v>517</v>
      </c>
      <c r="E131" s="348"/>
      <c r="F131" s="825">
        <f t="shared" ref="F131:Y131" si="71">F25/F126</f>
        <v>3.9386270167668463E-2</v>
      </c>
      <c r="G131" s="826">
        <f t="shared" si="71"/>
        <v>3.7569620253164557E-2</v>
      </c>
      <c r="H131" s="826">
        <f t="shared" si="71"/>
        <v>3.5732084122396097E-2</v>
      </c>
      <c r="I131" s="826">
        <f t="shared" si="71"/>
        <v>3.7569944044764186E-2</v>
      </c>
      <c r="J131" s="826">
        <f t="shared" si="71"/>
        <v>3.8725758404766247E-2</v>
      </c>
      <c r="K131" s="826">
        <f t="shared" si="71"/>
        <v>3.4851138353765319E-2</v>
      </c>
      <c r="L131" s="826">
        <f t="shared" si="71"/>
        <v>3.99592153816275E-2</v>
      </c>
      <c r="M131" s="826">
        <f t="shared" si="71"/>
        <v>3.7931941764602697E-2</v>
      </c>
      <c r="N131" s="826">
        <f t="shared" si="71"/>
        <v>3.6937984496124031E-2</v>
      </c>
      <c r="O131" s="826">
        <f t="shared" si="71"/>
        <v>4.3957341308881979E-2</v>
      </c>
      <c r="P131" s="826">
        <f t="shared" si="71"/>
        <v>5.8747553816046967E-2</v>
      </c>
      <c r="Q131" s="826">
        <f t="shared" si="71"/>
        <v>7.0726462908923357E-2</v>
      </c>
      <c r="R131" s="831">
        <f t="shared" si="71"/>
        <v>5.1590868236563003E-2</v>
      </c>
      <c r="S131" s="831">
        <f t="shared" si="71"/>
        <v>5.2046991812032747E-2</v>
      </c>
      <c r="T131" s="775">
        <f t="shared" si="71"/>
        <v>5.8397613156745742E-2</v>
      </c>
      <c r="U131" s="861">
        <f t="shared" si="71"/>
        <v>6.4531816991507993E-2</v>
      </c>
      <c r="V131" s="861">
        <f t="shared" si="71"/>
        <v>5.6696764484574863E-2</v>
      </c>
      <c r="W131" s="861">
        <f t="shared" si="71"/>
        <v>5.3919791137863507E-2</v>
      </c>
      <c r="X131" s="861">
        <f t="shared" si="71"/>
        <v>5.7132020825431847E-2</v>
      </c>
      <c r="Y131" s="861">
        <f t="shared" si="71"/>
        <v>5.7659358718836325E-2</v>
      </c>
      <c r="Z131" s="829">
        <f t="shared" ref="Z131:AC131" si="72">Y131</f>
        <v>5.7659358718836325E-2</v>
      </c>
      <c r="AA131" s="829">
        <f t="shared" si="72"/>
        <v>5.7659358718836325E-2</v>
      </c>
      <c r="AB131" s="829">
        <f t="shared" si="72"/>
        <v>5.7659358718836325E-2</v>
      </c>
      <c r="AC131" s="859">
        <f t="shared" si="72"/>
        <v>5.7659358718836325E-2</v>
      </c>
      <c r="AD131" s="859">
        <f t="shared" si="65"/>
        <v>5.7659358718836325E-2</v>
      </c>
      <c r="AE131" s="859">
        <f t="shared" si="66"/>
        <v>5.7659358718836325E-2</v>
      </c>
      <c r="AF131" s="859">
        <f t="shared" si="67"/>
        <v>5.7659358718836325E-2</v>
      </c>
      <c r="AG131" s="859">
        <f t="shared" si="68"/>
        <v>5.7659358718836325E-2</v>
      </c>
    </row>
    <row r="135" spans="4:33" x14ac:dyDescent="0.25">
      <c r="D135" s="1394" t="s">
        <v>1705</v>
      </c>
      <c r="E135" s="1394"/>
      <c r="F135" s="1394"/>
      <c r="G135" s="1394"/>
      <c r="H135" s="1394"/>
      <c r="I135" s="1394"/>
      <c r="J135" s="1394"/>
      <c r="K135" s="1394"/>
      <c r="L135" s="1394"/>
      <c r="M135" s="1394"/>
      <c r="N135" s="1394"/>
      <c r="O135" s="1394"/>
      <c r="P135" s="1394"/>
      <c r="Q135" s="1394"/>
      <c r="R135" s="1394"/>
      <c r="S135" s="1394"/>
      <c r="T135" s="1394"/>
      <c r="U135" s="1394"/>
      <c r="V135" s="1394"/>
      <c r="W135" s="1394"/>
      <c r="X135" s="1394"/>
      <c r="Y135" s="1394"/>
      <c r="Z135" s="1394"/>
      <c r="AA135" s="1394"/>
      <c r="AB135" s="1394"/>
      <c r="AC135" s="1394"/>
    </row>
    <row r="136" spans="4:33" x14ac:dyDescent="0.25">
      <c r="D136" s="787" t="s">
        <v>1698</v>
      </c>
      <c r="E136" s="437"/>
      <c r="F136" s="277"/>
      <c r="G136" s="277"/>
      <c r="H136" s="277"/>
      <c r="I136" s="277"/>
      <c r="J136" s="277"/>
      <c r="K136" s="277"/>
      <c r="L136" s="277"/>
      <c r="M136" s="277"/>
      <c r="N136" s="277"/>
      <c r="O136" s="277"/>
      <c r="P136" s="277"/>
      <c r="Q136" s="277"/>
      <c r="R136" s="277"/>
      <c r="S136" s="865"/>
      <c r="T136" s="277"/>
      <c r="U136" s="281"/>
      <c r="V136" s="281"/>
      <c r="W136" s="281"/>
      <c r="X136" s="281"/>
      <c r="Y136" s="281"/>
      <c r="Z136" s="281"/>
      <c r="AA136" s="281"/>
      <c r="AB136" s="281"/>
      <c r="AC136" s="208"/>
    </row>
    <row r="137" spans="4:33" x14ac:dyDescent="0.25">
      <c r="D137" s="776" t="s">
        <v>511</v>
      </c>
      <c r="E137" s="777"/>
      <c r="F137" s="778"/>
      <c r="G137" s="778">
        <f>(G119/F119)^4-1</f>
        <v>2.8749393280061097E-2</v>
      </c>
      <c r="H137" s="778">
        <f t="shared" ref="H137:S137" si="73">(H119/G119)^4-1</f>
        <v>4.835619208374009E-2</v>
      </c>
      <c r="I137" s="778">
        <f t="shared" si="73"/>
        <v>4.0990394317915957E-2</v>
      </c>
      <c r="J137" s="778">
        <f t="shared" si="73"/>
        <v>-0.21110677102287756</v>
      </c>
      <c r="K137" s="778">
        <f t="shared" si="73"/>
        <v>0.22783396531706446</v>
      </c>
      <c r="L137" s="778">
        <f t="shared" si="73"/>
        <v>0.13475269153096958</v>
      </c>
      <c r="M137" s="778">
        <f t="shared" si="73"/>
        <v>4.6169492161351133E-2</v>
      </c>
      <c r="N137" s="778">
        <f t="shared" si="73"/>
        <v>0.15354153816413141</v>
      </c>
      <c r="O137" s="778">
        <f t="shared" si="73"/>
        <v>9.5222733313579777E-2</v>
      </c>
      <c r="P137" s="778">
        <f t="shared" si="73"/>
        <v>8.911535984386032E-2</v>
      </c>
      <c r="Q137" s="778">
        <f t="shared" si="73"/>
        <v>3.6094141365687449E-2</v>
      </c>
      <c r="R137" s="778">
        <f t="shared" si="73"/>
        <v>5.413631344975145E-2</v>
      </c>
      <c r="S137" s="778">
        <f t="shared" si="73"/>
        <v>9.2161469921289818E-2</v>
      </c>
      <c r="T137" s="779"/>
      <c r="U137" s="316"/>
      <c r="V137" s="316"/>
      <c r="W137" s="316"/>
      <c r="X137" s="316"/>
      <c r="Y137" s="316"/>
      <c r="Z137" s="316"/>
      <c r="AA137" s="316"/>
      <c r="AB137" s="316"/>
      <c r="AC137" s="422"/>
    </row>
    <row r="138" spans="4:33" x14ac:dyDescent="0.25">
      <c r="D138" s="780" t="s">
        <v>785</v>
      </c>
      <c r="E138" s="781"/>
      <c r="F138" s="778"/>
      <c r="G138" s="778">
        <f t="shared" ref="G138:S138" si="74">(G120/F120)^4-1</f>
        <v>2.4344330774321188E-2</v>
      </c>
      <c r="H138" s="778">
        <f t="shared" si="74"/>
        <v>6.458521711215659E-2</v>
      </c>
      <c r="I138" s="778">
        <f t="shared" si="74"/>
        <v>6.3735896602801656E-2</v>
      </c>
      <c r="J138" s="778">
        <f t="shared" si="74"/>
        <v>-0.23741446237196107</v>
      </c>
      <c r="K138" s="778">
        <f t="shared" si="74"/>
        <v>0.20825635125685005</v>
      </c>
      <c r="L138" s="778">
        <f t="shared" si="74"/>
        <v>0.16484895945116618</v>
      </c>
      <c r="M138" s="778">
        <f t="shared" si="74"/>
        <v>3.3279228577432596E-2</v>
      </c>
      <c r="N138" s="778">
        <f t="shared" si="74"/>
        <v>0.12327736678651791</v>
      </c>
      <c r="O138" s="778">
        <f t="shared" si="74"/>
        <v>0.11425899665317862</v>
      </c>
      <c r="P138" s="778">
        <f t="shared" si="74"/>
        <v>0.12263929791752348</v>
      </c>
      <c r="Q138" s="778">
        <f t="shared" si="74"/>
        <v>5.1533573038161862E-2</v>
      </c>
      <c r="R138" s="778">
        <f t="shared" si="74"/>
        <v>3.8141135194219355E-2</v>
      </c>
      <c r="S138" s="778">
        <f t="shared" si="74"/>
        <v>0.10690257689405547</v>
      </c>
      <c r="T138" s="779"/>
      <c r="U138" s="316"/>
      <c r="V138" s="316"/>
      <c r="W138" s="316"/>
      <c r="X138" s="316"/>
      <c r="Y138" s="316"/>
      <c r="Z138" s="316"/>
      <c r="AA138" s="316"/>
      <c r="AB138" s="316"/>
      <c r="AC138" s="422"/>
    </row>
    <row r="139" spans="4:33" x14ac:dyDescent="0.25">
      <c r="D139" s="780" t="s">
        <v>512</v>
      </c>
      <c r="E139" s="781"/>
      <c r="F139" s="778"/>
      <c r="G139" s="778">
        <f t="shared" ref="G139:S139" si="75">(G121/F121)^4-1</f>
        <v>9.8940383820250055E-2</v>
      </c>
      <c r="H139" s="778">
        <f t="shared" si="75"/>
        <v>2.8319568411775409E-2</v>
      </c>
      <c r="I139" s="778">
        <f t="shared" si="75"/>
        <v>-8.5739008681605666E-3</v>
      </c>
      <c r="J139" s="778">
        <f t="shared" si="75"/>
        <v>-0.35934262816006057</v>
      </c>
      <c r="K139" s="778">
        <f t="shared" si="75"/>
        <v>1.0628477511227197</v>
      </c>
      <c r="L139" s="778">
        <f t="shared" si="75"/>
        <v>-8.510473536398655E-2</v>
      </c>
      <c r="M139" s="778">
        <f t="shared" si="75"/>
        <v>-1.0116134762455764E-2</v>
      </c>
      <c r="N139" s="778">
        <f t="shared" si="75"/>
        <v>0.36625083933278457</v>
      </c>
      <c r="O139" s="778">
        <f t="shared" si="75"/>
        <v>1.9648773635073002E-2</v>
      </c>
      <c r="P139" s="778">
        <f t="shared" si="75"/>
        <v>-5.1624450555260104E-2</v>
      </c>
      <c r="Q139" s="778">
        <f t="shared" si="75"/>
        <v>-2.8627082405951798E-2</v>
      </c>
      <c r="R139" s="778">
        <f t="shared" si="75"/>
        <v>4.1627414399892038E-2</v>
      </c>
      <c r="S139" s="778">
        <f t="shared" si="75"/>
        <v>7.6492470624414111E-2</v>
      </c>
      <c r="T139" s="779"/>
      <c r="U139" s="316"/>
      <c r="V139" s="316"/>
      <c r="W139" s="316"/>
      <c r="X139" s="316"/>
      <c r="Y139" s="316"/>
      <c r="Z139" s="316"/>
      <c r="AA139" s="316"/>
      <c r="AB139" s="316"/>
      <c r="AC139" s="422"/>
    </row>
    <row r="140" spans="4:33" x14ac:dyDescent="0.25">
      <c r="D140" s="780" t="s">
        <v>513</v>
      </c>
      <c r="E140" s="781"/>
      <c r="F140" s="778"/>
      <c r="G140" s="778">
        <f t="shared" ref="G140:S140" si="76">(G122/F122)^4-1</f>
        <v>6.6826407149440659E-2</v>
      </c>
      <c r="H140" s="778">
        <f t="shared" si="76"/>
        <v>0.14817313810277866</v>
      </c>
      <c r="I140" s="778">
        <f t="shared" si="76"/>
        <v>0.18711939115613641</v>
      </c>
      <c r="J140" s="778">
        <f t="shared" si="76"/>
        <v>-1.4497377499696595E-2</v>
      </c>
      <c r="K140" s="778">
        <f t="shared" si="76"/>
        <v>0.15452590504057984</v>
      </c>
      <c r="L140" s="778">
        <f t="shared" si="76"/>
        <v>8.1300944253331897E-2</v>
      </c>
      <c r="M140" s="778">
        <f t="shared" si="76"/>
        <v>5.9196932796567792E-2</v>
      </c>
      <c r="N140" s="778">
        <f t="shared" si="76"/>
        <v>8.1188632132453531E-2</v>
      </c>
      <c r="O140" s="778">
        <f t="shared" si="76"/>
        <v>7.7476467280115147E-2</v>
      </c>
      <c r="P140" s="778">
        <f t="shared" si="76"/>
        <v>6.5254580521259653E-2</v>
      </c>
      <c r="Q140" s="778">
        <f t="shared" si="76"/>
        <v>8.1637129935556718E-3</v>
      </c>
      <c r="R140" s="778">
        <f t="shared" si="76"/>
        <v>0.19484297690017338</v>
      </c>
      <c r="S140" s="778">
        <f t="shared" si="76"/>
        <v>8.3858639128562951E-2</v>
      </c>
      <c r="T140" s="779"/>
      <c r="U140" s="316"/>
      <c r="V140" s="316"/>
      <c r="W140" s="316"/>
      <c r="X140" s="316"/>
      <c r="Y140" s="316"/>
      <c r="Z140" s="316"/>
      <c r="AA140" s="316"/>
      <c r="AB140" s="316"/>
      <c r="AC140" s="422"/>
    </row>
    <row r="141" spans="4:33" x14ac:dyDescent="0.25">
      <c r="D141" s="780" t="s">
        <v>514</v>
      </c>
      <c r="E141" s="781"/>
      <c r="F141" s="778"/>
      <c r="G141" s="778">
        <f t="shared" ref="G141:S141" si="77">(G123/F123)^4-1</f>
        <v>-1.0795127714819941E-3</v>
      </c>
      <c r="H141" s="778">
        <f t="shared" si="77"/>
        <v>-1.2766294214684004E-2</v>
      </c>
      <c r="I141" s="778">
        <f t="shared" si="77"/>
        <v>-3.568143513043176E-2</v>
      </c>
      <c r="J141" s="778">
        <f t="shared" si="77"/>
        <v>-7.4769653961980542E-2</v>
      </c>
      <c r="K141" s="778">
        <f t="shared" si="77"/>
        <v>-6.6735950541658706E-3</v>
      </c>
      <c r="L141" s="778">
        <f t="shared" si="77"/>
        <v>0.19263809895026496</v>
      </c>
      <c r="M141" s="778">
        <f t="shared" si="77"/>
        <v>0.11877926392131299</v>
      </c>
      <c r="N141" s="778">
        <f t="shared" si="77"/>
        <v>0.16392554515507163</v>
      </c>
      <c r="O141" s="778">
        <f t="shared" si="77"/>
        <v>8.2875517920269814E-2</v>
      </c>
      <c r="P141" s="778">
        <f t="shared" si="77"/>
        <v>7.0444876940621848E-2</v>
      </c>
      <c r="Q141" s="778">
        <f t="shared" si="77"/>
        <v>2.8750606091571207E-2</v>
      </c>
      <c r="R141" s="778">
        <f t="shared" si="77"/>
        <v>7.9838468306118182E-2</v>
      </c>
      <c r="S141" s="778">
        <f t="shared" si="77"/>
        <v>5.559908334102559E-2</v>
      </c>
      <c r="T141" s="779"/>
      <c r="U141" s="316"/>
      <c r="V141" s="316"/>
      <c r="W141" s="316"/>
      <c r="X141" s="316"/>
      <c r="Y141" s="316"/>
      <c r="Z141" s="316"/>
      <c r="AA141" s="316"/>
      <c r="AB141" s="316"/>
      <c r="AC141" s="422"/>
    </row>
    <row r="142" spans="4:33" x14ac:dyDescent="0.25">
      <c r="D142" s="776" t="s">
        <v>501</v>
      </c>
      <c r="E142" s="777"/>
      <c r="F142" s="778"/>
      <c r="G142" s="778">
        <f t="shared" ref="G142:S142" si="78">(G124/F124)^4-1</f>
        <v>2.4344330774321188E-2</v>
      </c>
      <c r="H142" s="778">
        <f t="shared" si="78"/>
        <v>6.458521711215659E-2</v>
      </c>
      <c r="I142" s="778">
        <f t="shared" si="78"/>
        <v>6.3735896602801656E-2</v>
      </c>
      <c r="J142" s="778">
        <f t="shared" si="78"/>
        <v>-0.23741446237196107</v>
      </c>
      <c r="K142" s="778">
        <f t="shared" si="78"/>
        <v>0.20825635125685005</v>
      </c>
      <c r="L142" s="778">
        <f t="shared" si="78"/>
        <v>0.16484895945116618</v>
      </c>
      <c r="M142" s="778">
        <f t="shared" si="78"/>
        <v>3.3279228577432596E-2</v>
      </c>
      <c r="N142" s="778">
        <f t="shared" si="78"/>
        <v>0.12327736678651791</v>
      </c>
      <c r="O142" s="778">
        <f t="shared" si="78"/>
        <v>0.11425899665317862</v>
      </c>
      <c r="P142" s="778">
        <f t="shared" si="78"/>
        <v>0.12263929791752348</v>
      </c>
      <c r="Q142" s="778">
        <f t="shared" si="78"/>
        <v>5.1533573038161862E-2</v>
      </c>
      <c r="R142" s="778">
        <f t="shared" si="78"/>
        <v>3.8141135194219355E-2</v>
      </c>
      <c r="S142" s="778">
        <f t="shared" si="78"/>
        <v>0.10690257689405547</v>
      </c>
      <c r="T142" s="779"/>
      <c r="U142" s="316"/>
      <c r="V142" s="316"/>
      <c r="W142" s="316"/>
      <c r="X142" s="316"/>
      <c r="Y142" s="316"/>
      <c r="Z142" s="316"/>
      <c r="AA142" s="316"/>
      <c r="AB142" s="316"/>
      <c r="AC142" s="422"/>
    </row>
    <row r="143" spans="4:33" x14ac:dyDescent="0.25">
      <c r="D143" s="776" t="s">
        <v>502</v>
      </c>
      <c r="E143" s="781"/>
      <c r="F143" s="778"/>
      <c r="G143" s="778">
        <f t="shared" ref="G143:S143" si="79">(G125/F125)^4-1</f>
        <v>5.143483996947551E-2</v>
      </c>
      <c r="H143" s="778">
        <f t="shared" si="79"/>
        <v>4.2059061110245599E-2</v>
      </c>
      <c r="I143" s="778">
        <f t="shared" si="79"/>
        <v>-5.2099731854827525E-2</v>
      </c>
      <c r="J143" s="778">
        <f t="shared" si="79"/>
        <v>-0.31458793015184205</v>
      </c>
      <c r="K143" s="778">
        <f t="shared" si="79"/>
        <v>0.45217378617217441</v>
      </c>
      <c r="L143" s="778">
        <f t="shared" si="79"/>
        <v>7.697387214774043E-2</v>
      </c>
      <c r="M143" s="778">
        <f t="shared" si="79"/>
        <v>0.14018234924805895</v>
      </c>
      <c r="N143" s="778">
        <f t="shared" si="79"/>
        <v>0.2071040207465018</v>
      </c>
      <c r="O143" s="778">
        <f t="shared" si="79"/>
        <v>8.6478031973165059E-2</v>
      </c>
      <c r="P143" s="778">
        <f t="shared" si="79"/>
        <v>0.11069891254354447</v>
      </c>
      <c r="Q143" s="778">
        <f t="shared" si="79"/>
        <v>7.6866159166873782E-2</v>
      </c>
      <c r="R143" s="778">
        <f t="shared" si="79"/>
        <v>9.3412653381198307E-2</v>
      </c>
      <c r="S143" s="778">
        <f t="shared" si="79"/>
        <v>6.3255851262993046E-2</v>
      </c>
      <c r="T143" s="779"/>
      <c r="U143" s="316"/>
      <c r="V143" s="316"/>
      <c r="W143" s="316"/>
      <c r="X143" s="316"/>
      <c r="Y143" s="316"/>
      <c r="Z143" s="316"/>
      <c r="AA143" s="316"/>
      <c r="AB143" s="316"/>
      <c r="AC143" s="422"/>
    </row>
    <row r="144" spans="4:33" x14ac:dyDescent="0.25">
      <c r="D144" s="782" t="s">
        <v>515</v>
      </c>
      <c r="E144" s="783"/>
      <c r="F144" s="784"/>
      <c r="G144" s="784">
        <f t="shared" ref="G144:S144" si="80">(G126/F126)^4-1</f>
        <v>0.1758865286082909</v>
      </c>
      <c r="H144" s="784">
        <f t="shared" si="80"/>
        <v>6.5552449536000035E-2</v>
      </c>
      <c r="I144" s="784">
        <f t="shared" si="80"/>
        <v>-0.41963909421919576</v>
      </c>
      <c r="J144" s="784">
        <f t="shared" si="80"/>
        <v>-0.22193367207862924</v>
      </c>
      <c r="K144" s="784">
        <f t="shared" si="80"/>
        <v>2.7172895933690313</v>
      </c>
      <c r="L144" s="784">
        <f t="shared" si="80"/>
        <v>-0.33877824443000826</v>
      </c>
      <c r="M144" s="784">
        <f t="shared" si="80"/>
        <v>0.50283948391983824</v>
      </c>
      <c r="N144" s="784">
        <f t="shared" si="80"/>
        <v>0.63845566586397662</v>
      </c>
      <c r="O144" s="784">
        <f t="shared" si="80"/>
        <v>-5.8959746681685132E-2</v>
      </c>
      <c r="P144" s="784">
        <f t="shared" si="80"/>
        <v>2.206047378184639E-2</v>
      </c>
      <c r="Q144" s="784">
        <f t="shared" si="80"/>
        <v>7.9610572291598736E-2</v>
      </c>
      <c r="R144" s="784">
        <f t="shared" si="80"/>
        <v>0.30102460615002213</v>
      </c>
      <c r="S144" s="784">
        <f t="shared" si="80"/>
        <v>4.0137369361875175E-2</v>
      </c>
      <c r="T144" s="785"/>
      <c r="U144" s="260"/>
      <c r="V144" s="260"/>
      <c r="W144" s="260"/>
      <c r="X144" s="260"/>
      <c r="Y144" s="260"/>
      <c r="Z144" s="260"/>
      <c r="AA144" s="260"/>
      <c r="AB144" s="260"/>
      <c r="AC144" s="261"/>
    </row>
    <row r="147" ht="14.85" customHeight="1" x14ac:dyDescent="0.25"/>
  </sheetData>
  <mergeCells count="38">
    <mergeCell ref="AC43:AF43"/>
    <mergeCell ref="D5:E7"/>
    <mergeCell ref="M6:P6"/>
    <mergeCell ref="D30:F30"/>
    <mergeCell ref="F5:V5"/>
    <mergeCell ref="F42:V42"/>
    <mergeCell ref="W42:AG42"/>
    <mergeCell ref="F43:H43"/>
    <mergeCell ref="M43:P43"/>
    <mergeCell ref="Q43:T43"/>
    <mergeCell ref="I43:L43"/>
    <mergeCell ref="D1:AC1"/>
    <mergeCell ref="D2:AC3"/>
    <mergeCell ref="AC6:AF6"/>
    <mergeCell ref="F6:H6"/>
    <mergeCell ref="I6:L6"/>
    <mergeCell ref="W5:AG5"/>
    <mergeCell ref="Q6:T6"/>
    <mergeCell ref="Y6:AB6"/>
    <mergeCell ref="AC99:AF99"/>
    <mergeCell ref="AC109:AF109"/>
    <mergeCell ref="Y109:AB109"/>
    <mergeCell ref="O66:V66"/>
    <mergeCell ref="P67:S67"/>
    <mergeCell ref="Q99:T99"/>
    <mergeCell ref="M99:P99"/>
    <mergeCell ref="Y99:AB99"/>
    <mergeCell ref="D109:E110"/>
    <mergeCell ref="Y43:AB43"/>
    <mergeCell ref="D99:E100"/>
    <mergeCell ref="F99:H99"/>
    <mergeCell ref="I99:L99"/>
    <mergeCell ref="M109:P109"/>
    <mergeCell ref="F109:H109"/>
    <mergeCell ref="I109:L109"/>
    <mergeCell ref="Q109:T109"/>
    <mergeCell ref="D135:AC135"/>
    <mergeCell ref="D111:E111"/>
  </mergeCells>
  <pageMargins left="0.7" right="0.7" top="0.75" bottom="0.75" header="0.3" footer="0.3"/>
  <pageSetup orientation="portrait" r:id="rId1"/>
  <drawing r:id="rId2"/>
  <legacyDrawing r:id="rId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BP86"/>
  <sheetViews>
    <sheetView topLeftCell="A46" zoomScale="91" zoomScaleNormal="91" workbookViewId="0">
      <selection activeCell="S74" sqref="S74"/>
    </sheetView>
  </sheetViews>
  <sheetFormatPr defaultColWidth="10.85546875" defaultRowHeight="15" x14ac:dyDescent="0.25"/>
  <cols>
    <col min="2" max="2" width="37" customWidth="1"/>
    <col min="3" max="3" width="13.140625" customWidth="1"/>
    <col min="20" max="29" width="11.5703125" customWidth="1"/>
    <col min="30" max="32" width="12.140625" customWidth="1"/>
  </cols>
  <sheetData>
    <row r="1" spans="2:36" x14ac:dyDescent="0.25">
      <c r="B1" s="1288" t="s">
        <v>1706</v>
      </c>
      <c r="C1" s="1288"/>
      <c r="D1" s="1288"/>
      <c r="E1" s="1288"/>
      <c r="F1" s="1288"/>
      <c r="G1" s="1288"/>
      <c r="H1" s="1288"/>
      <c r="I1" s="1288"/>
      <c r="J1" s="1288"/>
      <c r="K1" s="1288"/>
      <c r="L1" s="1288"/>
      <c r="M1" s="1288"/>
      <c r="N1" s="1288"/>
      <c r="O1" s="1288"/>
      <c r="P1" s="1288"/>
      <c r="Q1" s="1288"/>
      <c r="R1" s="1288"/>
      <c r="S1" s="1288"/>
      <c r="T1" s="1288"/>
      <c r="U1" s="1288"/>
      <c r="V1" s="1288"/>
      <c r="W1" s="1288"/>
      <c r="X1" s="1288"/>
      <c r="Y1" s="1288"/>
      <c r="Z1" s="1288"/>
      <c r="AA1" s="1288"/>
      <c r="AB1" s="1288"/>
      <c r="AC1" s="1288"/>
    </row>
    <row r="2" spans="2:36" x14ac:dyDescent="0.25">
      <c r="B2" s="1332" t="s">
        <v>1707</v>
      </c>
      <c r="C2" s="1332"/>
      <c r="D2" s="1332"/>
      <c r="E2" s="1332"/>
      <c r="F2" s="1332"/>
      <c r="G2" s="1332"/>
      <c r="H2" s="1332"/>
      <c r="I2" s="1332"/>
      <c r="J2" s="1332"/>
      <c r="K2" s="1332"/>
      <c r="L2" s="1332"/>
      <c r="M2" s="1332"/>
      <c r="N2" s="1332"/>
      <c r="O2" s="1332"/>
      <c r="P2" s="1332"/>
      <c r="Q2" s="1332"/>
      <c r="R2" s="1332"/>
      <c r="S2" s="1332"/>
      <c r="T2" s="1332"/>
      <c r="U2" s="1332"/>
      <c r="V2" s="1332"/>
      <c r="W2" s="1332"/>
      <c r="X2" s="1332"/>
      <c r="Y2" s="1332"/>
      <c r="Z2" s="1332"/>
      <c r="AA2" s="1332"/>
      <c r="AB2" s="1332"/>
      <c r="AC2" s="1332"/>
    </row>
    <row r="3" spans="2:36" x14ac:dyDescent="0.25">
      <c r="B3" s="1332"/>
      <c r="C3" s="1332"/>
      <c r="D3" s="1332"/>
      <c r="E3" s="1332"/>
      <c r="F3" s="1332"/>
      <c r="G3" s="1332"/>
      <c r="H3" s="1332"/>
      <c r="I3" s="1332"/>
      <c r="J3" s="1332"/>
      <c r="K3" s="1332"/>
      <c r="L3" s="1332"/>
      <c r="M3" s="1332"/>
      <c r="N3" s="1332"/>
      <c r="O3" s="1332"/>
      <c r="P3" s="1332"/>
      <c r="Q3" s="1332"/>
      <c r="R3" s="1332"/>
      <c r="S3" s="1332"/>
      <c r="T3" s="1332"/>
      <c r="U3" s="1332"/>
      <c r="V3" s="1332"/>
      <c r="W3" s="1332"/>
      <c r="X3" s="1332"/>
      <c r="Y3" s="1332"/>
      <c r="Z3" s="1332"/>
      <c r="AA3" s="1332"/>
      <c r="AB3" s="1332"/>
      <c r="AC3" s="1332"/>
    </row>
    <row r="4" spans="2:36" x14ac:dyDescent="0.25">
      <c r="B4" s="1332"/>
      <c r="C4" s="1332"/>
      <c r="D4" s="1332"/>
      <c r="E4" s="1332"/>
      <c r="F4" s="1332"/>
      <c r="G4" s="1332"/>
      <c r="H4" s="1332"/>
      <c r="I4" s="1332"/>
      <c r="J4" s="1332"/>
      <c r="K4" s="1332"/>
      <c r="L4" s="1332"/>
      <c r="M4" s="1332"/>
      <c r="N4" s="1332"/>
      <c r="O4" s="1332"/>
      <c r="P4" s="1332"/>
      <c r="Q4" s="1332"/>
      <c r="R4" s="1332"/>
      <c r="S4" s="1332"/>
      <c r="T4" s="1332"/>
      <c r="U4" s="1332"/>
      <c r="V4" s="1332"/>
      <c r="W4" s="1332"/>
      <c r="X4" s="1332"/>
      <c r="Y4" s="1332"/>
      <c r="Z4" s="1332"/>
      <c r="AA4" s="1332"/>
      <c r="AB4" s="1332"/>
      <c r="AC4" s="1332"/>
    </row>
    <row r="5" spans="2:36" x14ac:dyDescent="0.25">
      <c r="B5" s="237"/>
      <c r="C5" s="237"/>
      <c r="D5" s="237"/>
      <c r="E5" s="237"/>
      <c r="F5" s="237"/>
      <c r="G5" s="237"/>
      <c r="H5" s="237"/>
      <c r="I5" s="237"/>
      <c r="J5" s="237"/>
      <c r="K5" s="237"/>
      <c r="L5" s="237"/>
      <c r="M5" s="237"/>
      <c r="N5" s="237"/>
      <c r="O5" s="237"/>
      <c r="P5" s="237"/>
      <c r="Q5" s="237"/>
      <c r="R5" s="237"/>
      <c r="S5" s="237"/>
      <c r="T5" s="237"/>
      <c r="U5" s="237"/>
      <c r="V5" s="237"/>
      <c r="W5" s="237"/>
      <c r="X5" s="237"/>
      <c r="Y5" s="237"/>
      <c r="Z5" s="237"/>
      <c r="AA5" s="237"/>
      <c r="AB5" s="237"/>
      <c r="AC5" s="237"/>
    </row>
    <row r="6" spans="2:36" x14ac:dyDescent="0.25">
      <c r="B6" s="35"/>
      <c r="C6" s="901"/>
      <c r="D6" s="899"/>
      <c r="E6" s="899"/>
      <c r="F6" s="899"/>
      <c r="G6" s="899"/>
      <c r="H6" s="899"/>
      <c r="I6" s="899"/>
      <c r="J6" s="899"/>
      <c r="K6" s="899"/>
      <c r="L6" s="899"/>
      <c r="M6" s="899"/>
      <c r="N6" s="899"/>
      <c r="O6" s="899"/>
      <c r="P6" s="899"/>
      <c r="Q6" s="899"/>
      <c r="R6" s="899"/>
      <c r="S6" s="899"/>
      <c r="T6" s="899"/>
      <c r="U6" s="899"/>
      <c r="V6" s="899"/>
      <c r="W6" s="899"/>
      <c r="X6" s="899"/>
      <c r="Y6" s="899"/>
      <c r="Z6" s="899"/>
      <c r="AA6" s="899"/>
      <c r="AB6" s="899"/>
      <c r="AC6" s="899"/>
      <c r="AD6" s="899"/>
      <c r="AE6" s="899"/>
      <c r="AF6" s="899"/>
    </row>
    <row r="7" spans="2:36" ht="14.45" customHeight="1" x14ac:dyDescent="0.25">
      <c r="B7" s="1408" t="s">
        <v>1732</v>
      </c>
      <c r="C7" s="1408"/>
      <c r="D7" s="1408"/>
      <c r="E7" s="1408"/>
      <c r="F7" s="1408"/>
      <c r="G7" s="237"/>
      <c r="H7" s="237"/>
      <c r="I7" s="237"/>
      <c r="J7" s="237"/>
      <c r="K7" s="237"/>
      <c r="L7" s="237"/>
      <c r="M7" s="237"/>
      <c r="N7" s="237"/>
      <c r="O7" s="237"/>
      <c r="P7" s="237"/>
      <c r="Q7" s="237"/>
      <c r="R7" s="237"/>
      <c r="S7" s="237"/>
      <c r="T7" s="648"/>
      <c r="U7" s="648"/>
      <c r="V7" s="237"/>
      <c r="W7" s="237"/>
      <c r="X7" s="237"/>
      <c r="Y7" s="237"/>
      <c r="Z7" s="237"/>
      <c r="AA7" s="237"/>
      <c r="AB7" s="237"/>
      <c r="AC7" s="237"/>
    </row>
    <row r="8" spans="2:36" x14ac:dyDescent="0.25">
      <c r="B8" s="1293" t="s">
        <v>1721</v>
      </c>
      <c r="C8" s="1294"/>
      <c r="D8" s="1297" t="s">
        <v>280</v>
      </c>
      <c r="E8" s="1310"/>
      <c r="F8" s="1310"/>
      <c r="G8" s="1310"/>
      <c r="H8" s="1310"/>
      <c r="I8" s="1310"/>
      <c r="J8" s="1310"/>
      <c r="K8" s="1310"/>
      <c r="L8" s="1310"/>
      <c r="M8" s="1310"/>
      <c r="N8" s="1310"/>
      <c r="O8" s="1310"/>
      <c r="P8" s="1310"/>
      <c r="Q8" s="1310"/>
      <c r="R8" s="1310"/>
      <c r="S8" s="1310"/>
      <c r="T8" s="1310"/>
      <c r="U8" s="1310"/>
      <c r="V8" s="1310"/>
      <c r="W8" s="1308" t="s">
        <v>1747</v>
      </c>
      <c r="X8" s="1308"/>
      <c r="Y8" s="1308"/>
      <c r="Z8" s="1308"/>
      <c r="AA8" s="1308"/>
      <c r="AB8" s="1308"/>
      <c r="AC8" s="1308"/>
      <c r="AD8" s="1308"/>
      <c r="AE8" s="1308"/>
      <c r="AF8" s="1327"/>
    </row>
    <row r="9" spans="2:36" x14ac:dyDescent="0.25">
      <c r="B9" s="1295"/>
      <c r="C9" s="1296"/>
      <c r="D9" s="204">
        <v>2018</v>
      </c>
      <c r="E9" s="1290">
        <v>2019</v>
      </c>
      <c r="F9" s="1291"/>
      <c r="G9" s="1291"/>
      <c r="H9" s="1292"/>
      <c r="I9" s="1290">
        <v>2020</v>
      </c>
      <c r="J9" s="1291"/>
      <c r="K9" s="1291"/>
      <c r="L9" s="1291"/>
      <c r="M9" s="1290">
        <v>2021</v>
      </c>
      <c r="N9" s="1291"/>
      <c r="O9" s="1291"/>
      <c r="P9" s="1291"/>
      <c r="Q9" s="1319">
        <v>2022</v>
      </c>
      <c r="R9" s="1383"/>
      <c r="S9" s="547"/>
      <c r="T9" s="286"/>
      <c r="U9" s="229"/>
      <c r="V9" s="547">
        <v>2023</v>
      </c>
      <c r="W9" s="279"/>
      <c r="X9" s="279"/>
      <c r="Y9" s="1299">
        <v>2024</v>
      </c>
      <c r="Z9" s="1300"/>
      <c r="AA9" s="1300"/>
      <c r="AB9" s="1301"/>
      <c r="AC9" s="1299">
        <v>2025</v>
      </c>
      <c r="AD9" s="1300"/>
      <c r="AE9" s="1300"/>
      <c r="AF9" s="1301"/>
      <c r="AG9" s="1299">
        <v>2026</v>
      </c>
      <c r="AH9" s="1300"/>
      <c r="AI9" s="1300"/>
      <c r="AJ9" s="1301"/>
    </row>
    <row r="10" spans="2:36" x14ac:dyDescent="0.25">
      <c r="B10" s="1297"/>
      <c r="C10" s="1298"/>
      <c r="D10" s="204" t="s">
        <v>282</v>
      </c>
      <c r="E10" s="204" t="s">
        <v>283</v>
      </c>
      <c r="F10" s="205" t="s">
        <v>284</v>
      </c>
      <c r="G10" s="205" t="s">
        <v>238</v>
      </c>
      <c r="H10" s="206" t="s">
        <v>282</v>
      </c>
      <c r="I10" s="205" t="s">
        <v>283</v>
      </c>
      <c r="J10" s="205" t="s">
        <v>284</v>
      </c>
      <c r="K10" s="205" t="s">
        <v>238</v>
      </c>
      <c r="L10" s="205" t="s">
        <v>282</v>
      </c>
      <c r="M10" s="204" t="s">
        <v>283</v>
      </c>
      <c r="N10" s="205" t="s">
        <v>284</v>
      </c>
      <c r="O10" s="205" t="s">
        <v>238</v>
      </c>
      <c r="P10" s="205" t="s">
        <v>282</v>
      </c>
      <c r="Q10" s="204" t="s">
        <v>283</v>
      </c>
      <c r="R10" s="205" t="s">
        <v>284</v>
      </c>
      <c r="S10" s="205" t="s">
        <v>238</v>
      </c>
      <c r="T10" s="206" t="s">
        <v>282</v>
      </c>
      <c r="U10" s="204" t="s">
        <v>283</v>
      </c>
      <c r="V10" s="205" t="s">
        <v>284</v>
      </c>
      <c r="W10" s="316" t="s">
        <v>238</v>
      </c>
      <c r="X10" s="316" t="s">
        <v>282</v>
      </c>
      <c r="Y10" s="423" t="s">
        <v>283</v>
      </c>
      <c r="Z10" s="323" t="s">
        <v>284</v>
      </c>
      <c r="AA10" s="316" t="s">
        <v>238</v>
      </c>
      <c r="AB10" s="422" t="s">
        <v>282</v>
      </c>
      <c r="AC10" s="786" t="s">
        <v>283</v>
      </c>
      <c r="AD10" s="316" t="s">
        <v>284</v>
      </c>
      <c r="AE10" s="316" t="s">
        <v>238</v>
      </c>
      <c r="AF10" s="422" t="s">
        <v>282</v>
      </c>
      <c r="AG10" s="423" t="s">
        <v>283</v>
      </c>
      <c r="AH10" s="323" t="s">
        <v>284</v>
      </c>
      <c r="AI10" s="316" t="s">
        <v>238</v>
      </c>
      <c r="AJ10" s="422" t="s">
        <v>282</v>
      </c>
    </row>
    <row r="11" spans="2:36" x14ac:dyDescent="0.25">
      <c r="B11" s="1409" t="s">
        <v>1731</v>
      </c>
      <c r="C11" s="1410"/>
      <c r="D11" s="1410"/>
      <c r="E11" s="1410"/>
      <c r="F11" s="1410"/>
      <c r="G11" s="1410"/>
      <c r="H11" s="1410"/>
      <c r="I11" s="1410"/>
      <c r="J11" s="1410"/>
      <c r="K11" s="1410"/>
      <c r="L11" s="1410"/>
      <c r="M11" s="1410"/>
      <c r="N11" s="1410"/>
      <c r="O11" s="1410"/>
      <c r="P11" s="1410"/>
      <c r="Q11" s="1410"/>
      <c r="R11" s="1410"/>
      <c r="S11" s="1410"/>
      <c r="T11" s="1410"/>
      <c r="U11" s="1410"/>
      <c r="V11" s="1410"/>
      <c r="W11" s="1410"/>
      <c r="X11" s="1410"/>
      <c r="Y11" s="1410"/>
      <c r="Z11" s="1410"/>
      <c r="AA11" s="1410"/>
      <c r="AB11" s="1410"/>
      <c r="AC11" s="1410"/>
      <c r="AD11" s="1410"/>
      <c r="AE11" s="1410"/>
      <c r="AF11" s="1411"/>
    </row>
    <row r="12" spans="2:36" x14ac:dyDescent="0.25">
      <c r="B12" s="912" t="s">
        <v>1710</v>
      </c>
      <c r="C12" s="913"/>
      <c r="D12" s="907">
        <f t="shared" ref="D12:T12" si="0">D45</f>
        <v>1.5264497223703488E-2</v>
      </c>
      <c r="E12" s="907">
        <f t="shared" si="0"/>
        <v>9.1895436648135043E-3</v>
      </c>
      <c r="F12" s="907">
        <f t="shared" si="0"/>
        <v>2.1359335668051704E-2</v>
      </c>
      <c r="G12" s="907">
        <f t="shared" si="0"/>
        <v>9.7821561759856568E-3</v>
      </c>
      <c r="H12" s="907">
        <f t="shared" si="0"/>
        <v>1.5756743276972518E-2</v>
      </c>
      <c r="I12" s="907">
        <f t="shared" si="0"/>
        <v>1.2975809403218186E-2</v>
      </c>
      <c r="J12" s="907">
        <f t="shared" si="0"/>
        <v>-1.727886877748519E-2</v>
      </c>
      <c r="K12" s="907">
        <f t="shared" si="0"/>
        <v>3.3383553321530757E-2</v>
      </c>
      <c r="L12" s="907">
        <f t="shared" si="0"/>
        <v>2.0146820681233191E-2</v>
      </c>
      <c r="M12" s="907">
        <f t="shared" si="0"/>
        <v>4.7725552632172041E-2</v>
      </c>
      <c r="N12" s="907">
        <f t="shared" si="0"/>
        <v>6.2593648340676156E-2</v>
      </c>
      <c r="O12" s="907">
        <f t="shared" si="0"/>
        <v>5.6496850547917088E-2</v>
      </c>
      <c r="P12" s="907">
        <f t="shared" si="0"/>
        <v>6.7608172830647684E-2</v>
      </c>
      <c r="Q12" s="907">
        <f t="shared" si="0"/>
        <v>7.6571358087944352E-2</v>
      </c>
      <c r="R12" s="907">
        <f t="shared" si="0"/>
        <v>7.1828427694202057E-2</v>
      </c>
      <c r="S12" s="907">
        <f t="shared" si="0"/>
        <v>4.6758931657381764E-2</v>
      </c>
      <c r="T12" s="930">
        <f t="shared" si="0"/>
        <v>4.1448566443352153E-2</v>
      </c>
      <c r="U12" s="907">
        <f t="shared" ref="U12:AF12" si="1">U45+U13</f>
        <v>4.1651997755371317E-2</v>
      </c>
      <c r="V12" s="907">
        <f t="shared" si="1"/>
        <v>2.4870541532459711E-2</v>
      </c>
      <c r="W12" s="907">
        <f t="shared" si="1"/>
        <v>2.5905176927918383E-2</v>
      </c>
      <c r="X12" s="907">
        <f t="shared" si="1"/>
        <v>1.7898288181300792E-2</v>
      </c>
      <c r="Y12" s="907">
        <f t="shared" si="1"/>
        <v>3.3236788538757667E-2</v>
      </c>
      <c r="Z12" s="907">
        <f t="shared" si="1"/>
        <v>4.4734749927778247E-2</v>
      </c>
      <c r="AA12" s="907">
        <f t="shared" si="1"/>
        <v>2.897464547214517E-2</v>
      </c>
      <c r="AB12" s="907">
        <f t="shared" si="1"/>
        <v>2.3485836297992498E-2</v>
      </c>
      <c r="AC12" s="907">
        <f t="shared" si="1"/>
        <v>2.1796033645922641E-2</v>
      </c>
      <c r="AD12" s="907">
        <f t="shared" si="1"/>
        <v>2.1576747995004641E-2</v>
      </c>
      <c r="AE12" s="907">
        <f t="shared" si="1"/>
        <v>2.0708760783051394E-2</v>
      </c>
      <c r="AF12" s="905">
        <f t="shared" si="1"/>
        <v>2.0110814282412459E-2</v>
      </c>
      <c r="AG12" s="905">
        <f>AG45+AG13</f>
        <v>1.9760549063349009E-2</v>
      </c>
      <c r="AH12" s="905"/>
      <c r="AI12" s="905"/>
      <c r="AJ12" s="905"/>
    </row>
    <row r="13" spans="2:36" x14ac:dyDescent="0.25">
      <c r="B13" s="918" t="s">
        <v>1742</v>
      </c>
      <c r="C13" s="914"/>
      <c r="D13" s="915"/>
      <c r="E13" s="916"/>
      <c r="F13" s="916"/>
      <c r="G13" s="916"/>
      <c r="H13" s="916"/>
      <c r="I13" s="916"/>
      <c r="J13" s="916"/>
      <c r="K13" s="916"/>
      <c r="L13" s="916"/>
      <c r="M13" s="916"/>
      <c r="N13" s="916"/>
      <c r="O13" s="916"/>
      <c r="P13" s="916"/>
      <c r="Q13" s="916"/>
      <c r="R13" s="916"/>
      <c r="S13" s="916"/>
      <c r="T13" s="916"/>
      <c r="U13" s="916"/>
      <c r="V13" s="916"/>
      <c r="W13" s="916"/>
      <c r="X13" s="916"/>
      <c r="Y13" s="916"/>
      <c r="Z13" s="916"/>
      <c r="AA13" s="916"/>
      <c r="AB13" s="916"/>
      <c r="AC13" s="916"/>
      <c r="AD13" s="916"/>
      <c r="AE13" s="916"/>
      <c r="AF13" s="917"/>
      <c r="AG13" s="917"/>
      <c r="AH13" s="917"/>
      <c r="AI13" s="917"/>
      <c r="AJ13" s="917"/>
    </row>
    <row r="14" spans="2:36" x14ac:dyDescent="0.25">
      <c r="B14" s="733" t="s">
        <v>1711</v>
      </c>
      <c r="C14" s="913"/>
      <c r="D14" s="899">
        <f t="shared" ref="D14:S14" si="2">D48</f>
        <v>2.9477765289275926E-2</v>
      </c>
      <c r="E14" s="899">
        <f t="shared" si="2"/>
        <v>4.2202135370129845E-2</v>
      </c>
      <c r="F14" s="899">
        <f t="shared" si="2"/>
        <v>-2.3704834981612466E-2</v>
      </c>
      <c r="G14" s="899">
        <f t="shared" si="2"/>
        <v>6.4629467492742787E-3</v>
      </c>
      <c r="H14" s="899">
        <f t="shared" si="2"/>
        <v>1.3942439977386201E-2</v>
      </c>
      <c r="I14" s="899">
        <f t="shared" si="2"/>
        <v>1.2621468504538935E-2</v>
      </c>
      <c r="J14" s="899">
        <f t="shared" si="2"/>
        <v>9.5192305533120525E-4</v>
      </c>
      <c r="K14" s="899">
        <f t="shared" si="2"/>
        <v>2.3028813031033213E-2</v>
      </c>
      <c r="L14" s="899">
        <f t="shared" si="2"/>
        <v>2.9378026710950689E-2</v>
      </c>
      <c r="M14" s="899">
        <f t="shared" si="2"/>
        <v>3.4124335135575334E-2</v>
      </c>
      <c r="N14" s="899">
        <f t="shared" si="2"/>
        <v>3.9538213787325915E-2</v>
      </c>
      <c r="O14" s="899">
        <f t="shared" si="2"/>
        <v>4.1165152093425528E-2</v>
      </c>
      <c r="P14" s="899">
        <f t="shared" si="2"/>
        <v>4.6364460300687638E-2</v>
      </c>
      <c r="Q14" s="899">
        <f t="shared" si="2"/>
        <v>7.2410998904413937E-2</v>
      </c>
      <c r="R14" s="899">
        <f t="shared" si="2"/>
        <v>6.8511037124212137E-2</v>
      </c>
      <c r="S14" s="899">
        <f t="shared" si="2"/>
        <v>4.8282007704063767E-2</v>
      </c>
      <c r="T14" s="899">
        <f>T48</f>
        <v>4.093597497107293E-2</v>
      </c>
      <c r="U14" s="899">
        <f>U48+U15</f>
        <v>4.1330736826713066E-2</v>
      </c>
      <c r="V14" s="899">
        <f t="shared" ref="V14:AF14" si="3">V48+V15</f>
        <v>2.0643513935327373E-2</v>
      </c>
      <c r="W14" s="899">
        <f t="shared" si="3"/>
        <v>3.9726565698527727E-2</v>
      </c>
      <c r="X14" s="899">
        <f t="shared" si="3"/>
        <v>3.9575951716406488E-2</v>
      </c>
      <c r="Y14" s="899">
        <f t="shared" si="3"/>
        <v>4.5585505578074503E-2</v>
      </c>
      <c r="Z14" s="899">
        <f t="shared" si="3"/>
        <v>4.599385238761787E-2</v>
      </c>
      <c r="AA14" s="899">
        <f t="shared" si="3"/>
        <v>3.40058716937977E-2</v>
      </c>
      <c r="AB14" s="899">
        <f t="shared" si="3"/>
        <v>2.8438723088733627E-2</v>
      </c>
      <c r="AC14" s="899">
        <f t="shared" si="3"/>
        <v>2.4377163912874478E-2</v>
      </c>
      <c r="AD14" s="899">
        <f t="shared" si="3"/>
        <v>2.3708971853545924E-2</v>
      </c>
      <c r="AE14" s="899">
        <f t="shared" si="3"/>
        <v>2.3471980846518914E-2</v>
      </c>
      <c r="AF14" s="932">
        <f t="shared" si="3"/>
        <v>2.3530345294352939E-2</v>
      </c>
      <c r="AG14" s="932">
        <f t="shared" ref="AG14" si="4">AG48+AG15</f>
        <v>1.7936865457563567E-2</v>
      </c>
      <c r="AH14" s="932"/>
      <c r="AI14" s="932"/>
      <c r="AJ14" s="932"/>
    </row>
    <row r="15" spans="2:36" x14ac:dyDescent="0.25">
      <c r="B15" s="309" t="s">
        <v>1743</v>
      </c>
      <c r="C15" s="914"/>
      <c r="D15" s="915"/>
      <c r="E15" s="916"/>
      <c r="F15" s="916"/>
      <c r="G15" s="916"/>
      <c r="H15" s="916"/>
      <c r="I15" s="916"/>
      <c r="J15" s="916"/>
      <c r="K15" s="916"/>
      <c r="L15" s="916"/>
      <c r="M15" s="916"/>
      <c r="N15" s="916"/>
      <c r="O15" s="916"/>
      <c r="P15" s="916"/>
      <c r="Q15" s="916"/>
      <c r="R15" s="916"/>
      <c r="S15" s="916"/>
      <c r="T15" s="916"/>
      <c r="U15" s="916"/>
      <c r="V15" s="916"/>
      <c r="W15" s="916"/>
      <c r="X15" s="916"/>
      <c r="Y15" s="916"/>
      <c r="Z15" s="916"/>
      <c r="AA15" s="916"/>
      <c r="AB15" s="916"/>
      <c r="AC15" s="916"/>
      <c r="AD15" s="916"/>
      <c r="AE15" s="916"/>
      <c r="AF15" s="917"/>
      <c r="AG15" s="917"/>
      <c r="AH15" s="917"/>
      <c r="AI15" s="917"/>
      <c r="AJ15" s="917"/>
    </row>
    <row r="16" spans="2:36" x14ac:dyDescent="0.25">
      <c r="B16" s="733" t="s">
        <v>1712</v>
      </c>
      <c r="C16" s="913"/>
      <c r="D16" s="899">
        <f t="shared" ref="D16:T16" si="5">D49</f>
        <v>1.7606158659444704E-2</v>
      </c>
      <c r="E16" s="899">
        <f t="shared" si="5"/>
        <v>-1.7151418638734928E-2</v>
      </c>
      <c r="F16" s="899">
        <f t="shared" si="5"/>
        <v>2.7663740902592604E-2</v>
      </c>
      <c r="G16" s="899">
        <f t="shared" si="5"/>
        <v>1.5104723907904294E-2</v>
      </c>
      <c r="H16" s="899">
        <f t="shared" si="5"/>
        <v>2.4480958799653285E-2</v>
      </c>
      <c r="I16" s="899">
        <f t="shared" si="5"/>
        <v>5.2574904831641067E-2</v>
      </c>
      <c r="J16" s="899">
        <f t="shared" si="5"/>
        <v>-8.4277759405785302E-3</v>
      </c>
      <c r="K16" s="899">
        <f t="shared" si="5"/>
        <v>4.907445416510936E-2</v>
      </c>
      <c r="L16" s="899">
        <f t="shared" si="5"/>
        <v>5.0954864858178572E-2</v>
      </c>
      <c r="M16" s="899">
        <f t="shared" si="5"/>
        <v>9.2354867824980369E-2</v>
      </c>
      <c r="N16" s="899">
        <f t="shared" si="5"/>
        <v>7.5885854631137173E-2</v>
      </c>
      <c r="O16" s="899">
        <f t="shared" si="5"/>
        <v>6.4839018796936099E-2</v>
      </c>
      <c r="P16" s="899">
        <f t="shared" si="5"/>
        <v>7.8606616627874493E-2</v>
      </c>
      <c r="Q16" s="899">
        <f t="shared" si="5"/>
        <v>9.0996244334734522E-2</v>
      </c>
      <c r="R16" s="899">
        <f t="shared" si="5"/>
        <v>0.13763433325959551</v>
      </c>
      <c r="S16" s="899">
        <f t="shared" si="5"/>
        <v>1.6839709416048398E-2</v>
      </c>
      <c r="T16" s="899">
        <f t="shared" si="5"/>
        <v>2.7352303497218955E-2</v>
      </c>
      <c r="U16" s="900">
        <f>U49+U17</f>
        <v>-6.3056175150344451E-5</v>
      </c>
      <c r="V16" s="899">
        <f t="shared" ref="V16:AF16" si="6">V49+V17</f>
        <v>-2.8662130748749126E-2</v>
      </c>
      <c r="W16" s="899">
        <f t="shared" si="6"/>
        <v>5.7410273514926002E-2</v>
      </c>
      <c r="X16" s="899">
        <f t="shared" si="6"/>
        <v>6.4988621204677965E-3</v>
      </c>
      <c r="Y16" s="899">
        <f t="shared" si="6"/>
        <v>3.8278674784178346E-2</v>
      </c>
      <c r="Z16" s="899">
        <f t="shared" si="6"/>
        <v>5.3269034245715038E-2</v>
      </c>
      <c r="AA16" s="899">
        <f t="shared" si="6"/>
        <v>3.1224337980433163E-2</v>
      </c>
      <c r="AB16" s="899">
        <f t="shared" si="6"/>
        <v>2.6533565330379202E-2</v>
      </c>
      <c r="AC16" s="899">
        <f t="shared" si="6"/>
        <v>2.5821649071183117E-2</v>
      </c>
      <c r="AD16" s="899">
        <f t="shared" si="6"/>
        <v>2.5493967451795996E-2</v>
      </c>
      <c r="AE16" s="899">
        <f t="shared" si="6"/>
        <v>2.5095343044312823E-2</v>
      </c>
      <c r="AF16" s="932">
        <f t="shared" si="6"/>
        <v>2.4877364391311607E-2</v>
      </c>
      <c r="AG16" s="932">
        <f t="shared" ref="AG16" si="7">AG49+AG17</f>
        <v>2.492676444114772E-2</v>
      </c>
      <c r="AH16" s="932"/>
      <c r="AI16" s="932"/>
      <c r="AJ16" s="932"/>
    </row>
    <row r="17" spans="2:36" x14ac:dyDescent="0.25">
      <c r="B17" s="309" t="s">
        <v>1744</v>
      </c>
      <c r="C17" s="914"/>
      <c r="D17" s="915"/>
      <c r="E17" s="916"/>
      <c r="F17" s="916"/>
      <c r="G17" s="916"/>
      <c r="H17" s="916"/>
      <c r="I17" s="916"/>
      <c r="J17" s="916"/>
      <c r="K17" s="916"/>
      <c r="L17" s="916"/>
      <c r="M17" s="916"/>
      <c r="N17" s="916"/>
      <c r="O17" s="916"/>
      <c r="P17" s="916"/>
      <c r="Q17" s="916"/>
      <c r="R17" s="916"/>
      <c r="S17" s="916"/>
      <c r="T17" s="916"/>
      <c r="U17" s="916"/>
      <c r="V17" s="916"/>
      <c r="W17" s="916"/>
      <c r="X17" s="916"/>
      <c r="Y17" s="916"/>
      <c r="Z17" s="916"/>
      <c r="AA17" s="916"/>
      <c r="AB17" s="916"/>
      <c r="AC17" s="916"/>
      <c r="AD17" s="916"/>
      <c r="AE17" s="916"/>
      <c r="AF17" s="917"/>
      <c r="AG17" s="917"/>
      <c r="AH17" s="917"/>
      <c r="AI17" s="917"/>
      <c r="AJ17" s="917"/>
    </row>
    <row r="18" spans="2:36" x14ac:dyDescent="0.25">
      <c r="B18" s="733" t="s">
        <v>1713</v>
      </c>
      <c r="C18" s="913"/>
      <c r="D18" s="899">
        <f t="shared" ref="D18:T18" si="8">D51</f>
        <v>1.2331231439726587E-2</v>
      </c>
      <c r="E18" s="899">
        <f t="shared" si="8"/>
        <v>-2.4548871147293649E-2</v>
      </c>
      <c r="F18" s="899">
        <f t="shared" si="8"/>
        <v>2.4115177005201271E-2</v>
      </c>
      <c r="G18" s="899">
        <f t="shared" si="8"/>
        <v>1.4753974603383124E-2</v>
      </c>
      <c r="H18" s="899">
        <f t="shared" si="8"/>
        <v>2.894174832740215E-2</v>
      </c>
      <c r="I18" s="899">
        <f t="shared" si="8"/>
        <v>6.2522667611889737E-2</v>
      </c>
      <c r="J18" s="899">
        <f t="shared" si="8"/>
        <v>-7.4240991087901609E-3</v>
      </c>
      <c r="K18" s="899">
        <f t="shared" si="8"/>
        <v>5.0929448665746779E-2</v>
      </c>
      <c r="L18" s="899">
        <f t="shared" si="8"/>
        <v>5.7456046457014187E-2</v>
      </c>
      <c r="M18" s="899">
        <f t="shared" si="8"/>
        <v>9.8185028225247883E-2</v>
      </c>
      <c r="N18" s="899">
        <f t="shared" si="8"/>
        <v>7.1275335420445396E-2</v>
      </c>
      <c r="O18" s="899">
        <f t="shared" si="8"/>
        <v>6.0639425152128945E-2</v>
      </c>
      <c r="P18" s="899">
        <f t="shared" si="8"/>
        <v>7.3083340350689641E-2</v>
      </c>
      <c r="Q18" s="899">
        <f t="shared" si="8"/>
        <v>8.7536929602414215E-2</v>
      </c>
      <c r="R18" s="899">
        <f t="shared" si="8"/>
        <v>0.14059958977185572</v>
      </c>
      <c r="S18" s="899">
        <f t="shared" si="8"/>
        <v>5.1674533625485353E-3</v>
      </c>
      <c r="T18" s="899">
        <f t="shared" si="8"/>
        <v>2.4708021569921135E-2</v>
      </c>
      <c r="U18" s="900">
        <f>U51+U19</f>
        <v>-1.0701402735953436E-2</v>
      </c>
      <c r="V18" s="899">
        <f t="shared" ref="V18:AF18" si="9">V51+V19</f>
        <v>-3.5605877057299118E-2</v>
      </c>
      <c r="W18" s="899">
        <f t="shared" si="9"/>
        <v>6.8186173678186135E-2</v>
      </c>
      <c r="X18" s="899">
        <f t="shared" si="9"/>
        <v>5.6734763882242412E-3</v>
      </c>
      <c r="Y18" s="899">
        <f t="shared" si="9"/>
        <v>4.207521485108856E-2</v>
      </c>
      <c r="Z18" s="899">
        <f t="shared" si="9"/>
        <v>5.3269034245715038E-2</v>
      </c>
      <c r="AA18" s="899">
        <f t="shared" si="9"/>
        <v>3.1224337980433163E-2</v>
      </c>
      <c r="AB18" s="899">
        <f t="shared" si="9"/>
        <v>2.6533565330379202E-2</v>
      </c>
      <c r="AC18" s="899">
        <f t="shared" si="9"/>
        <v>2.5821649071183117E-2</v>
      </c>
      <c r="AD18" s="899">
        <f t="shared" si="9"/>
        <v>2.5493967451795996E-2</v>
      </c>
      <c r="AE18" s="899">
        <f t="shared" si="9"/>
        <v>2.5095343044312823E-2</v>
      </c>
      <c r="AF18" s="932">
        <f t="shared" si="9"/>
        <v>2.4877364391311607E-2</v>
      </c>
      <c r="AG18" s="932">
        <f t="shared" ref="AG18" si="10">AG51+AG19</f>
        <v>2.492676444114772E-2</v>
      </c>
      <c r="AH18" s="932"/>
      <c r="AI18" s="932"/>
      <c r="AJ18" s="932"/>
    </row>
    <row r="19" spans="2:36" x14ac:dyDescent="0.25">
      <c r="B19" s="309" t="s">
        <v>1745</v>
      </c>
      <c r="C19" s="914"/>
      <c r="D19" s="915"/>
      <c r="E19" s="916"/>
      <c r="F19" s="916"/>
      <c r="G19" s="916"/>
      <c r="H19" s="916"/>
      <c r="I19" s="916"/>
      <c r="J19" s="916"/>
      <c r="K19" s="916"/>
      <c r="L19" s="916"/>
      <c r="M19" s="916"/>
      <c r="N19" s="916"/>
      <c r="O19" s="916"/>
      <c r="P19" s="916"/>
      <c r="Q19" s="916"/>
      <c r="R19" s="916"/>
      <c r="S19" s="916"/>
      <c r="T19" s="916"/>
      <c r="U19" s="916"/>
      <c r="V19" s="916"/>
      <c r="W19" s="916"/>
      <c r="X19" s="916"/>
      <c r="Y19" s="916"/>
      <c r="Z19" s="916"/>
      <c r="AA19" s="916"/>
      <c r="AB19" s="916"/>
      <c r="AC19" s="916"/>
      <c r="AD19" s="916"/>
      <c r="AE19" s="916"/>
      <c r="AF19" s="917"/>
      <c r="AG19" s="917"/>
      <c r="AH19" s="917"/>
      <c r="AI19" s="917"/>
      <c r="AJ19" s="917"/>
    </row>
    <row r="20" spans="2:36" x14ac:dyDescent="0.25">
      <c r="B20" s="733" t="s">
        <v>1714</v>
      </c>
      <c r="C20" s="913"/>
      <c r="D20" s="899">
        <f t="shared" ref="D20:T20" si="11">D52</f>
        <v>4.0962242441666019E-2</v>
      </c>
      <c r="E20" s="899">
        <f t="shared" si="11"/>
        <v>1.5719050974356552E-2</v>
      </c>
      <c r="F20" s="899">
        <f t="shared" si="11"/>
        <v>4.3088224053848823E-2</v>
      </c>
      <c r="G20" s="899">
        <f t="shared" si="11"/>
        <v>1.6823112159823461E-2</v>
      </c>
      <c r="H20" s="899">
        <f t="shared" si="11"/>
        <v>5.3982501773912617E-3</v>
      </c>
      <c r="I20" s="899">
        <f t="shared" si="11"/>
        <v>9.7871671399678561E-3</v>
      </c>
      <c r="J20" s="899">
        <f t="shared" si="11"/>
        <v>-1.264897125361697E-2</v>
      </c>
      <c r="K20" s="899">
        <f t="shared" si="11"/>
        <v>4.0611329344794056E-2</v>
      </c>
      <c r="L20" s="899">
        <f t="shared" si="11"/>
        <v>2.1607225299700827E-2</v>
      </c>
      <c r="M20" s="899">
        <f t="shared" si="11"/>
        <v>6.5587978667649205E-2</v>
      </c>
      <c r="N20" s="899">
        <f t="shared" si="11"/>
        <v>9.6562691223789132E-2</v>
      </c>
      <c r="O20" s="899">
        <f t="shared" si="11"/>
        <v>8.4807929469169041E-2</v>
      </c>
      <c r="P20" s="899">
        <f t="shared" si="11"/>
        <v>0.1057724485451752</v>
      </c>
      <c r="Q20" s="899">
        <f t="shared" si="11"/>
        <v>0.10808480173082224</v>
      </c>
      <c r="R20" s="899">
        <f t="shared" si="11"/>
        <v>0.12258858608776269</v>
      </c>
      <c r="S20" s="899">
        <f t="shared" si="11"/>
        <v>7.7728691252704651E-2</v>
      </c>
      <c r="T20" s="899">
        <f t="shared" si="11"/>
        <v>4.0349668009795225E-2</v>
      </c>
      <c r="U20" s="899">
        <f>U52+U21</f>
        <v>5.1960248713186719E-2</v>
      </c>
      <c r="V20" s="899">
        <f t="shared" ref="V20:AF20" si="12">V52+V21</f>
        <v>3.571644947314212E-3</v>
      </c>
      <c r="W20" s="899">
        <f t="shared" si="12"/>
        <v>1.126058576943012E-2</v>
      </c>
      <c r="X20" s="899">
        <f t="shared" si="12"/>
        <v>1.0024676064772642E-2</v>
      </c>
      <c r="Y20" s="899">
        <f t="shared" si="12"/>
        <v>2.2650991179657964E-2</v>
      </c>
      <c r="Z20" s="899">
        <f t="shared" si="12"/>
        <v>5.3269034245715038E-2</v>
      </c>
      <c r="AA20" s="899">
        <f t="shared" si="12"/>
        <v>3.1224337980433163E-2</v>
      </c>
      <c r="AB20" s="899">
        <f t="shared" si="12"/>
        <v>2.6533565330379202E-2</v>
      </c>
      <c r="AC20" s="899">
        <f t="shared" si="12"/>
        <v>2.5821649071183117E-2</v>
      </c>
      <c r="AD20" s="899">
        <f t="shared" si="12"/>
        <v>2.5493967451795996E-2</v>
      </c>
      <c r="AE20" s="899">
        <f t="shared" si="12"/>
        <v>2.5095343044312823E-2</v>
      </c>
      <c r="AF20" s="932">
        <f t="shared" si="12"/>
        <v>2.4877364391311607E-2</v>
      </c>
      <c r="AG20" s="932">
        <f t="shared" ref="AG20" si="13">AG52+AG21</f>
        <v>2.492676444114772E-2</v>
      </c>
      <c r="AH20" s="932"/>
      <c r="AI20" s="932"/>
      <c r="AJ20" s="932"/>
    </row>
    <row r="21" spans="2:36" x14ac:dyDescent="0.25">
      <c r="B21" s="309" t="s">
        <v>1746</v>
      </c>
      <c r="C21" s="914"/>
      <c r="D21" s="879"/>
      <c r="E21" s="879"/>
      <c r="F21" s="879"/>
      <c r="G21" s="879"/>
      <c r="H21" s="879"/>
      <c r="I21" s="879"/>
      <c r="J21" s="879"/>
      <c r="K21" s="879"/>
      <c r="L21" s="879"/>
      <c r="M21" s="879"/>
      <c r="N21" s="879"/>
      <c r="O21" s="879"/>
      <c r="P21" s="879"/>
      <c r="Q21" s="879"/>
      <c r="R21" s="879"/>
      <c r="S21" s="879"/>
      <c r="T21" s="879"/>
      <c r="U21" s="879"/>
      <c r="V21" s="879"/>
      <c r="W21" s="879"/>
      <c r="X21" s="879"/>
      <c r="Y21" s="879"/>
      <c r="Z21" s="879"/>
      <c r="AA21" s="879"/>
      <c r="AB21" s="879"/>
      <c r="AC21" s="879"/>
      <c r="AD21" s="879"/>
      <c r="AE21" s="879"/>
      <c r="AF21" s="880"/>
    </row>
    <row r="22" spans="2:36" x14ac:dyDescent="0.25">
      <c r="B22" s="1406" t="s">
        <v>1735</v>
      </c>
      <c r="C22" s="1407"/>
      <c r="D22" s="1407"/>
      <c r="E22" s="1407"/>
      <c r="F22" s="1407"/>
      <c r="G22" s="1407"/>
      <c r="H22" s="1407"/>
      <c r="I22" s="1407"/>
      <c r="J22" s="1407"/>
      <c r="K22" s="1407"/>
      <c r="L22" s="1407"/>
      <c r="M22" s="1407"/>
      <c r="N22" s="1407"/>
      <c r="O22" s="1407"/>
      <c r="P22" s="1407"/>
      <c r="Q22" s="1407"/>
      <c r="R22" s="1407"/>
      <c r="S22" s="1407"/>
      <c r="T22" s="1407"/>
      <c r="U22" s="1407"/>
      <c r="V22" s="1407"/>
      <c r="W22" s="1407"/>
      <c r="X22" s="1407"/>
      <c r="Y22" s="1407"/>
      <c r="Z22" s="1407"/>
      <c r="AA22" s="1407"/>
      <c r="AB22" s="1407"/>
      <c r="AC22" s="1407"/>
      <c r="AD22" s="1407"/>
      <c r="AE22" s="1407"/>
      <c r="AF22" s="1407"/>
      <c r="AG22" s="1407"/>
      <c r="AH22" s="1407"/>
      <c r="AI22" s="1407"/>
      <c r="AJ22" s="1407"/>
    </row>
    <row r="23" spans="2:36" x14ac:dyDescent="0.25">
      <c r="B23" s="898" t="s">
        <v>1710</v>
      </c>
      <c r="C23" s="908"/>
      <c r="D23" s="896">
        <f t="shared" ref="D23:AF23" si="14">(D12+1)^0.25-1</f>
        <v>3.7944725878693575E-3</v>
      </c>
      <c r="E23" s="896">
        <f t="shared" si="14"/>
        <v>2.2895111163072634E-3</v>
      </c>
      <c r="F23" s="896">
        <f t="shared" si="14"/>
        <v>5.2975883822428127E-3</v>
      </c>
      <c r="G23" s="896">
        <f t="shared" si="14"/>
        <v>2.4366189012010597E-3</v>
      </c>
      <c r="H23" s="896">
        <f t="shared" si="14"/>
        <v>3.9161216891407946E-3</v>
      </c>
      <c r="I23" s="896">
        <f t="shared" si="14"/>
        <v>3.2282859338970127E-3</v>
      </c>
      <c r="J23" s="896">
        <f t="shared" si="14"/>
        <v>-4.347992644805343E-3</v>
      </c>
      <c r="K23" s="896">
        <f t="shared" si="14"/>
        <v>8.2433966256900693E-3</v>
      </c>
      <c r="L23" s="896">
        <f t="shared" si="14"/>
        <v>4.9990936757648985E-3</v>
      </c>
      <c r="M23" s="896">
        <f t="shared" si="14"/>
        <v>1.1723607643602252E-2</v>
      </c>
      <c r="N23" s="896">
        <f t="shared" si="14"/>
        <v>1.5293963106832509E-2</v>
      </c>
      <c r="O23" s="896">
        <f t="shared" si="14"/>
        <v>1.3834466952535873E-2</v>
      </c>
      <c r="P23" s="896">
        <f t="shared" si="14"/>
        <v>1.6489676860671709E-2</v>
      </c>
      <c r="Q23" s="896">
        <f t="shared" si="14"/>
        <v>1.8616496583388598E-2</v>
      </c>
      <c r="R23" s="896">
        <f t="shared" si="14"/>
        <v>1.7492737036710837E-2</v>
      </c>
      <c r="S23" s="897">
        <f t="shared" si="14"/>
        <v>1.1490175380914902E-2</v>
      </c>
      <c r="T23" s="896">
        <f t="shared" si="14"/>
        <v>1.0204867199863132E-2</v>
      </c>
      <c r="U23" s="896">
        <f t="shared" si="14"/>
        <v>1.0254195668004451E-2</v>
      </c>
      <c r="V23" s="896">
        <f t="shared" si="14"/>
        <v>6.1604740631469035E-3</v>
      </c>
      <c r="W23" s="896">
        <f t="shared" si="14"/>
        <v>6.4143147512578658E-3</v>
      </c>
      <c r="X23" s="896">
        <f t="shared" si="14"/>
        <v>4.4448491068915796E-3</v>
      </c>
      <c r="Y23" s="896">
        <f t="shared" si="14"/>
        <v>8.2075961467149572E-3</v>
      </c>
      <c r="Z23" s="896">
        <f t="shared" si="14"/>
        <v>1.100082528555002E-2</v>
      </c>
      <c r="AA23" s="896">
        <f t="shared" si="14"/>
        <v>7.166259764898264E-3</v>
      </c>
      <c r="AB23" s="896">
        <f t="shared" si="14"/>
        <v>5.8204452309313925E-3</v>
      </c>
      <c r="AC23" s="896">
        <f t="shared" si="14"/>
        <v>5.4050287894606974E-3</v>
      </c>
      <c r="AD23" s="896">
        <f t="shared" si="14"/>
        <v>5.3510824454261474E-3</v>
      </c>
      <c r="AE23" s="896">
        <f t="shared" si="14"/>
        <v>5.1374641193888682E-3</v>
      </c>
      <c r="AF23" s="897">
        <f t="shared" si="14"/>
        <v>4.9902256196157069E-3</v>
      </c>
      <c r="AG23" s="897">
        <f t="shared" ref="AG23" si="15">(AG12+1)^0.25-1</f>
        <v>4.9039461559314823E-3</v>
      </c>
    </row>
    <row r="24" spans="2:36" x14ac:dyDescent="0.25">
      <c r="B24" s="760" t="s">
        <v>1711</v>
      </c>
      <c r="C24" s="908"/>
      <c r="D24" s="896">
        <f t="shared" ref="D24:AF24" si="16">(D14+1)^0.25-1</f>
        <v>7.2893513350869021E-3</v>
      </c>
      <c r="E24" s="896">
        <f t="shared" si="16"/>
        <v>1.0387558056620838E-2</v>
      </c>
      <c r="F24" s="896">
        <f t="shared" si="16"/>
        <v>-5.979629205767889E-3</v>
      </c>
      <c r="G24" s="896">
        <f t="shared" si="16"/>
        <v>1.6118354776502031E-3</v>
      </c>
      <c r="H24" s="896">
        <f t="shared" si="16"/>
        <v>3.4675325919326649E-3</v>
      </c>
      <c r="I24" s="896">
        <f t="shared" si="16"/>
        <v>3.1405416241085948E-3</v>
      </c>
      <c r="J24" s="896">
        <f t="shared" si="16"/>
        <v>2.3789585870903629E-4</v>
      </c>
      <c r="K24" s="896">
        <f t="shared" si="16"/>
        <v>5.7081426655123391E-3</v>
      </c>
      <c r="L24" s="896">
        <f t="shared" si="16"/>
        <v>7.2649532224040581E-3</v>
      </c>
      <c r="M24" s="896">
        <f t="shared" si="16"/>
        <v>8.4240380913027657E-3</v>
      </c>
      <c r="N24" s="896">
        <f t="shared" si="16"/>
        <v>9.7412877870699521E-3</v>
      </c>
      <c r="O24" s="896">
        <f t="shared" si="16"/>
        <v>1.013613222164822E-2</v>
      </c>
      <c r="P24" s="896">
        <f t="shared" si="16"/>
        <v>1.1394866831624384E-2</v>
      </c>
      <c r="Q24" s="896">
        <f t="shared" si="16"/>
        <v>1.763096839425482E-2</v>
      </c>
      <c r="R24" s="896">
        <f t="shared" si="16"/>
        <v>1.6704517227919435E-2</v>
      </c>
      <c r="S24" s="897">
        <f t="shared" si="16"/>
        <v>1.1857914438035966E-2</v>
      </c>
      <c r="T24" s="896">
        <f t="shared" si="16"/>
        <v>1.0080540848179664E-2</v>
      </c>
      <c r="U24" s="896">
        <f t="shared" si="16"/>
        <v>1.0176292312289226E-2</v>
      </c>
      <c r="V24" s="896">
        <f t="shared" si="16"/>
        <v>5.1214008637083808E-3</v>
      </c>
      <c r="W24" s="896">
        <f t="shared" si="16"/>
        <v>9.7870229456920033E-3</v>
      </c>
      <c r="X24" s="896">
        <f t="shared" si="16"/>
        <v>9.7504517181945527E-3</v>
      </c>
      <c r="Y24" s="896">
        <f t="shared" si="16"/>
        <v>1.1206583764884259E-2</v>
      </c>
      <c r="Z24" s="896">
        <f t="shared" si="16"/>
        <v>1.1305299393512325E-2</v>
      </c>
      <c r="AA24" s="896">
        <f t="shared" si="16"/>
        <v>8.3951570103690809E-3</v>
      </c>
      <c r="AB24" s="896">
        <f t="shared" si="16"/>
        <v>7.0350931713105691E-3</v>
      </c>
      <c r="AC24" s="896">
        <f t="shared" si="16"/>
        <v>6.0393595708148062E-3</v>
      </c>
      <c r="AD24" s="896">
        <f t="shared" si="16"/>
        <v>5.875261807140264E-3</v>
      </c>
      <c r="AE24" s="896">
        <f t="shared" si="16"/>
        <v>5.8170411371414321E-3</v>
      </c>
      <c r="AF24" s="897">
        <f t="shared" si="16"/>
        <v>5.8313802450995489E-3</v>
      </c>
      <c r="AG24" s="897">
        <f t="shared" ref="AG24" si="17">(AG14+1)^0.25-1</f>
        <v>4.454365822902373E-3</v>
      </c>
    </row>
    <row r="25" spans="2:36" x14ac:dyDescent="0.25">
      <c r="B25" s="760" t="s">
        <v>1712</v>
      </c>
      <c r="C25" s="908"/>
      <c r="D25" s="896">
        <f t="shared" ref="D25:AF25" si="18">(D16+1)^0.25-1</f>
        <v>4.372774229274734E-3</v>
      </c>
      <c r="E25" s="896">
        <f t="shared" si="18"/>
        <v>-4.3157124252592993E-3</v>
      </c>
      <c r="F25" s="896">
        <f t="shared" si="18"/>
        <v>6.8453261793151032E-3</v>
      </c>
      <c r="G25" s="896">
        <f t="shared" si="18"/>
        <v>3.754978190783298E-3</v>
      </c>
      <c r="H25" s="896">
        <f t="shared" si="18"/>
        <v>6.0648428053204917E-3</v>
      </c>
      <c r="I25" s="896">
        <f t="shared" si="18"/>
        <v>1.2892260887528373E-2</v>
      </c>
      <c r="J25" s="896">
        <f t="shared" si="18"/>
        <v>-2.1136357315681975E-3</v>
      </c>
      <c r="K25" s="896">
        <f t="shared" si="18"/>
        <v>1.2049088189663992E-2</v>
      </c>
      <c r="L25" s="896">
        <f t="shared" si="18"/>
        <v>1.2502294841197026E-2</v>
      </c>
      <c r="M25" s="896">
        <f t="shared" si="18"/>
        <v>2.2329604177621309E-2</v>
      </c>
      <c r="N25" s="896">
        <f t="shared" si="18"/>
        <v>1.8454307630913824E-2</v>
      </c>
      <c r="O25" s="896">
        <f t="shared" si="18"/>
        <v>1.5829893944934836E-2</v>
      </c>
      <c r="P25" s="896">
        <f t="shared" si="18"/>
        <v>1.9097579373242857E-2</v>
      </c>
      <c r="Q25" s="896">
        <f t="shared" si="18"/>
        <v>2.2011573528917028E-2</v>
      </c>
      <c r="R25" s="896">
        <f t="shared" si="18"/>
        <v>3.2763005209490714E-2</v>
      </c>
      <c r="S25" s="897">
        <f t="shared" si="18"/>
        <v>4.1836002868755884E-3</v>
      </c>
      <c r="T25" s="896">
        <f t="shared" si="18"/>
        <v>6.7690354322897939E-3</v>
      </c>
      <c r="U25" s="896">
        <f t="shared" si="18"/>
        <v>-1.5764416558927685E-5</v>
      </c>
      <c r="V25" s="896">
        <f t="shared" si="18"/>
        <v>-7.2438636041176618E-3</v>
      </c>
      <c r="W25" s="896">
        <f t="shared" si="18"/>
        <v>1.4053530453285834E-2</v>
      </c>
      <c r="X25" s="896">
        <f t="shared" si="18"/>
        <v>1.6207709232129996E-3</v>
      </c>
      <c r="Y25" s="896">
        <f t="shared" si="18"/>
        <v>9.4352897032612404E-3</v>
      </c>
      <c r="Z25" s="896">
        <f t="shared" si="18"/>
        <v>1.3059209697085183E-2</v>
      </c>
      <c r="AA25" s="896">
        <f t="shared" si="18"/>
        <v>7.7163119627912113E-3</v>
      </c>
      <c r="AB25" s="896">
        <f t="shared" si="18"/>
        <v>6.5683918252987805E-3</v>
      </c>
      <c r="AC25" s="896">
        <f t="shared" si="18"/>
        <v>6.3938288917109176E-3</v>
      </c>
      <c r="AD25" s="896">
        <f t="shared" si="18"/>
        <v>6.3134503311721435E-3</v>
      </c>
      <c r="AE25" s="896">
        <f t="shared" si="18"/>
        <v>6.2156439075380376E-3</v>
      </c>
      <c r="AF25" s="897">
        <f t="shared" si="18"/>
        <v>6.1621486341001397E-3</v>
      </c>
      <c r="AG25" s="897">
        <f t="shared" ref="AG25" si="19">(AG16+1)^0.25-1</f>
        <v>6.1742729046745382E-3</v>
      </c>
    </row>
    <row r="26" spans="2:36" x14ac:dyDescent="0.25">
      <c r="B26" s="760" t="s">
        <v>1713</v>
      </c>
      <c r="C26" s="908"/>
      <c r="D26" s="896">
        <f t="shared" ref="D26:AF26" si="20">(D18+1)^0.25-1</f>
        <v>3.0686539854383188E-3</v>
      </c>
      <c r="E26" s="896">
        <f t="shared" si="20"/>
        <v>-6.1945389248865279E-3</v>
      </c>
      <c r="F26" s="896">
        <f t="shared" si="20"/>
        <v>5.9750291581421866E-3</v>
      </c>
      <c r="G26" s="896">
        <f t="shared" si="20"/>
        <v>3.6682600473261218E-3</v>
      </c>
      <c r="H26" s="896">
        <f t="shared" si="20"/>
        <v>7.1582096900950631E-3</v>
      </c>
      <c r="I26" s="896">
        <f t="shared" si="20"/>
        <v>1.5277007398772247E-2</v>
      </c>
      <c r="J26" s="896">
        <f t="shared" si="20"/>
        <v>-1.8612145119172308E-3</v>
      </c>
      <c r="K26" s="896">
        <f t="shared" si="20"/>
        <v>1.2496173220895468E-2</v>
      </c>
      <c r="L26" s="896">
        <f t="shared" si="20"/>
        <v>1.4064504306395387E-2</v>
      </c>
      <c r="M26" s="896">
        <f t="shared" si="20"/>
        <v>2.3690987124463492E-2</v>
      </c>
      <c r="N26" s="896">
        <f t="shared" si="20"/>
        <v>1.7361448228990994E-2</v>
      </c>
      <c r="O26" s="896">
        <f t="shared" si="20"/>
        <v>1.48268323153804E-2</v>
      </c>
      <c r="P26" s="896">
        <f t="shared" si="20"/>
        <v>1.7790430270233415E-2</v>
      </c>
      <c r="Q26" s="896">
        <f t="shared" si="20"/>
        <v>2.1200463655148161E-2</v>
      </c>
      <c r="R26" s="896">
        <f t="shared" si="20"/>
        <v>3.3435325470068555E-2</v>
      </c>
      <c r="S26" s="897">
        <f t="shared" si="20"/>
        <v>1.2893674936129695E-3</v>
      </c>
      <c r="T26" s="896">
        <f t="shared" si="20"/>
        <v>6.1205834426294459E-3</v>
      </c>
      <c r="U26" s="896">
        <f t="shared" si="20"/>
        <v>-2.6861544538810955E-3</v>
      </c>
      <c r="V26" s="896">
        <f t="shared" si="20"/>
        <v>-9.0228542004990864E-3</v>
      </c>
      <c r="W26" s="896">
        <f t="shared" si="20"/>
        <v>1.6627230287139527E-2</v>
      </c>
      <c r="X26" s="896">
        <f t="shared" si="20"/>
        <v>1.4153613889411609E-3</v>
      </c>
      <c r="Y26" s="896">
        <f t="shared" si="20"/>
        <v>1.0356795125475271E-2</v>
      </c>
      <c r="Z26" s="896">
        <f t="shared" si="20"/>
        <v>1.3059209697085183E-2</v>
      </c>
      <c r="AA26" s="896">
        <f t="shared" si="20"/>
        <v>7.7163119627912113E-3</v>
      </c>
      <c r="AB26" s="896">
        <f t="shared" si="20"/>
        <v>6.5683918252987805E-3</v>
      </c>
      <c r="AC26" s="896">
        <f t="shared" si="20"/>
        <v>6.3938288917109176E-3</v>
      </c>
      <c r="AD26" s="896">
        <f t="shared" si="20"/>
        <v>6.3134503311721435E-3</v>
      </c>
      <c r="AE26" s="896">
        <f t="shared" si="20"/>
        <v>6.2156439075380376E-3</v>
      </c>
      <c r="AF26" s="897">
        <f t="shared" si="20"/>
        <v>6.1621486341001397E-3</v>
      </c>
      <c r="AG26" s="897">
        <f t="shared" ref="AG26" si="21">(AG18+1)^0.25-1</f>
        <v>6.1742729046745382E-3</v>
      </c>
    </row>
    <row r="27" spans="2:36" x14ac:dyDescent="0.25">
      <c r="B27" s="761" t="s">
        <v>1714</v>
      </c>
      <c r="C27" s="909"/>
      <c r="D27" s="910">
        <f t="shared" ref="D27:AF27" si="22">(D20+1)^0.25-1</f>
        <v>1.0086913000375342E-2</v>
      </c>
      <c r="E27" s="910">
        <f t="shared" si="22"/>
        <v>3.9068083281719179E-3</v>
      </c>
      <c r="F27" s="910">
        <f t="shared" si="22"/>
        <v>1.0602249537278619E-2</v>
      </c>
      <c r="G27" s="910">
        <f t="shared" si="22"/>
        <v>4.1795025922308771E-3</v>
      </c>
      <c r="H27" s="910">
        <f t="shared" si="22"/>
        <v>1.3468391369007016E-3</v>
      </c>
      <c r="I27" s="910">
        <f t="shared" si="22"/>
        <v>2.4378625269705356E-3</v>
      </c>
      <c r="J27" s="910">
        <f t="shared" si="22"/>
        <v>-3.1773541305604169E-3</v>
      </c>
      <c r="K27" s="910">
        <f t="shared" si="22"/>
        <v>1.0001776016302033E-2</v>
      </c>
      <c r="L27" s="910">
        <f t="shared" si="22"/>
        <v>5.3585806702389771E-3</v>
      </c>
      <c r="M27" s="910">
        <f t="shared" si="22"/>
        <v>1.6008469115345703E-2</v>
      </c>
      <c r="N27" s="910">
        <f t="shared" si="22"/>
        <v>2.3312705560438074E-2</v>
      </c>
      <c r="O27" s="910">
        <f t="shared" si="22"/>
        <v>2.0559225088983668E-2</v>
      </c>
      <c r="P27" s="910">
        <f t="shared" si="22"/>
        <v>2.5454608550805169E-2</v>
      </c>
      <c r="Q27" s="910">
        <f t="shared" si="22"/>
        <v>2.5990287483713903E-2</v>
      </c>
      <c r="R27" s="910">
        <f t="shared" si="22"/>
        <v>2.9331244330832007E-2</v>
      </c>
      <c r="S27" s="911">
        <f t="shared" si="22"/>
        <v>1.8890143959239714E-2</v>
      </c>
      <c r="T27" s="910">
        <f t="shared" si="22"/>
        <v>9.9382788850888026E-3</v>
      </c>
      <c r="U27" s="910">
        <f t="shared" si="22"/>
        <v>1.2744357682815677E-2</v>
      </c>
      <c r="V27" s="910">
        <f t="shared" si="22"/>
        <v>8.917177866949455E-4</v>
      </c>
      <c r="W27" s="910">
        <f t="shared" si="22"/>
        <v>2.8033363542803169E-3</v>
      </c>
      <c r="X27" s="910">
        <f t="shared" si="22"/>
        <v>2.4968024079590201E-3</v>
      </c>
      <c r="Y27" s="910">
        <f t="shared" si="22"/>
        <v>5.6152735440395674E-3</v>
      </c>
      <c r="Z27" s="910">
        <f t="shared" si="22"/>
        <v>1.3059209697085183E-2</v>
      </c>
      <c r="AA27" s="910">
        <f t="shared" si="22"/>
        <v>7.7163119627912113E-3</v>
      </c>
      <c r="AB27" s="910">
        <f t="shared" si="22"/>
        <v>6.5683918252987805E-3</v>
      </c>
      <c r="AC27" s="910">
        <f t="shared" si="22"/>
        <v>6.3938288917109176E-3</v>
      </c>
      <c r="AD27" s="910">
        <f t="shared" si="22"/>
        <v>6.3134503311721435E-3</v>
      </c>
      <c r="AE27" s="910">
        <f t="shared" si="22"/>
        <v>6.2156439075380376E-3</v>
      </c>
      <c r="AF27" s="911">
        <f t="shared" si="22"/>
        <v>6.1621486341001397E-3</v>
      </c>
      <c r="AG27" s="911">
        <f t="shared" ref="AG27" si="23">(AG20+1)^0.25-1</f>
        <v>6.1742729046745382E-3</v>
      </c>
    </row>
    <row r="28" spans="2:36" x14ac:dyDescent="0.25">
      <c r="B28" s="35"/>
      <c r="C28" s="901"/>
      <c r="D28" s="899"/>
      <c r="E28" s="899"/>
      <c r="F28" s="899"/>
      <c r="G28" s="899"/>
      <c r="H28" s="899"/>
      <c r="I28" s="899"/>
      <c r="J28" s="899"/>
      <c r="K28" s="899"/>
      <c r="L28" s="899"/>
      <c r="M28" s="899"/>
      <c r="N28" s="899"/>
      <c r="O28" s="899"/>
      <c r="P28" s="899"/>
      <c r="Q28" s="899"/>
      <c r="R28" s="899"/>
      <c r="S28" s="899"/>
      <c r="T28" s="899"/>
      <c r="U28" s="899"/>
      <c r="V28" s="899"/>
      <c r="W28" s="899"/>
      <c r="X28" s="899"/>
      <c r="Y28" s="899"/>
      <c r="Z28" s="899"/>
      <c r="AA28" s="899"/>
      <c r="AB28" s="899"/>
      <c r="AC28" s="899"/>
      <c r="AD28" s="899"/>
      <c r="AE28" s="899"/>
      <c r="AF28" s="899"/>
    </row>
    <row r="29" spans="2:36" x14ac:dyDescent="0.25">
      <c r="B29" s="35"/>
      <c r="C29" s="901"/>
      <c r="D29" s="899"/>
      <c r="E29" s="899"/>
      <c r="F29" s="899"/>
      <c r="G29" s="899"/>
      <c r="H29" s="899"/>
      <c r="I29" s="899"/>
      <c r="J29" s="899"/>
      <c r="K29" s="899"/>
      <c r="L29" s="899"/>
      <c r="M29" s="899"/>
      <c r="N29" s="899"/>
      <c r="O29" s="899"/>
      <c r="P29" s="899"/>
      <c r="Q29" s="73"/>
      <c r="R29" s="899"/>
      <c r="S29" s="899"/>
      <c r="T29" s="899"/>
      <c r="U29" s="899"/>
      <c r="V29" s="899"/>
      <c r="W29" s="899"/>
      <c r="X29" s="899"/>
      <c r="Y29" s="899"/>
      <c r="Z29" s="899"/>
      <c r="AA29" s="899"/>
      <c r="AB29" s="899"/>
      <c r="AC29" s="899"/>
      <c r="AD29" s="899"/>
      <c r="AE29" s="899"/>
      <c r="AF29" s="899"/>
    </row>
    <row r="30" spans="2:36" x14ac:dyDescent="0.25">
      <c r="B30" s="35"/>
      <c r="C30" s="901"/>
      <c r="D30" s="899"/>
      <c r="E30" s="899"/>
      <c r="F30" s="899"/>
      <c r="G30" s="899"/>
      <c r="H30" s="899"/>
      <c r="I30" s="899"/>
      <c r="J30" s="899"/>
      <c r="K30" s="899"/>
      <c r="L30" s="899"/>
      <c r="M30" s="899"/>
      <c r="N30" s="899"/>
      <c r="O30" s="899"/>
      <c r="P30" s="899"/>
      <c r="Q30" s="73"/>
      <c r="R30" s="899"/>
      <c r="S30" s="899"/>
      <c r="T30" s="899"/>
      <c r="U30" s="899"/>
      <c r="V30" s="899"/>
      <c r="W30" s="899"/>
      <c r="X30" s="899"/>
      <c r="Y30" s="899"/>
      <c r="Z30" s="899"/>
      <c r="AA30" s="899"/>
      <c r="AB30" s="899"/>
      <c r="AC30" s="899"/>
      <c r="AD30" s="899"/>
      <c r="AE30" s="899"/>
      <c r="AF30" s="899"/>
    </row>
    <row r="31" spans="2:36" x14ac:dyDescent="0.25">
      <c r="B31" s="35"/>
      <c r="C31" s="901"/>
      <c r="D31" s="899"/>
      <c r="E31" s="899"/>
      <c r="F31" s="899"/>
      <c r="G31" s="899"/>
      <c r="H31" s="899"/>
      <c r="I31" s="899"/>
      <c r="J31" s="899"/>
      <c r="K31" s="899"/>
      <c r="L31" s="899"/>
      <c r="M31" s="899"/>
      <c r="N31" s="899"/>
      <c r="O31" s="899"/>
      <c r="P31" s="899"/>
      <c r="Q31" s="35"/>
      <c r="R31" s="899"/>
      <c r="S31" s="899"/>
      <c r="T31" s="899"/>
      <c r="U31" s="899"/>
      <c r="V31" s="899"/>
      <c r="W31" s="899"/>
      <c r="X31" s="899"/>
      <c r="Y31" s="899"/>
      <c r="Z31" s="899"/>
      <c r="AA31" s="899"/>
      <c r="AB31" s="899"/>
      <c r="AC31" s="899"/>
      <c r="AD31" s="899"/>
      <c r="AE31" s="899"/>
      <c r="AF31" s="899"/>
    </row>
    <row r="32" spans="2:36" x14ac:dyDescent="0.25">
      <c r="B32" s="35"/>
      <c r="C32" s="901"/>
      <c r="D32" s="899"/>
      <c r="E32" s="899"/>
      <c r="F32" s="899"/>
      <c r="G32" s="899"/>
      <c r="H32" s="899"/>
      <c r="I32" s="899"/>
      <c r="J32" s="899"/>
      <c r="K32" s="899"/>
      <c r="L32" s="899"/>
      <c r="M32" s="899"/>
      <c r="N32" s="899"/>
      <c r="O32" s="899"/>
      <c r="P32" s="899"/>
      <c r="Q32" s="35"/>
      <c r="R32" s="899"/>
      <c r="S32" s="899"/>
      <c r="T32" s="899"/>
      <c r="U32" s="899"/>
      <c r="V32" s="899"/>
      <c r="W32" s="899"/>
      <c r="X32" s="899"/>
      <c r="Y32" s="899"/>
      <c r="Z32" s="899"/>
      <c r="AA32" s="899"/>
      <c r="AB32" s="899"/>
      <c r="AC32" s="899"/>
      <c r="AD32" s="899"/>
      <c r="AE32" s="899"/>
      <c r="AF32" s="899"/>
    </row>
    <row r="33" spans="2:33" x14ac:dyDescent="0.25">
      <c r="B33" s="35"/>
      <c r="C33" s="901"/>
      <c r="D33" s="899"/>
      <c r="E33" s="899"/>
      <c r="F33" s="899"/>
      <c r="G33" s="899"/>
      <c r="H33" s="899"/>
      <c r="I33" s="899"/>
      <c r="J33" s="899"/>
      <c r="K33" s="899"/>
      <c r="L33" s="899"/>
      <c r="M33" s="899"/>
      <c r="N33" s="899"/>
      <c r="O33" s="899"/>
      <c r="P33" s="899"/>
      <c r="Q33" s="35"/>
      <c r="R33" s="899"/>
      <c r="S33" s="899"/>
      <c r="T33" s="899"/>
      <c r="U33" s="899"/>
      <c r="V33" s="899"/>
      <c r="W33" s="899"/>
      <c r="X33" s="899"/>
      <c r="Y33" s="899"/>
      <c r="Z33" s="899"/>
      <c r="AA33" s="899"/>
      <c r="AB33" s="899"/>
      <c r="AC33" s="899"/>
      <c r="AD33" s="899"/>
      <c r="AE33" s="899"/>
      <c r="AF33" s="899"/>
    </row>
    <row r="34" spans="2:33" x14ac:dyDescent="0.25">
      <c r="B34" s="35"/>
      <c r="C34" s="901"/>
      <c r="D34" s="899"/>
      <c r="E34" s="899"/>
      <c r="F34" s="899"/>
      <c r="G34" s="899"/>
      <c r="H34" s="899"/>
      <c r="I34" s="899"/>
      <c r="J34" s="899"/>
      <c r="K34" s="899"/>
      <c r="L34" s="899"/>
      <c r="M34" s="899"/>
      <c r="N34" s="899"/>
      <c r="O34" s="899"/>
      <c r="P34" s="899"/>
      <c r="Q34" s="35"/>
      <c r="R34" s="899"/>
      <c r="S34" s="899"/>
      <c r="T34" s="899"/>
      <c r="U34" s="899"/>
      <c r="V34" s="899"/>
      <c r="W34" s="899"/>
      <c r="X34" s="899"/>
      <c r="Y34" s="899"/>
      <c r="Z34" s="899"/>
      <c r="AA34" s="899"/>
      <c r="AB34" s="899"/>
      <c r="AC34" s="899"/>
      <c r="AD34" s="899"/>
      <c r="AE34" s="899"/>
      <c r="AF34" s="899"/>
    </row>
    <row r="35" spans="2:33" x14ac:dyDescent="0.25">
      <c r="B35" s="35"/>
      <c r="C35" s="901"/>
      <c r="D35" s="899"/>
      <c r="E35" s="899"/>
      <c r="F35" s="899"/>
      <c r="G35" s="899"/>
      <c r="H35" s="899"/>
      <c r="I35" s="899"/>
      <c r="J35" s="899"/>
      <c r="K35" s="899"/>
      <c r="L35" s="899"/>
      <c r="M35" s="899"/>
      <c r="N35" s="899"/>
      <c r="O35" s="899"/>
      <c r="P35" s="899"/>
      <c r="Q35" s="35"/>
      <c r="R35" s="899"/>
      <c r="S35" s="899"/>
      <c r="T35" s="899"/>
      <c r="U35" s="899"/>
      <c r="V35" s="899"/>
      <c r="W35" s="899"/>
      <c r="X35" s="899"/>
      <c r="Y35" s="899"/>
      <c r="Z35" s="899"/>
      <c r="AA35" s="899"/>
      <c r="AB35" s="899"/>
      <c r="AC35" s="899"/>
      <c r="AD35" s="899"/>
      <c r="AE35" s="899"/>
      <c r="AF35" s="899"/>
    </row>
    <row r="36" spans="2:33" x14ac:dyDescent="0.25">
      <c r="B36" s="35"/>
      <c r="C36" s="901"/>
      <c r="D36" s="899"/>
      <c r="E36" s="899"/>
      <c r="F36" s="899"/>
      <c r="G36" s="899"/>
      <c r="H36" s="899"/>
      <c r="I36" s="899"/>
      <c r="J36" s="899"/>
      <c r="K36" s="899"/>
      <c r="L36" s="899"/>
      <c r="M36" s="899"/>
      <c r="N36" s="899"/>
      <c r="O36" s="899"/>
      <c r="P36" s="899"/>
      <c r="Q36" s="35"/>
      <c r="R36" s="899"/>
      <c r="S36" s="899"/>
      <c r="T36" s="899"/>
      <c r="U36" s="899"/>
      <c r="V36" s="899"/>
      <c r="W36" s="899"/>
      <c r="X36" s="899"/>
      <c r="Y36" s="899"/>
      <c r="Z36" s="899"/>
      <c r="AA36" s="899"/>
      <c r="AB36" s="899"/>
      <c r="AC36" s="899"/>
      <c r="AD36" s="899"/>
      <c r="AE36" s="899"/>
      <c r="AF36" s="899"/>
    </row>
    <row r="37" spans="2:33" x14ac:dyDescent="0.25">
      <c r="B37" s="35"/>
      <c r="C37" s="901"/>
      <c r="D37" s="899"/>
      <c r="E37" s="899"/>
      <c r="F37" s="899"/>
      <c r="G37" s="899"/>
      <c r="H37" s="899"/>
      <c r="I37" s="899"/>
      <c r="J37" s="899"/>
      <c r="K37" s="899"/>
      <c r="L37" s="899"/>
      <c r="M37" s="899"/>
      <c r="N37" s="899"/>
      <c r="O37" s="899"/>
      <c r="P37" s="899"/>
      <c r="Q37" s="35"/>
      <c r="R37" s="899"/>
      <c r="S37" s="899"/>
      <c r="T37" s="899"/>
      <c r="U37" s="899"/>
      <c r="V37" s="899"/>
      <c r="W37" s="899"/>
      <c r="X37" s="899"/>
      <c r="Y37" s="899"/>
      <c r="Z37" s="899"/>
      <c r="AA37" s="899"/>
      <c r="AB37" s="899"/>
      <c r="AC37" s="899"/>
      <c r="AD37" s="899"/>
      <c r="AE37" s="899"/>
      <c r="AF37" s="899"/>
    </row>
    <row r="38" spans="2:33" x14ac:dyDescent="0.25">
      <c r="B38" s="35"/>
      <c r="C38" s="901"/>
      <c r="D38" s="899"/>
      <c r="E38" s="899"/>
      <c r="F38" s="899"/>
      <c r="G38" s="899"/>
      <c r="H38" s="899"/>
      <c r="I38" s="899"/>
      <c r="J38" s="899"/>
      <c r="K38" s="899"/>
      <c r="L38" s="899"/>
      <c r="M38" s="899"/>
      <c r="N38" s="899"/>
      <c r="O38" s="899"/>
      <c r="P38" s="899"/>
      <c r="Q38" s="35"/>
      <c r="R38" s="899"/>
      <c r="S38" s="899"/>
      <c r="T38" s="899"/>
      <c r="U38" s="899"/>
      <c r="V38" s="899"/>
      <c r="W38" s="899"/>
      <c r="X38" s="899"/>
      <c r="Y38" s="899"/>
      <c r="Z38" s="899"/>
      <c r="AA38" s="899"/>
      <c r="AB38" s="899"/>
      <c r="AC38" s="899"/>
      <c r="AD38" s="899"/>
      <c r="AE38" s="899"/>
      <c r="AF38" s="899"/>
    </row>
    <row r="39" spans="2:33" x14ac:dyDescent="0.25">
      <c r="B39" s="35"/>
      <c r="C39" s="901"/>
      <c r="D39" s="899"/>
      <c r="E39" s="899"/>
      <c r="F39" s="899"/>
      <c r="G39" s="899"/>
      <c r="H39" s="899"/>
      <c r="I39" s="899"/>
      <c r="J39" s="899"/>
      <c r="K39" s="899"/>
      <c r="L39" s="899"/>
      <c r="M39" s="899"/>
      <c r="N39" s="899"/>
      <c r="O39" s="899"/>
      <c r="P39" s="899"/>
      <c r="Q39" s="899"/>
      <c r="R39" s="899"/>
      <c r="S39" s="899"/>
      <c r="T39" s="899"/>
      <c r="U39" s="899"/>
      <c r="V39" s="899"/>
      <c r="W39" s="899"/>
      <c r="X39" s="899"/>
      <c r="Y39" s="899"/>
      <c r="Z39" s="899"/>
      <c r="AA39" s="899"/>
      <c r="AB39" s="899"/>
      <c r="AC39" s="899"/>
      <c r="AD39" s="899"/>
      <c r="AE39" s="899"/>
      <c r="AF39" s="899"/>
    </row>
    <row r="40" spans="2:33" x14ac:dyDescent="0.25">
      <c r="B40" s="35"/>
      <c r="C40" s="901"/>
      <c r="D40" s="899"/>
      <c r="E40" s="899"/>
      <c r="F40" s="899"/>
      <c r="G40" s="899"/>
      <c r="H40" s="899"/>
      <c r="I40" s="899"/>
      <c r="J40" s="899"/>
      <c r="K40" s="899"/>
      <c r="L40" s="899"/>
      <c r="M40" s="899"/>
      <c r="N40" s="899"/>
      <c r="O40" s="899"/>
      <c r="P40" s="899"/>
      <c r="Q40" s="899"/>
      <c r="R40" s="899"/>
      <c r="S40" s="899"/>
      <c r="T40" s="899"/>
      <c r="U40" s="899"/>
      <c r="V40" s="899"/>
      <c r="W40" s="899"/>
      <c r="X40" s="899"/>
      <c r="Y40" s="899"/>
      <c r="Z40" s="899"/>
      <c r="AA40" s="899"/>
      <c r="AB40" s="899"/>
      <c r="AC40" s="899"/>
      <c r="AD40" s="899"/>
      <c r="AE40" s="899"/>
      <c r="AF40" s="899"/>
    </row>
    <row r="41" spans="2:33" x14ac:dyDescent="0.25">
      <c r="B41" s="903" t="s">
        <v>1828</v>
      </c>
      <c r="C41" s="903"/>
      <c r="D41" s="237"/>
      <c r="E41" s="237"/>
      <c r="F41" s="237"/>
      <c r="G41" s="237"/>
      <c r="H41" s="237"/>
      <c r="I41" s="237"/>
      <c r="J41" s="237"/>
      <c r="K41" s="237"/>
      <c r="L41" s="237"/>
      <c r="M41" s="237"/>
      <c r="N41" s="237"/>
      <c r="O41" s="237"/>
      <c r="P41" s="237"/>
      <c r="Q41" s="237"/>
      <c r="R41" s="237"/>
      <c r="S41" s="237"/>
      <c r="T41" s="237"/>
      <c r="U41" s="237"/>
      <c r="V41" s="237"/>
      <c r="W41" s="237"/>
      <c r="X41" s="237"/>
      <c r="Y41" s="237"/>
      <c r="Z41" s="237"/>
      <c r="AA41" s="237"/>
      <c r="AB41" s="237"/>
      <c r="AC41" s="237"/>
    </row>
    <row r="42" spans="2:33" x14ac:dyDescent="0.25">
      <c r="B42" s="1293" t="s">
        <v>1709</v>
      </c>
      <c r="C42" s="1294"/>
      <c r="D42" s="1359" t="s">
        <v>1733</v>
      </c>
      <c r="E42" s="1360"/>
      <c r="F42" s="1360"/>
      <c r="G42" s="1360"/>
      <c r="H42" s="1360"/>
      <c r="I42" s="1360"/>
      <c r="J42" s="1360"/>
      <c r="K42" s="1360"/>
      <c r="L42" s="1360"/>
      <c r="M42" s="1360"/>
      <c r="N42" s="1360"/>
      <c r="O42" s="1360"/>
      <c r="P42" s="1360"/>
      <c r="Q42" s="1360"/>
      <c r="R42" s="1360"/>
      <c r="S42" s="1360"/>
      <c r="T42" s="1360"/>
      <c r="U42" s="1360"/>
      <c r="V42" s="1360"/>
      <c r="W42" s="1329" t="s">
        <v>1741</v>
      </c>
      <c r="X42" s="1329"/>
      <c r="Y42" s="1329"/>
      <c r="Z42" s="1329"/>
      <c r="AA42" s="1329"/>
      <c r="AB42" s="1329"/>
      <c r="AC42" s="1329"/>
      <c r="AD42" s="1329"/>
      <c r="AE42" s="1329"/>
      <c r="AF42" s="1329"/>
      <c r="AG42" s="1329"/>
    </row>
    <row r="43" spans="2:33" x14ac:dyDescent="0.25">
      <c r="B43" s="1295"/>
      <c r="C43" s="1296"/>
      <c r="D43" s="204">
        <v>2018</v>
      </c>
      <c r="E43" s="1290">
        <v>2019</v>
      </c>
      <c r="F43" s="1291"/>
      <c r="G43" s="1291"/>
      <c r="H43" s="1292"/>
      <c r="I43" s="1290">
        <v>2020</v>
      </c>
      <c r="J43" s="1291"/>
      <c r="K43" s="1291"/>
      <c r="L43" s="1291"/>
      <c r="M43" s="1290">
        <v>2021</v>
      </c>
      <c r="N43" s="1291"/>
      <c r="O43" s="1291"/>
      <c r="P43" s="1291"/>
      <c r="Q43" s="1302">
        <v>2022</v>
      </c>
      <c r="R43" s="1325"/>
      <c r="S43" s="1325"/>
      <c r="T43" s="1304"/>
      <c r="U43" s="229"/>
      <c r="V43" s="547">
        <v>2023</v>
      </c>
      <c r="W43" s="279"/>
      <c r="X43" s="279"/>
      <c r="Y43" s="1299">
        <v>2024</v>
      </c>
      <c r="Z43" s="1300"/>
      <c r="AA43" s="1300"/>
      <c r="AB43" s="1301"/>
      <c r="AC43" s="1299">
        <v>2025</v>
      </c>
      <c r="AD43" s="1300"/>
      <c r="AE43" s="1300"/>
      <c r="AF43" s="1300"/>
      <c r="AG43" s="241">
        <v>2026</v>
      </c>
    </row>
    <row r="44" spans="2:33" x14ac:dyDescent="0.25">
      <c r="B44" s="1297"/>
      <c r="C44" s="1298"/>
      <c r="D44" s="204" t="s">
        <v>282</v>
      </c>
      <c r="E44" s="204" t="s">
        <v>283</v>
      </c>
      <c r="F44" s="205" t="s">
        <v>284</v>
      </c>
      <c r="G44" s="205" t="s">
        <v>238</v>
      </c>
      <c r="H44" s="206" t="s">
        <v>282</v>
      </c>
      <c r="I44" s="205" t="s">
        <v>283</v>
      </c>
      <c r="J44" s="205" t="s">
        <v>284</v>
      </c>
      <c r="K44" s="205" t="s">
        <v>238</v>
      </c>
      <c r="L44" s="205" t="s">
        <v>282</v>
      </c>
      <c r="M44" s="204" t="s">
        <v>283</v>
      </c>
      <c r="N44" s="205" t="s">
        <v>284</v>
      </c>
      <c r="O44" s="205" t="s">
        <v>238</v>
      </c>
      <c r="P44" s="205" t="s">
        <v>282</v>
      </c>
      <c r="Q44" s="204" t="s">
        <v>283</v>
      </c>
      <c r="R44" s="205" t="s">
        <v>284</v>
      </c>
      <c r="S44" s="205" t="s">
        <v>238</v>
      </c>
      <c r="T44" s="206" t="s">
        <v>282</v>
      </c>
      <c r="U44" s="204" t="s">
        <v>283</v>
      </c>
      <c r="V44" s="205" t="s">
        <v>284</v>
      </c>
      <c r="W44" s="316" t="s">
        <v>238</v>
      </c>
      <c r="X44" s="316" t="s">
        <v>282</v>
      </c>
      <c r="Y44" s="423" t="s">
        <v>283</v>
      </c>
      <c r="Z44" s="323" t="s">
        <v>284</v>
      </c>
      <c r="AA44" s="316" t="s">
        <v>238</v>
      </c>
      <c r="AB44" s="422" t="s">
        <v>282</v>
      </c>
      <c r="AC44" s="259" t="s">
        <v>283</v>
      </c>
      <c r="AD44" s="316" t="s">
        <v>284</v>
      </c>
      <c r="AE44" s="316" t="s">
        <v>238</v>
      </c>
      <c r="AF44" s="316" t="s">
        <v>282</v>
      </c>
      <c r="AG44" s="262" t="s">
        <v>283</v>
      </c>
    </row>
    <row r="45" spans="2:33" x14ac:dyDescent="0.25">
      <c r="B45" s="912" t="s">
        <v>1933</v>
      </c>
      <c r="C45" s="927"/>
      <c r="D45" s="921">
        <f>('Haver Pivoted'!GO76+1)^4-1</f>
        <v>1.5264497223703488E-2</v>
      </c>
      <c r="E45" s="907">
        <f>('Haver Pivoted'!GP76+1)^4-1</f>
        <v>9.1895436648135043E-3</v>
      </c>
      <c r="F45" s="907">
        <f>('Haver Pivoted'!GQ76+1)^4-1</f>
        <v>2.1359335668051704E-2</v>
      </c>
      <c r="G45" s="907">
        <f>('Haver Pivoted'!GR76+1)^4-1</f>
        <v>9.7821561759856568E-3</v>
      </c>
      <c r="H45" s="907">
        <f>('Haver Pivoted'!GS76+1)^4-1</f>
        <v>1.5756743276972518E-2</v>
      </c>
      <c r="I45" s="907">
        <f>('Haver Pivoted'!GT76+1)^4-1</f>
        <v>1.2975809403218186E-2</v>
      </c>
      <c r="J45" s="907">
        <f>('Haver Pivoted'!GU76+1)^4-1</f>
        <v>-1.727886877748519E-2</v>
      </c>
      <c r="K45" s="907">
        <f>('Haver Pivoted'!GV76+1)^4-1</f>
        <v>3.3383553321530757E-2</v>
      </c>
      <c r="L45" s="907">
        <f>('Haver Pivoted'!GW76+1)^4-1</f>
        <v>2.0146820681233191E-2</v>
      </c>
      <c r="M45" s="907">
        <f>('Haver Pivoted'!GX76+1)^4-1</f>
        <v>4.7725552632172041E-2</v>
      </c>
      <c r="N45" s="907">
        <f>('Haver Pivoted'!GY76+1)^4-1</f>
        <v>6.2593648340676156E-2</v>
      </c>
      <c r="O45" s="907">
        <f>('Haver Pivoted'!GZ76+1)^4-1</f>
        <v>5.6496850547917088E-2</v>
      </c>
      <c r="P45" s="907">
        <f>('Haver Pivoted'!HA76+1)^4-1</f>
        <v>6.7608172830647684E-2</v>
      </c>
      <c r="Q45" s="907">
        <f>('Haver Pivoted'!HB76+1)^4-1</f>
        <v>7.6571358087944352E-2</v>
      </c>
      <c r="R45" s="907">
        <f>('Haver Pivoted'!HC76+1)^4-1</f>
        <v>7.1828427694202057E-2</v>
      </c>
      <c r="S45" s="922">
        <f>('Haver Pivoted'!HD76+1)^4-1</f>
        <v>4.6758931657381764E-2</v>
      </c>
      <c r="T45" s="906">
        <f>('Haver Pivoted'!HE76+1)^4-1</f>
        <v>4.1448566443352153E-2</v>
      </c>
      <c r="U45" s="922">
        <f>('Haver Pivoted'!HF76+1)^4-1</f>
        <v>4.1651997755371317E-2</v>
      </c>
      <c r="V45" s="922">
        <f>('Haver Pivoted'!HG76+1)^4-1</f>
        <v>2.4870541532459711E-2</v>
      </c>
      <c r="W45" s="922">
        <f>('Haver Pivoted'!HH76+1)^4-1</f>
        <v>2.5905176927918383E-2</v>
      </c>
      <c r="X45" s="922">
        <f>('Haver Pivoted'!HI76+1)^4-1</f>
        <v>1.7898288181300792E-2</v>
      </c>
      <c r="Y45" s="922">
        <f>('Haver Pivoted'!HJ76+1)^4-1</f>
        <v>3.3236788538757667E-2</v>
      </c>
      <c r="Z45" s="930">
        <f t="shared" ref="Z45:AF45" si="24">Z46+Z47</f>
        <v>4.4734749927778247E-2</v>
      </c>
      <c r="AA45" s="930">
        <f t="shared" si="24"/>
        <v>2.897464547214517E-2</v>
      </c>
      <c r="AB45" s="930">
        <f t="shared" si="24"/>
        <v>2.3485836297992498E-2</v>
      </c>
      <c r="AC45" s="930">
        <f t="shared" si="24"/>
        <v>2.1796033645922641E-2</v>
      </c>
      <c r="AD45" s="930">
        <f t="shared" si="24"/>
        <v>2.1576747995004641E-2</v>
      </c>
      <c r="AE45" s="930">
        <f t="shared" si="24"/>
        <v>2.0708760783051394E-2</v>
      </c>
      <c r="AF45" s="930">
        <f t="shared" si="24"/>
        <v>2.0110814282412459E-2</v>
      </c>
      <c r="AG45" s="930">
        <f t="shared" ref="AG45" si="25">AG46+AG47</f>
        <v>1.9760549063349009E-2</v>
      </c>
    </row>
    <row r="46" spans="2:33" x14ac:dyDescent="0.25">
      <c r="B46" s="78" t="s">
        <v>1932</v>
      </c>
      <c r="C46" s="901" t="s">
        <v>1699</v>
      </c>
      <c r="D46" s="931">
        <f>('Haver Pivoted'!GO76+1)^4-1</f>
        <v>1.5264497223703488E-2</v>
      </c>
      <c r="E46" s="931">
        <f>('Haver Pivoted'!GP76+1)^4-1</f>
        <v>9.1895436648135043E-3</v>
      </c>
      <c r="F46" s="931">
        <f>('Haver Pivoted'!GQ76+1)^4-1</f>
        <v>2.1359335668051704E-2</v>
      </c>
      <c r="G46" s="931">
        <f>('Haver Pivoted'!GR76+1)^4-1</f>
        <v>9.7821561759856568E-3</v>
      </c>
      <c r="H46" s="931">
        <f>('Haver Pivoted'!GS76+1)^4-1</f>
        <v>1.5756743276972518E-2</v>
      </c>
      <c r="I46" s="931">
        <f>('Haver Pivoted'!GT76+1)^4-1</f>
        <v>1.2975809403218186E-2</v>
      </c>
      <c r="J46" s="931">
        <f>('Haver Pivoted'!GU76+1)^4-1</f>
        <v>-1.727886877748519E-2</v>
      </c>
      <c r="K46" s="931">
        <f>('Haver Pivoted'!GV76+1)^4-1</f>
        <v>3.3383553321530757E-2</v>
      </c>
      <c r="L46" s="931">
        <f>('Haver Pivoted'!GW76+1)^4-1</f>
        <v>2.0146820681233191E-2</v>
      </c>
      <c r="M46" s="931">
        <f>('Haver Pivoted'!GX76+1)^4-1</f>
        <v>4.7725552632172041E-2</v>
      </c>
      <c r="N46" s="931">
        <f>('Haver Pivoted'!GY76+1)^4-1</f>
        <v>6.2593648340676156E-2</v>
      </c>
      <c r="O46" s="931">
        <f>('Haver Pivoted'!GZ76+1)^4-1</f>
        <v>5.6496850547917088E-2</v>
      </c>
      <c r="P46" s="931">
        <f>('Haver Pivoted'!HA76+1)^4-1</f>
        <v>6.7608172830647684E-2</v>
      </c>
      <c r="Q46" s="931">
        <f>('Haver Pivoted'!HB76+1)^4-1</f>
        <v>7.6571358087944352E-2</v>
      </c>
      <c r="R46" s="931">
        <f>('Haver Pivoted'!HC76+1)^4-1</f>
        <v>7.1828427694202057E-2</v>
      </c>
      <c r="S46" s="931">
        <f>('Haver Pivoted'!HD76+1)^4-1</f>
        <v>4.6758931657381764E-2</v>
      </c>
      <c r="T46" s="931">
        <f>('Haver Pivoted'!HE76+1)^4-1</f>
        <v>4.1448566443352153E-2</v>
      </c>
      <c r="U46" s="931">
        <f>('Haver Pivoted'!HF76+1)^4-1</f>
        <v>4.1651997755371317E-2</v>
      </c>
      <c r="V46" s="931">
        <f>('Haver Pivoted'!HG76+1)^4-1</f>
        <v>2.4870541532459711E-2</v>
      </c>
      <c r="W46" s="931">
        <f>('Haver Pivoted'!HH76+1)^4-1</f>
        <v>2.5905176927918383E-2</v>
      </c>
      <c r="X46" s="931">
        <f>('Haver Pivoted'!HI76+1)^4-1</f>
        <v>1.7898288181300792E-2</v>
      </c>
      <c r="Y46" s="899">
        <f>(Y71/X71)^4-1</f>
        <v>3.3974968431316865E-2</v>
      </c>
      <c r="Z46" s="899">
        <f t="shared" ref="Z46:AG46" si="26">(Z71/Y71)^4-1</f>
        <v>3.173474992777825E-2</v>
      </c>
      <c r="AA46" s="899">
        <f t="shared" si="26"/>
        <v>2.2474645472145172E-2</v>
      </c>
      <c r="AB46" s="899">
        <f t="shared" si="26"/>
        <v>2.0485836297992499E-2</v>
      </c>
      <c r="AC46" s="899">
        <f t="shared" si="26"/>
        <v>2.1796033645922641E-2</v>
      </c>
      <c r="AD46" s="899">
        <f t="shared" si="26"/>
        <v>2.1576747995004641E-2</v>
      </c>
      <c r="AE46" s="899">
        <f t="shared" si="26"/>
        <v>2.0708760783051394E-2</v>
      </c>
      <c r="AF46" s="899">
        <f t="shared" si="26"/>
        <v>2.0110814282412459E-2</v>
      </c>
      <c r="AG46" s="899">
        <f t="shared" si="26"/>
        <v>1.9760549063349009E-2</v>
      </c>
    </row>
    <row r="47" spans="2:33" x14ac:dyDescent="0.25">
      <c r="B47" s="78" t="s">
        <v>1934</v>
      </c>
      <c r="C47" s="901"/>
      <c r="D47" s="931"/>
      <c r="E47" s="899"/>
      <c r="F47" s="899"/>
      <c r="G47" s="899"/>
      <c r="H47" s="899"/>
      <c r="I47" s="899"/>
      <c r="J47" s="899"/>
      <c r="K47" s="899"/>
      <c r="L47" s="899"/>
      <c r="M47" s="899"/>
      <c r="N47" s="899"/>
      <c r="O47" s="899"/>
      <c r="P47" s="899"/>
      <c r="Q47" s="899"/>
      <c r="R47" s="899"/>
      <c r="S47" s="902"/>
      <c r="T47" s="902"/>
      <c r="U47" s="902"/>
      <c r="V47" s="902"/>
      <c r="W47" s="902"/>
      <c r="X47" s="902"/>
      <c r="Y47" s="902"/>
      <c r="Z47" s="899">
        <v>1.2999999999999999E-2</v>
      </c>
      <c r="AA47" s="899">
        <v>6.4999999999999997E-3</v>
      </c>
      <c r="AB47" s="899">
        <v>3.0000000000000001E-3</v>
      </c>
      <c r="AC47" s="899"/>
      <c r="AD47" s="899"/>
      <c r="AE47" s="899"/>
      <c r="AF47" s="899"/>
      <c r="AG47" s="899"/>
    </row>
    <row r="48" spans="2:33" x14ac:dyDescent="0.25">
      <c r="B48" s="47" t="s">
        <v>1711</v>
      </c>
      <c r="C48" s="901" t="s">
        <v>1700</v>
      </c>
      <c r="D48" s="931">
        <f>('Haver Pivoted'!GO77+1)^4-1</f>
        <v>2.9477765289275926E-2</v>
      </c>
      <c r="E48" s="899">
        <f>('Haver Pivoted'!GP77+1)^4-1</f>
        <v>4.2202135370129845E-2</v>
      </c>
      <c r="F48" s="899">
        <f>('Haver Pivoted'!GQ77+1)^4-1</f>
        <v>-2.3704834981612466E-2</v>
      </c>
      <c r="G48" s="899">
        <f>('Haver Pivoted'!GR77+1)^4-1</f>
        <v>6.4629467492742787E-3</v>
      </c>
      <c r="H48" s="899">
        <f>('Haver Pivoted'!GS77+1)^4-1</f>
        <v>1.3942439977386201E-2</v>
      </c>
      <c r="I48" s="899">
        <f>('Haver Pivoted'!GT77+1)^4-1</f>
        <v>1.2621468504538935E-2</v>
      </c>
      <c r="J48" s="899">
        <f>('Haver Pivoted'!GU77+1)^4-1</f>
        <v>9.5192305533120525E-4</v>
      </c>
      <c r="K48" s="899">
        <f>('Haver Pivoted'!GV77+1)^4-1</f>
        <v>2.3028813031033213E-2</v>
      </c>
      <c r="L48" s="899">
        <f>('Haver Pivoted'!GW77+1)^4-1</f>
        <v>2.9378026710950689E-2</v>
      </c>
      <c r="M48" s="899">
        <f>('Haver Pivoted'!GX77+1)^4-1</f>
        <v>3.4124335135575334E-2</v>
      </c>
      <c r="N48" s="899">
        <f>('Haver Pivoted'!GY77+1)^4-1</f>
        <v>3.9538213787325915E-2</v>
      </c>
      <c r="O48" s="899">
        <f>('Haver Pivoted'!GZ77+1)^4-1</f>
        <v>4.1165152093425528E-2</v>
      </c>
      <c r="P48" s="899">
        <f>('Haver Pivoted'!HA77+1)^4-1</f>
        <v>4.6364460300687638E-2</v>
      </c>
      <c r="Q48" s="899">
        <f>('Haver Pivoted'!HB77+1)^4-1</f>
        <v>7.2410998904413937E-2</v>
      </c>
      <c r="R48" s="899">
        <f>('Haver Pivoted'!HC77+1)^4-1</f>
        <v>6.8511037124212137E-2</v>
      </c>
      <c r="S48" s="902">
        <f>('Haver Pivoted'!HD77+1)^4-1</f>
        <v>4.8282007704063767E-2</v>
      </c>
      <c r="T48" s="902">
        <f>('Haver Pivoted'!HE77+1)^4-1</f>
        <v>4.093597497107293E-2</v>
      </c>
      <c r="U48" s="902">
        <f>('Haver Pivoted'!HF77+1)^4-1</f>
        <v>4.1330736826713066E-2</v>
      </c>
      <c r="V48" s="902">
        <f>('Haver Pivoted'!HG77+1)^4-1</f>
        <v>2.0643513935327373E-2</v>
      </c>
      <c r="W48" s="902">
        <f>('Haver Pivoted'!HH77+1)^4-1</f>
        <v>3.9726565698527727E-2</v>
      </c>
      <c r="X48" s="902">
        <f>('Haver Pivoted'!HI77+1)^4-1</f>
        <v>3.9575951716406488E-2</v>
      </c>
      <c r="Y48" s="902">
        <f>('Haver Pivoted'!HJ77+1)^4-1</f>
        <v>4.5585505578074503E-2</v>
      </c>
      <c r="Z48" s="899">
        <f>(Z72/Y72)^4-1+Z50</f>
        <v>4.599385238761787E-2</v>
      </c>
      <c r="AA48" s="899">
        <f t="shared" ref="AA48:AG48" si="27">(AA72/Z72)^4-1+AA50</f>
        <v>3.40058716937977E-2</v>
      </c>
      <c r="AB48" s="899">
        <f t="shared" si="27"/>
        <v>2.8438723088733627E-2</v>
      </c>
      <c r="AC48" s="899">
        <f t="shared" si="27"/>
        <v>2.4377163912874478E-2</v>
      </c>
      <c r="AD48" s="899">
        <f t="shared" si="27"/>
        <v>2.3708971853545924E-2</v>
      </c>
      <c r="AE48" s="899">
        <f t="shared" si="27"/>
        <v>2.3471980846518914E-2</v>
      </c>
      <c r="AF48" s="899">
        <f t="shared" si="27"/>
        <v>2.3530345294352939E-2</v>
      </c>
      <c r="AG48" s="899">
        <f t="shared" si="27"/>
        <v>1.7936865457563567E-2</v>
      </c>
    </row>
    <row r="49" spans="2:68" x14ac:dyDescent="0.25">
      <c r="B49" s="47" t="s">
        <v>1712</v>
      </c>
      <c r="C49" s="901" t="s">
        <v>1701</v>
      </c>
      <c r="D49" s="931">
        <f>('Haver Pivoted'!GO78+1)^4-1</f>
        <v>1.7606158659444704E-2</v>
      </c>
      <c r="E49" s="899">
        <f>('Haver Pivoted'!GP78+1)^4-1</f>
        <v>-1.7151418638734928E-2</v>
      </c>
      <c r="F49" s="899">
        <f>('Haver Pivoted'!GQ78+1)^4-1</f>
        <v>2.7663740902592604E-2</v>
      </c>
      <c r="G49" s="899">
        <f>('Haver Pivoted'!GR78+1)^4-1</f>
        <v>1.5104723907904294E-2</v>
      </c>
      <c r="H49" s="899">
        <f>('Haver Pivoted'!GS78+1)^4-1</f>
        <v>2.4480958799653285E-2</v>
      </c>
      <c r="I49" s="899">
        <f>('Haver Pivoted'!GT78+1)^4-1</f>
        <v>5.2574904831641067E-2</v>
      </c>
      <c r="J49" s="899">
        <f>('Haver Pivoted'!GU78+1)^4-1</f>
        <v>-8.4277759405785302E-3</v>
      </c>
      <c r="K49" s="899">
        <f>('Haver Pivoted'!GV78+1)^4-1</f>
        <v>4.907445416510936E-2</v>
      </c>
      <c r="L49" s="899">
        <f>('Haver Pivoted'!GW78+1)^4-1</f>
        <v>5.0954864858178572E-2</v>
      </c>
      <c r="M49" s="899">
        <f>('Haver Pivoted'!GX78+1)^4-1</f>
        <v>9.2354867824980369E-2</v>
      </c>
      <c r="N49" s="899">
        <f>('Haver Pivoted'!GY78+1)^4-1</f>
        <v>7.5885854631137173E-2</v>
      </c>
      <c r="O49" s="899">
        <f>('Haver Pivoted'!GZ78+1)^4-1</f>
        <v>6.4839018796936099E-2</v>
      </c>
      <c r="P49" s="899">
        <f>('Haver Pivoted'!HA78+1)^4-1</f>
        <v>7.8606616627874493E-2</v>
      </c>
      <c r="Q49" s="899">
        <f>('Haver Pivoted'!HB78+1)^4-1</f>
        <v>9.0996244334734522E-2</v>
      </c>
      <c r="R49" s="899">
        <f>('Haver Pivoted'!HC78+1)^4-1</f>
        <v>0.13763433325959551</v>
      </c>
      <c r="S49" s="902">
        <f>('Haver Pivoted'!HD78+1)^4-1</f>
        <v>1.6839709416048398E-2</v>
      </c>
      <c r="T49" s="902">
        <f>('Haver Pivoted'!HE78+1)^4-1</f>
        <v>2.7352303497218955E-2</v>
      </c>
      <c r="U49" s="902">
        <f>('Haver Pivoted'!HF78+1)^4-1</f>
        <v>-6.3056175150344451E-5</v>
      </c>
      <c r="V49" s="902">
        <f>('Haver Pivoted'!HG78+1)^4-1</f>
        <v>-2.8662130748749126E-2</v>
      </c>
      <c r="W49" s="902">
        <f>('Haver Pivoted'!HH78+1)^4-1</f>
        <v>5.7410273514926002E-2</v>
      </c>
      <c r="X49" s="902">
        <f>('Haver Pivoted'!HI78+1)^4-1</f>
        <v>6.4988621204677965E-3</v>
      </c>
      <c r="Y49" s="902">
        <f>('Haver Pivoted'!HJ78+1)^4-1</f>
        <v>3.8278674784178346E-2</v>
      </c>
      <c r="Z49" s="899">
        <f>(Z73/Y73)^4-1+Z50</f>
        <v>5.3269034245715038E-2</v>
      </c>
      <c r="AA49" s="899">
        <f t="shared" ref="AA49:AG49" si="28">(AA73/Z73)^4-1+AA50</f>
        <v>3.1224337980433163E-2</v>
      </c>
      <c r="AB49" s="899">
        <f t="shared" si="28"/>
        <v>2.6533565330379202E-2</v>
      </c>
      <c r="AC49" s="899">
        <f t="shared" si="28"/>
        <v>2.5821649071183117E-2</v>
      </c>
      <c r="AD49" s="899">
        <f t="shared" si="28"/>
        <v>2.5493967451795996E-2</v>
      </c>
      <c r="AE49" s="899">
        <f t="shared" si="28"/>
        <v>2.5095343044312823E-2</v>
      </c>
      <c r="AF49" s="899">
        <f t="shared" si="28"/>
        <v>2.4877364391311607E-2</v>
      </c>
      <c r="AG49" s="899">
        <f t="shared" si="28"/>
        <v>2.492676444114772E-2</v>
      </c>
    </row>
    <row r="50" spans="2:68" x14ac:dyDescent="0.25">
      <c r="B50" s="47" t="s">
        <v>1939</v>
      </c>
      <c r="C50" s="901"/>
      <c r="D50" s="931"/>
      <c r="E50" s="899"/>
      <c r="F50" s="899"/>
      <c r="G50" s="899"/>
      <c r="H50" s="899"/>
      <c r="I50" s="899"/>
      <c r="J50" s="899"/>
      <c r="K50" s="899"/>
      <c r="L50" s="899"/>
      <c r="M50" s="899"/>
      <c r="N50" s="899"/>
      <c r="O50" s="899"/>
      <c r="P50" s="899"/>
      <c r="Q50" s="899"/>
      <c r="R50" s="899"/>
      <c r="S50" s="902"/>
      <c r="T50" s="902"/>
      <c r="U50" s="902"/>
      <c r="V50" s="902"/>
      <c r="W50" s="902"/>
      <c r="X50" s="902"/>
      <c r="Y50" s="902"/>
      <c r="Z50" s="899">
        <f>Z47</f>
        <v>1.2999999999999999E-2</v>
      </c>
      <c r="AA50" s="899">
        <f>AA47</f>
        <v>6.4999999999999997E-3</v>
      </c>
      <c r="AB50" s="899">
        <f>AB47</f>
        <v>3.0000000000000001E-3</v>
      </c>
      <c r="AC50" s="899"/>
      <c r="AD50" s="899"/>
      <c r="AE50" s="899"/>
      <c r="AF50" s="899"/>
      <c r="AG50" s="899"/>
    </row>
    <row r="51" spans="2:68" x14ac:dyDescent="0.25">
      <c r="B51" s="47" t="s">
        <v>1713</v>
      </c>
      <c r="C51" s="901" t="s">
        <v>1702</v>
      </c>
      <c r="D51" s="931">
        <f>('Haver Pivoted'!GO79+1)^4-1</f>
        <v>1.2331231439726587E-2</v>
      </c>
      <c r="E51" s="899">
        <f>('Haver Pivoted'!GP79+1)^4-1</f>
        <v>-2.4548871147293649E-2</v>
      </c>
      <c r="F51" s="899">
        <f>('Haver Pivoted'!GQ79+1)^4-1</f>
        <v>2.4115177005201271E-2</v>
      </c>
      <c r="G51" s="899">
        <f>('Haver Pivoted'!GR79+1)^4-1</f>
        <v>1.4753974603383124E-2</v>
      </c>
      <c r="H51" s="899">
        <f>('Haver Pivoted'!GS79+1)^4-1</f>
        <v>2.894174832740215E-2</v>
      </c>
      <c r="I51" s="899">
        <f>('Haver Pivoted'!GT79+1)^4-1</f>
        <v>6.2522667611889737E-2</v>
      </c>
      <c r="J51" s="899">
        <f>('Haver Pivoted'!GU79+1)^4-1</f>
        <v>-7.4240991087901609E-3</v>
      </c>
      <c r="K51" s="899">
        <f>('Haver Pivoted'!GV79+1)^4-1</f>
        <v>5.0929448665746779E-2</v>
      </c>
      <c r="L51" s="899">
        <f>('Haver Pivoted'!GW79+1)^4-1</f>
        <v>5.7456046457014187E-2</v>
      </c>
      <c r="M51" s="899">
        <f>('Haver Pivoted'!GX79+1)^4-1</f>
        <v>9.8185028225247883E-2</v>
      </c>
      <c r="N51" s="899">
        <f>('Haver Pivoted'!GY79+1)^4-1</f>
        <v>7.1275335420445396E-2</v>
      </c>
      <c r="O51" s="899">
        <f>('Haver Pivoted'!GZ79+1)^4-1</f>
        <v>6.0639425152128945E-2</v>
      </c>
      <c r="P51" s="899">
        <f>('Haver Pivoted'!HA79+1)^4-1</f>
        <v>7.3083340350689641E-2</v>
      </c>
      <c r="Q51" s="899">
        <f>('Haver Pivoted'!HB79+1)^4-1</f>
        <v>8.7536929602414215E-2</v>
      </c>
      <c r="R51" s="899">
        <f>('Haver Pivoted'!HC79+1)^4-1</f>
        <v>0.14059958977185572</v>
      </c>
      <c r="S51" s="902">
        <f>('Haver Pivoted'!HD79+1)^4-1</f>
        <v>5.1674533625485353E-3</v>
      </c>
      <c r="T51" s="902">
        <f>('Haver Pivoted'!HE79+1)^4-1</f>
        <v>2.4708021569921135E-2</v>
      </c>
      <c r="U51" s="902">
        <f>('Haver Pivoted'!HF79+1)^4-1</f>
        <v>-1.0701402735953436E-2</v>
      </c>
      <c r="V51" s="902">
        <f>('Haver Pivoted'!HG79+1)^4-1</f>
        <v>-3.5605877057299118E-2</v>
      </c>
      <c r="W51" s="902">
        <f>('Haver Pivoted'!HH79+1)^4-1</f>
        <v>6.8186173678186135E-2</v>
      </c>
      <c r="X51" s="902">
        <f>('Haver Pivoted'!HI79+1)^4-1</f>
        <v>5.6734763882242412E-3</v>
      </c>
      <c r="Y51" s="902">
        <f>('Haver Pivoted'!HJ79+1)^4-1</f>
        <v>4.207521485108856E-2</v>
      </c>
      <c r="Z51" s="899">
        <f t="shared" ref="Z51:AF51" si="29">Z49</f>
        <v>5.3269034245715038E-2</v>
      </c>
      <c r="AA51" s="899">
        <f t="shared" si="29"/>
        <v>3.1224337980433163E-2</v>
      </c>
      <c r="AB51" s="899">
        <f t="shared" si="29"/>
        <v>2.6533565330379202E-2</v>
      </c>
      <c r="AC51" s="899">
        <f t="shared" si="29"/>
        <v>2.5821649071183117E-2</v>
      </c>
      <c r="AD51" s="899">
        <f t="shared" si="29"/>
        <v>2.5493967451795996E-2</v>
      </c>
      <c r="AE51" s="899">
        <f t="shared" si="29"/>
        <v>2.5095343044312823E-2</v>
      </c>
      <c r="AF51" s="899">
        <f t="shared" si="29"/>
        <v>2.4877364391311607E-2</v>
      </c>
      <c r="AG51" s="899">
        <f t="shared" ref="AG51" si="30">AG49</f>
        <v>2.492676444114772E-2</v>
      </c>
    </row>
    <row r="52" spans="2:68" x14ac:dyDescent="0.25">
      <c r="B52" s="309" t="s">
        <v>1714</v>
      </c>
      <c r="C52" s="928" t="s">
        <v>1703</v>
      </c>
      <c r="D52" s="878">
        <f>('Haver Pivoted'!GO80+1)^4-1</f>
        <v>4.0962242441666019E-2</v>
      </c>
      <c r="E52" s="879">
        <f>('Haver Pivoted'!GP80+1)^4-1</f>
        <v>1.5719050974356552E-2</v>
      </c>
      <c r="F52" s="879">
        <f>('Haver Pivoted'!GQ80+1)^4-1</f>
        <v>4.3088224053848823E-2</v>
      </c>
      <c r="G52" s="879">
        <f>('Haver Pivoted'!GR80+1)^4-1</f>
        <v>1.6823112159823461E-2</v>
      </c>
      <c r="H52" s="879">
        <f>('Haver Pivoted'!GS80+1)^4-1</f>
        <v>5.3982501773912617E-3</v>
      </c>
      <c r="I52" s="879">
        <f>('Haver Pivoted'!GT80+1)^4-1</f>
        <v>9.7871671399678561E-3</v>
      </c>
      <c r="J52" s="879">
        <f>('Haver Pivoted'!GU80+1)^4-1</f>
        <v>-1.264897125361697E-2</v>
      </c>
      <c r="K52" s="879">
        <f>('Haver Pivoted'!GV80+1)^4-1</f>
        <v>4.0611329344794056E-2</v>
      </c>
      <c r="L52" s="879">
        <f>('Haver Pivoted'!GW80+1)^4-1</f>
        <v>2.1607225299700827E-2</v>
      </c>
      <c r="M52" s="879">
        <f>('Haver Pivoted'!GX80+1)^4-1</f>
        <v>6.5587978667649205E-2</v>
      </c>
      <c r="N52" s="879">
        <f>('Haver Pivoted'!GY80+1)^4-1</f>
        <v>9.6562691223789132E-2</v>
      </c>
      <c r="O52" s="879">
        <f>('Haver Pivoted'!GZ80+1)^4-1</f>
        <v>8.4807929469169041E-2</v>
      </c>
      <c r="P52" s="879">
        <f>('Haver Pivoted'!HA80+1)^4-1</f>
        <v>0.1057724485451752</v>
      </c>
      <c r="Q52" s="879">
        <f>('Haver Pivoted'!HB80+1)^4-1</f>
        <v>0.10808480173082224</v>
      </c>
      <c r="R52" s="879">
        <f>('Haver Pivoted'!HC80+1)^4-1</f>
        <v>0.12258858608776269</v>
      </c>
      <c r="S52" s="920">
        <f>('Haver Pivoted'!HD80+1)^4-1</f>
        <v>7.7728691252704651E-2</v>
      </c>
      <c r="T52" s="920">
        <f>('Haver Pivoted'!HE80+1)^4-1</f>
        <v>4.0349668009795225E-2</v>
      </c>
      <c r="U52" s="920">
        <f>('Haver Pivoted'!HF80+1)^4-1</f>
        <v>5.1960248713186719E-2</v>
      </c>
      <c r="V52" s="920">
        <f>('Haver Pivoted'!HG80+1)^4-1</f>
        <v>3.571644947314212E-3</v>
      </c>
      <c r="W52" s="920">
        <f>('Haver Pivoted'!HH80+1)^4-1</f>
        <v>1.126058576943012E-2</v>
      </c>
      <c r="X52" s="920">
        <f>('Haver Pivoted'!HI80+1)^4-1</f>
        <v>1.0024676064772642E-2</v>
      </c>
      <c r="Y52" s="920">
        <f>('Haver Pivoted'!HJ80+1)^4-1</f>
        <v>2.2650991179657964E-2</v>
      </c>
      <c r="Z52" s="879">
        <f t="shared" ref="Z52:AF52" si="31">Z51</f>
        <v>5.3269034245715038E-2</v>
      </c>
      <c r="AA52" s="879">
        <f t="shared" si="31"/>
        <v>3.1224337980433163E-2</v>
      </c>
      <c r="AB52" s="879">
        <f t="shared" si="31"/>
        <v>2.6533565330379202E-2</v>
      </c>
      <c r="AC52" s="879">
        <f t="shared" si="31"/>
        <v>2.5821649071183117E-2</v>
      </c>
      <c r="AD52" s="879">
        <f t="shared" si="31"/>
        <v>2.5493967451795996E-2</v>
      </c>
      <c r="AE52" s="879">
        <f t="shared" si="31"/>
        <v>2.5095343044312823E-2</v>
      </c>
      <c r="AF52" s="879">
        <f t="shared" si="31"/>
        <v>2.4877364391311607E-2</v>
      </c>
      <c r="AG52" s="879">
        <f t="shared" ref="AG52" si="32">AG51</f>
        <v>2.492676444114772E-2</v>
      </c>
    </row>
    <row r="53" spans="2:68" x14ac:dyDescent="0.25">
      <c r="B53" s="35"/>
      <c r="C53" s="901"/>
      <c r="D53" s="899"/>
      <c r="E53" s="899"/>
      <c r="F53" s="899"/>
      <c r="G53" s="899"/>
      <c r="H53" s="899"/>
      <c r="I53" s="899"/>
      <c r="J53" s="899"/>
      <c r="K53" s="899"/>
      <c r="L53" s="899"/>
      <c r="M53" s="899"/>
      <c r="N53" s="899"/>
      <c r="O53" s="899"/>
      <c r="P53" s="899"/>
      <c r="Q53" s="899"/>
      <c r="R53" s="899"/>
      <c r="X53" s="899"/>
      <c r="AB53" s="899"/>
      <c r="AC53" s="899"/>
      <c r="AD53" s="899"/>
      <c r="AE53" s="899"/>
      <c r="AF53" s="899"/>
    </row>
    <row r="54" spans="2:68" x14ac:dyDescent="0.25">
      <c r="B54" s="35"/>
      <c r="C54" s="901"/>
      <c r="D54" s="899"/>
      <c r="E54" s="899"/>
      <c r="F54" s="899"/>
      <c r="G54" s="899"/>
      <c r="H54" s="899"/>
      <c r="I54" s="899"/>
      <c r="J54" s="899"/>
      <c r="K54" s="899"/>
      <c r="L54" s="899"/>
      <c r="M54" s="899"/>
      <c r="N54" s="899"/>
      <c r="O54" s="899"/>
      <c r="P54" s="899"/>
      <c r="Q54" s="899"/>
      <c r="R54" s="899"/>
      <c r="X54" s="899"/>
      <c r="AB54" s="899"/>
      <c r="AC54" s="899"/>
      <c r="AD54" s="899"/>
      <c r="AE54" s="899"/>
      <c r="AF54" s="899"/>
    </row>
    <row r="55" spans="2:68" x14ac:dyDescent="0.25">
      <c r="B55" s="35"/>
      <c r="C55" s="901"/>
      <c r="D55" s="899"/>
      <c r="E55" s="899"/>
      <c r="F55" s="899"/>
      <c r="G55" s="899"/>
      <c r="H55" s="899"/>
      <c r="I55" s="899"/>
      <c r="J55" s="899"/>
      <c r="K55" s="899"/>
      <c r="L55" s="899"/>
      <c r="M55" s="899"/>
      <c r="N55" s="899"/>
      <c r="O55" s="899"/>
      <c r="P55" s="899"/>
      <c r="Q55" s="899"/>
      <c r="R55" s="899"/>
      <c r="X55" s="899"/>
      <c r="AB55" s="899"/>
      <c r="AC55" s="899"/>
      <c r="AD55" s="899"/>
      <c r="AE55" s="899"/>
      <c r="AF55" s="899"/>
    </row>
    <row r="56" spans="2:68" x14ac:dyDescent="0.25">
      <c r="B56" s="35"/>
      <c r="C56" s="901"/>
      <c r="D56" s="899"/>
      <c r="E56" s="899"/>
      <c r="F56" s="899"/>
      <c r="G56" s="899"/>
      <c r="H56" s="899"/>
      <c r="I56" s="899"/>
      <c r="J56" s="899"/>
      <c r="K56" s="899"/>
      <c r="L56" s="899"/>
      <c r="M56" s="899"/>
      <c r="N56" s="899"/>
      <c r="O56" s="899"/>
      <c r="P56" s="899"/>
      <c r="Q56" s="899"/>
      <c r="R56" s="899"/>
      <c r="X56" s="899"/>
      <c r="AB56" s="899"/>
      <c r="AC56" s="899"/>
      <c r="AD56" s="899"/>
      <c r="AE56" s="899"/>
      <c r="AF56" s="899"/>
    </row>
    <row r="57" spans="2:68" x14ac:dyDescent="0.25">
      <c r="B57" s="35"/>
      <c r="C57" s="901"/>
      <c r="D57" s="899"/>
      <c r="E57" s="899"/>
      <c r="F57" s="899"/>
      <c r="G57" s="899"/>
      <c r="H57" s="899"/>
      <c r="I57" s="899"/>
      <c r="J57" s="899"/>
      <c r="K57" s="899"/>
      <c r="L57" s="899"/>
      <c r="M57" s="899"/>
      <c r="N57" s="899"/>
      <c r="O57" s="899"/>
      <c r="P57" s="899"/>
      <c r="Q57" s="899"/>
      <c r="R57" s="899"/>
      <c r="X57" s="899"/>
      <c r="AB57" s="899"/>
      <c r="AC57" s="899"/>
      <c r="AD57" s="899"/>
      <c r="AE57" s="899"/>
      <c r="AF57" s="899"/>
    </row>
    <row r="58" spans="2:68" x14ac:dyDescent="0.25">
      <c r="B58" s="35"/>
      <c r="C58" s="901"/>
      <c r="D58" s="899"/>
      <c r="E58" s="899"/>
      <c r="F58" s="899"/>
      <c r="G58" s="899"/>
      <c r="H58" s="899"/>
      <c r="I58" s="899"/>
      <c r="J58" s="899"/>
      <c r="K58" s="899"/>
      <c r="L58" s="899"/>
      <c r="M58" s="899"/>
      <c r="N58" s="899"/>
      <c r="O58" s="899"/>
      <c r="P58" s="899"/>
      <c r="Q58" s="899"/>
      <c r="R58" s="899"/>
      <c r="X58" s="899"/>
      <c r="AB58" s="899"/>
      <c r="AC58" s="899"/>
      <c r="AD58" s="899"/>
      <c r="AE58" s="899"/>
      <c r="AF58" s="899"/>
    </row>
    <row r="59" spans="2:68" x14ac:dyDescent="0.25">
      <c r="B59" s="35"/>
      <c r="C59" s="901"/>
      <c r="D59" s="899"/>
      <c r="E59" s="899"/>
      <c r="F59" s="899"/>
      <c r="G59" s="899"/>
      <c r="H59" s="899"/>
      <c r="I59" s="899"/>
      <c r="J59" s="899"/>
      <c r="K59" s="899"/>
      <c r="L59" s="899"/>
      <c r="M59" s="899"/>
      <c r="N59" s="899"/>
      <c r="O59" s="899"/>
      <c r="P59" s="899"/>
      <c r="Q59" s="899"/>
      <c r="R59" s="899"/>
      <c r="X59" s="899"/>
      <c r="AB59" s="899"/>
      <c r="AC59" s="899"/>
      <c r="AD59" s="899"/>
      <c r="AE59" s="899"/>
      <c r="AF59" s="899"/>
    </row>
    <row r="60" spans="2:68" x14ac:dyDescent="0.25">
      <c r="B60" s="35"/>
      <c r="C60" s="901"/>
      <c r="D60" s="899"/>
      <c r="E60" s="899"/>
      <c r="F60" s="899"/>
      <c r="G60" s="899"/>
      <c r="H60" s="899"/>
      <c r="I60" s="899"/>
      <c r="J60" s="899"/>
      <c r="K60" s="899"/>
      <c r="L60" s="899"/>
      <c r="M60" s="899"/>
      <c r="N60" s="899"/>
      <c r="O60" s="899"/>
      <c r="P60" s="899"/>
      <c r="Q60" s="899"/>
      <c r="R60" s="899"/>
      <c r="X60" s="899"/>
      <c r="Y60" s="899"/>
      <c r="Z60" s="899"/>
      <c r="AA60" s="899"/>
      <c r="AB60" s="899"/>
      <c r="AC60" s="899"/>
      <c r="AD60" s="899"/>
      <c r="AE60" s="899"/>
      <c r="AF60" s="899"/>
    </row>
    <row r="61" spans="2:68" ht="14.45" customHeight="1" x14ac:dyDescent="0.25">
      <c r="B61" s="1389" t="s">
        <v>1734</v>
      </c>
      <c r="C61" s="1389"/>
      <c r="D61" s="1389"/>
      <c r="E61" s="1389"/>
      <c r="F61" s="237"/>
      <c r="G61" s="237"/>
      <c r="H61" s="237"/>
      <c r="I61" s="237"/>
      <c r="J61" s="237"/>
      <c r="K61" s="237"/>
      <c r="L61" s="237"/>
      <c r="M61" s="237"/>
      <c r="N61" s="237"/>
      <c r="O61" s="237"/>
      <c r="P61" s="237"/>
      <c r="Q61" s="237"/>
      <c r="R61" s="237"/>
      <c r="S61" s="237"/>
      <c r="T61" s="237"/>
      <c r="U61" s="237"/>
      <c r="V61" s="237"/>
      <c r="W61" s="237"/>
      <c r="X61" s="237"/>
      <c r="Y61" s="237"/>
      <c r="Z61" s="237"/>
      <c r="AA61" s="237"/>
      <c r="AB61" s="237"/>
      <c r="AC61" s="237"/>
    </row>
    <row r="62" spans="2:68" ht="30" customHeight="1" x14ac:dyDescent="0.25">
      <c r="B62" s="891" t="s">
        <v>2279</v>
      </c>
      <c r="C62" s="919"/>
      <c r="D62" s="209">
        <v>2018</v>
      </c>
      <c r="E62" s="1302">
        <v>2019</v>
      </c>
      <c r="F62" s="1325"/>
      <c r="G62" s="1325"/>
      <c r="H62" s="1304"/>
      <c r="I62" s="1302">
        <v>2020</v>
      </c>
      <c r="J62" s="1325"/>
      <c r="K62" s="1325"/>
      <c r="L62" s="1325"/>
      <c r="M62" s="1302">
        <v>2021</v>
      </c>
      <c r="N62" s="1325"/>
      <c r="O62" s="1325"/>
      <c r="P62" s="1325"/>
      <c r="Q62" s="1319">
        <v>2022</v>
      </c>
      <c r="R62" s="1320"/>
      <c r="S62" s="278"/>
      <c r="T62" s="286"/>
      <c r="U62" s="229"/>
      <c r="V62" s="547">
        <v>2023</v>
      </c>
      <c r="W62" s="279"/>
      <c r="X62" s="279"/>
      <c r="Y62" s="1299">
        <v>2024</v>
      </c>
      <c r="Z62" s="1300"/>
      <c r="AA62" s="1300"/>
      <c r="AB62" s="1301"/>
      <c r="AC62" s="1299">
        <v>2025</v>
      </c>
      <c r="AD62" s="1300"/>
      <c r="AE62" s="1300"/>
      <c r="AF62" s="1301"/>
      <c r="AG62" s="241">
        <v>2026</v>
      </c>
    </row>
    <row r="63" spans="2:68" x14ac:dyDescent="0.25">
      <c r="B63" s="881"/>
      <c r="C63" s="230"/>
      <c r="D63" s="204" t="s">
        <v>282</v>
      </c>
      <c r="E63" s="204" t="s">
        <v>283</v>
      </c>
      <c r="F63" s="205" t="s">
        <v>284</v>
      </c>
      <c r="G63" s="205" t="s">
        <v>238</v>
      </c>
      <c r="H63" s="206" t="s">
        <v>282</v>
      </c>
      <c r="I63" s="205" t="s">
        <v>283</v>
      </c>
      <c r="J63" s="205" t="s">
        <v>284</v>
      </c>
      <c r="K63" s="205" t="s">
        <v>238</v>
      </c>
      <c r="L63" s="205" t="s">
        <v>282</v>
      </c>
      <c r="M63" s="204" t="s">
        <v>283</v>
      </c>
      <c r="N63" s="205" t="s">
        <v>284</v>
      </c>
      <c r="O63" s="205" t="s">
        <v>238</v>
      </c>
      <c r="P63" s="205" t="s">
        <v>282</v>
      </c>
      <c r="Q63" s="204" t="s">
        <v>283</v>
      </c>
      <c r="R63" s="205" t="s">
        <v>284</v>
      </c>
      <c r="S63" s="205" t="s">
        <v>238</v>
      </c>
      <c r="T63" s="206" t="s">
        <v>282</v>
      </c>
      <c r="U63" s="204" t="s">
        <v>283</v>
      </c>
      <c r="V63" s="205" t="s">
        <v>284</v>
      </c>
      <c r="W63" s="316" t="s">
        <v>238</v>
      </c>
      <c r="X63" s="316" t="s">
        <v>282</v>
      </c>
      <c r="Y63" s="423" t="s">
        <v>283</v>
      </c>
      <c r="Z63" s="323" t="s">
        <v>284</v>
      </c>
      <c r="AA63" s="316" t="s">
        <v>238</v>
      </c>
      <c r="AB63" s="422" t="s">
        <v>282</v>
      </c>
      <c r="AC63" s="423" t="s">
        <v>283</v>
      </c>
      <c r="AD63" s="316" t="s">
        <v>284</v>
      </c>
      <c r="AE63" s="316" t="s">
        <v>238</v>
      </c>
      <c r="AF63" s="422" t="s">
        <v>282</v>
      </c>
      <c r="AG63" s="262" t="s">
        <v>283</v>
      </c>
    </row>
    <row r="64" spans="2:68" ht="28.5" customHeight="1" x14ac:dyDescent="0.25">
      <c r="B64" s="469" t="s">
        <v>2278</v>
      </c>
      <c r="C64" s="35" t="s">
        <v>1716</v>
      </c>
      <c r="D64" s="224"/>
      <c r="E64" s="224"/>
      <c r="F64" s="224"/>
      <c r="G64" s="224"/>
      <c r="H64" s="224"/>
      <c r="I64" s="224"/>
      <c r="J64" s="224"/>
      <c r="K64" s="224"/>
      <c r="L64" s="224"/>
      <c r="M64" s="224">
        <v>15217.7</v>
      </c>
      <c r="N64" s="224">
        <v>15950.9</v>
      </c>
      <c r="O64" s="224">
        <v>16285.1</v>
      </c>
      <c r="P64" s="224">
        <v>16718.2</v>
      </c>
      <c r="Q64" s="224">
        <v>17030.599999999999</v>
      </c>
      <c r="R64" s="224">
        <v>17415.099999999999</v>
      </c>
      <c r="S64" s="429">
        <v>17684.2</v>
      </c>
      <c r="T64" s="429">
        <v>17917</v>
      </c>
      <c r="U64" s="429">
        <v>18269.599999999999</v>
      </c>
      <c r="V64" s="429">
        <v>18419</v>
      </c>
      <c r="W64" s="429">
        <v>18679.5</v>
      </c>
      <c r="X64" s="429">
        <v>18914.5</v>
      </c>
      <c r="Y64" s="429">
        <v>19191.599999999999</v>
      </c>
      <c r="Z64" s="429">
        <v>19506.599999999999</v>
      </c>
      <c r="AA64" s="429">
        <v>19739.8</v>
      </c>
      <c r="AB64" s="429">
        <v>19911.8</v>
      </c>
      <c r="AC64" s="429">
        <v>20098.5</v>
      </c>
      <c r="AD64" s="429">
        <v>20285.8</v>
      </c>
      <c r="AE64" s="429">
        <v>20464.099999999999</v>
      </c>
      <c r="AF64" s="429">
        <v>20636.599999999999</v>
      </c>
      <c r="AG64" s="429">
        <v>20786.400000000001</v>
      </c>
      <c r="AH64" s="1207">
        <v>20949.8</v>
      </c>
      <c r="AI64" s="1207">
        <v>21122.799999999999</v>
      </c>
      <c r="AJ64" s="1207">
        <v>21304.1</v>
      </c>
      <c r="AK64">
        <v>21479.7</v>
      </c>
      <c r="AL64">
        <v>21659.5</v>
      </c>
      <c r="AM64">
        <v>21842.799999999999</v>
      </c>
      <c r="AN64">
        <v>22030.5</v>
      </c>
      <c r="AO64">
        <v>22229.7</v>
      </c>
      <c r="AP64">
        <v>22441.1</v>
      </c>
      <c r="AQ64">
        <v>22659.200000000001</v>
      </c>
      <c r="AR64">
        <v>22881.599999999999</v>
      </c>
      <c r="AS64">
        <v>23107.1</v>
      </c>
      <c r="AT64">
        <v>23342.5</v>
      </c>
      <c r="AU64">
        <v>23580.400000000001</v>
      </c>
      <c r="AV64">
        <v>23821.599999999999</v>
      </c>
      <c r="AW64">
        <v>24060.6</v>
      </c>
      <c r="AX64">
        <v>24308.3</v>
      </c>
      <c r="AY64">
        <v>24560.1</v>
      </c>
      <c r="AZ64">
        <v>24811.200000000001</v>
      </c>
      <c r="BA64">
        <v>25066.3</v>
      </c>
      <c r="BB64">
        <v>25325.5</v>
      </c>
      <c r="BC64">
        <v>25589.4</v>
      </c>
      <c r="BD64">
        <v>25868.400000000001</v>
      </c>
      <c r="BE64">
        <v>26142.400000000001</v>
      </c>
      <c r="BF64">
        <v>26418</v>
      </c>
      <c r="BG64">
        <v>26693</v>
      </c>
      <c r="BH64">
        <v>26968</v>
      </c>
      <c r="BI64">
        <v>27246.7</v>
      </c>
      <c r="BJ64">
        <v>27528.2</v>
      </c>
      <c r="BK64">
        <v>27813.200000000001</v>
      </c>
      <c r="BL64">
        <v>28100.799999999999</v>
      </c>
      <c r="BM64">
        <v>28391.5</v>
      </c>
      <c r="BN64">
        <v>28683.8</v>
      </c>
      <c r="BO64">
        <v>28978.400000000001</v>
      </c>
      <c r="BP64">
        <v>29274.3</v>
      </c>
    </row>
    <row r="65" spans="2:68" ht="26.25" customHeight="1" x14ac:dyDescent="0.25">
      <c r="B65" s="882" t="s">
        <v>2280</v>
      </c>
      <c r="C65" s="35" t="s">
        <v>1717</v>
      </c>
      <c r="D65" s="47"/>
      <c r="E65" s="35"/>
      <c r="F65" s="35"/>
      <c r="G65" s="35"/>
      <c r="H65" s="35"/>
      <c r="I65" s="35"/>
      <c r="J65" s="35"/>
      <c r="K65" s="35"/>
      <c r="L65" s="35"/>
      <c r="M65" s="35">
        <v>1609.9</v>
      </c>
      <c r="N65" s="35">
        <v>1588.5</v>
      </c>
      <c r="O65" s="35">
        <v>1576.4</v>
      </c>
      <c r="P65" s="35">
        <v>1602.5</v>
      </c>
      <c r="Q65" s="35">
        <v>1601.7</v>
      </c>
      <c r="R65" s="35">
        <v>1612.3</v>
      </c>
      <c r="S65" s="429">
        <v>1636.3</v>
      </c>
      <c r="T65" s="429">
        <v>1691.8</v>
      </c>
      <c r="U65" s="429">
        <v>1730.6</v>
      </c>
      <c r="V65" s="429">
        <v>1744.3</v>
      </c>
      <c r="W65" s="429">
        <v>1791.9</v>
      </c>
      <c r="X65" s="429">
        <v>1820</v>
      </c>
      <c r="Y65" s="429">
        <v>1837.3</v>
      </c>
      <c r="Z65" s="429">
        <v>1825.6</v>
      </c>
      <c r="AA65" s="429">
        <v>1824.6</v>
      </c>
      <c r="AB65" s="429">
        <v>1842.6</v>
      </c>
      <c r="AC65" s="429">
        <v>1864.3</v>
      </c>
      <c r="AD65" s="429">
        <v>1886.9</v>
      </c>
      <c r="AE65" s="429">
        <v>1910.1</v>
      </c>
      <c r="AF65" s="429">
        <v>1923.8</v>
      </c>
      <c r="AG65" s="885">
        <v>1936.1</v>
      </c>
      <c r="AH65" s="885">
        <v>1950.7</v>
      </c>
      <c r="AI65" s="885">
        <v>1964.1</v>
      </c>
      <c r="AJ65" s="885">
        <v>1978.7</v>
      </c>
      <c r="AK65" s="885">
        <v>1993.5</v>
      </c>
      <c r="AL65" s="885">
        <v>2007</v>
      </c>
      <c r="AM65" s="885">
        <v>2019.8</v>
      </c>
      <c r="AN65" s="885">
        <v>2031.9</v>
      </c>
      <c r="AO65" s="885">
        <v>2043.4</v>
      </c>
      <c r="AP65">
        <v>2054.6</v>
      </c>
      <c r="AQ65">
        <v>2065.9</v>
      </c>
      <c r="AR65">
        <v>2077.3000000000002</v>
      </c>
      <c r="AS65">
        <v>2089.9</v>
      </c>
      <c r="AT65">
        <v>2102</v>
      </c>
      <c r="AU65">
        <v>2114.3000000000002</v>
      </c>
      <c r="AV65">
        <v>2125.1</v>
      </c>
      <c r="AW65">
        <v>2137.1999999999998</v>
      </c>
      <c r="AX65">
        <v>2149.5</v>
      </c>
      <c r="AY65">
        <v>2161.8000000000002</v>
      </c>
      <c r="AZ65">
        <v>2174.1999999999998</v>
      </c>
      <c r="BA65">
        <v>2187.3000000000002</v>
      </c>
      <c r="BB65">
        <v>2200.6</v>
      </c>
      <c r="BC65">
        <v>2213.9</v>
      </c>
      <c r="BD65">
        <v>2217.1999999999998</v>
      </c>
      <c r="BE65">
        <v>2226.4</v>
      </c>
      <c r="BF65">
        <v>2236.9</v>
      </c>
      <c r="BG65">
        <v>2250.1999999999998</v>
      </c>
      <c r="BH65">
        <v>2265.5</v>
      </c>
      <c r="BI65">
        <v>2280.5</v>
      </c>
      <c r="BJ65">
        <v>2294.6</v>
      </c>
      <c r="BK65">
        <v>2308.5</v>
      </c>
      <c r="BL65">
        <v>2322.1999999999998</v>
      </c>
      <c r="BM65">
        <v>2336</v>
      </c>
      <c r="BN65">
        <v>2350</v>
      </c>
      <c r="BO65">
        <v>2364</v>
      </c>
      <c r="BP65">
        <v>2378.5</v>
      </c>
    </row>
    <row r="66" spans="2:68" ht="26.25" customHeight="1" x14ac:dyDescent="0.25">
      <c r="B66" s="882" t="s">
        <v>2281</v>
      </c>
      <c r="C66" s="35" t="s">
        <v>1717</v>
      </c>
      <c r="D66" s="47"/>
      <c r="E66" s="35"/>
      <c r="F66" s="35"/>
      <c r="G66" s="35"/>
      <c r="H66" s="35"/>
      <c r="I66" s="35"/>
      <c r="J66" s="35"/>
      <c r="K66" s="35"/>
      <c r="L66" s="35"/>
      <c r="M66" s="35">
        <v>2533.9</v>
      </c>
      <c r="N66" s="35">
        <v>2571.6999999999998</v>
      </c>
      <c r="O66" s="35">
        <v>2625.1</v>
      </c>
      <c r="P66" s="35">
        <v>2664.2</v>
      </c>
      <c r="Q66" s="35">
        <v>2719.7</v>
      </c>
      <c r="R66" s="35">
        <v>2803.4</v>
      </c>
      <c r="S66" s="429">
        <v>2841.5</v>
      </c>
      <c r="T66" s="429">
        <v>2880.6</v>
      </c>
      <c r="U66" s="429">
        <v>2913.2</v>
      </c>
      <c r="V66" s="429">
        <v>2925.5</v>
      </c>
      <c r="W66" s="429">
        <v>3002.9</v>
      </c>
      <c r="X66" s="429">
        <v>3051.8</v>
      </c>
      <c r="Y66" s="429">
        <v>3094.7</v>
      </c>
      <c r="Z66" s="429">
        <v>3131</v>
      </c>
      <c r="AA66" s="429">
        <v>3158.7</v>
      </c>
      <c r="AB66" s="429">
        <v>3185.3</v>
      </c>
      <c r="AC66" s="429">
        <v>3213.1</v>
      </c>
      <c r="AD66" s="429">
        <v>3241</v>
      </c>
      <c r="AE66" s="429">
        <v>3268</v>
      </c>
      <c r="AF66" s="429">
        <v>3294.9</v>
      </c>
      <c r="AG66" s="886">
        <v>3323</v>
      </c>
      <c r="AH66" s="886">
        <v>3350.6</v>
      </c>
      <c r="AI66" s="886">
        <v>3378.6</v>
      </c>
      <c r="AJ66" s="886">
        <v>3406.2</v>
      </c>
      <c r="AK66" s="886">
        <v>3432.7</v>
      </c>
      <c r="AL66" s="886">
        <v>3459.9</v>
      </c>
      <c r="AM66" s="886">
        <v>3486.6</v>
      </c>
      <c r="AN66" s="886">
        <v>3513.5</v>
      </c>
      <c r="AO66" s="886">
        <v>3540.6</v>
      </c>
      <c r="AP66">
        <v>3567.5</v>
      </c>
      <c r="AQ66">
        <v>3594.6</v>
      </c>
      <c r="AR66">
        <v>3622.1</v>
      </c>
      <c r="AS66">
        <v>3649.4</v>
      </c>
      <c r="AT66">
        <v>3677.5</v>
      </c>
      <c r="AU66">
        <v>3705.3</v>
      </c>
      <c r="AV66">
        <v>3733.6</v>
      </c>
      <c r="AW66">
        <v>3762.8</v>
      </c>
      <c r="AX66">
        <v>3792.4</v>
      </c>
      <c r="AY66">
        <v>3822.3</v>
      </c>
      <c r="AZ66">
        <v>3852.7</v>
      </c>
      <c r="BA66">
        <v>3883.6</v>
      </c>
      <c r="BB66">
        <v>3915</v>
      </c>
      <c r="BC66">
        <v>3946.7</v>
      </c>
      <c r="BD66">
        <v>3978.2</v>
      </c>
      <c r="BE66">
        <v>4010.4</v>
      </c>
      <c r="BF66">
        <v>4043.1</v>
      </c>
      <c r="BG66">
        <v>4076.2</v>
      </c>
      <c r="BH66">
        <v>4109.7</v>
      </c>
      <c r="BI66">
        <v>4143.3999999999996</v>
      </c>
      <c r="BJ66">
        <v>4177.3999999999996</v>
      </c>
      <c r="BK66">
        <v>4211.7</v>
      </c>
      <c r="BL66">
        <v>4246.3</v>
      </c>
      <c r="BM66">
        <v>4281.3</v>
      </c>
      <c r="BN66">
        <v>4316.6000000000004</v>
      </c>
      <c r="BO66">
        <v>4352.2</v>
      </c>
      <c r="BP66">
        <v>4388.3</v>
      </c>
    </row>
    <row r="67" spans="2:68" ht="26.25" customHeight="1" x14ac:dyDescent="0.25">
      <c r="B67" s="882" t="s">
        <v>2282</v>
      </c>
      <c r="C67" s="35" t="s">
        <v>1718</v>
      </c>
      <c r="D67" s="47"/>
      <c r="E67" s="35"/>
      <c r="F67" s="35"/>
      <c r="G67" s="35"/>
      <c r="H67" s="35"/>
      <c r="I67" s="35"/>
      <c r="J67" s="35"/>
      <c r="K67" s="35"/>
      <c r="L67" s="35"/>
      <c r="M67" s="35">
        <v>14282.6</v>
      </c>
      <c r="N67" s="35">
        <v>14745.6</v>
      </c>
      <c r="O67" s="35">
        <v>14848.8</v>
      </c>
      <c r="P67" s="35">
        <v>14995.6</v>
      </c>
      <c r="Q67" s="35">
        <v>14995.2</v>
      </c>
      <c r="R67" s="35">
        <v>15069.2</v>
      </c>
      <c r="S67" s="429">
        <v>15127.4</v>
      </c>
      <c r="T67" s="429">
        <v>15171.4</v>
      </c>
      <c r="U67" s="429">
        <v>15312.9</v>
      </c>
      <c r="V67" s="429">
        <v>15343.6</v>
      </c>
      <c r="W67" s="429">
        <v>15461.4</v>
      </c>
      <c r="X67" s="429">
        <v>15586.7</v>
      </c>
      <c r="Y67" s="429">
        <v>15683.5</v>
      </c>
      <c r="Z67" s="429">
        <v>15816.9</v>
      </c>
      <c r="AA67" s="429">
        <v>15917.3</v>
      </c>
      <c r="AB67" s="429">
        <v>15974.8</v>
      </c>
      <c r="AC67" s="429">
        <v>16037.9</v>
      </c>
      <c r="AD67" s="429">
        <v>16101.2</v>
      </c>
      <c r="AE67" s="429">
        <v>16159.7</v>
      </c>
      <c r="AF67" s="429">
        <v>16215</v>
      </c>
      <c r="AG67" s="886">
        <v>16253</v>
      </c>
      <c r="AH67" s="886">
        <v>16301.8</v>
      </c>
      <c r="AI67" s="886">
        <v>16358</v>
      </c>
      <c r="AJ67" s="886">
        <v>16420.5</v>
      </c>
      <c r="AK67" s="886">
        <v>16477.900000000001</v>
      </c>
      <c r="AL67" s="886">
        <v>16537.599999999999</v>
      </c>
      <c r="AM67" s="886">
        <v>16599.099999999999</v>
      </c>
      <c r="AN67" s="886">
        <v>16662.8</v>
      </c>
      <c r="AO67" s="886">
        <v>16733.8</v>
      </c>
      <c r="AP67">
        <v>16812.400000000001</v>
      </c>
      <c r="AQ67">
        <v>16894.599999999999</v>
      </c>
      <c r="AR67">
        <v>16978.599999999999</v>
      </c>
      <c r="AS67">
        <v>17063.400000000001</v>
      </c>
      <c r="AT67">
        <v>17154.2</v>
      </c>
      <c r="AU67">
        <v>17245.5</v>
      </c>
      <c r="AV67">
        <v>17337.8</v>
      </c>
      <c r="AW67">
        <v>17427.2</v>
      </c>
      <c r="AX67">
        <v>17521.400000000001</v>
      </c>
      <c r="AY67">
        <v>17617.400000000001</v>
      </c>
      <c r="AZ67">
        <v>17711.400000000001</v>
      </c>
      <c r="BA67">
        <v>17807</v>
      </c>
      <c r="BB67">
        <v>17904.099999999999</v>
      </c>
      <c r="BC67">
        <v>18003.099999999999</v>
      </c>
      <c r="BD67">
        <v>18111.400000000001</v>
      </c>
      <c r="BE67">
        <v>18214.599999999999</v>
      </c>
      <c r="BF67">
        <v>18317.5</v>
      </c>
      <c r="BG67">
        <v>18418.599999999999</v>
      </c>
      <c r="BH67">
        <v>18518.3</v>
      </c>
      <c r="BI67">
        <v>18619.099999999999</v>
      </c>
      <c r="BJ67">
        <v>18720.3</v>
      </c>
      <c r="BK67">
        <v>18822.599999999999</v>
      </c>
      <c r="BL67">
        <v>18925.099999999999</v>
      </c>
      <c r="BM67">
        <v>19028.3</v>
      </c>
      <c r="BN67">
        <v>19131.099999999999</v>
      </c>
      <c r="BO67">
        <v>19234</v>
      </c>
      <c r="BP67">
        <v>19336.3</v>
      </c>
    </row>
    <row r="68" spans="2:68" ht="26.25" customHeight="1" x14ac:dyDescent="0.25">
      <c r="B68" s="882" t="s">
        <v>2283</v>
      </c>
      <c r="C68" s="35" t="s">
        <v>1719</v>
      </c>
      <c r="D68" s="47"/>
      <c r="E68" s="35"/>
      <c r="F68" s="35"/>
      <c r="G68" s="35"/>
      <c r="H68" s="35"/>
      <c r="I68" s="35"/>
      <c r="J68" s="35"/>
      <c r="K68" s="35"/>
      <c r="L68" s="35"/>
      <c r="M68" s="35">
        <v>1499.1</v>
      </c>
      <c r="N68" s="35">
        <v>1464.8</v>
      </c>
      <c r="O68" s="35">
        <v>1439.1</v>
      </c>
      <c r="P68" s="35">
        <v>1446.5</v>
      </c>
      <c r="Q68" s="35">
        <v>1420.9</v>
      </c>
      <c r="R68" s="35">
        <v>1406.9</v>
      </c>
      <c r="S68" s="429">
        <v>1411.2</v>
      </c>
      <c r="T68" s="429">
        <v>1444.5</v>
      </c>
      <c r="U68" s="429">
        <v>1462.8</v>
      </c>
      <c r="V68" s="429">
        <v>1466.9</v>
      </c>
      <c r="W68" s="429">
        <v>1492.3</v>
      </c>
      <c r="X68" s="429">
        <v>1501</v>
      </c>
      <c r="Y68" s="429">
        <v>1500.1</v>
      </c>
      <c r="Z68" s="429">
        <v>1478.5</v>
      </c>
      <c r="AA68" s="429">
        <v>1467.7</v>
      </c>
      <c r="AB68" s="429">
        <v>1472.9</v>
      </c>
      <c r="AC68" s="429">
        <v>1481.3</v>
      </c>
      <c r="AD68" s="429">
        <v>1490.5</v>
      </c>
      <c r="AE68" s="429">
        <v>1500.1</v>
      </c>
      <c r="AF68" s="429">
        <v>1502.1</v>
      </c>
      <c r="AG68" s="886">
        <v>1505</v>
      </c>
      <c r="AH68" s="886">
        <v>1509.3</v>
      </c>
      <c r="AI68" s="886">
        <v>1512.2</v>
      </c>
      <c r="AJ68" s="886">
        <v>1515.8</v>
      </c>
      <c r="AK68" s="886">
        <v>1519.3</v>
      </c>
      <c r="AL68" s="886">
        <v>1521.8</v>
      </c>
      <c r="AM68" s="886">
        <v>1523.6</v>
      </c>
      <c r="AN68" s="886">
        <v>1524.3</v>
      </c>
      <c r="AO68" s="886">
        <v>1524.7</v>
      </c>
      <c r="AP68">
        <v>1524.6</v>
      </c>
      <c r="AQ68">
        <v>1524.6</v>
      </c>
      <c r="AR68">
        <v>1524.6</v>
      </c>
      <c r="AS68">
        <v>1525.5</v>
      </c>
      <c r="AT68">
        <v>1526.2</v>
      </c>
      <c r="AU68">
        <v>1526.9</v>
      </c>
      <c r="AV68">
        <v>1526.5</v>
      </c>
      <c r="AW68">
        <v>1527.3</v>
      </c>
      <c r="AX68">
        <v>1528</v>
      </c>
      <c r="AY68">
        <v>1528.7</v>
      </c>
      <c r="AZ68">
        <v>1529.4</v>
      </c>
      <c r="BA68">
        <v>1530.5</v>
      </c>
      <c r="BB68">
        <v>1531.7</v>
      </c>
      <c r="BC68">
        <v>1532.9</v>
      </c>
      <c r="BD68">
        <v>1527.2</v>
      </c>
      <c r="BE68">
        <v>1526</v>
      </c>
      <c r="BF68">
        <v>1525.5</v>
      </c>
      <c r="BG68">
        <v>1526.8</v>
      </c>
      <c r="BH68">
        <v>1529.1</v>
      </c>
      <c r="BI68">
        <v>1531.1</v>
      </c>
      <c r="BJ68">
        <v>1532.5</v>
      </c>
      <c r="BK68">
        <v>1533.6</v>
      </c>
      <c r="BL68">
        <v>1534.6</v>
      </c>
      <c r="BM68">
        <v>1535.6</v>
      </c>
      <c r="BN68">
        <v>1536.6</v>
      </c>
      <c r="BO68">
        <v>1537.6</v>
      </c>
      <c r="BP68">
        <v>1538.9</v>
      </c>
    </row>
    <row r="69" spans="2:68" ht="26.1" customHeight="1" x14ac:dyDescent="0.25">
      <c r="B69" s="882" t="s">
        <v>2284</v>
      </c>
      <c r="C69" s="36" t="s">
        <v>1720</v>
      </c>
      <c r="D69" s="47"/>
      <c r="E69" s="35"/>
      <c r="F69" s="35"/>
      <c r="G69" s="35"/>
      <c r="H69" s="35"/>
      <c r="I69" s="35"/>
      <c r="J69" s="35"/>
      <c r="K69" s="35"/>
      <c r="L69" s="35"/>
      <c r="M69" s="35">
        <v>2247</v>
      </c>
      <c r="N69" s="35">
        <v>2239.1999999999998</v>
      </c>
      <c r="O69" s="35">
        <v>2250.1</v>
      </c>
      <c r="P69" s="35">
        <v>2240.9</v>
      </c>
      <c r="Q69" s="35">
        <v>2238.4</v>
      </c>
      <c r="R69" s="35">
        <v>2234.1</v>
      </c>
      <c r="S69" s="429">
        <v>2255.1</v>
      </c>
      <c r="T69" s="429">
        <v>2270.8000000000002</v>
      </c>
      <c r="U69" s="429">
        <v>2296.5</v>
      </c>
      <c r="V69" s="429">
        <v>2323</v>
      </c>
      <c r="W69" s="429">
        <v>2351.4</v>
      </c>
      <c r="X69" s="429">
        <v>2385.9</v>
      </c>
      <c r="Y69" s="429">
        <v>2397.9</v>
      </c>
      <c r="Z69" s="429">
        <v>2402.1999999999998</v>
      </c>
      <c r="AA69" s="429">
        <v>2408.6999999999998</v>
      </c>
      <c r="AB69" s="429">
        <v>2414.9</v>
      </c>
      <c r="AC69" s="429">
        <v>2420.5</v>
      </c>
      <c r="AD69" s="429">
        <v>2426.1999999999998</v>
      </c>
      <c r="AE69" s="429">
        <v>2431.3000000000002</v>
      </c>
      <c r="AF69" s="429">
        <v>2436.3000000000002</v>
      </c>
      <c r="AG69" s="1207">
        <v>2442</v>
      </c>
      <c r="AH69" s="1207">
        <v>2447.1</v>
      </c>
      <c r="AI69" s="1207">
        <v>2452.1</v>
      </c>
      <c r="AJ69" s="1207">
        <v>2456.6999999999998</v>
      </c>
      <c r="AK69" s="886">
        <v>2460.3000000000002</v>
      </c>
      <c r="AL69" s="886">
        <v>2464.1</v>
      </c>
      <c r="AM69" s="886">
        <v>2467.3000000000002</v>
      </c>
      <c r="AN69" s="886">
        <v>2470.4</v>
      </c>
      <c r="AO69" s="886">
        <v>2473.3000000000002</v>
      </c>
      <c r="AP69">
        <v>2475.6</v>
      </c>
      <c r="AQ69">
        <v>2477.6999999999998</v>
      </c>
      <c r="AR69">
        <v>2479.6999999999998</v>
      </c>
      <c r="AS69">
        <v>2481.3000000000002</v>
      </c>
      <c r="AT69">
        <v>2483.3000000000002</v>
      </c>
      <c r="AU69">
        <v>2484.8000000000002</v>
      </c>
      <c r="AV69">
        <v>2486.4</v>
      </c>
      <c r="AW69">
        <v>2488.4</v>
      </c>
      <c r="AX69">
        <v>2490.4</v>
      </c>
      <c r="AY69">
        <v>2492.5</v>
      </c>
      <c r="AZ69">
        <v>2494.6999999999998</v>
      </c>
      <c r="BA69">
        <v>2497.1</v>
      </c>
      <c r="BB69">
        <v>2499.5</v>
      </c>
      <c r="BC69">
        <v>2502</v>
      </c>
      <c r="BD69">
        <v>2504.1</v>
      </c>
      <c r="BE69">
        <v>2506.4</v>
      </c>
      <c r="BF69">
        <v>2508.8000000000002</v>
      </c>
      <c r="BG69">
        <v>2511.3000000000002</v>
      </c>
      <c r="BH69">
        <v>2513.9</v>
      </c>
      <c r="BI69">
        <v>2516.3000000000002</v>
      </c>
      <c r="BJ69">
        <v>2518.8000000000002</v>
      </c>
      <c r="BK69">
        <v>2521.1999999999998</v>
      </c>
      <c r="BL69">
        <v>2523.5</v>
      </c>
      <c r="BM69">
        <v>2525.8000000000002</v>
      </c>
      <c r="BN69">
        <v>2528</v>
      </c>
      <c r="BO69">
        <v>2530.1</v>
      </c>
      <c r="BP69">
        <v>2532.3000000000002</v>
      </c>
    </row>
    <row r="70" spans="2:68" x14ac:dyDescent="0.25">
      <c r="B70" s="892"/>
      <c r="C70" s="893"/>
      <c r="D70" s="923"/>
      <c r="E70" s="923"/>
      <c r="F70" s="923"/>
      <c r="G70" s="923"/>
      <c r="H70" s="923"/>
      <c r="I70" s="923"/>
      <c r="J70" s="923"/>
      <c r="K70" s="923"/>
      <c r="L70" s="923"/>
      <c r="M70" s="923"/>
      <c r="N70" s="923"/>
      <c r="O70" s="923"/>
      <c r="P70" s="923"/>
      <c r="Q70" s="923"/>
      <c r="R70" s="923"/>
      <c r="S70" s="923"/>
      <c r="T70" s="924" t="s">
        <v>1706</v>
      </c>
      <c r="U70" s="894"/>
      <c r="V70" s="894"/>
      <c r="W70" s="894"/>
      <c r="X70" s="894"/>
      <c r="Y70" s="894"/>
      <c r="Z70" s="894"/>
      <c r="AA70" s="894"/>
      <c r="AB70" s="894"/>
      <c r="AC70" s="894"/>
      <c r="AD70" s="894"/>
      <c r="AE70" s="894"/>
      <c r="AF70" s="895"/>
      <c r="AG70" s="230"/>
      <c r="AH70" s="230"/>
      <c r="AI70" s="230"/>
      <c r="AJ70" s="230"/>
      <c r="AK70" s="230"/>
      <c r="AL70" s="230"/>
      <c r="AM70" s="230"/>
      <c r="AN70" s="230"/>
      <c r="AO70" s="230"/>
      <c r="AP70" s="35"/>
      <c r="AQ70" s="35"/>
      <c r="AR70" s="35"/>
      <c r="AS70" s="35"/>
      <c r="AT70" s="35"/>
      <c r="AU70" s="35"/>
      <c r="AV70" s="35"/>
    </row>
    <row r="71" spans="2:68" x14ac:dyDescent="0.25">
      <c r="B71" s="912" t="s">
        <v>1710</v>
      </c>
      <c r="C71" s="437"/>
      <c r="D71" s="438"/>
      <c r="E71" s="438"/>
      <c r="F71" s="438"/>
      <c r="G71" s="438"/>
      <c r="H71" s="438"/>
      <c r="I71" s="438"/>
      <c r="J71" s="438"/>
      <c r="K71" s="438"/>
      <c r="L71" s="438"/>
      <c r="M71" s="438"/>
      <c r="N71" s="438"/>
      <c r="O71" s="438"/>
      <c r="P71" s="438"/>
      <c r="Q71" s="438"/>
      <c r="R71" s="438"/>
      <c r="S71" s="888">
        <f t="shared" ref="S71:AF71" si="33">S64/S67</f>
        <v>1.1690178087443976</v>
      </c>
      <c r="T71" s="888">
        <f t="shared" si="33"/>
        <v>1.1809720922261624</v>
      </c>
      <c r="U71" s="888">
        <f t="shared" si="33"/>
        <v>1.1930855683769892</v>
      </c>
      <c r="V71" s="888">
        <f>V64/V67</f>
        <v>1.2004353606715503</v>
      </c>
      <c r="W71" s="888">
        <f t="shared" si="33"/>
        <v>1.208137684815088</v>
      </c>
      <c r="X71" s="888">
        <f t="shared" si="33"/>
        <v>1.2135025374197232</v>
      </c>
      <c r="Y71" s="888">
        <f t="shared" si="33"/>
        <v>1.2236809385660088</v>
      </c>
      <c r="Z71" s="888">
        <f t="shared" si="33"/>
        <v>1.233275799935512</v>
      </c>
      <c r="AA71" s="888">
        <f t="shared" si="33"/>
        <v>1.2401475124550019</v>
      </c>
      <c r="AB71" s="888">
        <f t="shared" si="33"/>
        <v>1.246450659789168</v>
      </c>
      <c r="AC71" s="888">
        <f t="shared" si="33"/>
        <v>1.2531877614899707</v>
      </c>
      <c r="AD71" s="888">
        <f t="shared" si="33"/>
        <v>1.2598936725213026</v>
      </c>
      <c r="AE71" s="888">
        <f t="shared" si="33"/>
        <v>1.2663663310581259</v>
      </c>
      <c r="AF71" s="925">
        <f t="shared" si="33"/>
        <v>1.2726857847671909</v>
      </c>
      <c r="AG71" s="925">
        <f>AG64/AG67</f>
        <v>1.2789269673291086</v>
      </c>
      <c r="AH71" s="925"/>
      <c r="AI71" s="925"/>
      <c r="AJ71" s="925"/>
      <c r="AK71" s="885"/>
      <c r="AL71" s="885"/>
      <c r="AM71" s="885"/>
      <c r="AN71" s="885"/>
      <c r="AO71" s="885"/>
    </row>
    <row r="72" spans="2:68" x14ac:dyDescent="0.25">
      <c r="B72" s="47" t="s">
        <v>1711</v>
      </c>
      <c r="C72" s="214"/>
      <c r="D72" s="35"/>
      <c r="E72" s="35"/>
      <c r="F72" s="35"/>
      <c r="G72" s="35"/>
      <c r="H72" s="35"/>
      <c r="I72" s="35"/>
      <c r="J72" s="35"/>
      <c r="K72" s="35"/>
      <c r="L72" s="35"/>
      <c r="M72" s="35"/>
      <c r="N72" s="35"/>
      <c r="O72" s="35"/>
      <c r="P72" s="35"/>
      <c r="Q72" s="35"/>
      <c r="R72" s="35"/>
      <c r="S72" s="884">
        <f t="shared" ref="S72:AF72" si="34">S65/S68</f>
        <v>1.1595096371882085</v>
      </c>
      <c r="T72" s="884">
        <f t="shared" si="34"/>
        <v>1.1712011076497058</v>
      </c>
      <c r="U72" s="884">
        <f t="shared" si="34"/>
        <v>1.1830735575608422</v>
      </c>
      <c r="V72" s="884">
        <f t="shared" si="34"/>
        <v>1.1891062785465947</v>
      </c>
      <c r="W72" s="884">
        <f t="shared" si="34"/>
        <v>1.2007639214635129</v>
      </c>
      <c r="X72" s="884">
        <f t="shared" si="34"/>
        <v>1.2125249833444371</v>
      </c>
      <c r="Y72" s="884">
        <f t="shared" si="34"/>
        <v>1.224785014332378</v>
      </c>
      <c r="Z72" s="884">
        <f t="shared" si="34"/>
        <v>1.2347649644910381</v>
      </c>
      <c r="AA72" s="884">
        <f t="shared" si="34"/>
        <v>1.2431695850650677</v>
      </c>
      <c r="AB72" s="884">
        <f t="shared" si="34"/>
        <v>1.2510014257587072</v>
      </c>
      <c r="AC72" s="884">
        <f t="shared" si="34"/>
        <v>1.258556673192466</v>
      </c>
      <c r="AD72" s="884">
        <f t="shared" si="34"/>
        <v>1.2659510231465951</v>
      </c>
      <c r="AE72" s="884">
        <f t="shared" si="34"/>
        <v>1.273315112325845</v>
      </c>
      <c r="AF72" s="889">
        <f t="shared" si="34"/>
        <v>1.2807402969176487</v>
      </c>
      <c r="AG72" s="889">
        <f>AG65/AG68</f>
        <v>1.2864451827242525</v>
      </c>
      <c r="AH72" s="886"/>
      <c r="AI72" s="886"/>
      <c r="AJ72" s="886"/>
      <c r="AK72" s="886"/>
      <c r="AL72" s="886"/>
      <c r="AM72" s="886"/>
      <c r="AN72" s="886"/>
      <c r="AO72" s="886"/>
    </row>
    <row r="73" spans="2:68" x14ac:dyDescent="0.25">
      <c r="B73" s="309" t="s">
        <v>1712</v>
      </c>
      <c r="C73" s="215"/>
      <c r="D73" s="36"/>
      <c r="E73" s="36"/>
      <c r="F73" s="36"/>
      <c r="G73" s="36"/>
      <c r="H73" s="36"/>
      <c r="I73" s="36"/>
      <c r="J73" s="36"/>
      <c r="K73" s="36"/>
      <c r="L73" s="36"/>
      <c r="M73" s="36"/>
      <c r="N73" s="36"/>
      <c r="O73" s="36"/>
      <c r="P73" s="36"/>
      <c r="Q73" s="36"/>
      <c r="R73" s="36"/>
      <c r="S73" s="887">
        <f t="shared" ref="S73:AF73" si="35">S66/S69</f>
        <v>1.2600328145093345</v>
      </c>
      <c r="T73" s="887">
        <f t="shared" si="35"/>
        <v>1.268539721683988</v>
      </c>
      <c r="U73" s="887">
        <f t="shared" si="35"/>
        <v>1.2685390812105377</v>
      </c>
      <c r="V73" s="887">
        <f t="shared" si="35"/>
        <v>1.2593628928110203</v>
      </c>
      <c r="W73" s="887">
        <f t="shared" si="35"/>
        <v>1.2770689801820192</v>
      </c>
      <c r="X73" s="887">
        <f t="shared" si="35"/>
        <v>1.2790980342847562</v>
      </c>
      <c r="Y73" s="887">
        <f t="shared" si="35"/>
        <v>1.2905875974811292</v>
      </c>
      <c r="Z73" s="887">
        <f t="shared" si="35"/>
        <v>1.303388560486221</v>
      </c>
      <c r="AA73" s="887">
        <f t="shared" si="35"/>
        <v>1.3113712791132146</v>
      </c>
      <c r="AB73" s="887">
        <f t="shared" si="35"/>
        <v>1.3190194210940411</v>
      </c>
      <c r="AC73" s="887">
        <f t="shared" si="35"/>
        <v>1.3274530055773599</v>
      </c>
      <c r="AD73" s="887">
        <f t="shared" si="35"/>
        <v>1.3358338141950377</v>
      </c>
      <c r="AE73" s="887">
        <f t="shared" si="35"/>
        <v>1.3441368815037222</v>
      </c>
      <c r="AF73" s="890">
        <f t="shared" si="35"/>
        <v>1.3524196527521242</v>
      </c>
      <c r="AG73" s="890">
        <f t="shared" ref="AG73" si="36">AG66/AG69</f>
        <v>1.3607698607698608</v>
      </c>
      <c r="AH73" s="886"/>
      <c r="AI73" s="886"/>
      <c r="AJ73" s="886"/>
      <c r="AK73" s="886"/>
      <c r="AL73" s="886"/>
      <c r="AM73" s="886"/>
      <c r="AN73" s="886"/>
      <c r="AO73" s="886"/>
    </row>
    <row r="74" spans="2:68" x14ac:dyDescent="0.25">
      <c r="B74" s="883"/>
      <c r="C74" s="883"/>
      <c r="D74" s="230"/>
      <c r="E74" s="230"/>
      <c r="F74" s="230"/>
      <c r="G74" s="230"/>
      <c r="H74" s="230"/>
      <c r="I74" s="230"/>
      <c r="J74" s="230"/>
      <c r="K74" s="230"/>
      <c r="L74" s="230"/>
      <c r="M74" s="230"/>
      <c r="N74" s="230"/>
      <c r="O74" s="230"/>
      <c r="P74" s="230"/>
      <c r="Q74" s="230"/>
      <c r="R74" s="230"/>
      <c r="S74" s="230"/>
      <c r="T74" s="230"/>
      <c r="U74" s="230"/>
      <c r="V74" s="230"/>
      <c r="W74" s="230"/>
      <c r="X74" s="230"/>
      <c r="Y74" s="230"/>
      <c r="Z74" s="35"/>
      <c r="AA74" s="35"/>
      <c r="AB74" s="35"/>
      <c r="AC74" s="35"/>
      <c r="AD74" s="35"/>
      <c r="AE74" s="35"/>
      <c r="AF74" s="35"/>
    </row>
    <row r="75" spans="2:68" x14ac:dyDescent="0.25">
      <c r="B75" s="883"/>
      <c r="C75" s="883"/>
      <c r="D75" s="230"/>
      <c r="E75" s="230"/>
      <c r="F75" s="230"/>
      <c r="G75" s="230"/>
      <c r="H75" s="230"/>
      <c r="I75" s="230"/>
      <c r="J75" s="230"/>
      <c r="K75" s="230"/>
      <c r="L75" s="230"/>
      <c r="M75" s="230"/>
      <c r="N75" s="230"/>
      <c r="O75" s="230"/>
      <c r="P75" s="230"/>
      <c r="Q75" s="230"/>
      <c r="R75" s="230"/>
      <c r="S75" s="230"/>
      <c r="T75" s="819"/>
      <c r="U75" s="819"/>
      <c r="V75" s="819"/>
      <c r="W75" s="819"/>
      <c r="X75" s="819"/>
      <c r="Y75" s="819"/>
      <c r="Z75" s="819"/>
      <c r="AA75" s="819"/>
      <c r="AB75" s="819"/>
      <c r="AC75" s="819"/>
      <c r="AD75" s="819"/>
      <c r="AE75" s="819"/>
      <c r="AF75" s="819"/>
    </row>
    <row r="77" spans="2:68" x14ac:dyDescent="0.25">
      <c r="C77" s="30"/>
      <c r="D77" s="926"/>
      <c r="E77" s="926"/>
      <c r="F77" s="926"/>
      <c r="G77" s="926"/>
    </row>
    <row r="81" spans="3:13" x14ac:dyDescent="0.25">
      <c r="C81" s="14"/>
      <c r="D81" s="75"/>
      <c r="E81" s="75"/>
      <c r="F81" s="75"/>
      <c r="G81" s="75"/>
      <c r="H81" s="75"/>
      <c r="I81" s="75"/>
      <c r="J81" s="75"/>
      <c r="K81" s="75"/>
      <c r="L81" s="75"/>
      <c r="M81" s="75"/>
    </row>
    <row r="82" spans="3:13" x14ac:dyDescent="0.25">
      <c r="C82" s="30"/>
      <c r="D82" s="929"/>
      <c r="E82" s="929"/>
      <c r="F82" s="929"/>
      <c r="G82" s="929"/>
      <c r="H82" s="929"/>
      <c r="I82" s="929"/>
      <c r="J82" s="929"/>
      <c r="K82" s="929"/>
      <c r="L82" s="929"/>
      <c r="M82" s="929"/>
    </row>
    <row r="83" spans="3:13" x14ac:dyDescent="0.25">
      <c r="C83" s="926"/>
      <c r="D83" s="929"/>
      <c r="E83" s="929"/>
      <c r="F83" s="929"/>
      <c r="G83" s="929"/>
      <c r="H83" s="929"/>
      <c r="I83" s="929"/>
      <c r="J83" s="929"/>
      <c r="K83" s="929"/>
      <c r="L83" s="929"/>
      <c r="M83" s="929"/>
    </row>
    <row r="84" spans="3:13" x14ac:dyDescent="0.25">
      <c r="C84" s="926"/>
      <c r="D84" s="929"/>
      <c r="E84" s="929"/>
      <c r="F84" s="929"/>
      <c r="G84" s="929"/>
      <c r="H84" s="929"/>
      <c r="I84" s="929"/>
      <c r="J84" s="929"/>
      <c r="K84" s="929"/>
      <c r="L84" s="929"/>
      <c r="M84" s="929"/>
    </row>
    <row r="85" spans="3:13" x14ac:dyDescent="0.25">
      <c r="C85" s="926"/>
      <c r="D85" s="929"/>
      <c r="E85" s="929"/>
      <c r="F85" s="929"/>
      <c r="G85" s="929"/>
      <c r="H85" s="929"/>
      <c r="I85" s="929"/>
      <c r="J85" s="929"/>
      <c r="K85" s="929"/>
      <c r="L85" s="929"/>
      <c r="M85" s="929"/>
    </row>
    <row r="86" spans="3:13" x14ac:dyDescent="0.25">
      <c r="C86" s="926"/>
      <c r="D86" s="929"/>
      <c r="E86" s="929"/>
      <c r="F86" s="929"/>
      <c r="G86" s="929"/>
      <c r="H86" s="929"/>
      <c r="I86" s="929"/>
      <c r="J86" s="929"/>
      <c r="K86" s="929"/>
      <c r="L86" s="929"/>
      <c r="M86" s="929"/>
    </row>
  </sheetData>
  <mergeCells count="31">
    <mergeCell ref="Y62:AB62"/>
    <mergeCell ref="AC43:AF43"/>
    <mergeCell ref="Y9:AB9"/>
    <mergeCell ref="Y43:AB43"/>
    <mergeCell ref="B61:E61"/>
    <mergeCell ref="Q62:R62"/>
    <mergeCell ref="M9:P9"/>
    <mergeCell ref="Q9:R9"/>
    <mergeCell ref="E62:H62"/>
    <mergeCell ref="I62:L62"/>
    <mergeCell ref="M62:P62"/>
    <mergeCell ref="E9:H9"/>
    <mergeCell ref="I9:L9"/>
    <mergeCell ref="AC62:AF62"/>
    <mergeCell ref="W42:AG42"/>
    <mergeCell ref="AG9:AJ9"/>
    <mergeCell ref="B22:AJ22"/>
    <mergeCell ref="B1:AC1"/>
    <mergeCell ref="B2:AC4"/>
    <mergeCell ref="B42:C44"/>
    <mergeCell ref="E43:H43"/>
    <mergeCell ref="I43:L43"/>
    <mergeCell ref="M43:P43"/>
    <mergeCell ref="B8:C10"/>
    <mergeCell ref="AC9:AF9"/>
    <mergeCell ref="Q43:T43"/>
    <mergeCell ref="B7:F7"/>
    <mergeCell ref="B11:AF11"/>
    <mergeCell ref="W8:AF8"/>
    <mergeCell ref="D8:V8"/>
    <mergeCell ref="D42:V42"/>
  </mergeCells>
  <pageMargins left="0.7" right="0.7" top="0.75" bottom="0.75" header="0.3" footer="0.3"/>
  <pageSetup paperSize="9" orientation="portrait" horizontalDpi="300" verticalDpi="300"/>
  <drawing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G1:AC73"/>
  <sheetViews>
    <sheetView topLeftCell="G5" zoomScale="61" zoomScaleNormal="143" workbookViewId="0">
      <selection activeCell="AB52" sqref="AB52"/>
    </sheetView>
  </sheetViews>
  <sheetFormatPr defaultColWidth="10.85546875" defaultRowHeight="15" x14ac:dyDescent="0.25"/>
  <cols>
    <col min="1" max="6" width="0" hidden="1" customWidth="1"/>
    <col min="8" max="8" width="22.42578125" customWidth="1"/>
    <col min="9" max="9" width="11.42578125" customWidth="1"/>
    <col min="10" max="10" width="13.140625" customWidth="1"/>
    <col min="11" max="11" width="11.140625" customWidth="1"/>
    <col min="12" max="12" width="10.140625" customWidth="1"/>
    <col min="13" max="13" width="9.42578125" customWidth="1"/>
    <col min="14" max="15" width="8.85546875" customWidth="1"/>
    <col min="16" max="16" width="11.85546875" customWidth="1"/>
    <col min="17" max="18" width="8.85546875" customWidth="1"/>
    <col min="19" max="19" width="9.42578125" customWidth="1"/>
  </cols>
  <sheetData>
    <row r="1" spans="8:22" x14ac:dyDescent="0.25">
      <c r="H1" s="1288" t="s">
        <v>316</v>
      </c>
      <c r="I1" s="1288"/>
      <c r="J1" s="1288"/>
      <c r="K1" s="1288"/>
      <c r="L1" s="1288"/>
      <c r="M1" s="1288"/>
      <c r="N1" s="1288"/>
      <c r="O1" s="1288"/>
      <c r="P1" s="1288"/>
      <c r="Q1" s="1288"/>
      <c r="R1" s="1288"/>
      <c r="S1" s="1288"/>
    </row>
    <row r="2" spans="8:22" x14ac:dyDescent="0.25">
      <c r="H2" s="1332" t="s">
        <v>317</v>
      </c>
      <c r="I2" s="1332"/>
      <c r="J2" s="1332"/>
      <c r="K2" s="1332"/>
      <c r="L2" s="1332"/>
      <c r="M2" s="1332"/>
      <c r="N2" s="1332"/>
      <c r="O2" s="1332"/>
      <c r="P2" s="1332"/>
      <c r="Q2" s="1332"/>
      <c r="R2" s="1332"/>
      <c r="S2" s="1332"/>
    </row>
    <row r="3" spans="8:22" x14ac:dyDescent="0.25">
      <c r="H3" s="1332"/>
      <c r="I3" s="1332"/>
      <c r="J3" s="1332"/>
      <c r="K3" s="1332"/>
      <c r="L3" s="1332"/>
      <c r="M3" s="1332"/>
      <c r="N3" s="1332"/>
      <c r="O3" s="1332"/>
      <c r="P3" s="1332"/>
      <c r="Q3" s="1332"/>
      <c r="R3" s="1332"/>
      <c r="S3" s="1332"/>
    </row>
    <row r="4" spans="8:22" x14ac:dyDescent="0.25">
      <c r="H4" s="1332"/>
      <c r="I4" s="1332"/>
      <c r="J4" s="1332"/>
      <c r="K4" s="1332"/>
      <c r="L4" s="1332"/>
      <c r="M4" s="1332"/>
      <c r="N4" s="1332"/>
      <c r="O4" s="1332"/>
      <c r="P4" s="1332"/>
      <c r="Q4" s="1332"/>
      <c r="R4" s="1332"/>
      <c r="S4" s="1332"/>
    </row>
    <row r="5" spans="8:22" ht="54.75" customHeight="1" x14ac:dyDescent="0.25">
      <c r="H5" s="1332"/>
      <c r="I5" s="1332"/>
      <c r="J5" s="1332"/>
      <c r="K5" s="1332"/>
      <c r="L5" s="1332"/>
      <c r="M5" s="1332"/>
      <c r="N5" s="1332"/>
      <c r="O5" s="1332"/>
      <c r="P5" s="1332"/>
      <c r="Q5" s="1332"/>
      <c r="R5" s="1332"/>
      <c r="S5" s="1332"/>
    </row>
    <row r="6" spans="8:22" x14ac:dyDescent="0.25">
      <c r="H6" s="460"/>
      <c r="I6" s="460"/>
      <c r="J6" s="460"/>
      <c r="K6" s="460"/>
      <c r="L6" s="460"/>
      <c r="M6" s="460"/>
      <c r="N6" s="460"/>
      <c r="O6" s="460"/>
      <c r="P6" s="460"/>
      <c r="Q6" s="460"/>
      <c r="R6" s="460"/>
      <c r="S6" s="460"/>
    </row>
    <row r="7" spans="8:22" x14ac:dyDescent="0.25">
      <c r="H7" s="939" t="s">
        <v>318</v>
      </c>
    </row>
    <row r="8" spans="8:22" ht="16.350000000000001" customHeight="1" x14ac:dyDescent="0.25"/>
    <row r="9" spans="8:22" ht="15.75" customHeight="1" x14ac:dyDescent="0.25">
      <c r="L9" s="1302">
        <v>2020</v>
      </c>
      <c r="M9" s="1303"/>
      <c r="N9" s="1303"/>
      <c r="O9" s="547">
        <v>2021</v>
      </c>
      <c r="P9" s="547"/>
      <c r="Q9" s="547"/>
      <c r="R9" s="330"/>
    </row>
    <row r="10" spans="8:22" ht="41.85" customHeight="1" x14ac:dyDescent="0.25">
      <c r="H10" s="934" t="s">
        <v>319</v>
      </c>
      <c r="I10" s="934" t="s">
        <v>320</v>
      </c>
      <c r="J10" s="935" t="s">
        <v>321</v>
      </c>
      <c r="K10" s="220"/>
      <c r="L10" s="946" t="s">
        <v>284</v>
      </c>
      <c r="M10" s="947" t="s">
        <v>238</v>
      </c>
      <c r="N10" s="947" t="s">
        <v>282</v>
      </c>
      <c r="O10" s="947" t="s">
        <v>283</v>
      </c>
      <c r="P10" s="947" t="s">
        <v>284</v>
      </c>
      <c r="Q10" s="947" t="s">
        <v>238</v>
      </c>
      <c r="R10" s="933" t="s">
        <v>282</v>
      </c>
      <c r="S10" s="460" t="s">
        <v>322</v>
      </c>
      <c r="T10" s="220"/>
      <c r="U10" s="220"/>
      <c r="V10" s="220"/>
    </row>
    <row r="11" spans="8:22" x14ac:dyDescent="0.25">
      <c r="H11" s="936">
        <v>43934</v>
      </c>
      <c r="I11" s="224">
        <v>248</v>
      </c>
      <c r="J11" s="559">
        <f>I11</f>
        <v>248</v>
      </c>
      <c r="K11" s="224"/>
      <c r="L11" s="822">
        <f>S11/26*J11</f>
        <v>95.384615384615387</v>
      </c>
      <c r="M11" s="810">
        <f>13/26*J11</f>
        <v>124</v>
      </c>
      <c r="N11" s="810">
        <f>J11-SUM(L11:M11)</f>
        <v>28.615384615384613</v>
      </c>
      <c r="O11" s="810"/>
      <c r="P11" s="810"/>
      <c r="Q11" s="810"/>
      <c r="R11" s="944"/>
      <c r="S11" s="224">
        <v>10</v>
      </c>
      <c r="T11" s="224"/>
      <c r="U11" s="941"/>
      <c r="V11" s="224"/>
    </row>
    <row r="12" spans="8:22" x14ac:dyDescent="0.25">
      <c r="H12" s="942">
        <v>43937</v>
      </c>
      <c r="I12" s="224">
        <v>342</v>
      </c>
      <c r="J12" s="559">
        <f>I12-I11</f>
        <v>94</v>
      </c>
      <c r="K12" s="224"/>
      <c r="L12" s="822">
        <f t="shared" ref="L12:L20" si="0">S12/26*J12</f>
        <v>36.153846153846153</v>
      </c>
      <c r="M12" s="810">
        <f t="shared" ref="M12:M20" si="1">13/26*J12</f>
        <v>47</v>
      </c>
      <c r="N12" s="810">
        <f t="shared" ref="N12:N21" si="2">J12-SUM(L12:M12)</f>
        <v>10.84615384615384</v>
      </c>
      <c r="O12" s="810"/>
      <c r="P12" s="810"/>
      <c r="Q12" s="810"/>
      <c r="R12" s="944"/>
      <c r="S12" s="224">
        <v>10</v>
      </c>
      <c r="T12" s="224"/>
      <c r="U12" s="224"/>
      <c r="V12" s="224"/>
    </row>
    <row r="13" spans="8:22" x14ac:dyDescent="0.25">
      <c r="H13" s="942">
        <v>43952</v>
      </c>
      <c r="I13" s="224">
        <v>518</v>
      </c>
      <c r="J13" s="559">
        <f>I13-I12</f>
        <v>176</v>
      </c>
      <c r="K13" s="224"/>
      <c r="L13" s="822">
        <f t="shared" si="0"/>
        <v>54.15384615384616</v>
      </c>
      <c r="M13" s="810">
        <f t="shared" si="1"/>
        <v>88</v>
      </c>
      <c r="N13" s="810">
        <f t="shared" si="2"/>
        <v>33.84615384615384</v>
      </c>
      <c r="O13" s="810"/>
      <c r="P13" s="810"/>
      <c r="Q13" s="810"/>
      <c r="R13" s="944"/>
      <c r="S13" s="224">
        <v>8</v>
      </c>
      <c r="T13" s="224"/>
      <c r="U13" s="224"/>
      <c r="V13" s="224"/>
    </row>
    <row r="14" spans="8:22" x14ac:dyDescent="0.25">
      <c r="H14" s="942">
        <v>43959</v>
      </c>
      <c r="I14" s="224">
        <v>531</v>
      </c>
      <c r="J14" s="559">
        <f t="shared" ref="J14:J45" si="3">I14-I13</f>
        <v>13</v>
      </c>
      <c r="K14" s="224"/>
      <c r="L14" s="822">
        <f t="shared" si="0"/>
        <v>3.5</v>
      </c>
      <c r="M14" s="810">
        <f t="shared" si="1"/>
        <v>6.5</v>
      </c>
      <c r="N14" s="810">
        <f t="shared" si="2"/>
        <v>3</v>
      </c>
      <c r="O14" s="810"/>
      <c r="P14" s="810"/>
      <c r="Q14" s="810"/>
      <c r="R14" s="944"/>
      <c r="S14" s="224">
        <f t="shared" ref="S14:S20" si="4">S13-1</f>
        <v>7</v>
      </c>
      <c r="T14" s="224"/>
      <c r="U14" s="224"/>
      <c r="V14" s="224"/>
    </row>
    <row r="15" spans="8:22" x14ac:dyDescent="0.25">
      <c r="H15" s="942">
        <v>43967</v>
      </c>
      <c r="I15" s="224">
        <v>513</v>
      </c>
      <c r="J15" s="559">
        <f t="shared" si="3"/>
        <v>-18</v>
      </c>
      <c r="K15" s="224"/>
      <c r="L15" s="822">
        <f t="shared" ref="L15:L17" si="5">S15/26*J15</f>
        <v>-4.1538461538461542</v>
      </c>
      <c r="M15" s="810">
        <f t="shared" ref="M15:M17" si="6">13/26*J15</f>
        <v>-9</v>
      </c>
      <c r="N15" s="810">
        <f t="shared" ref="N15:N17" si="7">J15-SUM(L15:M15)</f>
        <v>-4.8461538461538467</v>
      </c>
      <c r="O15" s="810"/>
      <c r="P15" s="810"/>
      <c r="Q15" s="810"/>
      <c r="R15" s="944"/>
      <c r="S15" s="224">
        <f t="shared" si="4"/>
        <v>6</v>
      </c>
      <c r="T15" s="224"/>
      <c r="U15" s="224"/>
      <c r="V15" s="224"/>
    </row>
    <row r="16" spans="8:22" x14ac:dyDescent="0.25">
      <c r="H16" s="942">
        <v>43974</v>
      </c>
      <c r="I16" s="224">
        <v>511</v>
      </c>
      <c r="J16" s="559">
        <f t="shared" si="3"/>
        <v>-2</v>
      </c>
      <c r="K16" s="224"/>
      <c r="L16" s="822">
        <f t="shared" si="5"/>
        <v>-0.38461538461538464</v>
      </c>
      <c r="M16" s="810">
        <f t="shared" si="6"/>
        <v>-1</v>
      </c>
      <c r="N16" s="810">
        <f t="shared" si="7"/>
        <v>-0.61538461538461542</v>
      </c>
      <c r="O16" s="810"/>
      <c r="P16" s="810"/>
      <c r="Q16" s="810"/>
      <c r="R16" s="944"/>
      <c r="S16" s="224">
        <f t="shared" si="4"/>
        <v>5</v>
      </c>
      <c r="T16" s="224"/>
      <c r="U16" s="224"/>
      <c r="V16" s="224"/>
    </row>
    <row r="17" spans="8:22" x14ac:dyDescent="0.25">
      <c r="H17" s="942">
        <v>43981</v>
      </c>
      <c r="I17" s="224">
        <v>510</v>
      </c>
      <c r="J17" s="559">
        <f t="shared" si="3"/>
        <v>-1</v>
      </c>
      <c r="K17" s="224"/>
      <c r="L17" s="822">
        <f t="shared" si="5"/>
        <v>-0.15384615384615385</v>
      </c>
      <c r="M17" s="810">
        <f t="shared" si="6"/>
        <v>-0.5</v>
      </c>
      <c r="N17" s="810">
        <f t="shared" si="7"/>
        <v>-0.34615384615384615</v>
      </c>
      <c r="O17" s="810"/>
      <c r="P17" s="810"/>
      <c r="Q17" s="810"/>
      <c r="R17" s="944"/>
      <c r="S17" s="224">
        <f t="shared" si="4"/>
        <v>4</v>
      </c>
      <c r="T17" s="224"/>
      <c r="U17" s="224"/>
      <c r="V17" s="224"/>
    </row>
    <row r="18" spans="8:22" x14ac:dyDescent="0.25">
      <c r="H18" s="942">
        <v>43988</v>
      </c>
      <c r="I18" s="224">
        <v>511</v>
      </c>
      <c r="J18" s="559">
        <f t="shared" si="3"/>
        <v>1</v>
      </c>
      <c r="K18" s="224"/>
      <c r="L18" s="822">
        <f t="shared" si="0"/>
        <v>0.11538461538461539</v>
      </c>
      <c r="M18" s="810">
        <f t="shared" si="1"/>
        <v>0.5</v>
      </c>
      <c r="N18" s="810">
        <f t="shared" si="2"/>
        <v>0.38461538461538458</v>
      </c>
      <c r="O18" s="810"/>
      <c r="P18" s="810"/>
      <c r="Q18" s="810"/>
      <c r="R18" s="944"/>
      <c r="S18" s="224">
        <f t="shared" si="4"/>
        <v>3</v>
      </c>
      <c r="T18" s="224"/>
      <c r="U18" s="224"/>
      <c r="V18" s="224"/>
    </row>
    <row r="19" spans="8:22" x14ac:dyDescent="0.25">
      <c r="H19" s="942">
        <v>43994</v>
      </c>
      <c r="I19" s="224">
        <v>512</v>
      </c>
      <c r="J19" s="559">
        <f t="shared" si="3"/>
        <v>1</v>
      </c>
      <c r="K19" s="224"/>
      <c r="L19" s="822">
        <f t="shared" si="0"/>
        <v>7.6923076923076927E-2</v>
      </c>
      <c r="M19" s="810">
        <f t="shared" si="1"/>
        <v>0.5</v>
      </c>
      <c r="N19" s="810">
        <f t="shared" si="2"/>
        <v>0.42307692307692313</v>
      </c>
      <c r="O19" s="810"/>
      <c r="P19" s="810"/>
      <c r="Q19" s="810"/>
      <c r="R19" s="944"/>
      <c r="S19" s="224">
        <f t="shared" si="4"/>
        <v>2</v>
      </c>
      <c r="T19" s="224"/>
      <c r="U19" s="224"/>
      <c r="V19" s="224"/>
    </row>
    <row r="20" spans="8:22" x14ac:dyDescent="0.25">
      <c r="H20" s="942">
        <v>44002</v>
      </c>
      <c r="I20" s="224">
        <v>515</v>
      </c>
      <c r="J20" s="559">
        <f t="shared" si="3"/>
        <v>3</v>
      </c>
      <c r="K20" s="224"/>
      <c r="L20" s="822">
        <f t="shared" si="0"/>
        <v>0.11538461538461539</v>
      </c>
      <c r="M20" s="810">
        <f t="shared" si="1"/>
        <v>1.5</v>
      </c>
      <c r="N20" s="810">
        <f t="shared" si="2"/>
        <v>1.3846153846153846</v>
      </c>
      <c r="O20" s="810"/>
      <c r="P20" s="810"/>
      <c r="Q20" s="810"/>
      <c r="R20" s="944"/>
      <c r="S20" s="224">
        <f t="shared" si="4"/>
        <v>1</v>
      </c>
      <c r="T20" s="224"/>
      <c r="U20" s="224"/>
      <c r="V20" s="224"/>
    </row>
    <row r="21" spans="8:22" x14ac:dyDescent="0.25">
      <c r="H21" s="942">
        <v>44009</v>
      </c>
      <c r="I21" s="224">
        <v>519</v>
      </c>
      <c r="J21" s="559">
        <f t="shared" si="3"/>
        <v>4</v>
      </c>
      <c r="K21" s="224"/>
      <c r="L21" s="822"/>
      <c r="M21" s="810">
        <f>S21/26*J21</f>
        <v>2</v>
      </c>
      <c r="N21" s="810">
        <f t="shared" si="2"/>
        <v>2</v>
      </c>
      <c r="O21" s="810"/>
      <c r="P21" s="810"/>
      <c r="Q21" s="810"/>
      <c r="R21" s="944"/>
      <c r="S21" s="224">
        <v>13</v>
      </c>
      <c r="T21" s="224"/>
      <c r="U21" s="224"/>
      <c r="V21" s="224"/>
    </row>
    <row r="22" spans="8:22" x14ac:dyDescent="0.25">
      <c r="H22" s="942">
        <v>44012</v>
      </c>
      <c r="I22" s="224">
        <v>521</v>
      </c>
      <c r="J22" s="559">
        <f t="shared" si="3"/>
        <v>2</v>
      </c>
      <c r="K22" s="224"/>
      <c r="L22" s="822"/>
      <c r="M22" s="810">
        <f t="shared" ref="M22:M26" si="8">S22/26*J22</f>
        <v>1</v>
      </c>
      <c r="N22" s="810">
        <f>J22-SUM(L22:M22)</f>
        <v>1</v>
      </c>
      <c r="O22" s="810"/>
      <c r="P22" s="810"/>
      <c r="Q22" s="810"/>
      <c r="R22" s="944"/>
      <c r="S22" s="224">
        <v>13</v>
      </c>
      <c r="T22" s="224"/>
      <c r="U22" s="224"/>
      <c r="V22" s="224"/>
    </row>
    <row r="23" spans="8:22" x14ac:dyDescent="0.25">
      <c r="H23" s="942">
        <v>44029</v>
      </c>
      <c r="I23" s="224">
        <v>518</v>
      </c>
      <c r="J23" s="559">
        <f t="shared" si="3"/>
        <v>-3</v>
      </c>
      <c r="K23" s="224"/>
      <c r="L23" s="822"/>
      <c r="M23" s="810">
        <f t="shared" ref="M23" si="9">S23/26*J23</f>
        <v>-1.153846153846154</v>
      </c>
      <c r="N23" s="810">
        <f t="shared" ref="N23" si="10">13/26*J23</f>
        <v>-1.5</v>
      </c>
      <c r="O23" s="810">
        <f t="shared" ref="O23" si="11">J23-N23-M23</f>
        <v>-0.34615384615384603</v>
      </c>
      <c r="P23" s="810"/>
      <c r="Q23" s="810"/>
      <c r="R23" s="944"/>
      <c r="S23" s="224">
        <f>S22-3</f>
        <v>10</v>
      </c>
      <c r="T23" s="224"/>
      <c r="U23" s="224"/>
      <c r="V23" s="224"/>
    </row>
    <row r="24" spans="8:22" x14ac:dyDescent="0.25">
      <c r="H24" s="942">
        <v>44036</v>
      </c>
      <c r="I24" s="224">
        <v>520</v>
      </c>
      <c r="J24" s="559">
        <f t="shared" si="3"/>
        <v>2</v>
      </c>
      <c r="K24" s="224"/>
      <c r="L24" s="822"/>
      <c r="M24" s="810">
        <f t="shared" si="8"/>
        <v>0.69230769230769229</v>
      </c>
      <c r="N24" s="810">
        <f t="shared" ref="N24:N26" si="12">13/26*J24</f>
        <v>1</v>
      </c>
      <c r="O24" s="810">
        <f t="shared" ref="O24:O26" si="13">J24-N24-M24</f>
        <v>0.30769230769230771</v>
      </c>
      <c r="P24" s="810"/>
      <c r="Q24" s="810"/>
      <c r="R24" s="944"/>
      <c r="S24" s="224">
        <f>S23-1</f>
        <v>9</v>
      </c>
      <c r="T24" s="224"/>
      <c r="U24" s="224"/>
      <c r="V24" s="224"/>
    </row>
    <row r="25" spans="8:22" x14ac:dyDescent="0.25">
      <c r="H25" s="942">
        <v>44043</v>
      </c>
      <c r="I25" s="224">
        <v>521</v>
      </c>
      <c r="J25" s="559">
        <f t="shared" si="3"/>
        <v>1</v>
      </c>
      <c r="K25" s="224"/>
      <c r="L25" s="822"/>
      <c r="M25" s="810">
        <f t="shared" si="8"/>
        <v>0.30769230769230771</v>
      </c>
      <c r="N25" s="810">
        <f t="shared" si="12"/>
        <v>0.5</v>
      </c>
      <c r="O25" s="810">
        <f t="shared" si="13"/>
        <v>0.19230769230769229</v>
      </c>
      <c r="P25" s="810"/>
      <c r="Q25" s="810"/>
      <c r="R25" s="944"/>
      <c r="S25" s="224">
        <f>S24-1</f>
        <v>8</v>
      </c>
      <c r="T25" s="224"/>
      <c r="U25" s="224"/>
      <c r="V25" s="224"/>
    </row>
    <row r="26" spans="8:22" x14ac:dyDescent="0.25">
      <c r="H26" s="942">
        <v>44051</v>
      </c>
      <c r="I26" s="224">
        <v>525</v>
      </c>
      <c r="J26" s="559">
        <f t="shared" si="3"/>
        <v>4</v>
      </c>
      <c r="K26" s="224"/>
      <c r="L26" s="822"/>
      <c r="M26" s="810">
        <f t="shared" si="8"/>
        <v>1.0769230769230769</v>
      </c>
      <c r="N26" s="810">
        <f t="shared" si="12"/>
        <v>2</v>
      </c>
      <c r="O26" s="810">
        <f t="shared" si="13"/>
        <v>0.92307692307692313</v>
      </c>
      <c r="P26" s="810"/>
      <c r="Q26" s="810"/>
      <c r="R26" s="944"/>
      <c r="S26" s="224">
        <f>S25-1</f>
        <v>7</v>
      </c>
      <c r="T26" s="224"/>
      <c r="U26" s="224"/>
      <c r="V26" s="224"/>
    </row>
    <row r="27" spans="8:22" x14ac:dyDescent="0.25">
      <c r="H27" s="942">
        <v>44220</v>
      </c>
      <c r="I27" s="224">
        <v>558</v>
      </c>
      <c r="J27" s="559">
        <f t="shared" si="3"/>
        <v>33</v>
      </c>
      <c r="K27" s="224"/>
      <c r="L27" s="822"/>
      <c r="M27" s="810"/>
      <c r="N27" s="810"/>
      <c r="O27" s="810">
        <f>S27/26*J27</f>
        <v>12.692307692307693</v>
      </c>
      <c r="P27" s="810">
        <f>J27/2</f>
        <v>16.5</v>
      </c>
      <c r="Q27" s="810">
        <f>J27-P27-O27</f>
        <v>3.8076923076923066</v>
      </c>
      <c r="R27" s="944"/>
      <c r="S27" s="224">
        <v>10</v>
      </c>
      <c r="T27" s="224">
        <v>10</v>
      </c>
      <c r="U27" s="224"/>
      <c r="V27" s="224"/>
    </row>
    <row r="28" spans="8:22" x14ac:dyDescent="0.25">
      <c r="H28" s="942">
        <v>44227</v>
      </c>
      <c r="I28" s="224">
        <v>596</v>
      </c>
      <c r="J28" s="559">
        <f t="shared" si="3"/>
        <v>38</v>
      </c>
      <c r="K28" s="224"/>
      <c r="L28" s="822"/>
      <c r="M28" s="810"/>
      <c r="N28" s="810"/>
      <c r="O28" s="810">
        <f t="shared" ref="O28:O36" si="14">S28/26*J28</f>
        <v>13.153846153846153</v>
      </c>
      <c r="P28" s="810">
        <f t="shared" ref="P28:P36" si="15">J28/2</f>
        <v>19</v>
      </c>
      <c r="Q28" s="810">
        <f t="shared" ref="Q28:Q36" si="16">J28-P28-O28</f>
        <v>5.8461538461538467</v>
      </c>
      <c r="R28" s="944"/>
      <c r="S28" s="224">
        <f>S27-1</f>
        <v>9</v>
      </c>
      <c r="T28" s="224">
        <f>T27-1</f>
        <v>9</v>
      </c>
      <c r="U28" s="224"/>
      <c r="V28" s="224"/>
    </row>
    <row r="29" spans="8:22" x14ac:dyDescent="0.25">
      <c r="H29" s="942">
        <v>44234</v>
      </c>
      <c r="I29" s="224">
        <v>623</v>
      </c>
      <c r="J29" s="559">
        <f t="shared" si="3"/>
        <v>27</v>
      </c>
      <c r="K29" s="224"/>
      <c r="L29" s="822"/>
      <c r="M29" s="810"/>
      <c r="N29" s="810"/>
      <c r="O29" s="810">
        <f t="shared" si="14"/>
        <v>8.3076923076923084</v>
      </c>
      <c r="P29" s="810">
        <f t="shared" si="15"/>
        <v>13.5</v>
      </c>
      <c r="Q29" s="810">
        <f t="shared" si="16"/>
        <v>5.1923076923076916</v>
      </c>
      <c r="R29" s="944"/>
      <c r="S29" s="224">
        <f t="shared" ref="S29:S36" si="17">S28-1</f>
        <v>8</v>
      </c>
      <c r="T29" s="224">
        <f t="shared" ref="T29:T36" si="18">T28-1</f>
        <v>8</v>
      </c>
      <c r="U29" s="224"/>
      <c r="V29" s="224"/>
    </row>
    <row r="30" spans="8:22" x14ac:dyDescent="0.25">
      <c r="H30" s="942">
        <v>44242</v>
      </c>
      <c r="I30" s="224">
        <v>648</v>
      </c>
      <c r="J30" s="559">
        <f t="shared" si="3"/>
        <v>25</v>
      </c>
      <c r="K30" s="224"/>
      <c r="L30" s="822"/>
      <c r="M30" s="810"/>
      <c r="N30" s="810"/>
      <c r="O30" s="810">
        <f t="shared" si="14"/>
        <v>6.7307692307692308</v>
      </c>
      <c r="P30" s="810">
        <f t="shared" si="15"/>
        <v>12.5</v>
      </c>
      <c r="Q30" s="810">
        <f t="shared" si="16"/>
        <v>5.7692307692307692</v>
      </c>
      <c r="R30" s="944"/>
      <c r="S30" s="224">
        <f t="shared" si="17"/>
        <v>7</v>
      </c>
      <c r="T30" s="224">
        <f t="shared" si="18"/>
        <v>7</v>
      </c>
      <c r="U30" s="224"/>
      <c r="V30" s="224"/>
    </row>
    <row r="31" spans="8:22" x14ac:dyDescent="0.25">
      <c r="H31" s="942">
        <v>44248</v>
      </c>
      <c r="I31" s="224">
        <v>663</v>
      </c>
      <c r="J31" s="559">
        <f t="shared" si="3"/>
        <v>15</v>
      </c>
      <c r="K31" s="224"/>
      <c r="L31" s="822"/>
      <c r="M31" s="810"/>
      <c r="N31" s="810"/>
      <c r="O31" s="810">
        <f t="shared" si="14"/>
        <v>3.4615384615384617</v>
      </c>
      <c r="P31" s="810">
        <f t="shared" si="15"/>
        <v>7.5</v>
      </c>
      <c r="Q31" s="810">
        <f t="shared" si="16"/>
        <v>4.0384615384615383</v>
      </c>
      <c r="R31" s="944"/>
      <c r="S31" s="224">
        <f t="shared" si="17"/>
        <v>6</v>
      </c>
      <c r="T31" s="224">
        <f t="shared" si="18"/>
        <v>6</v>
      </c>
      <c r="U31" s="224"/>
      <c r="V31" s="224"/>
    </row>
    <row r="32" spans="8:22" x14ac:dyDescent="0.25">
      <c r="H32" s="942">
        <v>44255</v>
      </c>
      <c r="I32" s="224">
        <v>679</v>
      </c>
      <c r="J32" s="559">
        <f t="shared" si="3"/>
        <v>16</v>
      </c>
      <c r="K32" s="224"/>
      <c r="L32" s="822"/>
      <c r="M32" s="810"/>
      <c r="N32" s="810"/>
      <c r="O32" s="810">
        <f t="shared" si="14"/>
        <v>3.0769230769230771</v>
      </c>
      <c r="P32" s="810">
        <f t="shared" si="15"/>
        <v>8</v>
      </c>
      <c r="Q32" s="810">
        <f t="shared" si="16"/>
        <v>4.9230769230769234</v>
      </c>
      <c r="R32" s="944"/>
      <c r="S32" s="224">
        <f t="shared" si="17"/>
        <v>5</v>
      </c>
      <c r="T32" s="224">
        <f t="shared" si="18"/>
        <v>5</v>
      </c>
      <c r="U32" s="224"/>
      <c r="V32" s="224"/>
    </row>
    <row r="33" spans="8:22" x14ac:dyDescent="0.25">
      <c r="H33" s="942">
        <v>44262</v>
      </c>
      <c r="I33" s="224">
        <v>687</v>
      </c>
      <c r="J33" s="559">
        <f t="shared" si="3"/>
        <v>8</v>
      </c>
      <c r="K33" s="224"/>
      <c r="L33" s="822"/>
      <c r="M33" s="810"/>
      <c r="N33" s="810"/>
      <c r="O33" s="810">
        <f t="shared" si="14"/>
        <v>1.2307692307692308</v>
      </c>
      <c r="P33" s="810">
        <f t="shared" si="15"/>
        <v>4</v>
      </c>
      <c r="Q33" s="810">
        <f t="shared" si="16"/>
        <v>2.7692307692307692</v>
      </c>
      <c r="R33" s="944"/>
      <c r="S33" s="224">
        <f t="shared" si="17"/>
        <v>4</v>
      </c>
      <c r="T33" s="224">
        <f t="shared" si="18"/>
        <v>4</v>
      </c>
      <c r="U33" s="224"/>
      <c r="V33" s="224"/>
    </row>
    <row r="34" spans="8:22" x14ac:dyDescent="0.25">
      <c r="H34" s="942">
        <v>44269</v>
      </c>
      <c r="I34" s="224">
        <v>704</v>
      </c>
      <c r="J34" s="559">
        <f t="shared" si="3"/>
        <v>17</v>
      </c>
      <c r="K34" s="224"/>
      <c r="L34" s="822"/>
      <c r="M34" s="810"/>
      <c r="N34" s="810"/>
      <c r="O34" s="810">
        <f t="shared" si="14"/>
        <v>1.9615384615384617</v>
      </c>
      <c r="P34" s="810">
        <f t="shared" si="15"/>
        <v>8.5</v>
      </c>
      <c r="Q34" s="810">
        <f t="shared" si="16"/>
        <v>6.5384615384615383</v>
      </c>
      <c r="R34" s="944"/>
      <c r="S34" s="224">
        <f t="shared" si="17"/>
        <v>3</v>
      </c>
      <c r="T34" s="224">
        <f t="shared" si="18"/>
        <v>3</v>
      </c>
      <c r="U34" s="224"/>
      <c r="V34" s="224"/>
    </row>
    <row r="35" spans="8:22" x14ac:dyDescent="0.25">
      <c r="H35" s="942">
        <v>44276</v>
      </c>
      <c r="I35" s="224">
        <v>718</v>
      </c>
      <c r="J35" s="559">
        <f t="shared" si="3"/>
        <v>14</v>
      </c>
      <c r="K35" s="224"/>
      <c r="L35" s="822"/>
      <c r="M35" s="810"/>
      <c r="N35" s="810"/>
      <c r="O35" s="810">
        <f t="shared" si="14"/>
        <v>1.0769230769230771</v>
      </c>
      <c r="P35" s="810">
        <f t="shared" si="15"/>
        <v>7</v>
      </c>
      <c r="Q35" s="810">
        <f t="shared" si="16"/>
        <v>5.9230769230769234</v>
      </c>
      <c r="R35" s="944"/>
      <c r="S35" s="224">
        <f t="shared" si="17"/>
        <v>2</v>
      </c>
      <c r="T35" s="224">
        <f t="shared" si="18"/>
        <v>2</v>
      </c>
      <c r="U35" s="224"/>
      <c r="V35" s="224"/>
    </row>
    <row r="36" spans="8:22" x14ac:dyDescent="0.25">
      <c r="H36" s="942">
        <v>44283</v>
      </c>
      <c r="I36" s="224">
        <v>734</v>
      </c>
      <c r="J36" s="559">
        <f t="shared" si="3"/>
        <v>16</v>
      </c>
      <c r="K36" s="224"/>
      <c r="L36" s="822"/>
      <c r="M36" s="810"/>
      <c r="N36" s="810"/>
      <c r="O36" s="810">
        <f t="shared" si="14"/>
        <v>0.61538461538461542</v>
      </c>
      <c r="P36" s="810">
        <f t="shared" si="15"/>
        <v>8</v>
      </c>
      <c r="Q36" s="810">
        <f t="shared" si="16"/>
        <v>7.384615384615385</v>
      </c>
      <c r="R36" s="944"/>
      <c r="S36" s="224">
        <f t="shared" si="17"/>
        <v>1</v>
      </c>
      <c r="T36" s="224">
        <f t="shared" si="18"/>
        <v>1</v>
      </c>
      <c r="U36" s="224"/>
      <c r="V36" s="224"/>
    </row>
    <row r="37" spans="8:22" x14ac:dyDescent="0.25">
      <c r="H37" s="942">
        <v>44290</v>
      </c>
      <c r="I37" s="224">
        <v>746</v>
      </c>
      <c r="J37" s="559">
        <f t="shared" si="3"/>
        <v>12</v>
      </c>
      <c r="K37" s="224"/>
      <c r="L37" s="822"/>
      <c r="M37" s="810"/>
      <c r="N37" s="810"/>
      <c r="O37" s="810"/>
      <c r="P37" s="810">
        <f>T37/26*J37</f>
        <v>6</v>
      </c>
      <c r="Q37" s="810">
        <f>J37/2</f>
        <v>6</v>
      </c>
      <c r="R37" s="944">
        <f>J37-Q37-P37</f>
        <v>0</v>
      </c>
      <c r="S37" s="224">
        <v>13</v>
      </c>
      <c r="T37" s="224">
        <v>13</v>
      </c>
      <c r="U37" s="224"/>
      <c r="V37" s="224"/>
    </row>
    <row r="38" spans="8:22" x14ac:dyDescent="0.25">
      <c r="H38" s="942">
        <v>44297</v>
      </c>
      <c r="I38" s="224">
        <v>755</v>
      </c>
      <c r="J38" s="559">
        <f t="shared" si="3"/>
        <v>9</v>
      </c>
      <c r="K38" s="224"/>
      <c r="L38" s="822"/>
      <c r="M38" s="810"/>
      <c r="N38" s="810"/>
      <c r="O38" s="810"/>
      <c r="P38" s="810">
        <f t="shared" ref="P38:P45" si="19">T38/26*J38</f>
        <v>4.1538461538461542</v>
      </c>
      <c r="Q38" s="810">
        <f t="shared" ref="Q38:Q45" si="20">J38/2</f>
        <v>4.5</v>
      </c>
      <c r="R38" s="944">
        <f t="shared" ref="R38:R45" si="21">J38-Q38-P38</f>
        <v>0.34615384615384581</v>
      </c>
      <c r="S38" s="224">
        <f>S37-1</f>
        <v>12</v>
      </c>
      <c r="T38" s="224">
        <f>T37-1</f>
        <v>12</v>
      </c>
      <c r="U38" s="224"/>
      <c r="V38" s="224"/>
    </row>
    <row r="39" spans="8:22" x14ac:dyDescent="0.25">
      <c r="H39" s="942">
        <v>44304</v>
      </c>
      <c r="I39" s="224">
        <v>762</v>
      </c>
      <c r="J39" s="559">
        <f t="shared" si="3"/>
        <v>7</v>
      </c>
      <c r="K39" s="224"/>
      <c r="L39" s="822"/>
      <c r="M39" s="810"/>
      <c r="N39" s="810"/>
      <c r="O39" s="810"/>
      <c r="P39" s="810">
        <f t="shared" si="19"/>
        <v>2.9615384615384617</v>
      </c>
      <c r="Q39" s="810">
        <f t="shared" si="20"/>
        <v>3.5</v>
      </c>
      <c r="R39" s="944">
        <f t="shared" si="21"/>
        <v>0.53846153846153832</v>
      </c>
      <c r="S39" s="224">
        <f t="shared" ref="S39:S45" si="22">S38-1</f>
        <v>11</v>
      </c>
      <c r="T39" s="224">
        <f t="shared" ref="T39:T45" si="23">T38-1</f>
        <v>11</v>
      </c>
      <c r="U39" s="224"/>
      <c r="V39" s="224"/>
    </row>
    <row r="40" spans="8:22" x14ac:dyDescent="0.25">
      <c r="H40" s="942">
        <v>44311</v>
      </c>
      <c r="I40" s="224">
        <v>771</v>
      </c>
      <c r="J40" s="559">
        <f t="shared" si="3"/>
        <v>9</v>
      </c>
      <c r="K40" s="224"/>
      <c r="L40" s="822"/>
      <c r="M40" s="810"/>
      <c r="N40" s="810"/>
      <c r="O40" s="810"/>
      <c r="P40" s="810">
        <f t="shared" si="19"/>
        <v>3.4615384615384617</v>
      </c>
      <c r="Q40" s="810">
        <f t="shared" si="20"/>
        <v>4.5</v>
      </c>
      <c r="R40" s="944">
        <f t="shared" si="21"/>
        <v>1.0384615384615383</v>
      </c>
      <c r="S40" s="224">
        <f t="shared" si="22"/>
        <v>10</v>
      </c>
      <c r="T40" s="224">
        <f t="shared" si="23"/>
        <v>10</v>
      </c>
      <c r="U40" s="224"/>
      <c r="V40" s="224"/>
    </row>
    <row r="41" spans="8:22" x14ac:dyDescent="0.25">
      <c r="H41" s="942">
        <v>44318</v>
      </c>
      <c r="I41" s="224">
        <v>780</v>
      </c>
      <c r="J41" s="559">
        <f t="shared" si="3"/>
        <v>9</v>
      </c>
      <c r="K41" s="224"/>
      <c r="L41" s="822"/>
      <c r="M41" s="810"/>
      <c r="N41" s="810"/>
      <c r="O41" s="810"/>
      <c r="P41" s="810">
        <f t="shared" si="19"/>
        <v>3.1153846153846154</v>
      </c>
      <c r="Q41" s="810">
        <f t="shared" si="20"/>
        <v>4.5</v>
      </c>
      <c r="R41" s="944">
        <f t="shared" si="21"/>
        <v>1.3846153846153846</v>
      </c>
      <c r="S41" s="224">
        <f t="shared" si="22"/>
        <v>9</v>
      </c>
      <c r="T41" s="224">
        <f t="shared" si="23"/>
        <v>9</v>
      </c>
      <c r="U41" s="224"/>
      <c r="V41" s="224"/>
    </row>
    <row r="42" spans="8:22" x14ac:dyDescent="0.25">
      <c r="H42" s="942">
        <v>44325</v>
      </c>
      <c r="I42" s="224">
        <v>782</v>
      </c>
      <c r="J42" s="559">
        <f t="shared" si="3"/>
        <v>2</v>
      </c>
      <c r="K42" s="224"/>
      <c r="L42" s="822"/>
      <c r="M42" s="810"/>
      <c r="N42" s="810"/>
      <c r="O42" s="810"/>
      <c r="P42" s="810">
        <f t="shared" si="19"/>
        <v>0.61538461538461542</v>
      </c>
      <c r="Q42" s="810">
        <f t="shared" si="20"/>
        <v>1</v>
      </c>
      <c r="R42" s="944">
        <f t="shared" si="21"/>
        <v>0.38461538461538458</v>
      </c>
      <c r="S42" s="224">
        <f t="shared" si="22"/>
        <v>8</v>
      </c>
      <c r="T42" s="224">
        <f t="shared" si="23"/>
        <v>8</v>
      </c>
      <c r="U42" s="224"/>
      <c r="V42" s="224"/>
    </row>
    <row r="43" spans="8:22" x14ac:dyDescent="0.25">
      <c r="H43" s="942">
        <v>44332</v>
      </c>
      <c r="I43" s="224">
        <v>788</v>
      </c>
      <c r="J43" s="559">
        <f t="shared" si="3"/>
        <v>6</v>
      </c>
      <c r="K43" s="224"/>
      <c r="L43" s="822"/>
      <c r="M43" s="810"/>
      <c r="N43" s="810"/>
      <c r="O43" s="810"/>
      <c r="P43" s="810">
        <f t="shared" si="19"/>
        <v>1.6153846153846154</v>
      </c>
      <c r="Q43" s="810">
        <f t="shared" si="20"/>
        <v>3</v>
      </c>
      <c r="R43" s="944">
        <f t="shared" si="21"/>
        <v>1.3846153846153846</v>
      </c>
      <c r="S43" s="224">
        <f t="shared" si="22"/>
        <v>7</v>
      </c>
      <c r="T43" s="224">
        <f t="shared" si="23"/>
        <v>7</v>
      </c>
      <c r="U43" s="224"/>
      <c r="V43" s="224"/>
    </row>
    <row r="44" spans="8:22" x14ac:dyDescent="0.25">
      <c r="H44" s="942">
        <v>44339</v>
      </c>
      <c r="I44" s="224">
        <v>796</v>
      </c>
      <c r="J44" s="559">
        <f t="shared" si="3"/>
        <v>8</v>
      </c>
      <c r="K44" s="224"/>
      <c r="L44" s="822"/>
      <c r="M44" s="810"/>
      <c r="N44" s="810"/>
      <c r="O44" s="810"/>
      <c r="P44" s="810">
        <f t="shared" si="19"/>
        <v>1.8461538461538463</v>
      </c>
      <c r="Q44" s="810">
        <f t="shared" si="20"/>
        <v>4</v>
      </c>
      <c r="R44" s="944">
        <f t="shared" si="21"/>
        <v>2.1538461538461537</v>
      </c>
      <c r="S44" s="224">
        <f t="shared" si="22"/>
        <v>6</v>
      </c>
      <c r="T44" s="224">
        <f t="shared" si="23"/>
        <v>6</v>
      </c>
      <c r="U44" s="224"/>
      <c r="V44" s="224"/>
    </row>
    <row r="45" spans="8:22" x14ac:dyDescent="0.25">
      <c r="H45" s="943">
        <v>44347</v>
      </c>
      <c r="I45" s="553">
        <v>800</v>
      </c>
      <c r="J45" s="560">
        <f t="shared" si="3"/>
        <v>4</v>
      </c>
      <c r="K45" s="224"/>
      <c r="L45" s="822"/>
      <c r="M45" s="810"/>
      <c r="N45" s="810"/>
      <c r="O45" s="810"/>
      <c r="P45" s="810">
        <f t="shared" si="19"/>
        <v>0.76923076923076927</v>
      </c>
      <c r="Q45" s="810">
        <f t="shared" si="20"/>
        <v>2</v>
      </c>
      <c r="R45" s="944">
        <f t="shared" si="21"/>
        <v>1.2307692307692308</v>
      </c>
      <c r="S45" s="224">
        <f t="shared" si="22"/>
        <v>5</v>
      </c>
      <c r="T45" s="224">
        <f t="shared" si="23"/>
        <v>5</v>
      </c>
      <c r="U45" s="224"/>
      <c r="V45" s="224"/>
    </row>
    <row r="46" spans="8:22" x14ac:dyDescent="0.25">
      <c r="H46" s="224"/>
      <c r="I46" s="224"/>
      <c r="J46" s="224"/>
      <c r="K46" s="224"/>
      <c r="L46" s="822">
        <f>SUM(L11:L45)</f>
        <v>184.80769230769229</v>
      </c>
      <c r="M46" s="810">
        <f t="shared" ref="M46:R46" si="24">SUM(M11:M45)</f>
        <v>261.42307692307696</v>
      </c>
      <c r="N46" s="810">
        <f t="shared" si="24"/>
        <v>77.692307692307693</v>
      </c>
      <c r="O46" s="810">
        <f t="shared" si="24"/>
        <v>53.384615384615394</v>
      </c>
      <c r="P46" s="810">
        <f t="shared" si="24"/>
        <v>129.03846153846155</v>
      </c>
      <c r="Q46" s="810">
        <f t="shared" si="24"/>
        <v>85.192307692307693</v>
      </c>
      <c r="R46" s="944">
        <f t="shared" si="24"/>
        <v>8.4615384615384599</v>
      </c>
      <c r="S46" s="224"/>
      <c r="T46" s="224"/>
      <c r="U46" s="224"/>
      <c r="V46" s="224"/>
    </row>
    <row r="47" spans="8:22" x14ac:dyDescent="0.25">
      <c r="H47" s="224"/>
      <c r="I47" s="224"/>
      <c r="J47" s="224"/>
      <c r="K47" s="224"/>
      <c r="L47" s="823">
        <f>L46*4</f>
        <v>739.23076923076917</v>
      </c>
      <c r="M47" s="824">
        <f t="shared" ref="M47:R47" si="25">M46*4</f>
        <v>1045.6923076923078</v>
      </c>
      <c r="N47" s="824">
        <f t="shared" si="25"/>
        <v>310.76923076923077</v>
      </c>
      <c r="O47" s="824">
        <f t="shared" si="25"/>
        <v>213.53846153846158</v>
      </c>
      <c r="P47" s="824">
        <f t="shared" si="25"/>
        <v>516.15384615384619</v>
      </c>
      <c r="Q47" s="824">
        <f t="shared" si="25"/>
        <v>340.76923076923077</v>
      </c>
      <c r="R47" s="945">
        <f t="shared" si="25"/>
        <v>33.84615384615384</v>
      </c>
      <c r="S47" s="224" t="s">
        <v>323</v>
      </c>
      <c r="T47" s="224"/>
      <c r="U47" s="224"/>
      <c r="V47" s="224"/>
    </row>
    <row r="48" spans="8:22" x14ac:dyDescent="0.25">
      <c r="J48" s="230" t="s">
        <v>324</v>
      </c>
      <c r="L48" s="230">
        <v>634</v>
      </c>
      <c r="M48" s="707">
        <f>K55</f>
        <v>900.7</v>
      </c>
      <c r="N48" s="707">
        <f t="shared" ref="N48:P48" si="26">L55</f>
        <v>270.7</v>
      </c>
      <c r="O48" s="707">
        <f t="shared" si="26"/>
        <v>208.7</v>
      </c>
      <c r="P48" s="707">
        <f t="shared" si="26"/>
        <v>469.7</v>
      </c>
      <c r="Q48" s="707">
        <v>279</v>
      </c>
      <c r="R48" s="707"/>
    </row>
    <row r="50" spans="8:29" x14ac:dyDescent="0.25">
      <c r="H50" s="1390" t="s">
        <v>325</v>
      </c>
      <c r="I50" s="1391"/>
      <c r="J50" s="1359" t="s">
        <v>280</v>
      </c>
      <c r="K50" s="1360"/>
      <c r="L50" s="1360"/>
      <c r="M50" s="1354"/>
      <c r="N50" s="1354"/>
      <c r="O50" s="1354"/>
      <c r="P50" s="1294"/>
      <c r="Q50" s="504"/>
      <c r="R50" s="504"/>
      <c r="S50" s="504"/>
      <c r="T50" s="504"/>
      <c r="U50" s="504"/>
      <c r="V50" s="504"/>
      <c r="W50" s="504"/>
      <c r="X50" s="504"/>
      <c r="Y50" s="504"/>
    </row>
    <row r="51" spans="8:29" x14ac:dyDescent="0.25">
      <c r="H51" s="1392"/>
      <c r="I51" s="1393"/>
      <c r="J51" s="1302">
        <v>2020</v>
      </c>
      <c r="K51" s="1303"/>
      <c r="L51" s="1303"/>
      <c r="M51" s="1302">
        <v>2021</v>
      </c>
      <c r="N51" s="1303"/>
      <c r="O51" s="1303"/>
      <c r="P51" s="1304"/>
      <c r="Q51" s="1338"/>
      <c r="R51" s="1338"/>
      <c r="S51" s="1338"/>
      <c r="T51" s="1338"/>
      <c r="U51" s="1338"/>
      <c r="V51" s="1338"/>
      <c r="W51" s="1338"/>
      <c r="X51" s="1338"/>
    </row>
    <row r="52" spans="8:29" x14ac:dyDescent="0.25">
      <c r="H52" s="1403"/>
      <c r="I52" s="1404"/>
      <c r="J52" s="204" t="s">
        <v>284</v>
      </c>
      <c r="K52" s="205" t="s">
        <v>238</v>
      </c>
      <c r="L52" s="205" t="s">
        <v>282</v>
      </c>
      <c r="M52" s="275" t="s">
        <v>283</v>
      </c>
      <c r="N52" s="276" t="s">
        <v>284</v>
      </c>
      <c r="O52" s="276" t="s">
        <v>238</v>
      </c>
      <c r="P52" s="274" t="s">
        <v>282</v>
      </c>
      <c r="Q52" s="224"/>
      <c r="S52" s="230"/>
      <c r="T52" s="230"/>
      <c r="U52" s="224"/>
      <c r="V52" s="230"/>
      <c r="W52" s="230"/>
      <c r="X52" s="230"/>
      <c r="Y52" s="230"/>
      <c r="Z52" s="230"/>
      <c r="AA52" s="230"/>
    </row>
    <row r="53" spans="8:29" ht="32.85" customHeight="1" x14ac:dyDescent="0.25">
      <c r="H53" s="469" t="s">
        <v>326</v>
      </c>
      <c r="I53" s="224" t="s">
        <v>327</v>
      </c>
      <c r="J53" s="937">
        <f>'Haver Pivoted'!GU47</f>
        <v>57.2</v>
      </c>
      <c r="K53" s="439">
        <f>'Haver Pivoted'!GV47</f>
        <v>81.2</v>
      </c>
      <c r="L53" s="439">
        <f>'Haver Pivoted'!GW47</f>
        <v>24.4</v>
      </c>
      <c r="M53" s="221">
        <f>'Haver Pivoted'!GX47</f>
        <v>11.7</v>
      </c>
      <c r="N53" s="221">
        <f>'Haver Pivoted'!GY47</f>
        <v>28.5</v>
      </c>
      <c r="O53" s="354">
        <f>'Haver Pivoted'!GZ47</f>
        <v>18.8</v>
      </c>
      <c r="P53" s="354">
        <f>'Haver Pivoted'!HA47</f>
        <v>1.6</v>
      </c>
      <c r="Q53" s="221"/>
      <c r="S53" s="230"/>
      <c r="T53" s="230"/>
      <c r="U53" s="230"/>
      <c r="V53" s="230"/>
      <c r="W53" s="230"/>
      <c r="X53" s="230"/>
      <c r="Y53" s="230"/>
      <c r="Z53" s="230"/>
      <c r="AA53" s="230"/>
    </row>
    <row r="54" spans="8:29" ht="33.75" customHeight="1" x14ac:dyDescent="0.25">
      <c r="H54" s="469" t="s">
        <v>328</v>
      </c>
      <c r="I54" s="216" t="s">
        <v>329</v>
      </c>
      <c r="J54" s="805">
        <f>'Haver Pivoted'!GU49</f>
        <v>576.9</v>
      </c>
      <c r="K54" s="221">
        <f>'Haver Pivoted'!GV49</f>
        <v>819.5</v>
      </c>
      <c r="L54" s="221">
        <f>'Haver Pivoted'!GW49</f>
        <v>246.3</v>
      </c>
      <c r="M54" s="221">
        <f>'Haver Pivoted'!GX49</f>
        <v>197</v>
      </c>
      <c r="N54" s="221">
        <f>'Haver Pivoted'!GY49</f>
        <v>441.2</v>
      </c>
      <c r="O54" s="354">
        <f>'Haver Pivoted'!GZ49</f>
        <v>276.7</v>
      </c>
      <c r="P54" s="354">
        <f>'Haver Pivoted'!HA49</f>
        <v>28.2</v>
      </c>
      <c r="Q54" s="221"/>
      <c r="R54" s="221"/>
    </row>
    <row r="55" spans="8:29" x14ac:dyDescent="0.25">
      <c r="H55" s="538" t="s">
        <v>312</v>
      </c>
      <c r="I55" s="224"/>
      <c r="J55" s="805">
        <f>J54+J53</f>
        <v>634.1</v>
      </c>
      <c r="K55" s="221">
        <f t="shared" ref="K55:M55" si="27">K54+K53</f>
        <v>900.7</v>
      </c>
      <c r="L55" s="221">
        <f t="shared" si="27"/>
        <v>270.7</v>
      </c>
      <c r="M55" s="221">
        <f t="shared" si="27"/>
        <v>208.7</v>
      </c>
      <c r="N55" s="221">
        <f t="shared" ref="N55:P55" si="28">N54+N53</f>
        <v>469.7</v>
      </c>
      <c r="O55" s="354">
        <f t="shared" si="28"/>
        <v>295.5</v>
      </c>
      <c r="P55" s="354">
        <f t="shared" si="28"/>
        <v>29.8</v>
      </c>
      <c r="Q55" s="221"/>
      <c r="R55" s="221"/>
    </row>
    <row r="56" spans="8:29" x14ac:dyDescent="0.25">
      <c r="H56" s="347" t="s">
        <v>330</v>
      </c>
      <c r="I56" s="553"/>
      <c r="J56" s="825">
        <f t="shared" ref="J56:P56" si="29">J53/J55</f>
        <v>9.0206592020186091E-2</v>
      </c>
      <c r="K56" s="826">
        <f t="shared" si="29"/>
        <v>9.015210391917397E-2</v>
      </c>
      <c r="L56" s="826">
        <f t="shared" si="29"/>
        <v>9.0136682674547469E-2</v>
      </c>
      <c r="M56" s="826">
        <f t="shared" si="29"/>
        <v>5.6061332055582176E-2</v>
      </c>
      <c r="N56" s="826">
        <f t="shared" si="29"/>
        <v>6.0677027890142649E-2</v>
      </c>
      <c r="O56" s="827">
        <f t="shared" si="29"/>
        <v>6.3620981387478848E-2</v>
      </c>
      <c r="P56" s="827">
        <f t="shared" si="29"/>
        <v>5.3691275167785234E-2</v>
      </c>
      <c r="Q56" s="940"/>
      <c r="R56" s="860"/>
    </row>
    <row r="58" spans="8:29" x14ac:dyDescent="0.25">
      <c r="H58" s="230" t="s">
        <v>817</v>
      </c>
    </row>
    <row r="59" spans="8:29" x14ac:dyDescent="0.25">
      <c r="H59" s="273"/>
      <c r="I59" s="224"/>
      <c r="J59" s="221"/>
      <c r="K59" s="221"/>
      <c r="L59" s="221"/>
      <c r="M59" s="221"/>
      <c r="N59" s="221"/>
      <c r="O59" s="221"/>
      <c r="P59" s="490"/>
      <c r="Q59" s="221"/>
      <c r="R59" s="221"/>
      <c r="S59" s="221"/>
      <c r="T59" s="230"/>
      <c r="U59" s="230"/>
      <c r="V59" s="230"/>
      <c r="W59" s="230"/>
      <c r="X59" s="230"/>
      <c r="Y59" s="230"/>
      <c r="Z59" s="230"/>
      <c r="AA59" s="230"/>
      <c r="AB59" s="230"/>
      <c r="AC59" s="230"/>
    </row>
    <row r="60" spans="8:29" x14ac:dyDescent="0.25">
      <c r="P60" s="221"/>
      <c r="Q60" s="230"/>
      <c r="R60" s="230"/>
      <c r="S60" s="230"/>
      <c r="T60" s="230"/>
      <c r="U60" s="230"/>
      <c r="V60" s="230"/>
      <c r="W60" s="230"/>
      <c r="X60" s="230"/>
      <c r="Y60" s="230"/>
      <c r="Z60" s="230"/>
      <c r="AA60" s="230"/>
      <c r="AB60" s="230"/>
      <c r="AC60" s="230"/>
    </row>
    <row r="61" spans="8:29" x14ac:dyDescent="0.25">
      <c r="P61" s="221"/>
      <c r="Q61" s="938"/>
      <c r="R61" s="938"/>
      <c r="S61" s="938"/>
      <c r="T61" s="938"/>
      <c r="U61" s="938"/>
      <c r="V61" s="938"/>
      <c r="W61" s="938"/>
      <c r="X61" s="938"/>
      <c r="Y61" s="938"/>
      <c r="Z61" s="938"/>
      <c r="AA61" s="938"/>
      <c r="AB61" s="938"/>
      <c r="AC61" s="230"/>
    </row>
    <row r="62" spans="8:29" x14ac:dyDescent="0.25">
      <c r="P62" s="221"/>
      <c r="Q62" s="938"/>
      <c r="R62" s="938"/>
      <c r="S62" s="938"/>
      <c r="T62" s="938"/>
      <c r="U62" s="938"/>
      <c r="V62" s="938"/>
      <c r="W62" s="938"/>
      <c r="X62" s="938"/>
      <c r="Y62" s="938"/>
      <c r="Z62" s="938"/>
      <c r="AA62" s="938"/>
      <c r="AB62" s="938"/>
      <c r="AC62" s="230"/>
    </row>
    <row r="63" spans="8:29" x14ac:dyDescent="0.25">
      <c r="I63" s="230" t="s">
        <v>283</v>
      </c>
      <c r="J63" s="230" t="s">
        <v>284</v>
      </c>
      <c r="K63" s="230" t="s">
        <v>238</v>
      </c>
      <c r="L63" s="230" t="s">
        <v>282</v>
      </c>
      <c r="P63" s="860"/>
      <c r="Q63" s="938"/>
      <c r="R63" s="938"/>
      <c r="S63" s="938"/>
      <c r="T63" s="938"/>
      <c r="U63" s="938"/>
      <c r="V63" s="938"/>
      <c r="W63" s="938"/>
      <c r="X63" s="938"/>
      <c r="Y63" s="938"/>
      <c r="Z63" s="938"/>
      <c r="AA63" s="938"/>
      <c r="AB63" s="938"/>
      <c r="AC63" s="230"/>
    </row>
    <row r="64" spans="8:29" x14ac:dyDescent="0.25">
      <c r="H64" s="230" t="s">
        <v>818</v>
      </c>
      <c r="I64" s="230">
        <v>81.599999999999994</v>
      </c>
      <c r="J64" s="230">
        <v>188.9</v>
      </c>
      <c r="K64" s="230">
        <v>117.2</v>
      </c>
      <c r="L64" s="230" t="e">
        <f>#REF!+#REF!</f>
        <v>#REF!</v>
      </c>
      <c r="P64" s="230"/>
      <c r="Q64" s="230"/>
      <c r="R64" s="230"/>
      <c r="S64" s="230"/>
      <c r="T64" s="230"/>
      <c r="U64" s="230"/>
      <c r="V64" s="230"/>
      <c r="W64" s="230"/>
      <c r="X64" s="230"/>
      <c r="Y64" s="230"/>
      <c r="Z64" s="230"/>
      <c r="AA64" s="230"/>
      <c r="AB64" s="230"/>
      <c r="AC64" s="230"/>
    </row>
    <row r="65" spans="7:29" x14ac:dyDescent="0.25">
      <c r="H65" s="230" t="s">
        <v>470</v>
      </c>
      <c r="I65" s="707">
        <f>M53</f>
        <v>11.7</v>
      </c>
      <c r="J65" s="707">
        <f t="shared" ref="J65:K65" si="30">N53</f>
        <v>28.5</v>
      </c>
      <c r="K65" s="707">
        <f t="shared" si="30"/>
        <v>18.8</v>
      </c>
      <c r="L65" s="230" t="e">
        <f>#REF!</f>
        <v>#REF!</v>
      </c>
      <c r="P65" s="230"/>
      <c r="Q65" s="230"/>
      <c r="R65" s="230"/>
      <c r="S65" s="230"/>
      <c r="T65" s="230"/>
      <c r="U65" s="230"/>
      <c r="V65" s="230"/>
      <c r="W65" s="230"/>
      <c r="X65" s="230"/>
      <c r="Y65" s="230"/>
      <c r="Z65" s="230"/>
      <c r="AA65" s="230"/>
      <c r="AB65" s="230"/>
      <c r="AC65" s="230"/>
    </row>
    <row r="66" spans="7:29" x14ac:dyDescent="0.25">
      <c r="H66" s="230" t="s">
        <v>819</v>
      </c>
      <c r="I66" s="707">
        <f>I67-SUM(I64:I65)</f>
        <v>115.39999999999999</v>
      </c>
      <c r="J66" s="707">
        <f t="shared" ref="J66:K66" si="31">J67-SUM(J64:J65)</f>
        <v>252.29999999999998</v>
      </c>
      <c r="K66" s="707">
        <f t="shared" si="31"/>
        <v>159.5</v>
      </c>
      <c r="L66" s="707" t="e">
        <f>1.26*L64</f>
        <v>#REF!</v>
      </c>
      <c r="P66" s="230"/>
      <c r="Q66" s="230"/>
      <c r="R66" s="230"/>
      <c r="S66" s="230"/>
      <c r="T66" s="230"/>
      <c r="U66" s="230"/>
      <c r="V66" s="230"/>
      <c r="W66" s="230"/>
      <c r="X66" s="230"/>
      <c r="Y66" s="230"/>
      <c r="Z66" s="230"/>
      <c r="AA66" s="230"/>
      <c r="AB66" s="230"/>
      <c r="AC66" s="230"/>
    </row>
    <row r="67" spans="7:29" x14ac:dyDescent="0.25">
      <c r="H67" s="230" t="s">
        <v>312</v>
      </c>
      <c r="I67" s="707">
        <f>M55</f>
        <v>208.7</v>
      </c>
      <c r="J67" s="707">
        <f>N55</f>
        <v>469.7</v>
      </c>
      <c r="K67" s="707">
        <f>O55</f>
        <v>295.5</v>
      </c>
      <c r="L67" s="707" t="e">
        <f>SUM(L64:L66)</f>
        <v>#REF!</v>
      </c>
    </row>
    <row r="68" spans="7:29" x14ac:dyDescent="0.25">
      <c r="G68" s="230" t="s">
        <v>820</v>
      </c>
    </row>
    <row r="69" spans="7:29" x14ac:dyDescent="0.25">
      <c r="H69" s="230" t="s">
        <v>818</v>
      </c>
      <c r="I69" s="595">
        <f>I64/I$67</f>
        <v>0.39099185433636796</v>
      </c>
      <c r="J69" s="595">
        <f t="shared" ref="J69:L69" si="32">J64/J$67</f>
        <v>0.40217159889291038</v>
      </c>
      <c r="K69" s="595">
        <f t="shared" si="32"/>
        <v>0.3966159052453469</v>
      </c>
      <c r="L69" s="595" t="e">
        <f t="shared" si="32"/>
        <v>#REF!</v>
      </c>
    </row>
    <row r="70" spans="7:29" x14ac:dyDescent="0.25">
      <c r="H70" s="230" t="s">
        <v>470</v>
      </c>
      <c r="I70" s="595">
        <f t="shared" ref="I70:L71" si="33">I65/I$67</f>
        <v>5.6061332055582176E-2</v>
      </c>
      <c r="J70" s="595">
        <f t="shared" si="33"/>
        <v>6.0677027890142649E-2</v>
      </c>
      <c r="K70" s="595">
        <f t="shared" si="33"/>
        <v>6.3620981387478848E-2</v>
      </c>
      <c r="L70" s="595" t="e">
        <f t="shared" si="33"/>
        <v>#REF!</v>
      </c>
    </row>
    <row r="71" spans="7:29" x14ac:dyDescent="0.25">
      <c r="H71" s="230" t="s">
        <v>819</v>
      </c>
      <c r="I71" s="595">
        <f t="shared" si="33"/>
        <v>0.55294681360804987</v>
      </c>
      <c r="J71" s="595">
        <f t="shared" si="33"/>
        <v>0.53715137321694695</v>
      </c>
      <c r="K71" s="595">
        <f t="shared" si="33"/>
        <v>0.53976311336717431</v>
      </c>
      <c r="L71" s="595" t="e">
        <f t="shared" si="33"/>
        <v>#REF!</v>
      </c>
    </row>
    <row r="73" spans="7:29" x14ac:dyDescent="0.25">
      <c r="H73" s="230" t="s">
        <v>821</v>
      </c>
      <c r="I73" s="230">
        <f>I66/I64</f>
        <v>1.4142156862745099</v>
      </c>
      <c r="J73" s="230">
        <f t="shared" ref="J73:K73" si="34">J66/J64</f>
        <v>1.3356273160402328</v>
      </c>
      <c r="K73" s="230">
        <f t="shared" si="34"/>
        <v>1.3609215017064846</v>
      </c>
    </row>
  </sheetData>
  <mergeCells count="9">
    <mergeCell ref="U51:X51"/>
    <mergeCell ref="H2:S5"/>
    <mergeCell ref="H1:S1"/>
    <mergeCell ref="L9:N9"/>
    <mergeCell ref="H50:I52"/>
    <mergeCell ref="J51:L51"/>
    <mergeCell ref="Q51:T51"/>
    <mergeCell ref="M51:P51"/>
    <mergeCell ref="J50:P50"/>
  </mergeCells>
  <hyperlinks>
    <hyperlink ref="H7" r:id="rId1" xr:uid="{00000000-0004-0000-1A00-000000000000}"/>
  </hyperlink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45"/>
  <sheetViews>
    <sheetView zoomScale="110" zoomScaleNormal="110" workbookViewId="0">
      <selection activeCell="I26" sqref="I26"/>
    </sheetView>
  </sheetViews>
  <sheetFormatPr defaultColWidth="10.85546875" defaultRowHeight="15" x14ac:dyDescent="0.25"/>
  <cols>
    <col min="2" max="2" width="38.85546875" customWidth="1"/>
    <col min="3" max="9" width="10.42578125" customWidth="1"/>
    <col min="10" max="20" width="7.140625" customWidth="1"/>
    <col min="21" max="21" width="22.140625" customWidth="1"/>
    <col min="22" max="22" width="11.85546875" customWidth="1"/>
  </cols>
  <sheetData>
    <row r="1" spans="1:22" x14ac:dyDescent="0.25">
      <c r="B1" s="1265" t="s">
        <v>152</v>
      </c>
      <c r="C1" s="1265"/>
      <c r="D1" s="1265"/>
      <c r="E1" s="1265"/>
      <c r="F1" s="1265"/>
      <c r="G1" s="1265"/>
      <c r="H1" s="1265"/>
      <c r="I1" s="1265"/>
      <c r="J1" s="1265"/>
      <c r="K1" s="1265"/>
      <c r="L1" s="1265"/>
      <c r="M1" s="1265"/>
      <c r="N1" s="1265"/>
      <c r="O1" s="1265"/>
      <c r="P1" s="1265"/>
      <c r="Q1" s="1265"/>
      <c r="R1" s="1265"/>
      <c r="S1" s="1265"/>
      <c r="T1" s="1265"/>
    </row>
    <row r="2" spans="1:22" x14ac:dyDescent="0.25">
      <c r="B2" s="1412" t="s">
        <v>857</v>
      </c>
      <c r="C2" s="1412"/>
      <c r="D2" s="1412"/>
      <c r="E2" s="1412"/>
      <c r="F2" s="1412"/>
      <c r="G2" s="1412"/>
      <c r="H2" s="1412"/>
      <c r="I2" s="1412"/>
      <c r="J2" s="1412"/>
      <c r="K2" s="1412"/>
      <c r="L2" s="1412"/>
      <c r="M2" s="1412"/>
      <c r="N2" s="1412"/>
      <c r="O2" s="1412"/>
      <c r="P2" s="1412"/>
      <c r="Q2" s="1412"/>
      <c r="R2" s="1412"/>
      <c r="S2" s="1412"/>
      <c r="T2" s="1412"/>
    </row>
    <row r="3" spans="1:22" x14ac:dyDescent="0.25">
      <c r="B3" s="1412"/>
      <c r="C3" s="1412"/>
      <c r="D3" s="1412"/>
      <c r="E3" s="1412"/>
      <c r="F3" s="1412"/>
      <c r="G3" s="1412"/>
      <c r="H3" s="1412"/>
      <c r="I3" s="1412"/>
      <c r="J3" s="1412"/>
      <c r="K3" s="1412"/>
      <c r="L3" s="1412"/>
      <c r="M3" s="1412"/>
      <c r="N3" s="1412"/>
      <c r="O3" s="1412"/>
      <c r="P3" s="1412"/>
      <c r="Q3" s="1412"/>
      <c r="R3" s="1412"/>
      <c r="S3" s="1412"/>
      <c r="T3" s="1412"/>
    </row>
    <row r="4" spans="1:22" x14ac:dyDescent="0.25">
      <c r="B4" s="1412"/>
      <c r="C4" s="1412"/>
      <c r="D4" s="1412"/>
      <c r="E4" s="1412"/>
      <c r="F4" s="1412"/>
      <c r="G4" s="1412"/>
      <c r="H4" s="1412"/>
      <c r="I4" s="1412"/>
      <c r="J4" s="1412"/>
      <c r="K4" s="1412"/>
      <c r="L4" s="1412"/>
      <c r="M4" s="1412"/>
      <c r="N4" s="1412"/>
      <c r="O4" s="1412"/>
      <c r="P4" s="1412"/>
      <c r="Q4" s="1412"/>
      <c r="R4" s="1412"/>
      <c r="S4" s="1412"/>
      <c r="T4" s="1412"/>
    </row>
    <row r="5" spans="1:22" x14ac:dyDescent="0.25">
      <c r="B5" s="1412"/>
      <c r="C5" s="1412"/>
      <c r="D5" s="1412"/>
      <c r="E5" s="1412"/>
      <c r="F5" s="1412"/>
      <c r="G5" s="1412"/>
      <c r="H5" s="1412"/>
      <c r="I5" s="1412"/>
      <c r="J5" s="1412"/>
      <c r="K5" s="1412"/>
      <c r="L5" s="1412"/>
      <c r="M5" s="1412"/>
      <c r="N5" s="1412"/>
      <c r="O5" s="1412"/>
      <c r="P5" s="1412"/>
      <c r="Q5" s="1412"/>
      <c r="R5" s="1412"/>
      <c r="S5" s="1412"/>
      <c r="T5" s="1412"/>
    </row>
    <row r="6" spans="1:22" x14ac:dyDescent="0.25">
      <c r="B6" s="1412"/>
      <c r="C6" s="1412"/>
      <c r="D6" s="1412"/>
      <c r="E6" s="1412"/>
      <c r="F6" s="1412"/>
      <c r="G6" s="1412"/>
      <c r="H6" s="1412"/>
      <c r="I6" s="1412"/>
      <c r="J6" s="1412"/>
      <c r="K6" s="1412"/>
      <c r="L6" s="1412"/>
      <c r="M6" s="1412"/>
      <c r="N6" s="1412"/>
      <c r="O6" s="1412"/>
      <c r="P6" s="1412"/>
      <c r="Q6" s="1412"/>
      <c r="R6" s="1412"/>
      <c r="S6" s="1412"/>
      <c r="T6" s="1412"/>
    </row>
    <row r="7" spans="1:22" x14ac:dyDescent="0.25">
      <c r="J7" s="191"/>
      <c r="K7" s="191"/>
      <c r="M7" s="191"/>
    </row>
    <row r="9" spans="1:22" ht="14.85" customHeight="1" x14ac:dyDescent="0.25">
      <c r="A9" s="621"/>
      <c r="B9" s="1413" t="s">
        <v>304</v>
      </c>
      <c r="C9" s="1414"/>
      <c r="D9" s="954">
        <v>2018</v>
      </c>
      <c r="E9" s="1419">
        <v>2019</v>
      </c>
      <c r="F9" s="1420"/>
      <c r="G9" s="1420"/>
      <c r="H9" s="1421"/>
      <c r="I9" s="1417">
        <v>2020</v>
      </c>
      <c r="J9" s="1418"/>
      <c r="K9" s="1418"/>
      <c r="L9" s="1418"/>
      <c r="M9" s="1422">
        <v>2021</v>
      </c>
      <c r="N9" s="1423"/>
      <c r="O9" s="1423"/>
      <c r="P9" s="1424"/>
      <c r="Q9" s="1417">
        <v>2022</v>
      </c>
      <c r="R9" s="1425"/>
      <c r="S9" s="1425"/>
      <c r="T9" s="1426"/>
    </row>
    <row r="10" spans="1:22" x14ac:dyDescent="0.25">
      <c r="B10" s="1415"/>
      <c r="C10" s="1416"/>
      <c r="D10" s="958" t="s">
        <v>282</v>
      </c>
      <c r="E10" s="959" t="s">
        <v>283</v>
      </c>
      <c r="F10" s="651" t="s">
        <v>284</v>
      </c>
      <c r="G10" s="651" t="s">
        <v>238</v>
      </c>
      <c r="H10" s="960" t="s">
        <v>282</v>
      </c>
      <c r="I10" s="959" t="s">
        <v>283</v>
      </c>
      <c r="J10" s="651" t="s">
        <v>284</v>
      </c>
      <c r="K10" s="651" t="s">
        <v>238</v>
      </c>
      <c r="L10" s="651" t="s">
        <v>282</v>
      </c>
      <c r="M10" s="204" t="s">
        <v>283</v>
      </c>
      <c r="N10" s="205" t="s">
        <v>284</v>
      </c>
      <c r="O10" s="205" t="s">
        <v>238</v>
      </c>
      <c r="P10" s="206" t="s">
        <v>282</v>
      </c>
      <c r="Q10" s="651" t="s">
        <v>283</v>
      </c>
      <c r="R10" s="651" t="s">
        <v>284</v>
      </c>
      <c r="S10" s="651" t="s">
        <v>238</v>
      </c>
      <c r="T10" s="960" t="s">
        <v>282</v>
      </c>
    </row>
    <row r="11" spans="1:22" ht="29.1" customHeight="1" x14ac:dyDescent="0.25">
      <c r="A11" s="952"/>
      <c r="B11" s="962" t="s">
        <v>139</v>
      </c>
      <c r="C11" s="957" t="s">
        <v>305</v>
      </c>
      <c r="D11" s="971"/>
      <c r="E11" s="972"/>
      <c r="F11" s="972"/>
      <c r="G11" s="972"/>
      <c r="H11" s="972"/>
      <c r="I11" s="972"/>
      <c r="J11" s="964">
        <f>'Haver Pivoted'!GU48</f>
        <v>160.9</v>
      </c>
      <c r="K11" s="964">
        <f>'Haver Pivoted'!GV48</f>
        <v>58.4</v>
      </c>
      <c r="L11" s="964">
        <f>'Haver Pivoted'!GW48</f>
        <v>34.5</v>
      </c>
      <c r="M11" s="964">
        <f>'Haver Pivoted'!GX48</f>
        <v>21.4</v>
      </c>
      <c r="N11" s="964">
        <f>'Haver Pivoted'!GY48</f>
        <v>13.3</v>
      </c>
      <c r="O11" s="964">
        <f>'Haver Pivoted'!GZ48</f>
        <v>18.7</v>
      </c>
      <c r="P11" s="964">
        <f>'Haver Pivoted'!HA48</f>
        <v>32.200000000000003</v>
      </c>
      <c r="Q11" s="964">
        <f>'Haver Pivoted'!HB48</f>
        <v>26.9</v>
      </c>
      <c r="R11" s="964">
        <f>'Haver Pivoted'!HC48</f>
        <v>20</v>
      </c>
      <c r="S11" s="970">
        <f>'Haver Pivoted'!HD48</f>
        <v>8.1</v>
      </c>
      <c r="T11" s="965">
        <f>'Haver Pivoted'!HE48</f>
        <v>4.9000000000000004</v>
      </c>
    </row>
    <row r="12" spans="1:22" ht="29.1" customHeight="1" x14ac:dyDescent="0.25">
      <c r="A12" s="952"/>
      <c r="B12" s="950" t="s">
        <v>306</v>
      </c>
      <c r="C12" s="132" t="s">
        <v>307</v>
      </c>
      <c r="D12" s="950"/>
      <c r="E12" s="132"/>
      <c r="F12" s="132"/>
      <c r="G12" s="132"/>
      <c r="H12" s="132"/>
      <c r="I12" s="132"/>
      <c r="J12" s="966">
        <f>'Haver Pivoted'!GU58</f>
        <v>64.400000000000006</v>
      </c>
      <c r="K12" s="966">
        <f>'Haver Pivoted'!GV58</f>
        <v>23.4</v>
      </c>
      <c r="L12" s="966">
        <f>'Haver Pivoted'!GW58</f>
        <v>13.8</v>
      </c>
      <c r="M12" s="966">
        <f>'Haver Pivoted'!GX58</f>
        <v>12</v>
      </c>
      <c r="N12" s="966">
        <f>'Haver Pivoted'!GY58</f>
        <v>7.5</v>
      </c>
      <c r="O12" s="966">
        <f>'Haver Pivoted'!GZ58</f>
        <v>10.5</v>
      </c>
      <c r="P12" s="966">
        <f>'Haver Pivoted'!HA58</f>
        <v>18</v>
      </c>
      <c r="Q12" s="966">
        <f>'Haver Pivoted'!HB58</f>
        <v>15</v>
      </c>
      <c r="R12" s="966">
        <f>'Haver Pivoted'!HC58</f>
        <v>11.2</v>
      </c>
      <c r="S12" s="969">
        <f>'Haver Pivoted'!HD58</f>
        <v>7.5</v>
      </c>
      <c r="T12" s="948">
        <f>'Haver Pivoted'!HE58</f>
        <v>6.2</v>
      </c>
    </row>
    <row r="13" spans="1:22" ht="47.1" customHeight="1" x14ac:dyDescent="0.25">
      <c r="A13" s="952"/>
      <c r="B13" s="950" t="s">
        <v>308</v>
      </c>
      <c r="C13" s="132" t="s">
        <v>309</v>
      </c>
      <c r="D13" s="950"/>
      <c r="E13" s="132"/>
      <c r="F13" s="132"/>
      <c r="G13" s="132"/>
      <c r="H13" s="132"/>
      <c r="I13" s="132"/>
      <c r="J13" s="966">
        <f>'Haver Pivoted'!GU54</f>
        <v>96.6</v>
      </c>
      <c r="K13" s="966">
        <f>'Haver Pivoted'!GV54</f>
        <v>35.1</v>
      </c>
      <c r="L13" s="966">
        <f>'Haver Pivoted'!GW54</f>
        <v>20.7</v>
      </c>
      <c r="M13" s="966">
        <f>'Haver Pivoted'!GX54</f>
        <v>15.4</v>
      </c>
      <c r="N13" s="966">
        <f>'Haver Pivoted'!GY54</f>
        <v>9.6</v>
      </c>
      <c r="O13" s="966">
        <f>'Haver Pivoted'!GZ54</f>
        <v>13.5</v>
      </c>
      <c r="P13" s="966">
        <f>'Haver Pivoted'!HA54</f>
        <v>23.2</v>
      </c>
      <c r="Q13" s="966">
        <f>'Haver Pivoted'!HB54</f>
        <v>19.3</v>
      </c>
      <c r="R13" s="966">
        <f>'Haver Pivoted'!HC54</f>
        <v>14.4</v>
      </c>
      <c r="S13" s="969">
        <f>'Haver Pivoted'!HD54</f>
        <v>5.9</v>
      </c>
      <c r="T13" s="948">
        <f>'Haver Pivoted'!HE54</f>
        <v>3.6</v>
      </c>
      <c r="U13" s="967" t="s">
        <v>310</v>
      </c>
      <c r="V13" s="955" t="s">
        <v>311</v>
      </c>
    </row>
    <row r="14" spans="1:22" x14ac:dyDescent="0.25">
      <c r="B14" s="54" t="s">
        <v>312</v>
      </c>
      <c r="C14" s="56"/>
      <c r="D14" s="54"/>
      <c r="E14" s="56"/>
      <c r="F14" s="56"/>
      <c r="G14" s="56"/>
      <c r="H14" s="56"/>
      <c r="I14" s="56"/>
      <c r="J14" s="966">
        <f t="shared" ref="J14:T14" si="0">J13+J12+J11</f>
        <v>321.89999999999998</v>
      </c>
      <c r="K14" s="966">
        <f t="shared" si="0"/>
        <v>116.9</v>
      </c>
      <c r="L14" s="966">
        <f t="shared" si="0"/>
        <v>69</v>
      </c>
      <c r="M14" s="966">
        <f t="shared" si="0"/>
        <v>48.8</v>
      </c>
      <c r="N14" s="966">
        <f t="shared" si="0"/>
        <v>30.400000000000002</v>
      </c>
      <c r="O14" s="966">
        <f t="shared" si="0"/>
        <v>42.7</v>
      </c>
      <c r="P14" s="966">
        <f t="shared" si="0"/>
        <v>73.400000000000006</v>
      </c>
      <c r="Q14" s="966">
        <f t="shared" si="0"/>
        <v>61.199999999999996</v>
      </c>
      <c r="R14" s="966">
        <f t="shared" si="0"/>
        <v>45.6</v>
      </c>
      <c r="S14" s="969">
        <f t="shared" si="0"/>
        <v>21.5</v>
      </c>
      <c r="T14" s="948">
        <f t="shared" si="0"/>
        <v>14.700000000000001</v>
      </c>
      <c r="U14" s="968">
        <v>236</v>
      </c>
      <c r="V14" s="961">
        <f>SUM(J14:S14)/4</f>
        <v>207.85</v>
      </c>
    </row>
    <row r="15" spans="1:22" x14ac:dyDescent="0.25">
      <c r="B15" s="951" t="s">
        <v>313</v>
      </c>
      <c r="C15" s="58"/>
      <c r="D15" s="951"/>
      <c r="E15" s="58"/>
      <c r="F15" s="58"/>
      <c r="G15" s="58"/>
      <c r="H15" s="58"/>
      <c r="I15" s="58"/>
      <c r="J15" s="621">
        <f t="shared" ref="J15:N17" si="1">J11/J$14</f>
        <v>0.49984467225846541</v>
      </c>
      <c r="K15" s="621">
        <f t="shared" si="1"/>
        <v>0.49957228400342168</v>
      </c>
      <c r="L15" s="621">
        <f t="shared" si="1"/>
        <v>0.5</v>
      </c>
      <c r="M15" s="621">
        <f t="shared" si="1"/>
        <v>0.43852459016393441</v>
      </c>
      <c r="N15" s="621">
        <f t="shared" si="1"/>
        <v>0.4375</v>
      </c>
      <c r="O15" s="621">
        <f>O11/O$14</f>
        <v>0.43793911007025754</v>
      </c>
      <c r="P15" s="621">
        <f t="shared" ref="P15:T15" si="2">P11/P$14</f>
        <v>0.43869209809264303</v>
      </c>
      <c r="Q15" s="621">
        <f t="shared" si="2"/>
        <v>0.43954248366013071</v>
      </c>
      <c r="R15" s="621">
        <f t="shared" si="2"/>
        <v>0.43859649122807015</v>
      </c>
      <c r="S15" s="651">
        <f t="shared" si="2"/>
        <v>0.37674418604651161</v>
      </c>
      <c r="T15" s="960">
        <f t="shared" si="2"/>
        <v>0.33333333333333331</v>
      </c>
    </row>
    <row r="16" spans="1:22" x14ac:dyDescent="0.25">
      <c r="B16" s="951" t="s">
        <v>314</v>
      </c>
      <c r="C16" s="58"/>
      <c r="D16" s="951"/>
      <c r="E16" s="58"/>
      <c r="F16" s="58"/>
      <c r="G16" s="58"/>
      <c r="H16" s="58"/>
      <c r="I16" s="58"/>
      <c r="J16" s="621">
        <f t="shared" si="1"/>
        <v>0.20006213109661389</v>
      </c>
      <c r="K16" s="621">
        <f t="shared" si="1"/>
        <v>0.20017108639863129</v>
      </c>
      <c r="L16" s="621">
        <f t="shared" si="1"/>
        <v>0.2</v>
      </c>
      <c r="M16" s="621">
        <f t="shared" si="1"/>
        <v>0.24590163934426232</v>
      </c>
      <c r="N16" s="621">
        <f t="shared" si="1"/>
        <v>0.24671052631578946</v>
      </c>
      <c r="O16" s="621">
        <f t="shared" ref="O16:T16" si="3">O12/O$14</f>
        <v>0.24590163934426229</v>
      </c>
      <c r="P16" s="621">
        <f t="shared" si="3"/>
        <v>0.24523160762942778</v>
      </c>
      <c r="Q16" s="621">
        <f t="shared" si="3"/>
        <v>0.24509803921568629</v>
      </c>
      <c r="R16" s="621">
        <f t="shared" si="3"/>
        <v>0.24561403508771928</v>
      </c>
      <c r="S16" s="651">
        <f t="shared" si="3"/>
        <v>0.34883720930232559</v>
      </c>
      <c r="T16" s="960">
        <f t="shared" si="3"/>
        <v>0.42176870748299317</v>
      </c>
      <c r="U16" s="115"/>
    </row>
    <row r="17" spans="2:21" x14ac:dyDescent="0.25">
      <c r="B17" s="953" t="s">
        <v>315</v>
      </c>
      <c r="C17" s="956"/>
      <c r="D17" s="953"/>
      <c r="E17" s="956"/>
      <c r="F17" s="956"/>
      <c r="G17" s="956"/>
      <c r="H17" s="956"/>
      <c r="I17" s="956"/>
      <c r="J17" s="641">
        <f t="shared" si="1"/>
        <v>0.30009319664492079</v>
      </c>
      <c r="K17" s="641">
        <f t="shared" si="1"/>
        <v>0.30025662959794697</v>
      </c>
      <c r="L17" s="641">
        <f t="shared" si="1"/>
        <v>0.3</v>
      </c>
      <c r="M17" s="641">
        <f t="shared" si="1"/>
        <v>0.3155737704918033</v>
      </c>
      <c r="N17" s="641">
        <f t="shared" si="1"/>
        <v>0.31578947368421051</v>
      </c>
      <c r="O17" s="641">
        <f t="shared" ref="O17:T17" si="4">O13/O$14</f>
        <v>0.31615925058548006</v>
      </c>
      <c r="P17" s="641">
        <f t="shared" si="4"/>
        <v>0.3160762942779291</v>
      </c>
      <c r="Q17" s="641">
        <f t="shared" si="4"/>
        <v>0.31535947712418305</v>
      </c>
      <c r="R17" s="641">
        <f t="shared" si="4"/>
        <v>0.31578947368421051</v>
      </c>
      <c r="S17" s="963">
        <f t="shared" si="4"/>
        <v>0.2744186046511628</v>
      </c>
      <c r="T17" s="949">
        <f t="shared" si="4"/>
        <v>0.24489795918367346</v>
      </c>
    </row>
    <row r="18" spans="2:21" x14ac:dyDescent="0.25">
      <c r="B18" s="58"/>
      <c r="C18" s="58"/>
      <c r="D18" s="58"/>
      <c r="E18" s="58"/>
      <c r="F18" s="58"/>
      <c r="G18" s="58"/>
      <c r="H18" s="58"/>
      <c r="I18" s="58"/>
      <c r="J18" s="621"/>
      <c r="K18" s="621"/>
      <c r="L18" s="621"/>
      <c r="M18" s="621"/>
      <c r="N18" s="621"/>
      <c r="O18" s="621"/>
    </row>
    <row r="19" spans="2:21" ht="15.75" customHeight="1" x14ac:dyDescent="0.25"/>
    <row r="21" spans="2:21" ht="30" customHeight="1" x14ac:dyDescent="0.25"/>
    <row r="22" spans="2:21" ht="27" customHeight="1" x14ac:dyDescent="0.25">
      <c r="M22" s="35"/>
      <c r="N22" s="35"/>
      <c r="O22" s="35"/>
      <c r="P22" s="14"/>
      <c r="Q22" s="14"/>
      <c r="R22" s="14"/>
      <c r="S22" s="14"/>
      <c r="T22" s="14"/>
      <c r="U22" s="35"/>
    </row>
    <row r="23" spans="2:21" ht="31.5" customHeight="1" x14ac:dyDescent="0.25">
      <c r="M23" s="35"/>
      <c r="N23" s="35"/>
      <c r="O23" s="35"/>
      <c r="P23" s="14"/>
      <c r="Q23" s="14"/>
      <c r="R23" s="14"/>
      <c r="S23" s="14"/>
      <c r="T23" s="14"/>
      <c r="U23" s="35"/>
    </row>
    <row r="24" spans="2:21" ht="24.6" customHeight="1" x14ac:dyDescent="0.25">
      <c r="M24" s="35"/>
      <c r="N24" s="35"/>
      <c r="O24" s="35"/>
      <c r="P24" s="14"/>
      <c r="Q24" s="14"/>
      <c r="R24" s="14"/>
      <c r="S24" s="14"/>
      <c r="T24" s="14"/>
      <c r="U24" s="35"/>
    </row>
    <row r="25" spans="2:21" x14ac:dyDescent="0.25">
      <c r="M25" s="35"/>
      <c r="N25" s="35"/>
      <c r="O25" s="35"/>
      <c r="P25" s="35"/>
      <c r="Q25" s="35"/>
      <c r="R25" s="35"/>
      <c r="S25" s="35"/>
      <c r="T25" s="35"/>
      <c r="U25" s="35"/>
    </row>
    <row r="26" spans="2:21" x14ac:dyDescent="0.25">
      <c r="M26" s="35"/>
      <c r="N26" s="35"/>
      <c r="O26" s="35"/>
      <c r="P26" s="35"/>
      <c r="Q26" s="35"/>
      <c r="R26" s="35"/>
      <c r="S26" s="35"/>
      <c r="T26" s="35"/>
      <c r="U26" s="35"/>
    </row>
    <row r="27" spans="2:21" x14ac:dyDescent="0.25">
      <c r="M27" s="35"/>
      <c r="N27" s="35"/>
      <c r="O27" s="35"/>
      <c r="P27" s="35"/>
      <c r="Q27" s="35"/>
      <c r="R27" s="35"/>
      <c r="S27" s="35"/>
      <c r="T27" s="35"/>
      <c r="U27" s="35"/>
    </row>
    <row r="28" spans="2:21" x14ac:dyDescent="0.25">
      <c r="M28" s="35"/>
      <c r="N28" s="35"/>
      <c r="O28" s="35"/>
      <c r="P28" s="35"/>
      <c r="Q28" s="35"/>
      <c r="R28" s="35"/>
      <c r="S28" s="35"/>
      <c r="T28" s="35"/>
      <c r="U28" s="35"/>
    </row>
    <row r="29" spans="2:21" x14ac:dyDescent="0.25">
      <c r="M29" s="35"/>
      <c r="N29" s="35"/>
      <c r="O29" s="35"/>
      <c r="P29" s="35"/>
      <c r="Q29" s="35"/>
      <c r="R29" s="35"/>
      <c r="S29" s="35"/>
      <c r="T29" s="35"/>
      <c r="U29" s="35"/>
    </row>
    <row r="30" spans="2:21" x14ac:dyDescent="0.25">
      <c r="M30" s="35"/>
      <c r="N30" s="35"/>
      <c r="O30" s="35"/>
      <c r="P30" s="35"/>
      <c r="Q30" s="35"/>
      <c r="R30" s="35"/>
      <c r="S30" s="35"/>
      <c r="T30" s="35"/>
      <c r="U30" s="35"/>
    </row>
    <row r="31" spans="2:21" x14ac:dyDescent="0.25">
      <c r="M31" s="35"/>
      <c r="N31" s="35"/>
      <c r="O31" s="35"/>
      <c r="P31" s="35"/>
      <c r="Q31" s="35"/>
      <c r="R31" s="35"/>
      <c r="S31" s="35"/>
      <c r="T31" s="35"/>
      <c r="U31" s="35"/>
    </row>
    <row r="32" spans="2:21" x14ac:dyDescent="0.25">
      <c r="M32" s="35"/>
      <c r="N32" s="35"/>
      <c r="O32" s="35"/>
      <c r="P32" s="35"/>
      <c r="Q32" s="35"/>
      <c r="R32" s="35"/>
      <c r="S32" s="35"/>
      <c r="T32" s="35"/>
      <c r="U32" s="35"/>
    </row>
    <row r="33" spans="13:21" x14ac:dyDescent="0.25">
      <c r="M33" s="35"/>
      <c r="N33" s="35"/>
      <c r="O33" s="35"/>
      <c r="P33" s="35"/>
      <c r="Q33" s="35"/>
      <c r="R33" s="35"/>
      <c r="S33" s="35"/>
      <c r="T33" s="35"/>
      <c r="U33" s="35"/>
    </row>
    <row r="34" spans="13:21" x14ac:dyDescent="0.25">
      <c r="M34" s="35"/>
      <c r="N34" s="35"/>
      <c r="O34" s="35"/>
      <c r="P34" s="35"/>
      <c r="Q34" s="35"/>
      <c r="R34" s="35"/>
      <c r="S34" s="35"/>
      <c r="T34" s="35"/>
      <c r="U34" s="35"/>
    </row>
    <row r="35" spans="13:21" x14ac:dyDescent="0.25">
      <c r="M35" s="35"/>
      <c r="N35" s="35"/>
      <c r="O35" s="35"/>
      <c r="P35" s="35"/>
      <c r="Q35" s="35"/>
      <c r="R35" s="35"/>
      <c r="S35" s="35"/>
      <c r="T35" s="35"/>
      <c r="U35" s="35"/>
    </row>
    <row r="36" spans="13:21" x14ac:dyDescent="0.25">
      <c r="M36" s="35"/>
      <c r="N36" s="35"/>
      <c r="O36" s="35"/>
      <c r="P36" s="35"/>
      <c r="Q36" s="35"/>
      <c r="R36" s="35"/>
      <c r="S36" s="35"/>
      <c r="T36" s="35"/>
      <c r="U36" s="35"/>
    </row>
    <row r="37" spans="13:21" x14ac:dyDescent="0.25">
      <c r="M37" s="35"/>
      <c r="N37" s="35"/>
      <c r="O37" s="35"/>
      <c r="P37" s="35"/>
      <c r="Q37" s="35"/>
      <c r="R37" s="35"/>
      <c r="S37" s="35"/>
      <c r="T37" s="35"/>
      <c r="U37" s="35"/>
    </row>
    <row r="38" spans="13:21" x14ac:dyDescent="0.25">
      <c r="M38" s="35"/>
      <c r="N38" s="35"/>
      <c r="O38" s="35"/>
      <c r="P38" s="35"/>
      <c r="Q38" s="35"/>
      <c r="R38" s="35"/>
      <c r="S38" s="35"/>
      <c r="T38" s="35"/>
      <c r="U38" s="35"/>
    </row>
    <row r="39" spans="13:21" x14ac:dyDescent="0.25">
      <c r="M39" s="35"/>
      <c r="N39" s="35"/>
      <c r="O39" s="35"/>
      <c r="P39" s="35"/>
      <c r="Q39" s="35"/>
      <c r="R39" s="35"/>
      <c r="S39" s="35"/>
      <c r="T39" s="35"/>
      <c r="U39" s="35"/>
    </row>
    <row r="40" spans="13:21" x14ac:dyDescent="0.25">
      <c r="M40" s="35"/>
      <c r="N40" s="35"/>
      <c r="O40" s="35"/>
      <c r="P40" s="35"/>
      <c r="Q40" s="35"/>
      <c r="R40" s="35"/>
      <c r="S40" s="35"/>
      <c r="T40" s="35"/>
      <c r="U40" s="35"/>
    </row>
    <row r="41" spans="13:21" x14ac:dyDescent="0.25">
      <c r="M41" s="35"/>
      <c r="N41" s="35"/>
      <c r="O41" s="35"/>
      <c r="P41" s="35"/>
      <c r="Q41" s="35"/>
      <c r="R41" s="35"/>
      <c r="S41" s="35"/>
      <c r="T41" s="35"/>
      <c r="U41" s="35"/>
    </row>
    <row r="42" spans="13:21" x14ac:dyDescent="0.25">
      <c r="M42" s="35"/>
      <c r="N42" s="35"/>
      <c r="O42" s="35"/>
      <c r="P42" s="35"/>
      <c r="Q42" s="35"/>
      <c r="R42" s="35"/>
      <c r="S42" s="35"/>
      <c r="T42" s="35"/>
      <c r="U42" s="35"/>
    </row>
    <row r="43" spans="13:21" x14ac:dyDescent="0.25">
      <c r="M43" s="35"/>
      <c r="N43" s="35"/>
      <c r="O43" s="35"/>
      <c r="P43" s="35"/>
      <c r="Q43" s="35"/>
      <c r="R43" s="35"/>
      <c r="S43" s="35"/>
      <c r="T43" s="35"/>
      <c r="U43" s="35"/>
    </row>
    <row r="44" spans="13:21" x14ac:dyDescent="0.25">
      <c r="M44" s="35"/>
      <c r="N44" s="35"/>
      <c r="O44" s="35"/>
      <c r="P44" s="35"/>
      <c r="Q44" s="35"/>
      <c r="R44" s="35"/>
      <c r="S44" s="35"/>
      <c r="T44" s="35"/>
      <c r="U44" s="35"/>
    </row>
    <row r="45" spans="13:21" x14ac:dyDescent="0.25">
      <c r="M45" s="35"/>
      <c r="N45" s="35"/>
      <c r="O45" s="35"/>
      <c r="P45" s="35"/>
      <c r="Q45" s="35"/>
      <c r="R45" s="35"/>
      <c r="S45" s="35"/>
      <c r="T45" s="35"/>
      <c r="U45" s="35"/>
    </row>
  </sheetData>
  <mergeCells count="7">
    <mergeCell ref="B2:T6"/>
    <mergeCell ref="B1:T1"/>
    <mergeCell ref="B9:C10"/>
    <mergeCell ref="I9:L9"/>
    <mergeCell ref="E9:H9"/>
    <mergeCell ref="M9:P9"/>
    <mergeCell ref="Q9:T9"/>
  </mergeCells>
  <pageMargins left="0.7" right="0.7" top="0.75" bottom="0.75" header="0.3" footer="0.3"/>
  <pageSetup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C52"/>
  <sheetViews>
    <sheetView zoomScale="90" zoomScaleNormal="90" workbookViewId="0">
      <selection activeCell="T9" sqref="T9"/>
    </sheetView>
  </sheetViews>
  <sheetFormatPr defaultColWidth="10.85546875" defaultRowHeight="15" x14ac:dyDescent="0.25"/>
  <cols>
    <col min="1" max="1" width="6" customWidth="1"/>
    <col min="2" max="2" width="29.42578125" customWidth="1"/>
    <col min="3" max="7" width="10.42578125" customWidth="1"/>
  </cols>
  <sheetData>
    <row r="1" spans="1:29" x14ac:dyDescent="0.25">
      <c r="B1" s="1288" t="s">
        <v>56</v>
      </c>
      <c r="C1" s="1288"/>
      <c r="D1" s="1288"/>
      <c r="E1" s="1288"/>
      <c r="F1" s="1288"/>
      <c r="G1" s="1288"/>
      <c r="H1" s="1288"/>
      <c r="I1" s="1288"/>
      <c r="J1" s="1288"/>
      <c r="K1" s="1288"/>
      <c r="L1" s="1288"/>
      <c r="M1" s="1288"/>
      <c r="N1" s="1288"/>
      <c r="O1" s="1288"/>
      <c r="P1" s="1288"/>
      <c r="Q1" s="1288"/>
      <c r="R1" s="1288"/>
      <c r="S1" s="1288"/>
      <c r="T1" s="1288"/>
      <c r="U1" s="1288"/>
      <c r="V1" s="1288"/>
      <c r="W1" s="1288"/>
      <c r="X1" s="1288"/>
      <c r="Y1" s="1288"/>
      <c r="Z1" s="1288"/>
      <c r="AA1" s="1288"/>
      <c r="AB1" s="1288"/>
      <c r="AC1" s="1288"/>
    </row>
    <row r="2" spans="1:29" ht="14.85" customHeight="1" x14ac:dyDescent="0.25">
      <c r="B2" s="1289" t="s">
        <v>459</v>
      </c>
      <c r="C2" s="1289"/>
      <c r="D2" s="1289"/>
      <c r="E2" s="1289"/>
      <c r="F2" s="1289"/>
      <c r="G2" s="1289"/>
      <c r="H2" s="1289"/>
      <c r="I2" s="1289"/>
      <c r="J2" s="1289"/>
      <c r="K2" s="1289"/>
      <c r="L2" s="1289"/>
      <c r="M2" s="1289"/>
      <c r="N2" s="1289"/>
      <c r="O2" s="1289"/>
      <c r="P2" s="1289"/>
      <c r="Q2" s="1289"/>
      <c r="R2" s="1289"/>
      <c r="S2" s="1289"/>
      <c r="T2" s="1289"/>
      <c r="U2" s="1289"/>
      <c r="V2" s="1289"/>
      <c r="W2" s="1289"/>
      <c r="X2" s="1289"/>
      <c r="Y2" s="1289"/>
      <c r="Z2" s="1289"/>
      <c r="AA2" s="1289"/>
      <c r="AB2" s="1289"/>
      <c r="AC2" s="1289"/>
    </row>
    <row r="3" spans="1:29" x14ac:dyDescent="0.25">
      <c r="B3" s="1289"/>
      <c r="C3" s="1289"/>
      <c r="D3" s="1289"/>
      <c r="E3" s="1289"/>
      <c r="F3" s="1289"/>
      <c r="G3" s="1289"/>
      <c r="H3" s="1289"/>
      <c r="I3" s="1289"/>
      <c r="J3" s="1289"/>
      <c r="K3" s="1289"/>
      <c r="L3" s="1289"/>
      <c r="M3" s="1289"/>
      <c r="N3" s="1289"/>
      <c r="O3" s="1289"/>
      <c r="P3" s="1289"/>
      <c r="Q3" s="1289"/>
      <c r="R3" s="1289"/>
      <c r="S3" s="1289"/>
      <c r="T3" s="1289"/>
      <c r="U3" s="1289"/>
      <c r="V3" s="1289"/>
      <c r="W3" s="1289"/>
      <c r="X3" s="1289"/>
      <c r="Y3" s="1289"/>
      <c r="Z3" s="1289"/>
      <c r="AA3" s="1289"/>
      <c r="AB3" s="1289"/>
      <c r="AC3" s="1289"/>
    </row>
    <row r="4" spans="1:29" x14ac:dyDescent="0.25">
      <c r="B4" s="1289"/>
      <c r="C4" s="1289"/>
      <c r="D4" s="1289"/>
      <c r="E4" s="1289"/>
      <c r="F4" s="1289"/>
      <c r="G4" s="1289"/>
      <c r="H4" s="1289"/>
      <c r="I4" s="1289"/>
      <c r="J4" s="1289"/>
      <c r="K4" s="1289"/>
      <c r="L4" s="1289"/>
      <c r="M4" s="1289"/>
      <c r="N4" s="1289"/>
      <c r="O4" s="1289"/>
      <c r="P4" s="1289"/>
      <c r="Q4" s="1289"/>
      <c r="R4" s="1289"/>
      <c r="S4" s="1289"/>
      <c r="T4" s="1289"/>
      <c r="U4" s="1289"/>
      <c r="V4" s="1289"/>
      <c r="W4" s="1289"/>
      <c r="X4" s="1289"/>
      <c r="Y4" s="1289"/>
      <c r="Z4" s="1289"/>
      <c r="AA4" s="1289"/>
      <c r="AB4" s="1289"/>
      <c r="AC4" s="1289"/>
    </row>
    <row r="5" spans="1:29" x14ac:dyDescent="0.25">
      <c r="B5" s="389"/>
      <c r="C5" s="230"/>
      <c r="D5" s="230"/>
      <c r="E5" s="230"/>
      <c r="F5" s="230"/>
      <c r="G5" s="230"/>
      <c r="H5" s="230"/>
      <c r="I5" s="230"/>
      <c r="J5" s="230"/>
      <c r="K5" s="230"/>
      <c r="L5" s="230"/>
      <c r="M5" s="230"/>
      <c r="N5" s="230"/>
      <c r="O5" s="230"/>
      <c r="P5" s="230"/>
      <c r="Q5" s="230"/>
      <c r="R5" s="230"/>
      <c r="S5" s="230"/>
      <c r="T5" s="230"/>
      <c r="U5" s="230"/>
      <c r="V5" s="230"/>
      <c r="W5" s="230"/>
      <c r="X5" s="230"/>
      <c r="Y5" s="230"/>
    </row>
    <row r="6" spans="1:29" x14ac:dyDescent="0.25">
      <c r="B6" s="1293" t="s">
        <v>404</v>
      </c>
      <c r="C6" s="1294"/>
      <c r="D6" s="1313" t="s">
        <v>280</v>
      </c>
      <c r="E6" s="1314"/>
      <c r="F6" s="1314"/>
      <c r="G6" s="1314"/>
      <c r="H6" s="1314"/>
      <c r="I6" s="1314"/>
      <c r="J6" s="1314"/>
      <c r="K6" s="1314"/>
      <c r="L6" s="1314"/>
      <c r="M6" s="1314"/>
      <c r="N6" s="1314"/>
      <c r="O6" s="1314"/>
      <c r="P6" s="1314"/>
      <c r="Q6" s="1361"/>
      <c r="R6" s="1361"/>
      <c r="S6" s="1361"/>
      <c r="T6" s="1294"/>
      <c r="U6" s="1317" t="s">
        <v>281</v>
      </c>
      <c r="V6" s="1317"/>
      <c r="W6" s="1317"/>
      <c r="X6" s="1317"/>
      <c r="Y6" s="1317"/>
      <c r="Z6" s="1317"/>
      <c r="AA6" s="1317"/>
      <c r="AB6" s="1317"/>
      <c r="AC6" s="1318"/>
    </row>
    <row r="7" spans="1:29" x14ac:dyDescent="0.25">
      <c r="B7" s="1295"/>
      <c r="C7" s="1296"/>
      <c r="D7" s="209">
        <v>2018</v>
      </c>
      <c r="E7" s="1302">
        <v>2019</v>
      </c>
      <c r="F7" s="1303"/>
      <c r="G7" s="1303"/>
      <c r="H7" s="1304"/>
      <c r="I7" s="1302">
        <v>2020</v>
      </c>
      <c r="J7" s="1303"/>
      <c r="K7" s="1303"/>
      <c r="L7" s="1303"/>
      <c r="M7" s="1302">
        <v>2021</v>
      </c>
      <c r="N7" s="1303"/>
      <c r="O7" s="1303"/>
      <c r="P7" s="1303"/>
      <c r="Q7" s="1302">
        <v>2022</v>
      </c>
      <c r="R7" s="1325"/>
      <c r="S7" s="1325"/>
      <c r="T7" s="1304"/>
      <c r="U7" s="1300">
        <v>2023</v>
      </c>
      <c r="V7" s="1312"/>
      <c r="W7" s="1312"/>
      <c r="X7" s="1312"/>
      <c r="Y7" s="1299">
        <v>2024</v>
      </c>
      <c r="Z7" s="1312"/>
      <c r="AA7" s="1312"/>
      <c r="AB7" s="1301"/>
      <c r="AC7" s="241">
        <v>2025</v>
      </c>
    </row>
    <row r="8" spans="1:29" x14ac:dyDescent="0.25">
      <c r="B8" s="1297"/>
      <c r="C8" s="1298"/>
      <c r="D8" s="204" t="s">
        <v>282</v>
      </c>
      <c r="E8" s="204" t="s">
        <v>283</v>
      </c>
      <c r="F8" s="205" t="s">
        <v>284</v>
      </c>
      <c r="G8" s="205" t="s">
        <v>238</v>
      </c>
      <c r="H8" s="206" t="s">
        <v>282</v>
      </c>
      <c r="I8" s="205" t="s">
        <v>283</v>
      </c>
      <c r="J8" s="205" t="s">
        <v>284</v>
      </c>
      <c r="K8" s="205" t="s">
        <v>238</v>
      </c>
      <c r="L8" s="205" t="s">
        <v>282</v>
      </c>
      <c r="M8" s="204" t="s">
        <v>283</v>
      </c>
      <c r="N8" s="205" t="s">
        <v>284</v>
      </c>
      <c r="O8" s="205" t="s">
        <v>238</v>
      </c>
      <c r="P8" s="205" t="s">
        <v>282</v>
      </c>
      <c r="Q8" s="204" t="s">
        <v>283</v>
      </c>
      <c r="R8" s="205" t="s">
        <v>284</v>
      </c>
      <c r="S8" s="205" t="s">
        <v>238</v>
      </c>
      <c r="T8" s="206" t="s">
        <v>282</v>
      </c>
      <c r="U8" s="316" t="s">
        <v>283</v>
      </c>
      <c r="V8" s="316" t="s">
        <v>284</v>
      </c>
      <c r="W8" s="316" t="s">
        <v>238</v>
      </c>
      <c r="X8" s="316" t="s">
        <v>282</v>
      </c>
      <c r="Y8" s="423" t="s">
        <v>283</v>
      </c>
      <c r="Z8" s="323" t="s">
        <v>284</v>
      </c>
      <c r="AA8" s="316" t="s">
        <v>238</v>
      </c>
      <c r="AB8" s="422" t="s">
        <v>282</v>
      </c>
      <c r="AC8" s="786" t="s">
        <v>283</v>
      </c>
    </row>
    <row r="9" spans="1:29" x14ac:dyDescent="0.25">
      <c r="B9" s="552" t="s">
        <v>56</v>
      </c>
      <c r="C9" s="431" t="s">
        <v>460</v>
      </c>
      <c r="D9" s="552"/>
      <c r="E9" s="703"/>
      <c r="F9" s="703"/>
      <c r="G9" s="703"/>
      <c r="H9" s="703"/>
      <c r="I9" s="703"/>
      <c r="J9" s="298">
        <f>'Haver Pivoted'!GU45</f>
        <v>1078.0999999999999</v>
      </c>
      <c r="K9" s="298">
        <f>'Haver Pivoted'!GV45</f>
        <v>15.6</v>
      </c>
      <c r="L9" s="298">
        <f>'Haver Pivoted'!GW45</f>
        <v>5</v>
      </c>
      <c r="M9" s="298">
        <f>'Haver Pivoted'!GX45</f>
        <v>1933.7</v>
      </c>
      <c r="N9" s="298">
        <f>'Haver Pivoted'!GY45</f>
        <v>290.10000000000002</v>
      </c>
      <c r="O9" s="298">
        <f>'Haver Pivoted'!GZ45</f>
        <v>38.9</v>
      </c>
      <c r="P9" s="298">
        <f>'Haver Pivoted'!HA45</f>
        <v>14.2</v>
      </c>
      <c r="Q9" s="298">
        <f>'Haver Pivoted'!HB45</f>
        <v>0</v>
      </c>
      <c r="R9" s="298">
        <f>'Haver Pivoted'!HC45</f>
        <v>0</v>
      </c>
      <c r="S9" s="282">
        <f>'Haver Pivoted'!HD45</f>
        <v>0</v>
      </c>
      <c r="T9" s="211">
        <f>'Haver Pivoted'!HE45</f>
        <v>0</v>
      </c>
      <c r="U9" s="281"/>
      <c r="V9" s="281"/>
      <c r="W9" s="281"/>
      <c r="X9" s="281"/>
      <c r="Y9" s="281"/>
      <c r="Z9" s="281"/>
      <c r="AA9" s="281"/>
      <c r="AB9" s="281"/>
      <c r="AC9" s="208"/>
    </row>
    <row r="10" spans="1:29" x14ac:dyDescent="0.25">
      <c r="B10" s="570" t="s">
        <v>214</v>
      </c>
      <c r="C10" s="253"/>
      <c r="D10" s="570"/>
      <c r="E10" s="253"/>
      <c r="F10" s="253"/>
      <c r="G10" s="253"/>
      <c r="H10" s="253"/>
      <c r="I10" s="253"/>
      <c r="J10" s="622"/>
      <c r="K10" s="622"/>
      <c r="L10" s="622"/>
      <c r="M10" s="622">
        <f t="shared" ref="M10:T10" si="0">M9-M11</f>
        <v>1348.1</v>
      </c>
      <c r="N10" s="622">
        <f t="shared" si="0"/>
        <v>290.10000000000002</v>
      </c>
      <c r="O10" s="622">
        <f t="shared" si="0"/>
        <v>38.9</v>
      </c>
      <c r="P10" s="622">
        <f t="shared" si="0"/>
        <v>14.2</v>
      </c>
      <c r="Q10" s="622">
        <f t="shared" si="0"/>
        <v>0</v>
      </c>
      <c r="R10" s="622">
        <f t="shared" si="0"/>
        <v>0</v>
      </c>
      <c r="S10" s="983">
        <f t="shared" si="0"/>
        <v>0</v>
      </c>
      <c r="T10" s="973">
        <f t="shared" si="0"/>
        <v>0</v>
      </c>
      <c r="U10" s="981"/>
      <c r="V10" s="981"/>
      <c r="W10" s="981"/>
      <c r="X10" s="981"/>
      <c r="Y10" s="981"/>
      <c r="Z10" s="981"/>
      <c r="AA10" s="981"/>
      <c r="AB10" s="981"/>
      <c r="AC10" s="982"/>
    </row>
    <row r="11" spans="1:29" x14ac:dyDescent="0.25">
      <c r="B11" s="527" t="s">
        <v>461</v>
      </c>
      <c r="C11" s="528"/>
      <c r="D11" s="527"/>
      <c r="E11" s="528"/>
      <c r="F11" s="528"/>
      <c r="G11" s="528"/>
      <c r="H11" s="528"/>
      <c r="I11" s="528"/>
      <c r="J11" s="642">
        <f t="shared" ref="J11:L11" si="1">J9-J10</f>
        <v>1078.0999999999999</v>
      </c>
      <c r="K11" s="642">
        <f t="shared" si="1"/>
        <v>15.6</v>
      </c>
      <c r="L11" s="642">
        <f t="shared" si="1"/>
        <v>5</v>
      </c>
      <c r="M11" s="642">
        <f>SUM(C17:D17)/12*4</f>
        <v>585.6</v>
      </c>
      <c r="N11" s="642">
        <v>0</v>
      </c>
      <c r="O11" s="642">
        <v>0</v>
      </c>
      <c r="P11" s="642">
        <v>0</v>
      </c>
      <c r="Q11" s="642">
        <v>0</v>
      </c>
      <c r="R11" s="642">
        <v>0</v>
      </c>
      <c r="S11" s="642">
        <v>0</v>
      </c>
      <c r="T11" s="904"/>
      <c r="U11" s="975"/>
      <c r="V11" s="975"/>
      <c r="W11" s="975"/>
      <c r="X11" s="975"/>
      <c r="Y11" s="975"/>
      <c r="Z11" s="975"/>
      <c r="AA11" s="975"/>
      <c r="AB11" s="975"/>
      <c r="AC11" s="976"/>
    </row>
    <row r="12" spans="1:29" x14ac:dyDescent="0.25">
      <c r="B12" s="230"/>
      <c r="C12" s="230"/>
      <c r="D12" s="230"/>
      <c r="E12" s="230"/>
      <c r="F12" s="230"/>
      <c r="G12" s="230"/>
      <c r="H12" s="230"/>
      <c r="I12" s="230"/>
      <c r="J12" s="230"/>
      <c r="K12" s="230"/>
      <c r="L12" s="230"/>
      <c r="M12" s="230"/>
      <c r="N12" s="230"/>
      <c r="O12" s="230"/>
      <c r="P12" s="230"/>
      <c r="Q12" s="230"/>
      <c r="R12" s="230"/>
      <c r="S12" s="230"/>
      <c r="T12" s="230"/>
      <c r="U12" s="230"/>
      <c r="V12" s="230"/>
      <c r="W12" s="230"/>
      <c r="X12" s="230"/>
      <c r="Y12" s="230"/>
      <c r="Z12" s="35"/>
      <c r="AA12" s="35"/>
      <c r="AB12" s="35"/>
      <c r="AC12" s="35"/>
    </row>
    <row r="13" spans="1:29" x14ac:dyDescent="0.25">
      <c r="A13" s="76"/>
      <c r="B13" s="76"/>
      <c r="C13" s="76"/>
      <c r="D13" s="76"/>
      <c r="E13" s="76"/>
      <c r="F13" s="76"/>
      <c r="G13" s="76"/>
      <c r="H13" s="76"/>
      <c r="I13" s="76"/>
      <c r="J13" s="76"/>
      <c r="K13" s="76"/>
      <c r="L13" s="101"/>
      <c r="M13" s="101"/>
      <c r="N13" s="101"/>
    </row>
    <row r="14" spans="1:29" x14ac:dyDescent="0.25">
      <c r="A14" s="76"/>
      <c r="N14" s="35"/>
    </row>
    <row r="15" spans="1:29" x14ac:dyDescent="0.25">
      <c r="A15" s="621"/>
      <c r="B15" s="1427" t="s">
        <v>462</v>
      </c>
      <c r="C15" s="1417">
        <v>2021</v>
      </c>
      <c r="D15" s="1418"/>
      <c r="E15" s="1418"/>
      <c r="F15" s="1418"/>
      <c r="G15" s="47"/>
      <c r="K15" s="1429"/>
      <c r="L15" s="1429"/>
      <c r="M15" s="35"/>
      <c r="N15" s="35"/>
    </row>
    <row r="16" spans="1:29" x14ac:dyDescent="0.25">
      <c r="B16" s="1428"/>
      <c r="C16" s="978" t="s">
        <v>234</v>
      </c>
      <c r="D16" s="963" t="s">
        <v>235</v>
      </c>
      <c r="E16" s="963" t="s">
        <v>236</v>
      </c>
      <c r="F16" s="963" t="s">
        <v>237</v>
      </c>
      <c r="G16" s="974"/>
      <c r="H16" s="621"/>
      <c r="I16" s="621"/>
      <c r="J16" s="621"/>
      <c r="K16" s="621"/>
      <c r="L16" s="621"/>
      <c r="M16" s="621"/>
      <c r="N16" s="621"/>
    </row>
    <row r="17" spans="2:29" ht="16.350000000000001" customHeight="1" x14ac:dyDescent="0.25">
      <c r="B17" s="977" t="s">
        <v>463</v>
      </c>
      <c r="C17" s="979">
        <v>1660.9</v>
      </c>
      <c r="D17" s="979">
        <v>95.9</v>
      </c>
      <c r="E17" s="979">
        <v>4044.2</v>
      </c>
      <c r="F17" s="980">
        <v>688</v>
      </c>
      <c r="G17" s="96"/>
      <c r="H17" s="96"/>
      <c r="I17" s="96"/>
      <c r="J17" s="96"/>
      <c r="K17" s="96"/>
      <c r="L17" s="96"/>
      <c r="M17" s="230"/>
      <c r="N17" s="230"/>
    </row>
    <row r="18" spans="2:29" x14ac:dyDescent="0.25">
      <c r="B18" s="939" t="s">
        <v>464</v>
      </c>
      <c r="C18" s="230"/>
      <c r="D18" s="230"/>
      <c r="E18" s="230"/>
      <c r="F18" s="230"/>
      <c r="G18" s="230"/>
      <c r="H18" s="230"/>
      <c r="I18" s="230"/>
      <c r="J18" s="230"/>
      <c r="K18" s="230"/>
      <c r="L18" s="230"/>
      <c r="M18" s="230"/>
      <c r="N18" s="230"/>
    </row>
    <row r="19" spans="2:29" x14ac:dyDescent="0.25">
      <c r="B19" s="230"/>
      <c r="C19" s="230"/>
      <c r="D19" s="230"/>
      <c r="E19" s="230"/>
      <c r="F19" s="230"/>
      <c r="G19" s="230"/>
      <c r="H19" s="230"/>
      <c r="I19" s="230"/>
      <c r="J19" s="230"/>
      <c r="K19" s="230"/>
      <c r="L19" s="230"/>
      <c r="M19" s="230"/>
      <c r="N19" s="230"/>
    </row>
    <row r="20" spans="2:29" x14ac:dyDescent="0.25">
      <c r="B20" s="939"/>
      <c r="C20" s="230"/>
      <c r="D20" s="230"/>
      <c r="E20" s="230"/>
      <c r="F20" s="230"/>
      <c r="G20" s="230"/>
      <c r="H20" s="230"/>
      <c r="I20" s="230"/>
      <c r="J20" s="230"/>
      <c r="K20" s="230"/>
      <c r="L20" s="230"/>
      <c r="M20" s="230"/>
      <c r="N20" s="230"/>
    </row>
    <row r="21" spans="2:29" x14ac:dyDescent="0.25">
      <c r="B21" s="230"/>
      <c r="C21" s="230"/>
      <c r="D21" s="230"/>
      <c r="E21" s="230"/>
      <c r="F21" s="230"/>
      <c r="G21" s="230"/>
      <c r="H21" s="230"/>
      <c r="I21" s="230"/>
      <c r="J21" s="230"/>
      <c r="K21" s="230"/>
      <c r="L21" s="230"/>
      <c r="M21" s="230"/>
      <c r="N21" s="230"/>
      <c r="O21" s="230"/>
      <c r="P21" s="230"/>
      <c r="Q21" s="230"/>
      <c r="R21" s="230"/>
      <c r="S21" s="230"/>
      <c r="T21" s="230"/>
      <c r="U21" s="230"/>
      <c r="V21" s="230"/>
      <c r="W21" s="230"/>
      <c r="X21" s="230"/>
      <c r="Y21" s="230"/>
      <c r="Z21" s="35"/>
      <c r="AA21" s="35"/>
      <c r="AB21" s="35"/>
      <c r="AC21" s="35"/>
    </row>
    <row r="22" spans="2:29" x14ac:dyDescent="0.25">
      <c r="B22" s="76"/>
      <c r="C22" s="76"/>
      <c r="D22" s="76"/>
      <c r="E22" s="76"/>
      <c r="F22" s="76"/>
      <c r="G22" s="76"/>
      <c r="H22" s="76"/>
      <c r="I22" s="76"/>
      <c r="J22" s="76"/>
      <c r="K22" s="76"/>
      <c r="L22" s="101"/>
      <c r="M22" s="101"/>
      <c r="N22" s="101"/>
    </row>
    <row r="23" spans="2:29" x14ac:dyDescent="0.25">
      <c r="B23" s="230"/>
      <c r="C23" s="230"/>
      <c r="D23" s="230"/>
      <c r="E23" s="230"/>
      <c r="F23" s="230"/>
      <c r="G23" s="230"/>
      <c r="H23" s="230"/>
      <c r="I23" s="230"/>
      <c r="J23" s="230"/>
      <c r="K23" s="230"/>
      <c r="L23" s="230"/>
      <c r="M23" s="230"/>
      <c r="N23" s="230"/>
      <c r="O23" s="230"/>
      <c r="P23" s="230"/>
      <c r="Q23" s="230"/>
      <c r="R23" s="230"/>
      <c r="S23" s="230"/>
      <c r="T23" s="230"/>
      <c r="U23" s="230"/>
      <c r="V23" s="230"/>
      <c r="W23" s="230"/>
      <c r="X23" s="230"/>
      <c r="Y23" s="230"/>
    </row>
    <row r="24" spans="2:29" x14ac:dyDescent="0.25">
      <c r="B24" s="230"/>
      <c r="C24" s="230"/>
      <c r="D24" s="230"/>
      <c r="E24" s="230"/>
      <c r="F24" s="230"/>
      <c r="G24" s="230"/>
      <c r="H24" s="230"/>
      <c r="I24" s="230"/>
      <c r="J24" s="230"/>
      <c r="K24" s="230"/>
      <c r="L24" s="230"/>
      <c r="M24" s="230"/>
      <c r="N24" s="230"/>
      <c r="O24" s="230"/>
      <c r="P24" s="230"/>
      <c r="Q24" s="230"/>
      <c r="R24" s="230"/>
      <c r="S24" s="230"/>
      <c r="T24" s="230"/>
      <c r="U24" s="230"/>
      <c r="V24" s="230"/>
      <c r="W24" s="230"/>
      <c r="X24" s="230"/>
      <c r="Y24" s="230"/>
    </row>
    <row r="25" spans="2:29" x14ac:dyDescent="0.25">
      <c r="B25" s="230"/>
      <c r="C25" s="230"/>
      <c r="D25" s="230"/>
      <c r="E25" s="230"/>
      <c r="F25" s="230"/>
      <c r="G25" s="230"/>
      <c r="H25" s="230"/>
      <c r="I25" s="230"/>
      <c r="J25" s="230"/>
      <c r="K25" s="230"/>
      <c r="L25" s="230"/>
      <c r="M25" s="230"/>
      <c r="N25" s="230"/>
      <c r="O25" s="230"/>
      <c r="P25" s="230"/>
      <c r="Q25" s="230"/>
      <c r="R25" s="230"/>
      <c r="S25" s="230"/>
      <c r="T25" s="230"/>
      <c r="U25" s="230"/>
      <c r="V25" s="230"/>
      <c r="W25" s="230"/>
      <c r="X25" s="230"/>
      <c r="Y25" s="230"/>
    </row>
    <row r="26" spans="2:29" x14ac:dyDescent="0.25">
      <c r="B26" s="230"/>
      <c r="C26" s="230"/>
      <c r="D26" s="230"/>
      <c r="E26" s="230"/>
      <c r="F26" s="230"/>
      <c r="G26" s="230"/>
      <c r="H26" s="230"/>
      <c r="I26" s="230"/>
      <c r="J26" s="230"/>
      <c r="K26" s="230"/>
      <c r="L26" s="230"/>
      <c r="M26" s="230"/>
      <c r="N26" s="230"/>
      <c r="O26" s="230"/>
      <c r="P26" s="230"/>
      <c r="Q26" s="230"/>
      <c r="R26" s="230"/>
      <c r="S26" s="230"/>
      <c r="T26" s="230"/>
      <c r="U26" s="230"/>
      <c r="V26" s="230"/>
      <c r="W26" s="230"/>
      <c r="X26" s="230"/>
      <c r="Y26" s="230"/>
    </row>
    <row r="27" spans="2:29" x14ac:dyDescent="0.25">
      <c r="B27" s="230"/>
      <c r="C27" s="230"/>
      <c r="D27" s="230"/>
      <c r="E27" s="230"/>
      <c r="F27" s="230"/>
      <c r="G27" s="230"/>
      <c r="H27" s="230"/>
      <c r="I27" s="230"/>
      <c r="J27" s="230"/>
      <c r="K27" s="230"/>
      <c r="L27" s="230"/>
      <c r="M27" s="230"/>
      <c r="N27" s="230"/>
      <c r="O27" s="230"/>
      <c r="P27" s="230"/>
      <c r="Q27" s="230"/>
      <c r="R27" s="230"/>
      <c r="S27" s="230"/>
      <c r="T27" s="230"/>
      <c r="U27" s="230"/>
      <c r="V27" s="230"/>
      <c r="W27" s="230"/>
      <c r="X27" s="230"/>
      <c r="Y27" s="230"/>
    </row>
    <row r="28" spans="2:29" x14ac:dyDescent="0.25">
      <c r="B28" s="230"/>
      <c r="C28" s="230"/>
      <c r="D28" s="230"/>
      <c r="E28" s="230"/>
      <c r="F28" s="230"/>
      <c r="G28" s="230"/>
      <c r="H28" s="230"/>
      <c r="I28" s="230"/>
      <c r="J28" s="230"/>
      <c r="K28" s="230"/>
      <c r="L28" s="230"/>
      <c r="M28" s="230"/>
      <c r="N28" s="230"/>
      <c r="O28" s="230"/>
      <c r="P28" s="230"/>
      <c r="Q28" s="230"/>
      <c r="R28" s="230"/>
      <c r="S28" s="230"/>
      <c r="T28" s="230"/>
      <c r="U28" s="230"/>
      <c r="V28" s="230"/>
      <c r="W28" s="230"/>
      <c r="X28" s="230"/>
      <c r="Y28" s="230"/>
    </row>
    <row r="29" spans="2:29" x14ac:dyDescent="0.25">
      <c r="B29" s="230"/>
      <c r="C29" s="230"/>
      <c r="D29" s="230"/>
      <c r="E29" s="230"/>
      <c r="F29" s="230"/>
      <c r="G29" s="230"/>
      <c r="H29" s="230"/>
      <c r="I29" s="230"/>
      <c r="J29" s="230"/>
      <c r="K29" s="230"/>
      <c r="L29" s="230"/>
      <c r="M29" s="230"/>
      <c r="N29" s="230"/>
      <c r="O29" s="230"/>
      <c r="P29" s="230"/>
      <c r="Q29" s="230"/>
      <c r="R29" s="230"/>
      <c r="S29" s="230"/>
      <c r="T29" s="230"/>
      <c r="U29" s="230"/>
      <c r="V29" s="230"/>
      <c r="W29" s="230"/>
      <c r="X29" s="230"/>
      <c r="Y29" s="230"/>
    </row>
    <row r="30" spans="2:29" x14ac:dyDescent="0.25">
      <c r="B30" s="230"/>
      <c r="C30" s="230"/>
      <c r="D30" s="230"/>
      <c r="E30" s="230"/>
      <c r="F30" s="230"/>
      <c r="G30" s="230"/>
      <c r="H30" s="230"/>
      <c r="I30" s="230"/>
      <c r="J30" s="230"/>
      <c r="K30" s="230"/>
      <c r="L30" s="230"/>
      <c r="M30" s="230"/>
      <c r="N30" s="230"/>
      <c r="O30" s="230"/>
      <c r="P30" s="230"/>
      <c r="Q30" s="230"/>
      <c r="R30" s="230"/>
      <c r="S30" s="230"/>
      <c r="T30" s="230"/>
      <c r="U30" s="230"/>
      <c r="V30" s="230"/>
      <c r="W30" s="230"/>
      <c r="X30" s="230"/>
      <c r="Y30" s="230"/>
    </row>
    <row r="31" spans="2:29" x14ac:dyDescent="0.25">
      <c r="B31" s="230"/>
      <c r="C31" s="230"/>
      <c r="D31" s="230"/>
      <c r="E31" s="230"/>
      <c r="F31" s="230"/>
      <c r="G31" s="230"/>
      <c r="H31" s="230"/>
      <c r="I31" s="230"/>
      <c r="J31" s="230"/>
      <c r="K31" s="230"/>
      <c r="L31" s="230"/>
      <c r="M31" s="230"/>
      <c r="N31" s="230"/>
      <c r="O31" s="230"/>
      <c r="P31" s="230"/>
      <c r="Q31" s="230"/>
      <c r="R31" s="230"/>
      <c r="S31" s="230"/>
      <c r="T31" s="230"/>
      <c r="U31" s="230"/>
      <c r="V31" s="230"/>
      <c r="W31" s="230"/>
      <c r="X31" s="230"/>
      <c r="Y31" s="230"/>
    </row>
    <row r="32" spans="2:29" x14ac:dyDescent="0.25">
      <c r="B32" s="230"/>
      <c r="C32" s="230"/>
      <c r="D32" s="230"/>
      <c r="E32" s="230"/>
      <c r="F32" s="230"/>
      <c r="G32" s="230"/>
      <c r="H32" s="230"/>
      <c r="I32" s="230"/>
      <c r="J32" s="230"/>
      <c r="K32" s="230"/>
      <c r="L32" s="230"/>
      <c r="M32" s="230"/>
      <c r="N32" s="230"/>
      <c r="O32" s="230"/>
      <c r="P32" s="230"/>
      <c r="Q32" s="230"/>
      <c r="R32" s="230"/>
      <c r="S32" s="230"/>
      <c r="T32" s="230"/>
      <c r="U32" s="230"/>
      <c r="V32" s="230"/>
      <c r="W32" s="230"/>
      <c r="X32" s="230"/>
      <c r="Y32" s="230"/>
    </row>
    <row r="33" spans="2:25" x14ac:dyDescent="0.25">
      <c r="B33" s="230"/>
      <c r="C33" s="230"/>
      <c r="D33" s="230"/>
      <c r="E33" s="230"/>
      <c r="F33" s="230"/>
      <c r="G33" s="230"/>
      <c r="H33" s="230"/>
      <c r="I33" s="230"/>
      <c r="J33" s="230"/>
      <c r="K33" s="230"/>
      <c r="L33" s="230"/>
      <c r="M33" s="230"/>
      <c r="N33" s="230"/>
      <c r="O33" s="230"/>
      <c r="P33" s="230"/>
      <c r="Q33" s="230"/>
      <c r="R33" s="230"/>
      <c r="S33" s="230"/>
      <c r="T33" s="230"/>
      <c r="U33" s="230"/>
      <c r="V33" s="230"/>
      <c r="W33" s="230"/>
      <c r="X33" s="230"/>
      <c r="Y33" s="230"/>
    </row>
    <row r="34" spans="2:25" x14ac:dyDescent="0.25">
      <c r="B34" s="230"/>
      <c r="C34" s="230"/>
      <c r="D34" s="230"/>
      <c r="E34" s="230"/>
      <c r="F34" s="230"/>
      <c r="G34" s="230"/>
      <c r="H34" s="230"/>
      <c r="I34" s="230"/>
      <c r="J34" s="230"/>
      <c r="K34" s="230"/>
      <c r="L34" s="230"/>
      <c r="M34" s="230"/>
      <c r="N34" s="230"/>
      <c r="O34" s="230"/>
      <c r="P34" s="230"/>
      <c r="Q34" s="230"/>
      <c r="R34" s="230"/>
      <c r="S34" s="230"/>
      <c r="T34" s="230"/>
      <c r="U34" s="230"/>
      <c r="V34" s="230"/>
      <c r="W34" s="230"/>
      <c r="X34" s="230"/>
      <c r="Y34" s="230"/>
    </row>
    <row r="35" spans="2:25" x14ac:dyDescent="0.25">
      <c r="B35" s="230"/>
      <c r="C35" s="230"/>
      <c r="D35" s="230"/>
      <c r="E35" s="230"/>
      <c r="F35" s="230"/>
      <c r="G35" s="230"/>
      <c r="H35" s="230"/>
      <c r="I35" s="230"/>
      <c r="J35" s="230"/>
      <c r="K35" s="230"/>
      <c r="L35" s="230"/>
      <c r="M35" s="230"/>
      <c r="N35" s="230"/>
      <c r="O35" s="230"/>
      <c r="P35" s="230"/>
      <c r="Q35" s="230"/>
      <c r="R35" s="230"/>
      <c r="S35" s="230"/>
      <c r="T35" s="230"/>
      <c r="U35" s="230"/>
      <c r="V35" s="230"/>
      <c r="W35" s="230"/>
      <c r="X35" s="230"/>
      <c r="Y35" s="230"/>
    </row>
    <row r="36" spans="2:25" x14ac:dyDescent="0.25">
      <c r="B36" s="230"/>
      <c r="C36" s="230"/>
      <c r="D36" s="230"/>
      <c r="E36" s="230"/>
      <c r="F36" s="230"/>
      <c r="G36" s="230"/>
      <c r="H36" s="230"/>
      <c r="I36" s="230"/>
      <c r="J36" s="230"/>
      <c r="K36" s="230"/>
      <c r="L36" s="230"/>
      <c r="M36" s="230"/>
      <c r="N36" s="230"/>
      <c r="O36" s="230"/>
      <c r="P36" s="230"/>
      <c r="Q36" s="230"/>
      <c r="R36" s="230"/>
      <c r="S36" s="230"/>
      <c r="T36" s="230"/>
      <c r="U36" s="230"/>
      <c r="V36" s="230"/>
      <c r="W36" s="230"/>
      <c r="X36" s="230"/>
      <c r="Y36" s="230"/>
    </row>
    <row r="37" spans="2:25" x14ac:dyDescent="0.25">
      <c r="B37" s="230"/>
      <c r="C37" s="230"/>
      <c r="D37" s="230"/>
      <c r="E37" s="230"/>
      <c r="F37" s="230"/>
      <c r="G37" s="230"/>
      <c r="H37" s="230"/>
      <c r="I37" s="230"/>
      <c r="J37" s="230"/>
      <c r="K37" s="230"/>
      <c r="L37" s="230"/>
      <c r="M37" s="230"/>
      <c r="N37" s="230"/>
      <c r="O37" s="230"/>
      <c r="P37" s="230"/>
      <c r="Q37" s="230"/>
      <c r="R37" s="230"/>
      <c r="S37" s="230"/>
      <c r="T37" s="230"/>
      <c r="U37" s="230"/>
      <c r="V37" s="230"/>
      <c r="W37" s="230"/>
      <c r="X37" s="230"/>
      <c r="Y37" s="230"/>
    </row>
    <row r="38" spans="2:25" x14ac:dyDescent="0.25">
      <c r="B38" s="230"/>
      <c r="C38" s="230"/>
      <c r="D38" s="230"/>
      <c r="E38" s="230"/>
      <c r="F38" s="230"/>
      <c r="G38" s="230"/>
      <c r="H38" s="230"/>
      <c r="I38" s="230"/>
      <c r="J38" s="230"/>
      <c r="K38" s="230"/>
      <c r="L38" s="230"/>
      <c r="M38" s="230"/>
      <c r="N38" s="230"/>
      <c r="O38" s="230"/>
      <c r="P38" s="230"/>
      <c r="Q38" s="230"/>
      <c r="R38" s="230"/>
      <c r="S38" s="230"/>
      <c r="T38" s="230"/>
      <c r="U38" s="230"/>
      <c r="V38" s="230"/>
      <c r="W38" s="230"/>
      <c r="X38" s="230"/>
      <c r="Y38" s="230"/>
    </row>
    <row r="39" spans="2:25" x14ac:dyDescent="0.25">
      <c r="B39" s="230"/>
      <c r="C39" s="230"/>
      <c r="D39" s="230"/>
      <c r="E39" s="230"/>
      <c r="F39" s="230"/>
      <c r="G39" s="230"/>
      <c r="H39" s="230"/>
      <c r="I39" s="230"/>
      <c r="J39" s="230"/>
      <c r="K39" s="230"/>
      <c r="L39" s="230"/>
      <c r="M39" s="230"/>
      <c r="N39" s="230"/>
      <c r="O39" s="230"/>
      <c r="P39" s="230"/>
      <c r="Q39" s="230"/>
      <c r="R39" s="230"/>
      <c r="S39" s="230"/>
      <c r="T39" s="230"/>
      <c r="U39" s="230"/>
      <c r="V39" s="230"/>
      <c r="W39" s="230"/>
      <c r="X39" s="230"/>
      <c r="Y39" s="230"/>
    </row>
    <row r="40" spans="2:25" x14ac:dyDescent="0.25">
      <c r="B40" s="230"/>
      <c r="C40" s="230"/>
      <c r="D40" s="230"/>
      <c r="E40" s="230"/>
      <c r="F40" s="230"/>
      <c r="G40" s="230"/>
      <c r="H40" s="230"/>
      <c r="I40" s="230"/>
      <c r="J40" s="230"/>
      <c r="K40" s="230"/>
      <c r="L40" s="230"/>
      <c r="M40" s="230"/>
      <c r="N40" s="230"/>
      <c r="O40" s="230"/>
      <c r="P40" s="230"/>
      <c r="Q40" s="230"/>
      <c r="R40" s="230"/>
      <c r="S40" s="230"/>
      <c r="T40" s="230"/>
      <c r="U40" s="230"/>
      <c r="V40" s="230"/>
      <c r="W40" s="230"/>
      <c r="X40" s="230"/>
      <c r="Y40" s="230"/>
    </row>
    <row r="41" spans="2:25" x14ac:dyDescent="0.25">
      <c r="B41" s="230"/>
      <c r="C41" s="230"/>
      <c r="D41" s="230"/>
      <c r="E41" s="230"/>
      <c r="F41" s="230"/>
      <c r="G41" s="230"/>
      <c r="H41" s="230"/>
      <c r="I41" s="230"/>
      <c r="J41" s="230"/>
      <c r="K41" s="230"/>
      <c r="L41" s="230"/>
      <c r="M41" s="230"/>
      <c r="N41" s="230"/>
      <c r="O41" s="230"/>
      <c r="P41" s="230"/>
      <c r="Q41" s="230"/>
      <c r="R41" s="230"/>
      <c r="S41" s="230"/>
      <c r="T41" s="230"/>
      <c r="U41" s="230"/>
      <c r="V41" s="230"/>
      <c r="W41" s="230"/>
      <c r="X41" s="230"/>
      <c r="Y41" s="230"/>
    </row>
    <row r="42" spans="2:25" x14ac:dyDescent="0.25">
      <c r="B42" s="230"/>
      <c r="C42" s="230"/>
      <c r="D42" s="230"/>
      <c r="E42" s="230"/>
      <c r="F42" s="230"/>
      <c r="G42" s="230"/>
      <c r="H42" s="230"/>
      <c r="I42" s="230"/>
      <c r="J42" s="230"/>
      <c r="K42" s="230"/>
      <c r="L42" s="230"/>
      <c r="M42" s="230"/>
      <c r="N42" s="230"/>
      <c r="O42" s="230"/>
      <c r="P42" s="230"/>
      <c r="Q42" s="230"/>
      <c r="R42" s="230"/>
      <c r="S42" s="230"/>
      <c r="T42" s="230"/>
      <c r="U42" s="230"/>
      <c r="V42" s="230"/>
      <c r="W42" s="230"/>
      <c r="X42" s="230"/>
      <c r="Y42" s="230"/>
    </row>
    <row r="43" spans="2:25" x14ac:dyDescent="0.25">
      <c r="B43" s="230"/>
      <c r="C43" s="230"/>
      <c r="D43" s="230"/>
      <c r="E43" s="230"/>
      <c r="F43" s="230"/>
      <c r="G43" s="230"/>
      <c r="H43" s="230"/>
      <c r="I43" s="230"/>
      <c r="J43" s="230"/>
      <c r="K43" s="230"/>
      <c r="L43" s="230"/>
      <c r="M43" s="230"/>
      <c r="N43" s="230"/>
      <c r="O43" s="230"/>
      <c r="P43" s="230"/>
      <c r="Q43" s="230"/>
      <c r="R43" s="230"/>
      <c r="S43" s="230"/>
      <c r="T43" s="230"/>
      <c r="U43" s="230"/>
      <c r="V43" s="230"/>
      <c r="W43" s="230"/>
      <c r="X43" s="230"/>
      <c r="Y43" s="230"/>
    </row>
    <row r="44" spans="2:25" x14ac:dyDescent="0.25">
      <c r="B44" s="230"/>
      <c r="C44" s="230"/>
      <c r="D44" s="230"/>
      <c r="E44" s="230"/>
      <c r="F44" s="230"/>
      <c r="G44" s="230"/>
      <c r="H44" s="230"/>
      <c r="I44" s="230"/>
      <c r="J44" s="230"/>
      <c r="K44" s="230"/>
      <c r="L44" s="230"/>
      <c r="M44" s="230"/>
      <c r="N44" s="230"/>
      <c r="O44" s="230"/>
      <c r="P44" s="230"/>
      <c r="Q44" s="230"/>
      <c r="R44" s="230"/>
      <c r="S44" s="230"/>
      <c r="T44" s="230"/>
      <c r="U44" s="230"/>
      <c r="V44" s="230"/>
      <c r="W44" s="230"/>
      <c r="X44" s="230"/>
      <c r="Y44" s="230"/>
    </row>
    <row r="45" spans="2:25" x14ac:dyDescent="0.25">
      <c r="B45" s="230"/>
      <c r="C45" s="230"/>
      <c r="D45" s="230"/>
      <c r="E45" s="230"/>
      <c r="F45" s="230"/>
      <c r="G45" s="230"/>
      <c r="H45" s="230"/>
      <c r="I45" s="230"/>
      <c r="J45" s="230"/>
      <c r="K45" s="230"/>
      <c r="L45" s="230"/>
      <c r="M45" s="230"/>
      <c r="N45" s="230"/>
      <c r="O45" s="230"/>
      <c r="P45" s="230"/>
      <c r="Q45" s="230"/>
      <c r="R45" s="230"/>
      <c r="S45" s="230"/>
      <c r="T45" s="230"/>
      <c r="U45" s="230"/>
      <c r="V45" s="230"/>
      <c r="W45" s="230"/>
      <c r="X45" s="230"/>
      <c r="Y45" s="230"/>
    </row>
    <row r="46" spans="2:25" x14ac:dyDescent="0.25">
      <c r="B46" s="230"/>
      <c r="C46" s="230"/>
      <c r="D46" s="230"/>
      <c r="E46" s="230"/>
      <c r="F46" s="230"/>
      <c r="G46" s="230"/>
      <c r="H46" s="230"/>
      <c r="I46" s="230"/>
      <c r="J46" s="230"/>
      <c r="K46" s="230"/>
      <c r="L46" s="230"/>
      <c r="M46" s="230"/>
      <c r="N46" s="230"/>
      <c r="O46" s="230"/>
      <c r="P46" s="230"/>
      <c r="Q46" s="230"/>
      <c r="R46" s="230"/>
      <c r="S46" s="230"/>
      <c r="T46" s="230"/>
      <c r="U46" s="230"/>
      <c r="V46" s="230"/>
      <c r="W46" s="230"/>
      <c r="X46" s="230"/>
      <c r="Y46" s="230"/>
    </row>
    <row r="47" spans="2:25" x14ac:dyDescent="0.25">
      <c r="B47" s="230"/>
      <c r="C47" s="230"/>
      <c r="D47" s="230"/>
      <c r="E47" s="230"/>
      <c r="F47" s="230"/>
      <c r="G47" s="230"/>
      <c r="H47" s="230"/>
      <c r="I47" s="230"/>
      <c r="J47" s="230"/>
      <c r="K47" s="230"/>
      <c r="L47" s="230"/>
      <c r="M47" s="230"/>
      <c r="N47" s="230"/>
      <c r="O47" s="230"/>
      <c r="P47" s="230"/>
      <c r="Q47" s="230"/>
      <c r="R47" s="230"/>
      <c r="S47" s="230"/>
      <c r="T47" s="230"/>
      <c r="U47" s="230"/>
      <c r="V47" s="230"/>
      <c r="W47" s="230"/>
      <c r="X47" s="230"/>
      <c r="Y47" s="230"/>
    </row>
    <row r="48" spans="2:25" x14ac:dyDescent="0.25">
      <c r="B48" s="230"/>
      <c r="C48" s="230"/>
      <c r="D48" s="230"/>
      <c r="E48" s="230"/>
      <c r="F48" s="230"/>
      <c r="G48" s="230"/>
      <c r="H48" s="230"/>
      <c r="I48" s="230"/>
      <c r="J48" s="230"/>
      <c r="K48" s="230"/>
      <c r="L48" s="230"/>
      <c r="M48" s="230"/>
      <c r="N48" s="230"/>
      <c r="O48" s="230"/>
      <c r="P48" s="230"/>
      <c r="Q48" s="230"/>
      <c r="R48" s="230"/>
      <c r="S48" s="230"/>
      <c r="T48" s="230"/>
      <c r="U48" s="230"/>
      <c r="V48" s="230"/>
      <c r="W48" s="230"/>
      <c r="X48" s="230"/>
      <c r="Y48" s="230"/>
    </row>
    <row r="49" spans="2:25" x14ac:dyDescent="0.25">
      <c r="B49" s="230"/>
      <c r="C49" s="230"/>
      <c r="D49" s="230"/>
      <c r="E49" s="230"/>
      <c r="F49" s="230"/>
      <c r="G49" s="230"/>
      <c r="H49" s="230"/>
      <c r="I49" s="230"/>
      <c r="J49" s="230"/>
      <c r="K49" s="230"/>
      <c r="L49" s="230"/>
      <c r="M49" s="230"/>
      <c r="N49" s="230"/>
      <c r="O49" s="230"/>
      <c r="P49" s="230"/>
      <c r="Q49" s="230"/>
      <c r="R49" s="230"/>
      <c r="S49" s="230"/>
      <c r="T49" s="230"/>
      <c r="U49" s="230"/>
      <c r="V49" s="230"/>
      <c r="W49" s="230"/>
      <c r="X49" s="230"/>
      <c r="Y49" s="230"/>
    </row>
    <row r="50" spans="2:25" x14ac:dyDescent="0.25">
      <c r="B50" s="230"/>
      <c r="C50" s="230"/>
      <c r="D50" s="230"/>
      <c r="E50" s="230"/>
      <c r="F50" s="230"/>
      <c r="G50" s="230"/>
      <c r="H50" s="230"/>
      <c r="I50" s="230"/>
      <c r="J50" s="230"/>
      <c r="K50" s="230"/>
      <c r="L50" s="230"/>
      <c r="M50" s="230"/>
      <c r="N50" s="230"/>
      <c r="O50" s="230"/>
      <c r="P50" s="230"/>
      <c r="Q50" s="230"/>
      <c r="R50" s="230"/>
      <c r="S50" s="230"/>
      <c r="T50" s="230"/>
      <c r="U50" s="230"/>
      <c r="V50" s="230"/>
      <c r="W50" s="230"/>
      <c r="X50" s="230"/>
      <c r="Y50" s="230"/>
    </row>
    <row r="51" spans="2:25" x14ac:dyDescent="0.25">
      <c r="B51" s="230"/>
      <c r="C51" s="230"/>
      <c r="D51" s="230"/>
      <c r="E51" s="230"/>
      <c r="F51" s="230"/>
      <c r="G51" s="230"/>
      <c r="H51" s="230"/>
      <c r="I51" s="230"/>
      <c r="J51" s="230"/>
      <c r="K51" s="230"/>
      <c r="L51" s="230"/>
      <c r="M51" s="230"/>
      <c r="N51" s="230"/>
      <c r="O51" s="230"/>
      <c r="P51" s="230"/>
      <c r="Q51" s="230"/>
      <c r="R51" s="230"/>
      <c r="S51" s="230"/>
      <c r="T51" s="230"/>
      <c r="U51" s="230"/>
      <c r="V51" s="230"/>
      <c r="W51" s="230"/>
      <c r="X51" s="230"/>
      <c r="Y51" s="230"/>
    </row>
    <row r="52" spans="2:25" x14ac:dyDescent="0.25">
      <c r="B52" s="230"/>
      <c r="C52" s="230"/>
      <c r="D52" s="230"/>
      <c r="E52" s="230"/>
      <c r="F52" s="230"/>
      <c r="G52" s="230"/>
      <c r="H52" s="230"/>
      <c r="I52" s="230"/>
      <c r="J52" s="230"/>
      <c r="K52" s="230"/>
      <c r="L52" s="230"/>
      <c r="M52" s="230"/>
      <c r="N52" s="230"/>
      <c r="O52" s="230"/>
      <c r="P52" s="230"/>
      <c r="Q52" s="230"/>
      <c r="R52" s="230"/>
      <c r="S52" s="230"/>
      <c r="T52" s="230"/>
      <c r="U52" s="230"/>
      <c r="V52" s="230"/>
      <c r="W52" s="230"/>
      <c r="X52" s="230"/>
      <c r="Y52" s="230"/>
    </row>
  </sheetData>
  <mergeCells count="14">
    <mergeCell ref="B15:B16"/>
    <mergeCell ref="K15:L15"/>
    <mergeCell ref="C15:F15"/>
    <mergeCell ref="Y7:AB7"/>
    <mergeCell ref="M7:P7"/>
    <mergeCell ref="B1:AC1"/>
    <mergeCell ref="B2:AC4"/>
    <mergeCell ref="B6:C8"/>
    <mergeCell ref="I7:L7"/>
    <mergeCell ref="U7:X7"/>
    <mergeCell ref="E7:H7"/>
    <mergeCell ref="D6:T6"/>
    <mergeCell ref="U6:AC6"/>
    <mergeCell ref="Q7:T7"/>
  </mergeCells>
  <hyperlinks>
    <hyperlink ref="B18" r:id="rId1" xr:uid="{00000000-0004-0000-1C00-000000000000}"/>
  </hyperlinks>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V76"/>
  <sheetViews>
    <sheetView topLeftCell="A16" zoomScale="95" workbookViewId="0">
      <selection activeCell="K19" sqref="K19"/>
    </sheetView>
  </sheetViews>
  <sheetFormatPr defaultColWidth="10.85546875" defaultRowHeight="15" x14ac:dyDescent="0.25"/>
  <cols>
    <col min="1" max="1" width="26.5703125" customWidth="1"/>
  </cols>
  <sheetData>
    <row r="1" spans="1:22" x14ac:dyDescent="0.25">
      <c r="A1" s="744" t="s">
        <v>1856</v>
      </c>
      <c r="B1" s="744"/>
      <c r="C1" s="744"/>
      <c r="D1" s="744"/>
      <c r="E1" s="744"/>
      <c r="F1" s="744"/>
      <c r="G1" s="744"/>
      <c r="H1" s="744"/>
      <c r="I1" s="744"/>
      <c r="J1" s="744"/>
      <c r="K1" s="744"/>
      <c r="L1" s="744"/>
      <c r="M1" s="744"/>
      <c r="N1" s="744"/>
      <c r="O1" s="744"/>
      <c r="P1" s="744"/>
      <c r="Q1" s="744"/>
      <c r="R1" s="744"/>
      <c r="S1" s="744"/>
      <c r="T1" s="744"/>
      <c r="U1" s="744"/>
      <c r="V1" s="744"/>
    </row>
    <row r="2" spans="1:22" x14ac:dyDescent="0.25">
      <c r="A2" s="744" t="s">
        <v>1857</v>
      </c>
      <c r="B2" s="744"/>
      <c r="C2" s="744"/>
      <c r="D2" s="744"/>
      <c r="E2" s="744"/>
      <c r="F2" s="744"/>
      <c r="G2" s="744"/>
      <c r="H2" s="744"/>
      <c r="I2" s="744"/>
      <c r="J2" s="744"/>
      <c r="K2" s="744"/>
      <c r="L2" s="744"/>
      <c r="M2" s="744"/>
      <c r="N2" s="744"/>
      <c r="O2" s="744"/>
      <c r="P2" s="744"/>
      <c r="Q2" s="744"/>
      <c r="R2" s="744"/>
      <c r="S2" s="744"/>
      <c r="T2" s="744"/>
      <c r="U2" s="744"/>
      <c r="V2" s="744"/>
    </row>
    <row r="3" spans="1:22" x14ac:dyDescent="0.25">
      <c r="A3" s="744"/>
      <c r="B3" s="744"/>
      <c r="C3" s="744"/>
      <c r="D3" s="744"/>
      <c r="E3" s="744"/>
      <c r="F3" s="744"/>
      <c r="G3" s="744"/>
      <c r="H3" s="744"/>
      <c r="I3" s="744"/>
      <c r="J3" s="744"/>
      <c r="K3" s="744"/>
      <c r="L3" s="744"/>
      <c r="M3" s="744"/>
      <c r="N3" s="744"/>
      <c r="O3" s="744"/>
      <c r="P3" s="744"/>
      <c r="Q3" s="744"/>
      <c r="R3" s="744"/>
      <c r="S3" s="744"/>
      <c r="T3" s="744"/>
      <c r="U3" s="744"/>
      <c r="V3" s="744"/>
    </row>
    <row r="4" spans="1:22" x14ac:dyDescent="0.25">
      <c r="A4" s="744" t="s">
        <v>1858</v>
      </c>
      <c r="B4" s="744"/>
      <c r="C4" s="744"/>
      <c r="D4" s="744"/>
      <c r="E4" s="744"/>
      <c r="F4" s="744"/>
      <c r="G4" s="744"/>
      <c r="H4" s="744"/>
      <c r="I4" s="744"/>
      <c r="J4" s="744"/>
      <c r="K4" s="744"/>
      <c r="L4" s="744"/>
      <c r="M4" s="744"/>
      <c r="N4" s="744"/>
      <c r="O4" s="744"/>
      <c r="P4" s="744"/>
      <c r="Q4" s="744"/>
      <c r="R4" s="744"/>
      <c r="S4" s="744"/>
      <c r="T4" s="744"/>
      <c r="U4" s="744"/>
      <c r="V4" s="744"/>
    </row>
    <row r="5" spans="1:22" x14ac:dyDescent="0.25">
      <c r="A5" s="744" t="s">
        <v>1859</v>
      </c>
      <c r="B5" s="744" t="s">
        <v>1860</v>
      </c>
      <c r="C5" s="744"/>
      <c r="D5" s="744"/>
      <c r="E5" s="744"/>
      <c r="F5" s="744"/>
      <c r="G5" s="744"/>
      <c r="H5" s="744"/>
      <c r="I5" s="744"/>
      <c r="J5" s="744"/>
      <c r="K5" s="744"/>
      <c r="L5" s="744"/>
      <c r="M5" s="744"/>
      <c r="N5" s="744"/>
      <c r="O5" s="744"/>
      <c r="P5" s="744"/>
      <c r="Q5" s="744"/>
      <c r="R5" s="744"/>
      <c r="S5" s="744"/>
      <c r="T5" s="744"/>
      <c r="U5" s="744"/>
      <c r="V5" s="744"/>
    </row>
    <row r="6" spans="1:22" x14ac:dyDescent="0.25">
      <c r="A6" s="744" t="s">
        <v>1861</v>
      </c>
      <c r="B6" s="744"/>
      <c r="C6" s="744"/>
      <c r="D6" s="744"/>
      <c r="E6" s="744"/>
      <c r="F6" s="744"/>
      <c r="G6" s="744"/>
      <c r="H6" s="744"/>
      <c r="I6" s="744"/>
      <c r="J6" s="744"/>
      <c r="K6" s="744"/>
      <c r="L6" s="744"/>
      <c r="M6" s="744"/>
      <c r="N6" s="744"/>
      <c r="O6" s="744"/>
      <c r="P6" s="744"/>
      <c r="Q6" s="744"/>
      <c r="R6" s="744"/>
      <c r="S6" s="744"/>
      <c r="T6" s="744"/>
      <c r="U6" s="744"/>
      <c r="V6" s="744"/>
    </row>
    <row r="7" spans="1:22" x14ac:dyDescent="0.25">
      <c r="A7" s="744" t="s">
        <v>1862</v>
      </c>
      <c r="B7" s="744"/>
      <c r="C7" s="744"/>
      <c r="D7" s="744"/>
      <c r="E7" s="744"/>
      <c r="F7" s="744"/>
      <c r="G7" s="744"/>
      <c r="H7" s="744"/>
      <c r="I7" s="744"/>
      <c r="J7" s="744"/>
      <c r="K7" s="744"/>
      <c r="L7" s="744"/>
      <c r="M7" s="744"/>
      <c r="N7" s="744"/>
      <c r="O7" s="744"/>
      <c r="P7" s="744"/>
      <c r="Q7" s="744"/>
      <c r="R7" s="744"/>
      <c r="S7" s="744"/>
      <c r="T7" s="744"/>
      <c r="U7" s="744"/>
      <c r="V7" s="744"/>
    </row>
    <row r="8" spans="1:22" x14ac:dyDescent="0.25">
      <c r="A8" s="744"/>
      <c r="B8" s="744"/>
      <c r="C8" s="744"/>
      <c r="D8" s="744"/>
      <c r="E8" s="744"/>
      <c r="F8" s="744"/>
      <c r="G8" s="744"/>
      <c r="H8" s="744"/>
      <c r="I8" s="744"/>
      <c r="J8" s="744"/>
      <c r="K8" s="744"/>
      <c r="L8" s="744"/>
      <c r="M8" s="744"/>
      <c r="N8" s="744"/>
      <c r="O8" s="744"/>
      <c r="P8" s="744"/>
      <c r="Q8" s="744"/>
      <c r="R8" s="744"/>
      <c r="S8" s="744"/>
      <c r="T8" s="744"/>
      <c r="U8" s="744"/>
      <c r="V8" s="744"/>
    </row>
    <row r="9" spans="1:22" x14ac:dyDescent="0.25">
      <c r="A9" s="744"/>
      <c r="B9" s="744"/>
      <c r="C9" s="744"/>
      <c r="D9" s="744"/>
      <c r="E9" s="744"/>
      <c r="F9" s="744"/>
      <c r="G9" s="744"/>
      <c r="H9" s="744"/>
      <c r="I9" s="744"/>
      <c r="J9" s="744"/>
      <c r="K9" s="744"/>
      <c r="L9" s="744"/>
      <c r="M9" s="744"/>
      <c r="N9" s="744"/>
      <c r="O9" s="744"/>
      <c r="P9" s="744"/>
      <c r="Q9" s="744"/>
      <c r="R9" s="744"/>
      <c r="S9" s="744"/>
      <c r="T9" s="744"/>
      <c r="U9" s="744"/>
      <c r="V9" s="744"/>
    </row>
    <row r="10" spans="1:22" x14ac:dyDescent="0.25">
      <c r="A10" s="744"/>
      <c r="B10" s="745" t="s">
        <v>184</v>
      </c>
      <c r="C10" s="745" t="s">
        <v>185</v>
      </c>
      <c r="D10" s="745" t="s">
        <v>186</v>
      </c>
      <c r="E10" s="745" t="s">
        <v>187</v>
      </c>
      <c r="F10" s="745" t="s">
        <v>188</v>
      </c>
      <c r="G10" s="745" t="s">
        <v>189</v>
      </c>
      <c r="H10" s="745" t="s">
        <v>190</v>
      </c>
      <c r="I10" s="745" t="s">
        <v>191</v>
      </c>
      <c r="J10" s="745" t="s">
        <v>175</v>
      </c>
      <c r="K10" s="745" t="s">
        <v>176</v>
      </c>
      <c r="L10" s="745" t="s">
        <v>177</v>
      </c>
      <c r="M10" s="745" t="s">
        <v>765</v>
      </c>
      <c r="N10" s="745" t="s">
        <v>766</v>
      </c>
      <c r="O10" s="745" t="s">
        <v>767</v>
      </c>
      <c r="P10" s="745" t="s">
        <v>1157</v>
      </c>
      <c r="Q10" s="745" t="s">
        <v>1158</v>
      </c>
      <c r="R10" s="745"/>
      <c r="S10" s="745"/>
      <c r="T10" s="745"/>
      <c r="U10" s="745"/>
      <c r="V10" s="744"/>
    </row>
    <row r="11" spans="1:22" x14ac:dyDescent="0.25">
      <c r="A11" s="744"/>
      <c r="B11" s="744"/>
      <c r="C11" s="744"/>
      <c r="D11" s="744"/>
      <c r="E11" s="744"/>
      <c r="F11" s="744"/>
      <c r="G11" s="744"/>
      <c r="H11" s="744"/>
      <c r="I11" s="744"/>
      <c r="J11" s="744"/>
      <c r="K11" s="744"/>
      <c r="L11" s="744"/>
      <c r="M11" s="744"/>
      <c r="N11" s="744"/>
      <c r="O11" s="744"/>
      <c r="P11" s="744"/>
      <c r="Q11" s="744"/>
      <c r="R11" s="744"/>
      <c r="S11" s="744"/>
      <c r="T11" s="744"/>
      <c r="U11" s="744"/>
      <c r="V11" s="744"/>
    </row>
    <row r="12" spans="1:22" x14ac:dyDescent="0.25">
      <c r="A12" s="744" t="s">
        <v>1863</v>
      </c>
      <c r="B12" s="992">
        <v>9.1428571428571441</v>
      </c>
      <c r="C12" s="992">
        <v>9.1428571428571441</v>
      </c>
      <c r="D12" s="992">
        <v>28.342857142857145</v>
      </c>
      <c r="E12" s="992">
        <v>45.714285714285722</v>
      </c>
      <c r="F12" s="992">
        <v>77</v>
      </c>
      <c r="G12" s="992">
        <v>86</v>
      </c>
      <c r="H12" s="992">
        <v>95</v>
      </c>
      <c r="I12" s="992">
        <v>91.428571428571445</v>
      </c>
      <c r="J12" s="992">
        <v>81.676190476190499</v>
      </c>
      <c r="K12" s="992">
        <v>72.228571428571442</v>
      </c>
      <c r="L12" s="992">
        <v>59</v>
      </c>
      <c r="M12" s="992">
        <v>48</v>
      </c>
      <c r="N12" s="992">
        <v>40</v>
      </c>
      <c r="O12" s="744">
        <v>40</v>
      </c>
      <c r="P12" s="744">
        <v>40</v>
      </c>
      <c r="Q12" s="744">
        <v>40</v>
      </c>
      <c r="R12" s="744"/>
      <c r="S12" s="744"/>
      <c r="T12" s="744"/>
      <c r="U12" s="744"/>
      <c r="V12" s="744"/>
    </row>
    <row r="13" spans="1:22" x14ac:dyDescent="0.25">
      <c r="A13" s="744" t="s">
        <v>1864</v>
      </c>
      <c r="B13" s="996">
        <v>1.2372660206226285</v>
      </c>
      <c r="C13" s="996">
        <f>B13*(1+Deflators!T45)^(1/4)</f>
        <v>1.2498921560539855</v>
      </c>
      <c r="D13" s="996">
        <f>C13*(1+Deflators!U45)^(1/4)</f>
        <v>1.2627087947860671</v>
      </c>
      <c r="E13" s="996">
        <f>D13*(1+Deflators!V45)^(1/4)</f>
        <v>1.2704876795656541</v>
      </c>
      <c r="F13" s="996">
        <f>E13*(1+Deflators!W45)^(1/4)</f>
        <v>1.2786369874299834</v>
      </c>
      <c r="G13" s="996">
        <f>F13*(1+Deflators!X45)^(1/4)</f>
        <v>1.2843203359016002</v>
      </c>
      <c r="H13" s="996">
        <f>G13*(1+Deflators!Y45)^(1/4)</f>
        <v>1.2948615185416938</v>
      </c>
      <c r="I13" s="996">
        <f>H13*(1+Deflators!Z45)^(1/4)</f>
        <v>1.3091060638761529</v>
      </c>
      <c r="J13" s="996">
        <f>I13*(1+Deflators!AA45)^(1/4)</f>
        <v>1.318487457989693</v>
      </c>
      <c r="K13" s="996">
        <f>J13*(1+Deflators!AB45)^(1/4)</f>
        <v>1.326161642026592</v>
      </c>
      <c r="L13" s="996">
        <f>K13*(1+Deflators!AC45)^(1/4)</f>
        <v>1.3333295838812242</v>
      </c>
      <c r="M13" s="996">
        <f>L13*(1+Deflators!AD45)^(1/4)</f>
        <v>1.3404643404114984</v>
      </c>
      <c r="N13" s="996">
        <f>M13*(1+Deflators!AE45)^(1/4)</f>
        <v>1.3473509278636828</v>
      </c>
      <c r="O13" s="996">
        <f>N13*(1+Deflators!AF45)^(1/4)</f>
        <v>1.3540745129825211</v>
      </c>
      <c r="P13" s="984">
        <v>0</v>
      </c>
      <c r="Q13" s="984">
        <v>0</v>
      </c>
      <c r="V13" s="744"/>
    </row>
    <row r="14" spans="1:22" x14ac:dyDescent="0.25">
      <c r="A14" s="744" t="s">
        <v>1865</v>
      </c>
      <c r="B14" s="744">
        <f>B12*B13</f>
        <v>11.312146474264033</v>
      </c>
      <c r="C14" s="744">
        <f t="shared" ref="C14:Q14" si="0">C12*C13</f>
        <v>11.427585426779297</v>
      </c>
      <c r="D14" s="744">
        <f t="shared" si="0"/>
        <v>35.788774983650818</v>
      </c>
      <c r="E14" s="744">
        <f t="shared" si="0"/>
        <v>58.079436780144199</v>
      </c>
      <c r="F14" s="744">
        <f t="shared" si="0"/>
        <v>98.455048032108721</v>
      </c>
      <c r="G14" s="744">
        <f t="shared" si="0"/>
        <v>110.45154888753761</v>
      </c>
      <c r="H14" s="744">
        <f t="shared" si="0"/>
        <v>123.01184426146092</v>
      </c>
      <c r="I14" s="744">
        <f t="shared" si="0"/>
        <v>119.68969726867685</v>
      </c>
      <c r="J14" s="744">
        <f t="shared" si="0"/>
        <v>107.68903275923438</v>
      </c>
      <c r="K14" s="744">
        <f t="shared" si="0"/>
        <v>95.786760886949295</v>
      </c>
      <c r="L14" s="744">
        <f t="shared" si="0"/>
        <v>78.666445448992235</v>
      </c>
      <c r="M14" s="744">
        <f t="shared" si="0"/>
        <v>64.342288339751917</v>
      </c>
      <c r="N14" s="744">
        <f t="shared" si="0"/>
        <v>53.894037114547316</v>
      </c>
      <c r="O14" s="744">
        <f t="shared" si="0"/>
        <v>54.162980519300845</v>
      </c>
      <c r="P14" s="744">
        <f t="shared" si="0"/>
        <v>0</v>
      </c>
      <c r="Q14" s="744">
        <f t="shared" si="0"/>
        <v>0</v>
      </c>
      <c r="R14" s="744"/>
      <c r="S14" s="744"/>
      <c r="T14" s="744"/>
      <c r="U14" s="744"/>
      <c r="V14" s="744"/>
    </row>
    <row r="15" spans="1:22" x14ac:dyDescent="0.25">
      <c r="A15" s="744"/>
      <c r="B15" s="744"/>
      <c r="C15" s="744"/>
      <c r="D15" s="744"/>
      <c r="E15" s="744"/>
      <c r="F15" s="744"/>
      <c r="G15" s="744"/>
      <c r="H15" s="744"/>
      <c r="I15" s="744"/>
      <c r="J15" s="744"/>
      <c r="K15" s="744"/>
      <c r="L15" s="744"/>
      <c r="M15" s="744"/>
      <c r="N15" s="744"/>
      <c r="O15" s="744"/>
      <c r="P15" s="744"/>
      <c r="Q15" s="744"/>
      <c r="R15" s="744"/>
      <c r="S15" s="744"/>
      <c r="T15" s="744"/>
      <c r="U15" s="744"/>
      <c r="V15" s="744"/>
    </row>
    <row r="16" spans="1:22" x14ac:dyDescent="0.25">
      <c r="A16" t="s">
        <v>1856</v>
      </c>
      <c r="B16" s="744"/>
      <c r="C16" s="744"/>
      <c r="D16" s="744"/>
      <c r="E16" s="744"/>
      <c r="F16" s="744"/>
      <c r="G16" s="744"/>
      <c r="H16" s="744"/>
      <c r="I16" s="744"/>
      <c r="J16" s="744"/>
      <c r="K16" s="744"/>
      <c r="L16" s="744"/>
      <c r="M16" s="744"/>
      <c r="N16" s="744"/>
      <c r="O16" s="744"/>
      <c r="P16" s="744"/>
      <c r="Q16" s="744"/>
      <c r="R16" s="744"/>
      <c r="S16" s="744"/>
      <c r="T16" s="744"/>
      <c r="U16" s="744"/>
      <c r="V16" s="744"/>
    </row>
    <row r="17" spans="1:22" x14ac:dyDescent="0.25">
      <c r="A17" t="s">
        <v>1857</v>
      </c>
      <c r="B17" s="744"/>
      <c r="C17" s="744"/>
      <c r="D17" s="744"/>
      <c r="E17" s="744"/>
      <c r="F17" s="744"/>
      <c r="G17" s="744"/>
      <c r="H17" s="744"/>
      <c r="I17" s="744"/>
      <c r="J17" s="744"/>
      <c r="K17" s="744"/>
      <c r="L17" s="744"/>
      <c r="M17" s="744"/>
      <c r="N17" s="744"/>
      <c r="O17" s="744"/>
      <c r="P17" s="744"/>
      <c r="Q17" s="744"/>
      <c r="R17" s="744"/>
      <c r="S17" s="744"/>
      <c r="T17" s="744"/>
      <c r="U17" s="744"/>
      <c r="V17" s="744"/>
    </row>
    <row r="18" spans="1:22" x14ac:dyDescent="0.25">
      <c r="B18" s="744"/>
      <c r="C18" s="744"/>
      <c r="D18" s="744"/>
      <c r="E18" s="744"/>
      <c r="F18" s="744"/>
      <c r="G18" s="744"/>
      <c r="H18" s="744"/>
      <c r="I18" s="744"/>
      <c r="J18" s="744"/>
      <c r="K18" s="744"/>
      <c r="L18" s="744"/>
      <c r="M18" s="744"/>
      <c r="N18" s="744"/>
      <c r="O18" s="744"/>
      <c r="P18" s="744"/>
      <c r="Q18" s="744"/>
      <c r="R18" s="744"/>
      <c r="S18" s="744"/>
      <c r="T18" s="744"/>
      <c r="U18" s="744"/>
      <c r="V18" s="744"/>
    </row>
    <row r="19" spans="1:22" x14ac:dyDescent="0.25">
      <c r="A19" t="s">
        <v>1927</v>
      </c>
      <c r="B19" s="744"/>
      <c r="C19" s="744"/>
      <c r="D19" s="744"/>
      <c r="E19" s="744"/>
      <c r="F19" s="744"/>
      <c r="G19" s="744"/>
      <c r="H19" s="744"/>
      <c r="I19" s="744"/>
      <c r="J19" s="744"/>
      <c r="K19" s="744"/>
      <c r="L19" s="744"/>
      <c r="M19" s="744"/>
      <c r="N19" s="744"/>
      <c r="O19" s="744"/>
      <c r="P19" s="744"/>
      <c r="Q19" s="744"/>
      <c r="R19" s="744"/>
      <c r="S19" s="744"/>
      <c r="T19" s="744"/>
      <c r="U19" s="744"/>
      <c r="V19" s="744"/>
    </row>
    <row r="20" spans="1:22" x14ac:dyDescent="0.25">
      <c r="A20" t="s">
        <v>1859</v>
      </c>
      <c r="B20" s="744"/>
      <c r="C20" s="744"/>
      <c r="D20" s="744"/>
      <c r="E20" s="744"/>
      <c r="F20" s="744"/>
      <c r="G20" s="744"/>
      <c r="H20" s="744"/>
      <c r="I20" s="744"/>
      <c r="J20" s="744"/>
      <c r="K20" s="744"/>
      <c r="L20" s="744"/>
      <c r="M20" s="744"/>
      <c r="N20" s="744"/>
      <c r="O20" s="744"/>
      <c r="P20" s="744"/>
      <c r="Q20" s="744"/>
      <c r="R20" s="744"/>
      <c r="S20" s="744"/>
      <c r="T20" s="744"/>
      <c r="U20" s="744"/>
      <c r="V20" s="744"/>
    </row>
    <row r="21" spans="1:22" x14ac:dyDescent="0.25">
      <c r="A21" t="s">
        <v>1861</v>
      </c>
      <c r="B21" s="744"/>
      <c r="C21" s="744"/>
      <c r="D21" s="744"/>
      <c r="E21" s="744"/>
      <c r="F21" s="744"/>
      <c r="G21" s="744"/>
      <c r="H21" s="744"/>
      <c r="I21" s="744"/>
      <c r="J21" s="744"/>
      <c r="K21" s="744"/>
      <c r="L21" s="744"/>
      <c r="M21" s="744"/>
      <c r="N21" s="744"/>
      <c r="O21" s="744"/>
      <c r="P21" s="744"/>
      <c r="Q21" s="744"/>
      <c r="R21" s="744"/>
      <c r="S21" s="744"/>
      <c r="T21" s="744"/>
      <c r="U21" s="744"/>
      <c r="V21" s="744"/>
    </row>
    <row r="22" spans="1:22" x14ac:dyDescent="0.25">
      <c r="A22" t="s">
        <v>1862</v>
      </c>
      <c r="B22" s="744"/>
      <c r="C22" s="744"/>
      <c r="D22" s="744"/>
      <c r="E22" s="744"/>
      <c r="F22" s="744"/>
      <c r="G22" s="744"/>
      <c r="H22" s="744"/>
      <c r="I22" s="744"/>
      <c r="J22" s="744"/>
      <c r="K22" s="744"/>
      <c r="L22" s="744"/>
      <c r="M22" s="744"/>
      <c r="N22" s="744"/>
      <c r="O22" s="744"/>
      <c r="P22" s="744"/>
      <c r="Q22" s="744"/>
      <c r="R22" s="744"/>
      <c r="S22" s="744"/>
      <c r="T22" s="744"/>
      <c r="U22" s="744"/>
      <c r="V22" s="744"/>
    </row>
    <row r="23" spans="1:22" x14ac:dyDescent="0.25">
      <c r="B23" s="1430" t="s">
        <v>1866</v>
      </c>
      <c r="C23" s="1430"/>
      <c r="D23" s="1430"/>
      <c r="L23" s="744"/>
      <c r="M23" s="744"/>
      <c r="N23" s="744"/>
      <c r="O23" s="744"/>
      <c r="P23" s="744"/>
      <c r="Q23" s="744"/>
      <c r="R23" s="744"/>
      <c r="S23" s="744"/>
      <c r="T23" s="744"/>
      <c r="U23" s="744"/>
      <c r="V23" s="744"/>
    </row>
    <row r="24" spans="1:22" x14ac:dyDescent="0.25">
      <c r="L24" s="744"/>
      <c r="M24" s="744"/>
      <c r="N24" s="744"/>
      <c r="O24" s="744"/>
      <c r="P24" s="744"/>
      <c r="Q24" s="744"/>
      <c r="R24" s="744"/>
      <c r="S24" s="744"/>
      <c r="T24" s="744"/>
      <c r="U24" s="744"/>
      <c r="V24" s="744"/>
    </row>
    <row r="25" spans="1:22" ht="57.95" customHeight="1" x14ac:dyDescent="0.25">
      <c r="A25" s="985"/>
      <c r="B25" s="14" t="s">
        <v>1867</v>
      </c>
      <c r="C25" s="14"/>
      <c r="D25" s="14" t="s">
        <v>1868</v>
      </c>
      <c r="F25" s="986" t="s">
        <v>1869</v>
      </c>
      <c r="G25" s="987"/>
      <c r="H25" s="986" t="s">
        <v>1911</v>
      </c>
      <c r="I25" s="986" t="s">
        <v>1908</v>
      </c>
      <c r="J25" s="986"/>
      <c r="K25" s="986"/>
      <c r="L25" s="744"/>
      <c r="M25" s="744"/>
      <c r="N25" s="744"/>
      <c r="O25" s="744"/>
      <c r="P25" s="744"/>
      <c r="Q25" s="744"/>
      <c r="R25" s="744"/>
      <c r="S25" s="744"/>
      <c r="T25" s="744"/>
      <c r="U25" s="744"/>
      <c r="V25" s="744"/>
    </row>
    <row r="26" spans="1:22" ht="57.95" customHeight="1" x14ac:dyDescent="0.25">
      <c r="A26" s="985" t="s">
        <v>1870</v>
      </c>
      <c r="B26" s="14" t="s">
        <v>1871</v>
      </c>
      <c r="C26" s="14"/>
      <c r="D26" s="988" t="s">
        <v>1872</v>
      </c>
      <c r="F26" s="986"/>
      <c r="G26" s="986"/>
      <c r="H26" s="986"/>
      <c r="I26" s="986"/>
      <c r="J26" s="989" t="s">
        <v>312</v>
      </c>
      <c r="K26" s="986" t="s">
        <v>1909</v>
      </c>
      <c r="L26" s="744" t="s">
        <v>1873</v>
      </c>
      <c r="M26" s="744"/>
      <c r="N26" s="744"/>
      <c r="O26" s="744"/>
      <c r="P26" s="744"/>
      <c r="Q26" s="744"/>
      <c r="R26" s="744"/>
      <c r="S26" s="744"/>
      <c r="T26" s="744"/>
      <c r="U26" s="744"/>
      <c r="V26" s="744"/>
    </row>
    <row r="27" spans="1:22" x14ac:dyDescent="0.25">
      <c r="A27" s="990">
        <v>44774</v>
      </c>
      <c r="B27">
        <v>10</v>
      </c>
      <c r="D27">
        <f>B27/1.75</f>
        <v>5.7142857142857144</v>
      </c>
      <c r="F27" s="991" t="s">
        <v>184</v>
      </c>
      <c r="G27" s="992">
        <f>AVERAGE(D27:D28)</f>
        <v>5.7142857142857144</v>
      </c>
      <c r="H27" s="992">
        <f>0.4*G27</f>
        <v>2.285714285714286</v>
      </c>
      <c r="I27" s="992">
        <f>H27*3</f>
        <v>6.8571428571428577</v>
      </c>
      <c r="J27" s="992">
        <f t="shared" ref="J27:J46" si="1">H27+I27</f>
        <v>9.1428571428571441</v>
      </c>
      <c r="K27" s="992">
        <f>J27</f>
        <v>9.1428571428571441</v>
      </c>
      <c r="L27" s="744"/>
      <c r="M27" s="744"/>
      <c r="N27" s="744"/>
      <c r="O27" s="744"/>
      <c r="P27" s="744"/>
      <c r="Q27" s="744"/>
      <c r="R27" s="744"/>
      <c r="S27" s="744"/>
      <c r="T27" s="744"/>
      <c r="U27" s="744"/>
      <c r="V27" s="744"/>
    </row>
    <row r="28" spans="1:22" x14ac:dyDescent="0.25">
      <c r="A28" s="990">
        <f>A27+31</f>
        <v>44805</v>
      </c>
      <c r="B28">
        <v>10</v>
      </c>
      <c r="D28">
        <f t="shared" ref="D28:D61" si="2">B28/1.75</f>
        <v>5.7142857142857144</v>
      </c>
      <c r="F28" s="991" t="s">
        <v>185</v>
      </c>
      <c r="G28" s="992">
        <f>AVERAGE(D29:D31)</f>
        <v>5.7142857142857144</v>
      </c>
      <c r="H28" s="992">
        <f t="shared" ref="H28:H46" si="3">0.4*G28</f>
        <v>2.285714285714286</v>
      </c>
      <c r="I28" s="992">
        <f t="shared" ref="I28:I46" si="4">H28*3</f>
        <v>6.8571428571428577</v>
      </c>
      <c r="J28" s="992">
        <f t="shared" si="1"/>
        <v>9.1428571428571441</v>
      </c>
      <c r="K28" s="992">
        <f t="shared" ref="K28:K46" si="5">J28</f>
        <v>9.1428571428571441</v>
      </c>
      <c r="L28" s="996">
        <f>J28-J27</f>
        <v>0</v>
      </c>
      <c r="M28" s="996">
        <f>K28-K27</f>
        <v>0</v>
      </c>
      <c r="N28" s="744"/>
      <c r="O28" s="744"/>
      <c r="P28" s="744"/>
      <c r="Q28" s="744"/>
      <c r="R28" s="744"/>
      <c r="S28" s="744"/>
      <c r="T28" s="744"/>
      <c r="U28" s="744"/>
      <c r="V28" s="744"/>
    </row>
    <row r="29" spans="1:22" x14ac:dyDescent="0.25">
      <c r="A29" s="990">
        <f t="shared" ref="A29:A61" si="6">A28+31</f>
        <v>44836</v>
      </c>
      <c r="B29">
        <v>10</v>
      </c>
      <c r="D29">
        <f t="shared" si="2"/>
        <v>5.7142857142857144</v>
      </c>
      <c r="F29" s="991" t="s">
        <v>186</v>
      </c>
      <c r="G29" s="992">
        <f>AVERAGE(D32:D34)</f>
        <v>17.714285714285715</v>
      </c>
      <c r="H29" s="992">
        <f t="shared" si="3"/>
        <v>7.0857142857142863</v>
      </c>
      <c r="I29" s="992">
        <f t="shared" si="4"/>
        <v>21.25714285714286</v>
      </c>
      <c r="J29" s="992">
        <f t="shared" si="1"/>
        <v>28.342857142857145</v>
      </c>
      <c r="K29" s="992">
        <f t="shared" si="5"/>
        <v>28.342857142857145</v>
      </c>
      <c r="L29" s="996">
        <f t="shared" ref="L29:M47" si="7">J29-J28</f>
        <v>19.200000000000003</v>
      </c>
      <c r="M29" s="996">
        <f t="shared" si="7"/>
        <v>19.200000000000003</v>
      </c>
      <c r="N29" s="744"/>
      <c r="O29" s="744"/>
      <c r="P29" s="744"/>
      <c r="Q29" s="744"/>
      <c r="R29" s="744"/>
      <c r="S29" s="744"/>
      <c r="T29" s="744"/>
      <c r="U29" s="744"/>
      <c r="V29" s="744"/>
    </row>
    <row r="30" spans="1:22" x14ac:dyDescent="0.25">
      <c r="A30" s="990">
        <f t="shared" si="6"/>
        <v>44867</v>
      </c>
      <c r="B30">
        <v>10</v>
      </c>
      <c r="D30">
        <f t="shared" si="2"/>
        <v>5.7142857142857144</v>
      </c>
      <c r="F30" s="991" t="s">
        <v>187</v>
      </c>
      <c r="G30" s="992">
        <f>AVERAGE(D35:D37)</f>
        <v>28.571428571428573</v>
      </c>
      <c r="H30" s="992">
        <f t="shared" si="3"/>
        <v>11.428571428571431</v>
      </c>
      <c r="I30" s="992">
        <f t="shared" si="4"/>
        <v>34.285714285714292</v>
      </c>
      <c r="J30" s="992">
        <f t="shared" si="1"/>
        <v>45.714285714285722</v>
      </c>
      <c r="K30" s="992">
        <f t="shared" si="5"/>
        <v>45.714285714285722</v>
      </c>
      <c r="L30" s="996">
        <f t="shared" si="7"/>
        <v>17.371428571428577</v>
      </c>
      <c r="M30" s="996">
        <f t="shared" si="7"/>
        <v>17.371428571428577</v>
      </c>
      <c r="N30" s="744"/>
      <c r="O30" s="744"/>
      <c r="P30" s="744"/>
      <c r="Q30" s="744"/>
      <c r="R30" s="744"/>
      <c r="S30" s="744"/>
      <c r="T30" s="744"/>
      <c r="U30" s="744"/>
      <c r="V30" s="744"/>
    </row>
    <row r="31" spans="1:22" x14ac:dyDescent="0.25">
      <c r="A31" s="990">
        <f t="shared" si="6"/>
        <v>44898</v>
      </c>
      <c r="B31">
        <v>10</v>
      </c>
      <c r="D31">
        <f t="shared" si="2"/>
        <v>5.7142857142857144</v>
      </c>
      <c r="F31" s="991" t="s">
        <v>188</v>
      </c>
      <c r="G31" s="992">
        <f>AVERAGE(D38:D40)</f>
        <v>46.666666666666664</v>
      </c>
      <c r="H31" s="992">
        <f t="shared" si="3"/>
        <v>18.666666666666668</v>
      </c>
      <c r="I31" s="992">
        <f t="shared" si="4"/>
        <v>56</v>
      </c>
      <c r="J31" s="992">
        <f t="shared" si="1"/>
        <v>74.666666666666671</v>
      </c>
      <c r="K31" s="992">
        <v>77</v>
      </c>
      <c r="L31" s="996">
        <f t="shared" si="7"/>
        <v>28.952380952380949</v>
      </c>
      <c r="M31" s="996">
        <f t="shared" si="7"/>
        <v>31.285714285714278</v>
      </c>
      <c r="N31" s="744"/>
      <c r="O31" s="744"/>
      <c r="P31" s="744"/>
      <c r="Q31" s="744"/>
      <c r="R31" s="744"/>
      <c r="S31" s="744"/>
      <c r="T31" s="744"/>
      <c r="U31" s="744"/>
      <c r="V31" s="744"/>
    </row>
    <row r="32" spans="1:22" x14ac:dyDescent="0.25">
      <c r="A32" s="990">
        <f t="shared" si="6"/>
        <v>44929</v>
      </c>
      <c r="B32">
        <v>25</v>
      </c>
      <c r="D32">
        <f t="shared" si="2"/>
        <v>14.285714285714286</v>
      </c>
      <c r="F32" s="991" t="s">
        <v>189</v>
      </c>
      <c r="G32" s="992">
        <f>AVERAGE(D41:D43)</f>
        <v>49.904761904761905</v>
      </c>
      <c r="H32" s="992">
        <f t="shared" si="3"/>
        <v>19.961904761904762</v>
      </c>
      <c r="I32" s="992">
        <f t="shared" si="4"/>
        <v>59.885714285714286</v>
      </c>
      <c r="J32" s="992">
        <f t="shared" si="1"/>
        <v>79.847619047619048</v>
      </c>
      <c r="K32" s="992">
        <v>86</v>
      </c>
      <c r="L32" s="996">
        <f t="shared" si="7"/>
        <v>5.1809523809523768</v>
      </c>
      <c r="M32" s="996">
        <f t="shared" si="7"/>
        <v>9</v>
      </c>
      <c r="N32" s="744"/>
      <c r="O32" s="744"/>
      <c r="P32" s="744"/>
      <c r="Q32" s="744"/>
      <c r="R32" s="744"/>
      <c r="S32" s="744"/>
      <c r="T32" s="744"/>
      <c r="U32" s="744"/>
      <c r="V32" s="744"/>
    </row>
    <row r="33" spans="1:22" x14ac:dyDescent="0.25">
      <c r="A33" s="990">
        <f t="shared" si="6"/>
        <v>44960</v>
      </c>
      <c r="B33">
        <v>30</v>
      </c>
      <c r="D33">
        <f t="shared" si="2"/>
        <v>17.142857142857142</v>
      </c>
      <c r="F33" s="991" t="s">
        <v>190</v>
      </c>
      <c r="G33" s="992">
        <f>AVERAGE(D44:D46)</f>
        <v>57.142857142857146</v>
      </c>
      <c r="H33" s="992">
        <f t="shared" si="3"/>
        <v>22.857142857142861</v>
      </c>
      <c r="I33" s="992">
        <f t="shared" si="4"/>
        <v>68.571428571428584</v>
      </c>
      <c r="J33" s="992">
        <f t="shared" si="1"/>
        <v>91.428571428571445</v>
      </c>
      <c r="K33" s="992">
        <v>95</v>
      </c>
      <c r="L33" s="996">
        <f t="shared" si="7"/>
        <v>11.580952380952397</v>
      </c>
      <c r="M33" s="996">
        <f t="shared" si="7"/>
        <v>9</v>
      </c>
      <c r="N33" s="744"/>
      <c r="O33" s="744"/>
      <c r="P33" s="744"/>
      <c r="Q33" s="744"/>
      <c r="R33" s="744"/>
      <c r="S33" s="744"/>
      <c r="T33" s="744"/>
      <c r="U33" s="744"/>
      <c r="V33" s="744"/>
    </row>
    <row r="34" spans="1:22" x14ac:dyDescent="0.25">
      <c r="A34" s="990">
        <f t="shared" si="6"/>
        <v>44991</v>
      </c>
      <c r="B34">
        <v>38</v>
      </c>
      <c r="D34">
        <f t="shared" si="2"/>
        <v>21.714285714285715</v>
      </c>
      <c r="F34" s="991" t="s">
        <v>191</v>
      </c>
      <c r="G34" s="992">
        <f>AVERAGE(D47:D49)</f>
        <v>57.142857142857146</v>
      </c>
      <c r="H34" s="992">
        <f t="shared" si="3"/>
        <v>22.857142857142861</v>
      </c>
      <c r="I34" s="992">
        <f t="shared" si="4"/>
        <v>68.571428571428584</v>
      </c>
      <c r="J34" s="992">
        <f t="shared" si="1"/>
        <v>91.428571428571445</v>
      </c>
      <c r="K34" s="992">
        <f t="shared" si="5"/>
        <v>91.428571428571445</v>
      </c>
      <c r="L34" s="996">
        <f t="shared" si="7"/>
        <v>0</v>
      </c>
      <c r="M34" s="996">
        <f t="shared" si="7"/>
        <v>-3.5714285714285552</v>
      </c>
      <c r="N34" s="744"/>
      <c r="O34" s="744"/>
      <c r="P34" s="744"/>
      <c r="Q34" s="744"/>
      <c r="R34" s="744"/>
      <c r="S34" s="744"/>
      <c r="T34" s="744"/>
      <c r="U34" s="744"/>
      <c r="V34" s="744"/>
    </row>
    <row r="35" spans="1:22" x14ac:dyDescent="0.25">
      <c r="A35" s="990">
        <f t="shared" si="6"/>
        <v>45022</v>
      </c>
      <c r="B35">
        <v>40</v>
      </c>
      <c r="D35">
        <f t="shared" si="2"/>
        <v>22.857142857142858</v>
      </c>
      <c r="F35" s="991" t="s">
        <v>175</v>
      </c>
      <c r="G35" s="992">
        <f>AVERAGE(D50:D52)</f>
        <v>51.047619047619058</v>
      </c>
      <c r="H35" s="992">
        <f t="shared" si="3"/>
        <v>20.419047619047625</v>
      </c>
      <c r="I35" s="992">
        <f t="shared" si="4"/>
        <v>61.257142857142874</v>
      </c>
      <c r="J35" s="992">
        <f t="shared" si="1"/>
        <v>81.676190476190499</v>
      </c>
      <c r="K35" s="992">
        <f t="shared" si="5"/>
        <v>81.676190476190499</v>
      </c>
      <c r="L35" s="996">
        <f t="shared" si="7"/>
        <v>-9.7523809523809462</v>
      </c>
      <c r="M35" s="996">
        <f t="shared" si="7"/>
        <v>-9.7523809523809462</v>
      </c>
      <c r="N35" s="744"/>
      <c r="O35" s="744"/>
      <c r="P35" s="744"/>
      <c r="Q35" s="744"/>
      <c r="R35" s="744"/>
      <c r="S35" s="744"/>
      <c r="T35" s="744"/>
      <c r="U35" s="744"/>
      <c r="V35" s="744"/>
    </row>
    <row r="36" spans="1:22" x14ac:dyDescent="0.25">
      <c r="A36" s="990">
        <f t="shared" si="6"/>
        <v>45053</v>
      </c>
      <c r="B36">
        <v>50</v>
      </c>
      <c r="D36">
        <f t="shared" si="2"/>
        <v>28.571428571428573</v>
      </c>
      <c r="F36" s="991" t="s">
        <v>176</v>
      </c>
      <c r="G36" s="992">
        <f>AVERAGE(D53:D55)</f>
        <v>45.142857142857146</v>
      </c>
      <c r="H36" s="992">
        <f t="shared" si="3"/>
        <v>18.05714285714286</v>
      </c>
      <c r="I36" s="992">
        <f t="shared" si="4"/>
        <v>54.171428571428578</v>
      </c>
      <c r="J36" s="992">
        <f t="shared" si="1"/>
        <v>72.228571428571442</v>
      </c>
      <c r="K36" s="992">
        <f t="shared" si="5"/>
        <v>72.228571428571442</v>
      </c>
      <c r="L36" s="996">
        <f t="shared" si="7"/>
        <v>-9.4476190476190567</v>
      </c>
      <c r="M36" s="996">
        <f t="shared" si="7"/>
        <v>-9.4476190476190567</v>
      </c>
      <c r="N36" s="744"/>
      <c r="O36" s="744"/>
      <c r="P36" s="744"/>
      <c r="Q36" s="744"/>
      <c r="R36" s="744"/>
      <c r="S36" s="744"/>
      <c r="T36" s="744"/>
      <c r="U36" s="744"/>
      <c r="V36" s="744"/>
    </row>
    <row r="37" spans="1:22" x14ac:dyDescent="0.25">
      <c r="A37" s="990">
        <f t="shared" si="6"/>
        <v>45084</v>
      </c>
      <c r="B37">
        <v>60</v>
      </c>
      <c r="D37">
        <f t="shared" si="2"/>
        <v>34.285714285714285</v>
      </c>
      <c r="F37" s="991" t="s">
        <v>177</v>
      </c>
      <c r="G37" s="992">
        <v>35</v>
      </c>
      <c r="H37" s="992">
        <f t="shared" si="3"/>
        <v>14</v>
      </c>
      <c r="I37" s="992">
        <f t="shared" si="4"/>
        <v>42</v>
      </c>
      <c r="J37" s="992">
        <f t="shared" si="1"/>
        <v>56</v>
      </c>
      <c r="K37" s="992">
        <v>59</v>
      </c>
      <c r="L37" s="996">
        <f t="shared" si="7"/>
        <v>-16.228571428571442</v>
      </c>
      <c r="M37" s="996">
        <f t="shared" si="7"/>
        <v>-13.228571428571442</v>
      </c>
      <c r="N37" s="744"/>
      <c r="O37" s="744"/>
      <c r="P37" s="744"/>
      <c r="Q37" s="744"/>
      <c r="R37" s="744"/>
      <c r="S37" s="744"/>
      <c r="T37" s="744"/>
      <c r="U37" s="744"/>
      <c r="V37" s="744"/>
    </row>
    <row r="38" spans="1:22" x14ac:dyDescent="0.25">
      <c r="A38" s="990">
        <f t="shared" si="6"/>
        <v>45115</v>
      </c>
      <c r="B38">
        <v>70</v>
      </c>
      <c r="D38">
        <f t="shared" si="2"/>
        <v>40</v>
      </c>
      <c r="F38" s="991" t="s">
        <v>765</v>
      </c>
      <c r="G38" s="992">
        <v>30</v>
      </c>
      <c r="H38" s="992">
        <f t="shared" si="3"/>
        <v>12</v>
      </c>
      <c r="I38" s="992">
        <f t="shared" si="4"/>
        <v>36</v>
      </c>
      <c r="J38" s="992">
        <f t="shared" si="1"/>
        <v>48</v>
      </c>
      <c r="K38" s="992">
        <f t="shared" si="5"/>
        <v>48</v>
      </c>
      <c r="L38" s="996">
        <f t="shared" si="7"/>
        <v>-8</v>
      </c>
      <c r="M38" s="996">
        <f t="shared" si="7"/>
        <v>-11</v>
      </c>
      <c r="N38" s="744"/>
      <c r="O38" s="744"/>
      <c r="P38" s="744"/>
      <c r="Q38" s="744"/>
      <c r="R38" s="744"/>
      <c r="S38" s="744"/>
      <c r="T38" s="744"/>
      <c r="U38" s="744"/>
      <c r="V38" s="744"/>
    </row>
    <row r="39" spans="1:22" x14ac:dyDescent="0.25">
      <c r="A39" s="990">
        <f t="shared" si="6"/>
        <v>45146</v>
      </c>
      <c r="B39">
        <v>85</v>
      </c>
      <c r="D39">
        <f t="shared" si="2"/>
        <v>48.571428571428569</v>
      </c>
      <c r="F39" s="991" t="s">
        <v>766</v>
      </c>
      <c r="G39" s="992">
        <v>25</v>
      </c>
      <c r="H39" s="992">
        <f t="shared" si="3"/>
        <v>10</v>
      </c>
      <c r="I39" s="992">
        <f t="shared" si="4"/>
        <v>30</v>
      </c>
      <c r="J39" s="992">
        <f t="shared" si="1"/>
        <v>40</v>
      </c>
      <c r="K39" s="992">
        <f t="shared" si="5"/>
        <v>40</v>
      </c>
      <c r="L39" s="996">
        <f t="shared" si="7"/>
        <v>-8</v>
      </c>
      <c r="M39" s="996">
        <f t="shared" si="7"/>
        <v>-8</v>
      </c>
      <c r="N39" s="744"/>
      <c r="O39" s="744"/>
      <c r="P39" s="744"/>
      <c r="Q39" s="744"/>
      <c r="R39" s="744"/>
      <c r="S39" s="744"/>
      <c r="T39" s="744"/>
      <c r="U39" s="744"/>
      <c r="V39" s="744"/>
    </row>
    <row r="40" spans="1:22" x14ac:dyDescent="0.25">
      <c r="A40" s="990">
        <f t="shared" si="6"/>
        <v>45177</v>
      </c>
      <c r="B40">
        <v>90</v>
      </c>
      <c r="D40">
        <f t="shared" si="2"/>
        <v>51.428571428571431</v>
      </c>
      <c r="F40" s="991" t="s">
        <v>767</v>
      </c>
      <c r="G40" s="992">
        <f t="shared" ref="G40:G46" si="8">G39</f>
        <v>25</v>
      </c>
      <c r="H40" s="992">
        <f t="shared" si="3"/>
        <v>10</v>
      </c>
      <c r="I40" s="992">
        <f t="shared" si="4"/>
        <v>30</v>
      </c>
      <c r="J40" s="992">
        <f t="shared" si="1"/>
        <v>40</v>
      </c>
      <c r="K40" s="992">
        <f t="shared" si="5"/>
        <v>40</v>
      </c>
      <c r="L40" s="996">
        <f t="shared" si="7"/>
        <v>0</v>
      </c>
      <c r="M40" s="996">
        <f t="shared" si="7"/>
        <v>0</v>
      </c>
      <c r="N40" s="744"/>
      <c r="O40" s="744"/>
      <c r="P40" s="744"/>
      <c r="Q40" s="744"/>
      <c r="R40" s="744"/>
      <c r="S40" s="744"/>
      <c r="T40" s="744"/>
      <c r="U40" s="744"/>
      <c r="V40" s="744"/>
    </row>
    <row r="41" spans="1:22" x14ac:dyDescent="0.25">
      <c r="A41" s="990">
        <f t="shared" si="6"/>
        <v>45208</v>
      </c>
      <c r="B41">
        <v>93</v>
      </c>
      <c r="D41">
        <f t="shared" si="2"/>
        <v>53.142857142857146</v>
      </c>
      <c r="F41" s="991" t="s">
        <v>1157</v>
      </c>
      <c r="G41" s="992">
        <f t="shared" si="8"/>
        <v>25</v>
      </c>
      <c r="H41" s="992">
        <f t="shared" si="3"/>
        <v>10</v>
      </c>
      <c r="I41" s="992">
        <f t="shared" si="4"/>
        <v>30</v>
      </c>
      <c r="J41" s="992">
        <f t="shared" si="1"/>
        <v>40</v>
      </c>
      <c r="K41" s="992">
        <f t="shared" si="5"/>
        <v>40</v>
      </c>
      <c r="L41" s="996">
        <f t="shared" si="7"/>
        <v>0</v>
      </c>
      <c r="M41" s="996">
        <f t="shared" si="7"/>
        <v>0</v>
      </c>
      <c r="N41" s="744"/>
      <c r="O41" s="744"/>
      <c r="P41" s="744"/>
      <c r="Q41" s="744"/>
      <c r="R41" s="744"/>
      <c r="S41" s="744"/>
      <c r="T41" s="744"/>
      <c r="U41" s="744"/>
      <c r="V41" s="744"/>
    </row>
    <row r="42" spans="1:22" x14ac:dyDescent="0.25">
      <c r="A42" s="990">
        <f t="shared" si="6"/>
        <v>45239</v>
      </c>
      <c r="B42">
        <v>84</v>
      </c>
      <c r="D42">
        <f t="shared" si="2"/>
        <v>48</v>
      </c>
      <c r="F42" s="991" t="s">
        <v>1158</v>
      </c>
      <c r="G42" s="992">
        <f t="shared" si="8"/>
        <v>25</v>
      </c>
      <c r="H42" s="992">
        <f t="shared" si="3"/>
        <v>10</v>
      </c>
      <c r="I42" s="992">
        <f t="shared" si="4"/>
        <v>30</v>
      </c>
      <c r="J42" s="992">
        <f t="shared" si="1"/>
        <v>40</v>
      </c>
      <c r="K42" s="992">
        <f t="shared" si="5"/>
        <v>40</v>
      </c>
      <c r="L42" s="996">
        <f t="shared" si="7"/>
        <v>0</v>
      </c>
      <c r="M42" s="996">
        <f t="shared" si="7"/>
        <v>0</v>
      </c>
      <c r="N42" s="744"/>
      <c r="O42" s="744"/>
      <c r="P42" s="744"/>
      <c r="Q42" s="744"/>
      <c r="R42" s="744"/>
      <c r="S42" s="744"/>
      <c r="T42" s="744"/>
      <c r="U42" s="744"/>
      <c r="V42" s="744"/>
    </row>
    <row r="43" spans="1:22" x14ac:dyDescent="0.25">
      <c r="A43" s="990">
        <f t="shared" si="6"/>
        <v>45270</v>
      </c>
      <c r="B43">
        <v>85</v>
      </c>
      <c r="D43">
        <f t="shared" si="2"/>
        <v>48.571428571428569</v>
      </c>
      <c r="F43" s="991" t="s">
        <v>1159</v>
      </c>
      <c r="G43" s="992">
        <f t="shared" si="8"/>
        <v>25</v>
      </c>
      <c r="H43" s="992">
        <f t="shared" si="3"/>
        <v>10</v>
      </c>
      <c r="I43" s="992">
        <f t="shared" si="4"/>
        <v>30</v>
      </c>
      <c r="J43" s="992">
        <f t="shared" si="1"/>
        <v>40</v>
      </c>
      <c r="K43" s="992">
        <f t="shared" si="5"/>
        <v>40</v>
      </c>
      <c r="L43" s="996">
        <f t="shared" si="7"/>
        <v>0</v>
      </c>
      <c r="M43" s="996">
        <f t="shared" si="7"/>
        <v>0</v>
      </c>
      <c r="N43" s="744"/>
      <c r="O43" s="744"/>
      <c r="P43" s="744"/>
      <c r="Q43" s="744"/>
      <c r="R43" s="744"/>
      <c r="S43" s="744"/>
      <c r="T43" s="744"/>
      <c r="U43" s="744"/>
      <c r="V43" s="744"/>
    </row>
    <row r="44" spans="1:22" x14ac:dyDescent="0.25">
      <c r="A44" s="990">
        <f t="shared" si="6"/>
        <v>45301</v>
      </c>
      <c r="B44">
        <v>100</v>
      </c>
      <c r="D44">
        <f t="shared" si="2"/>
        <v>57.142857142857146</v>
      </c>
      <c r="F44" s="991" t="s">
        <v>1160</v>
      </c>
      <c r="G44" s="992">
        <f t="shared" si="8"/>
        <v>25</v>
      </c>
      <c r="H44" s="992">
        <f t="shared" si="3"/>
        <v>10</v>
      </c>
      <c r="I44" s="992">
        <f t="shared" si="4"/>
        <v>30</v>
      </c>
      <c r="J44" s="992">
        <f t="shared" si="1"/>
        <v>40</v>
      </c>
      <c r="K44" s="992">
        <f t="shared" si="5"/>
        <v>40</v>
      </c>
      <c r="L44" s="996">
        <f t="shared" si="7"/>
        <v>0</v>
      </c>
      <c r="M44" s="996">
        <f t="shared" si="7"/>
        <v>0</v>
      </c>
      <c r="N44" s="744"/>
      <c r="O44" s="744"/>
      <c r="P44" s="744"/>
      <c r="Q44" s="744"/>
      <c r="R44" s="744"/>
      <c r="S44" s="744"/>
      <c r="T44" s="744"/>
      <c r="U44" s="744"/>
      <c r="V44" s="744"/>
    </row>
    <row r="45" spans="1:22" x14ac:dyDescent="0.25">
      <c r="A45" s="990">
        <f t="shared" si="6"/>
        <v>45332</v>
      </c>
      <c r="B45">
        <v>100</v>
      </c>
      <c r="D45">
        <f t="shared" si="2"/>
        <v>57.142857142857146</v>
      </c>
      <c r="F45" s="991" t="s">
        <v>1161</v>
      </c>
      <c r="G45" s="992">
        <f t="shared" si="8"/>
        <v>25</v>
      </c>
      <c r="H45" s="992">
        <f t="shared" si="3"/>
        <v>10</v>
      </c>
      <c r="I45" s="992">
        <f t="shared" si="4"/>
        <v>30</v>
      </c>
      <c r="J45" s="992">
        <f t="shared" si="1"/>
        <v>40</v>
      </c>
      <c r="K45" s="992">
        <f t="shared" si="5"/>
        <v>40</v>
      </c>
      <c r="L45" s="996">
        <f t="shared" si="7"/>
        <v>0</v>
      </c>
      <c r="M45" s="996">
        <f t="shared" si="7"/>
        <v>0</v>
      </c>
      <c r="N45" s="744"/>
      <c r="O45" s="744"/>
      <c r="P45" s="744"/>
      <c r="Q45" s="744"/>
      <c r="R45" s="744"/>
      <c r="S45" s="744"/>
      <c r="T45" s="744"/>
      <c r="U45" s="744"/>
      <c r="V45" s="744"/>
    </row>
    <row r="46" spans="1:22" x14ac:dyDescent="0.25">
      <c r="A46" s="990">
        <f t="shared" si="6"/>
        <v>45363</v>
      </c>
      <c r="B46">
        <f t="shared" ref="B46:B50" si="9">B45</f>
        <v>100</v>
      </c>
      <c r="D46">
        <f t="shared" si="2"/>
        <v>57.142857142857146</v>
      </c>
      <c r="F46" s="991" t="s">
        <v>1162</v>
      </c>
      <c r="G46" s="992">
        <f t="shared" si="8"/>
        <v>25</v>
      </c>
      <c r="H46" s="992">
        <f t="shared" si="3"/>
        <v>10</v>
      </c>
      <c r="I46" s="992">
        <f t="shared" si="4"/>
        <v>30</v>
      </c>
      <c r="J46" s="992">
        <f t="shared" si="1"/>
        <v>40</v>
      </c>
      <c r="K46" s="992">
        <f t="shared" si="5"/>
        <v>40</v>
      </c>
      <c r="L46" s="996">
        <f t="shared" si="7"/>
        <v>0</v>
      </c>
      <c r="M46" s="996">
        <f t="shared" si="7"/>
        <v>0</v>
      </c>
      <c r="N46" s="744"/>
      <c r="O46" s="744"/>
      <c r="P46" s="744"/>
      <c r="Q46" s="744"/>
      <c r="R46" s="744"/>
      <c r="S46" s="744"/>
      <c r="T46" s="744"/>
      <c r="U46" s="744"/>
      <c r="V46" s="744"/>
    </row>
    <row r="47" spans="1:22" x14ac:dyDescent="0.25">
      <c r="A47" s="990">
        <f t="shared" si="6"/>
        <v>45394</v>
      </c>
      <c r="B47">
        <f t="shared" si="9"/>
        <v>100</v>
      </c>
      <c r="D47">
        <f t="shared" si="2"/>
        <v>57.142857142857146</v>
      </c>
      <c r="F47" s="987"/>
      <c r="G47" s="992"/>
      <c r="H47" s="987"/>
      <c r="I47" s="987"/>
      <c r="J47" s="992">
        <f>SUM(J27:J46)</f>
        <v>1007.6190476190477</v>
      </c>
      <c r="K47" s="992">
        <f>SUM(K27:K46)</f>
        <v>1022.6761904761905</v>
      </c>
      <c r="L47" s="996">
        <f t="shared" si="7"/>
        <v>967.61904761904771</v>
      </c>
      <c r="M47" s="996">
        <f t="shared" si="7"/>
        <v>982.67619047619053</v>
      </c>
      <c r="N47" s="744"/>
      <c r="O47" s="744"/>
      <c r="P47" s="744"/>
      <c r="Q47" s="744"/>
      <c r="R47" s="744"/>
      <c r="S47" s="744"/>
      <c r="T47" s="744"/>
      <c r="U47" s="744"/>
      <c r="V47" s="744"/>
    </row>
    <row r="48" spans="1:22" x14ac:dyDescent="0.25">
      <c r="A48" s="990">
        <f t="shared" si="6"/>
        <v>45425</v>
      </c>
      <c r="B48">
        <f t="shared" si="9"/>
        <v>100</v>
      </c>
      <c r="D48">
        <f t="shared" si="2"/>
        <v>57.142857142857146</v>
      </c>
      <c r="G48" s="185"/>
      <c r="H48" s="185"/>
      <c r="I48" s="185"/>
      <c r="K48" s="185" t="s">
        <v>323</v>
      </c>
      <c r="L48" s="744"/>
      <c r="M48" s="744"/>
      <c r="N48" s="744"/>
      <c r="O48" s="744"/>
      <c r="P48" s="744"/>
      <c r="Q48" s="744"/>
      <c r="R48" s="744"/>
      <c r="S48" s="744"/>
      <c r="T48" s="744"/>
      <c r="U48" s="744"/>
      <c r="V48" s="744"/>
    </row>
    <row r="49" spans="1:22" x14ac:dyDescent="0.25">
      <c r="A49" s="990">
        <f t="shared" si="6"/>
        <v>45456</v>
      </c>
      <c r="B49">
        <f t="shared" si="9"/>
        <v>100</v>
      </c>
      <c r="D49">
        <f t="shared" si="2"/>
        <v>57.142857142857146</v>
      </c>
      <c r="G49" s="185"/>
      <c r="K49" s="185"/>
      <c r="L49" s="744"/>
      <c r="M49" s="744"/>
      <c r="N49" s="744"/>
      <c r="O49" s="744"/>
      <c r="P49" s="744"/>
      <c r="Q49" s="744"/>
      <c r="R49" s="744"/>
      <c r="S49" s="744"/>
      <c r="T49" s="744"/>
      <c r="U49" s="744"/>
      <c r="V49" s="744"/>
    </row>
    <row r="50" spans="1:22" x14ac:dyDescent="0.25">
      <c r="A50" s="990">
        <f t="shared" si="6"/>
        <v>45487</v>
      </c>
      <c r="B50">
        <f t="shared" si="9"/>
        <v>100</v>
      </c>
      <c r="D50">
        <f t="shared" si="2"/>
        <v>57.142857142857146</v>
      </c>
      <c r="G50" s="185"/>
      <c r="K50" s="185"/>
      <c r="L50" s="744"/>
      <c r="M50" s="744"/>
      <c r="N50" s="744"/>
      <c r="O50" s="744"/>
      <c r="P50" s="744"/>
      <c r="Q50" s="744"/>
      <c r="R50" s="744"/>
      <c r="S50" s="744"/>
      <c r="T50" s="744"/>
      <c r="U50" s="744"/>
      <c r="V50" s="744"/>
    </row>
    <row r="51" spans="1:22" x14ac:dyDescent="0.25">
      <c r="A51" s="990">
        <f t="shared" si="6"/>
        <v>45518</v>
      </c>
      <c r="B51">
        <v>85</v>
      </c>
      <c r="D51">
        <f t="shared" si="2"/>
        <v>48.571428571428569</v>
      </c>
      <c r="G51" s="185"/>
      <c r="K51" s="185"/>
      <c r="L51" s="744"/>
      <c r="M51" s="744"/>
      <c r="N51" s="744"/>
      <c r="O51" s="744"/>
      <c r="P51" s="744"/>
      <c r="Q51" s="744"/>
      <c r="R51" s="744"/>
      <c r="S51" s="744"/>
      <c r="T51" s="744"/>
      <c r="U51" s="744"/>
      <c r="V51" s="744"/>
    </row>
    <row r="52" spans="1:22" x14ac:dyDescent="0.25">
      <c r="A52" s="990">
        <f t="shared" si="6"/>
        <v>45549</v>
      </c>
      <c r="B52">
        <v>83</v>
      </c>
      <c r="D52">
        <f t="shared" si="2"/>
        <v>47.428571428571431</v>
      </c>
      <c r="G52" s="185"/>
      <c r="K52" s="185"/>
      <c r="L52" s="744"/>
      <c r="M52" s="744"/>
      <c r="N52" s="744"/>
      <c r="O52" s="744"/>
      <c r="P52" s="744"/>
      <c r="Q52" s="744"/>
      <c r="R52" s="744"/>
      <c r="S52" s="744"/>
      <c r="T52" s="744"/>
      <c r="U52" s="744"/>
      <c r="V52" s="744"/>
    </row>
    <row r="53" spans="1:22" x14ac:dyDescent="0.25">
      <c r="A53" s="990">
        <f t="shared" si="6"/>
        <v>45580</v>
      </c>
      <c r="B53">
        <v>81</v>
      </c>
      <c r="D53">
        <f t="shared" si="2"/>
        <v>46.285714285714285</v>
      </c>
      <c r="G53" s="185"/>
      <c r="K53" s="185"/>
      <c r="L53" s="744"/>
      <c r="M53" s="744"/>
      <c r="N53" s="744"/>
      <c r="O53" s="744"/>
      <c r="P53" s="744"/>
      <c r="Q53" s="744"/>
      <c r="R53" s="744"/>
      <c r="S53" s="744"/>
      <c r="T53" s="744"/>
      <c r="U53" s="744"/>
      <c r="V53" s="744"/>
    </row>
    <row r="54" spans="1:22" x14ac:dyDescent="0.25">
      <c r="A54" s="990">
        <f t="shared" si="6"/>
        <v>45611</v>
      </c>
      <c r="B54">
        <v>79</v>
      </c>
      <c r="D54">
        <f t="shared" si="2"/>
        <v>45.142857142857146</v>
      </c>
      <c r="G54" s="185"/>
      <c r="K54" s="185"/>
      <c r="L54" s="744"/>
      <c r="M54" s="744"/>
      <c r="N54" s="744"/>
      <c r="O54" s="744"/>
      <c r="P54" s="744"/>
      <c r="Q54" s="744"/>
      <c r="R54" s="744"/>
      <c r="S54" s="744"/>
      <c r="T54" s="744"/>
      <c r="U54" s="744"/>
      <c r="V54" s="744"/>
    </row>
    <row r="55" spans="1:22" x14ac:dyDescent="0.25">
      <c r="A55" s="990">
        <f t="shared" si="6"/>
        <v>45642</v>
      </c>
      <c r="B55">
        <v>77</v>
      </c>
      <c r="D55">
        <f t="shared" si="2"/>
        <v>44</v>
      </c>
      <c r="G55" s="185"/>
      <c r="K55" s="185"/>
      <c r="L55" s="744"/>
      <c r="M55" s="744"/>
      <c r="N55" s="744"/>
      <c r="O55" s="744"/>
      <c r="P55" s="744"/>
      <c r="Q55" s="744"/>
      <c r="R55" s="744"/>
      <c r="S55" s="744"/>
      <c r="T55" s="744"/>
      <c r="U55" s="744"/>
      <c r="V55" s="744"/>
    </row>
    <row r="56" spans="1:22" x14ac:dyDescent="0.25">
      <c r="A56" s="990">
        <f t="shared" si="6"/>
        <v>45673</v>
      </c>
      <c r="B56">
        <v>50</v>
      </c>
      <c r="D56">
        <f t="shared" si="2"/>
        <v>28.571428571428573</v>
      </c>
      <c r="G56" s="185"/>
      <c r="K56" s="185"/>
      <c r="L56" s="744"/>
      <c r="M56" s="744"/>
      <c r="N56" s="744"/>
      <c r="O56" s="744"/>
      <c r="P56" s="744"/>
      <c r="Q56" s="744"/>
      <c r="R56" s="744"/>
      <c r="S56" s="744"/>
      <c r="T56" s="744"/>
      <c r="U56" s="744"/>
      <c r="V56" s="744"/>
    </row>
    <row r="57" spans="1:22" x14ac:dyDescent="0.25">
      <c r="A57" s="990">
        <f t="shared" si="6"/>
        <v>45704</v>
      </c>
      <c r="B57">
        <v>44</v>
      </c>
      <c r="D57">
        <f t="shared" si="2"/>
        <v>25.142857142857142</v>
      </c>
      <c r="G57" s="185"/>
      <c r="K57" s="185"/>
      <c r="L57" s="744"/>
      <c r="M57" s="744"/>
      <c r="N57" s="744"/>
      <c r="O57" s="744"/>
      <c r="P57" s="744"/>
      <c r="Q57" s="744"/>
      <c r="R57" s="744"/>
      <c r="S57" s="744"/>
      <c r="T57" s="744"/>
      <c r="U57" s="744"/>
      <c r="V57" s="744"/>
    </row>
    <row r="58" spans="1:22" x14ac:dyDescent="0.25">
      <c r="A58" s="990">
        <f t="shared" si="6"/>
        <v>45735</v>
      </c>
      <c r="B58">
        <v>36</v>
      </c>
      <c r="D58">
        <f t="shared" si="2"/>
        <v>20.571428571428573</v>
      </c>
      <c r="G58" s="185"/>
      <c r="K58" s="185"/>
      <c r="L58" s="744"/>
      <c r="M58" s="744"/>
      <c r="N58" s="744"/>
      <c r="O58" s="744"/>
      <c r="P58" s="744"/>
      <c r="Q58" s="744"/>
      <c r="R58" s="744"/>
      <c r="S58" s="744"/>
      <c r="T58" s="744"/>
      <c r="U58" s="744"/>
      <c r="V58" s="744"/>
    </row>
    <row r="59" spans="1:22" x14ac:dyDescent="0.25">
      <c r="A59" s="990">
        <f t="shared" si="6"/>
        <v>45766</v>
      </c>
      <c r="B59">
        <v>26</v>
      </c>
      <c r="D59">
        <f t="shared" si="2"/>
        <v>14.857142857142858</v>
      </c>
      <c r="G59" s="185"/>
      <c r="K59" s="185"/>
      <c r="L59" s="744"/>
      <c r="M59" s="744"/>
      <c r="N59" s="744"/>
      <c r="O59" s="744"/>
      <c r="P59" s="744"/>
      <c r="Q59" s="744"/>
      <c r="R59" s="744"/>
      <c r="S59" s="744"/>
      <c r="T59" s="744"/>
      <c r="U59" s="744"/>
      <c r="V59" s="744"/>
    </row>
    <row r="60" spans="1:22" x14ac:dyDescent="0.25">
      <c r="A60" s="990">
        <f t="shared" si="6"/>
        <v>45797</v>
      </c>
      <c r="B60">
        <v>25</v>
      </c>
      <c r="D60">
        <f t="shared" si="2"/>
        <v>14.285714285714286</v>
      </c>
      <c r="G60" s="185"/>
      <c r="K60" s="185"/>
      <c r="L60" s="744"/>
      <c r="M60" s="744"/>
      <c r="N60" s="744"/>
      <c r="O60" s="744"/>
      <c r="P60" s="744"/>
      <c r="Q60" s="744"/>
      <c r="R60" s="744"/>
      <c r="S60" s="744"/>
      <c r="T60" s="744"/>
      <c r="U60" s="744"/>
      <c r="V60" s="744"/>
    </row>
    <row r="61" spans="1:22" x14ac:dyDescent="0.25">
      <c r="A61" s="990">
        <f t="shared" si="6"/>
        <v>45828</v>
      </c>
      <c r="B61">
        <v>24</v>
      </c>
      <c r="D61">
        <f t="shared" si="2"/>
        <v>13.714285714285714</v>
      </c>
      <c r="G61" s="185"/>
      <c r="K61" s="185"/>
      <c r="L61" s="744"/>
      <c r="M61" s="744"/>
      <c r="N61" s="744"/>
      <c r="O61" s="744"/>
      <c r="P61" s="744"/>
      <c r="Q61" s="744"/>
      <c r="R61" s="744"/>
      <c r="S61" s="744"/>
      <c r="T61" s="744"/>
      <c r="U61" s="744"/>
      <c r="V61" s="744"/>
    </row>
    <row r="62" spans="1:22" x14ac:dyDescent="0.25">
      <c r="L62" s="744"/>
      <c r="M62" s="744"/>
      <c r="N62" s="744"/>
      <c r="O62" s="744"/>
      <c r="P62" s="744"/>
      <c r="Q62" s="744"/>
      <c r="R62" s="744"/>
      <c r="S62" s="744"/>
      <c r="T62" s="744"/>
      <c r="U62" s="744"/>
      <c r="V62" s="744"/>
    </row>
    <row r="63" spans="1:22" x14ac:dyDescent="0.25">
      <c r="L63" s="744"/>
      <c r="M63" s="744"/>
      <c r="N63" s="744"/>
      <c r="O63" s="744"/>
      <c r="P63" s="744"/>
      <c r="Q63" s="744"/>
      <c r="R63" s="744"/>
      <c r="S63" s="744"/>
      <c r="T63" s="744"/>
      <c r="U63" s="744"/>
      <c r="V63" s="744"/>
    </row>
    <row r="64" spans="1:22" x14ac:dyDescent="0.25">
      <c r="A64" t="s">
        <v>1874</v>
      </c>
      <c r="L64" s="744"/>
      <c r="M64" s="744"/>
      <c r="N64" s="744"/>
      <c r="O64" s="744"/>
      <c r="P64" s="744"/>
      <c r="Q64" s="744"/>
      <c r="R64" s="744"/>
      <c r="S64" s="744"/>
      <c r="T64" s="744"/>
      <c r="U64" s="744"/>
      <c r="V64" s="744"/>
    </row>
    <row r="65" spans="1:22" x14ac:dyDescent="0.25">
      <c r="L65" s="744"/>
      <c r="M65" s="744"/>
      <c r="N65" s="744"/>
      <c r="O65" s="744"/>
      <c r="P65" s="744"/>
      <c r="Q65" s="744"/>
      <c r="R65" s="744"/>
      <c r="S65" s="744"/>
      <c r="T65" s="744"/>
      <c r="U65" s="744"/>
      <c r="V65" s="744"/>
    </row>
    <row r="66" spans="1:22" ht="333.6" customHeight="1" x14ac:dyDescent="0.25">
      <c r="A66" t="s">
        <v>1875</v>
      </c>
      <c r="B66" s="14" t="s">
        <v>1876</v>
      </c>
      <c r="C66" s="883" t="s">
        <v>1877</v>
      </c>
      <c r="D66" s="14"/>
      <c r="L66" s="744"/>
      <c r="M66" s="744"/>
      <c r="N66" s="744"/>
      <c r="O66" s="744"/>
      <c r="P66" s="744"/>
      <c r="Q66" s="744"/>
      <c r="R66" s="744"/>
      <c r="S66" s="744"/>
      <c r="T66" s="744"/>
      <c r="U66" s="744"/>
      <c r="V66" s="744"/>
    </row>
    <row r="67" spans="1:22" x14ac:dyDescent="0.25">
      <c r="L67" s="744"/>
      <c r="M67" s="744"/>
      <c r="N67" s="744"/>
      <c r="O67" s="744"/>
      <c r="P67" s="744"/>
      <c r="Q67" s="744"/>
      <c r="R67" s="744"/>
      <c r="S67" s="744"/>
      <c r="T67" s="744"/>
      <c r="U67" s="744"/>
      <c r="V67" s="744"/>
    </row>
    <row r="68" spans="1:22" x14ac:dyDescent="0.25">
      <c r="A68" t="s">
        <v>1878</v>
      </c>
      <c r="C68" s="993"/>
      <c r="L68" s="744"/>
      <c r="M68" s="744"/>
      <c r="N68" s="744"/>
      <c r="O68" s="744"/>
      <c r="P68" s="744"/>
      <c r="Q68" s="744"/>
      <c r="R68" s="744"/>
      <c r="S68" s="744"/>
      <c r="T68" s="744"/>
      <c r="U68" s="744"/>
      <c r="V68" s="744"/>
    </row>
    <row r="69" spans="1:22" x14ac:dyDescent="0.25">
      <c r="A69" t="s">
        <v>1879</v>
      </c>
      <c r="B69" t="s">
        <v>1875</v>
      </c>
      <c r="C69" s="993" t="s">
        <v>1880</v>
      </c>
      <c r="D69" s="993" t="s">
        <v>1881</v>
      </c>
      <c r="L69" s="744"/>
      <c r="M69" s="744"/>
      <c r="N69" s="744"/>
      <c r="O69" s="744"/>
      <c r="P69" s="744"/>
      <c r="Q69" s="744"/>
      <c r="R69" s="744"/>
      <c r="S69" s="744"/>
      <c r="T69" s="744"/>
      <c r="U69" s="744"/>
      <c r="V69" s="744"/>
    </row>
    <row r="70" spans="1:22" x14ac:dyDescent="0.25">
      <c r="A70" s="994">
        <v>44562</v>
      </c>
      <c r="B70" s="270">
        <v>58.637</v>
      </c>
      <c r="C70" s="995">
        <v>87.938999999999993</v>
      </c>
      <c r="D70">
        <f>C70/B70</f>
        <v>1.4997186077050326</v>
      </c>
      <c r="L70" s="744"/>
      <c r="M70" s="744"/>
      <c r="N70" s="744"/>
      <c r="O70" s="744"/>
      <c r="P70" s="744"/>
      <c r="Q70" s="744"/>
      <c r="R70" s="744"/>
      <c r="S70" s="744"/>
      <c r="T70" s="744"/>
      <c r="U70" s="744"/>
      <c r="V70" s="744"/>
    </row>
    <row r="71" spans="1:22" x14ac:dyDescent="0.25">
      <c r="A71" s="994">
        <v>44652</v>
      </c>
      <c r="B71" s="270">
        <v>56.826000000000001</v>
      </c>
      <c r="C71" s="995">
        <v>90.418999999999997</v>
      </c>
      <c r="D71">
        <f t="shared" ref="D71:D75" si="10">C71/B71</f>
        <v>1.5911554570091155</v>
      </c>
      <c r="L71" s="744"/>
      <c r="M71" s="744"/>
      <c r="N71" s="744"/>
      <c r="O71" s="744"/>
      <c r="P71" s="744"/>
      <c r="Q71" s="744"/>
      <c r="R71" s="744"/>
      <c r="S71" s="744"/>
      <c r="T71" s="744"/>
      <c r="U71" s="744"/>
      <c r="V71" s="744"/>
    </row>
    <row r="72" spans="1:22" x14ac:dyDescent="0.25">
      <c r="A72" s="994">
        <v>44743</v>
      </c>
      <c r="B72" s="270">
        <v>59.756999999999998</v>
      </c>
      <c r="C72" s="995">
        <v>101.727</v>
      </c>
      <c r="D72">
        <f t="shared" si="10"/>
        <v>1.7023444952055828</v>
      </c>
      <c r="L72" s="744"/>
      <c r="M72" s="744"/>
      <c r="N72" s="744"/>
      <c r="O72" s="744"/>
      <c r="P72" s="744"/>
      <c r="Q72" s="744"/>
      <c r="R72" s="744"/>
      <c r="S72" s="744"/>
      <c r="T72" s="744"/>
      <c r="U72" s="744"/>
      <c r="V72" s="744"/>
    </row>
    <row r="73" spans="1:22" x14ac:dyDescent="0.25">
      <c r="A73" s="994">
        <v>44835</v>
      </c>
      <c r="B73" s="270">
        <v>64.33</v>
      </c>
      <c r="C73" s="995">
        <v>112.18300000000001</v>
      </c>
      <c r="D73">
        <f t="shared" si="10"/>
        <v>1.7438675579045548</v>
      </c>
      <c r="L73" s="744"/>
      <c r="M73" s="744"/>
      <c r="N73" s="744"/>
      <c r="O73" s="744"/>
      <c r="P73" s="744"/>
      <c r="Q73" s="744"/>
      <c r="R73" s="744"/>
      <c r="S73" s="744"/>
      <c r="T73" s="744"/>
      <c r="U73" s="744"/>
      <c r="V73" s="744"/>
    </row>
    <row r="74" spans="1:22" x14ac:dyDescent="0.25">
      <c r="A74" s="994">
        <v>44927</v>
      </c>
      <c r="B74" s="270">
        <v>74.295000000000002</v>
      </c>
      <c r="C74" s="995">
        <v>131.22999999999999</v>
      </c>
      <c r="D74">
        <f t="shared" si="10"/>
        <v>1.7663369001951676</v>
      </c>
      <c r="L74" s="744"/>
      <c r="M74" s="744"/>
      <c r="N74" s="744"/>
      <c r="O74" s="744"/>
      <c r="P74" s="744"/>
      <c r="Q74" s="744"/>
      <c r="R74" s="744"/>
      <c r="S74" s="744"/>
      <c r="T74" s="744"/>
      <c r="U74" s="744"/>
      <c r="V74" s="744"/>
    </row>
    <row r="75" spans="1:22" x14ac:dyDescent="0.25">
      <c r="A75" s="994">
        <v>45017</v>
      </c>
      <c r="B75" s="270">
        <v>87.679000000000002</v>
      </c>
      <c r="C75" s="995">
        <v>153.18799999999999</v>
      </c>
      <c r="D75">
        <f t="shared" si="10"/>
        <v>1.7471458387983438</v>
      </c>
      <c r="L75" s="744"/>
      <c r="M75" s="744"/>
      <c r="N75" s="744"/>
      <c r="O75" s="744"/>
      <c r="P75" s="744"/>
      <c r="Q75" s="744"/>
      <c r="R75" s="744"/>
      <c r="S75" s="744"/>
      <c r="T75" s="744"/>
      <c r="U75" s="744"/>
      <c r="V75" s="744"/>
    </row>
    <row r="76" spans="1:22" x14ac:dyDescent="0.25">
      <c r="A76" s="744"/>
      <c r="B76" s="744"/>
      <c r="C76" s="744"/>
      <c r="D76" s="744"/>
      <c r="E76" s="744"/>
      <c r="F76" s="744"/>
      <c r="G76" s="744"/>
      <c r="H76" s="744"/>
      <c r="I76" s="744"/>
      <c r="J76" s="744"/>
      <c r="K76" s="744"/>
      <c r="L76" s="744"/>
      <c r="M76" s="744"/>
      <c r="N76" s="744"/>
      <c r="O76" s="744"/>
      <c r="P76" s="744"/>
      <c r="Q76" s="744"/>
      <c r="R76" s="744"/>
      <c r="S76" s="744"/>
      <c r="T76" s="744"/>
      <c r="U76" s="744"/>
      <c r="V76" s="744"/>
    </row>
  </sheetData>
  <mergeCells count="1">
    <mergeCell ref="B23:D23"/>
  </mergeCells>
  <pageMargins left="0.7" right="0.7" top="0.75" bottom="0.75" header="0.3" footer="0.3"/>
  <pageSetup orientation="portrait"/>
  <drawing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3:Q54"/>
  <sheetViews>
    <sheetView zoomScale="67" workbookViewId="0">
      <selection activeCell="A38" sqref="A38:P42"/>
    </sheetView>
  </sheetViews>
  <sheetFormatPr defaultColWidth="10.85546875" defaultRowHeight="15" x14ac:dyDescent="0.25"/>
  <cols>
    <col min="3" max="3" width="33.85546875" customWidth="1"/>
  </cols>
  <sheetData>
    <row r="3" spans="1:17" x14ac:dyDescent="0.25">
      <c r="A3" s="842" t="s">
        <v>521</v>
      </c>
      <c r="B3" s="230"/>
    </row>
    <row r="4" spans="1:17" x14ac:dyDescent="0.25">
      <c r="A4" s="1001" t="s">
        <v>522</v>
      </c>
      <c r="B4" s="1002"/>
      <c r="C4" s="1002"/>
    </row>
    <row r="7" spans="1:17" x14ac:dyDescent="0.25">
      <c r="A7" s="1432" t="s">
        <v>523</v>
      </c>
      <c r="B7" s="1433"/>
      <c r="C7" s="1433"/>
      <c r="D7" s="1433"/>
      <c r="E7" s="1433"/>
      <c r="F7" s="1433"/>
      <c r="G7" s="1433"/>
      <c r="H7" s="1433"/>
      <c r="I7" s="1433"/>
      <c r="J7" s="1433"/>
      <c r="K7" s="1433"/>
      <c r="L7" s="1433"/>
      <c r="M7" s="1433"/>
      <c r="N7" s="1433"/>
      <c r="O7" s="1433"/>
      <c r="P7" s="1433"/>
    </row>
    <row r="8" spans="1:17" x14ac:dyDescent="0.25">
      <c r="A8" s="348" t="s">
        <v>524</v>
      </c>
      <c r="B8" s="348"/>
      <c r="C8" s="348"/>
      <c r="D8" s="1006"/>
      <c r="E8" s="348"/>
      <c r="F8" s="348"/>
      <c r="G8" s="348"/>
      <c r="H8" s="348"/>
      <c r="I8" s="348"/>
      <c r="J8" s="348"/>
      <c r="K8" s="348"/>
      <c r="L8" s="348"/>
      <c r="M8" s="348"/>
      <c r="N8" s="348"/>
      <c r="O8" s="348"/>
      <c r="P8" s="348"/>
    </row>
    <row r="9" spans="1:17" x14ac:dyDescent="0.25">
      <c r="A9" s="230"/>
      <c r="B9" s="230"/>
      <c r="C9" s="230"/>
      <c r="D9" s="667"/>
      <c r="E9" s="230"/>
      <c r="F9" s="230"/>
      <c r="G9" s="230"/>
      <c r="H9" s="230"/>
      <c r="I9" s="230"/>
      <c r="J9" s="230"/>
      <c r="K9" s="230"/>
      <c r="L9" s="230"/>
      <c r="M9" s="230"/>
      <c r="N9" s="230"/>
      <c r="O9" s="230"/>
      <c r="P9" s="230"/>
    </row>
    <row r="10" spans="1:17" x14ac:dyDescent="0.25">
      <c r="A10" s="230"/>
      <c r="B10" s="230"/>
      <c r="C10" s="230"/>
      <c r="D10" s="667"/>
      <c r="E10" s="230"/>
      <c r="F10" s="230"/>
      <c r="G10" s="230"/>
      <c r="H10" s="230"/>
      <c r="I10" s="230"/>
      <c r="J10" s="230"/>
      <c r="K10" s="230"/>
      <c r="L10" s="230"/>
      <c r="M10" s="230"/>
      <c r="N10" s="230"/>
      <c r="O10" s="1434" t="s">
        <v>312</v>
      </c>
      <c r="P10" s="1434"/>
    </row>
    <row r="11" spans="1:17" x14ac:dyDescent="0.25">
      <c r="A11" s="230"/>
      <c r="B11" s="230"/>
      <c r="C11" s="707"/>
      <c r="D11" s="256"/>
      <c r="E11" s="707"/>
      <c r="F11" s="707"/>
      <c r="G11" s="707"/>
      <c r="H11" s="707"/>
      <c r="I11" s="707"/>
      <c r="J11" s="707"/>
      <c r="K11" s="707"/>
      <c r="L11" s="707"/>
      <c r="M11" s="707"/>
      <c r="N11" s="707"/>
      <c r="O11" s="1005" t="s">
        <v>525</v>
      </c>
      <c r="P11" s="1005" t="s">
        <v>525</v>
      </c>
    </row>
    <row r="12" spans="1:17" x14ac:dyDescent="0.25">
      <c r="A12" s="348"/>
      <c r="B12" s="348"/>
      <c r="C12" s="348"/>
      <c r="D12" s="1006">
        <v>2020</v>
      </c>
      <c r="E12" s="1006">
        <v>2021</v>
      </c>
      <c r="F12" s="1006">
        <v>2022</v>
      </c>
      <c r="G12" s="1006">
        <v>2023</v>
      </c>
      <c r="H12" s="1006">
        <v>2024</v>
      </c>
      <c r="I12" s="1006">
        <v>2025</v>
      </c>
      <c r="J12" s="1006">
        <v>2026</v>
      </c>
      <c r="K12" s="1006">
        <v>2027</v>
      </c>
      <c r="L12" s="1006">
        <v>2028</v>
      </c>
      <c r="M12" s="1006">
        <v>2029</v>
      </c>
      <c r="N12" s="1006">
        <v>2030</v>
      </c>
      <c r="O12" s="804">
        <v>2025</v>
      </c>
      <c r="P12" s="804">
        <v>2030</v>
      </c>
    </row>
    <row r="13" spans="1:17" x14ac:dyDescent="0.25">
      <c r="A13" s="707" t="s">
        <v>526</v>
      </c>
      <c r="B13" s="707"/>
      <c r="C13" s="707"/>
      <c r="D13" s="619">
        <v>540.56299999999999</v>
      </c>
      <c r="E13" s="619">
        <v>0</v>
      </c>
      <c r="F13" s="619">
        <v>0</v>
      </c>
      <c r="G13" s="619">
        <v>0</v>
      </c>
      <c r="H13" s="619">
        <v>0</v>
      </c>
      <c r="I13" s="619">
        <v>0</v>
      </c>
      <c r="J13" s="619">
        <v>0</v>
      </c>
      <c r="K13" s="619">
        <v>0</v>
      </c>
      <c r="L13" s="619">
        <v>0</v>
      </c>
      <c r="M13" s="619">
        <v>0</v>
      </c>
      <c r="N13" s="619">
        <v>0</v>
      </c>
      <c r="O13" s="619">
        <v>0</v>
      </c>
      <c r="P13" s="619">
        <v>0</v>
      </c>
      <c r="Q13" t="s">
        <v>50</v>
      </c>
    </row>
    <row r="14" spans="1:17" x14ac:dyDescent="0.25">
      <c r="A14" s="230" t="s">
        <v>527</v>
      </c>
      <c r="B14" s="230"/>
      <c r="C14" s="230"/>
      <c r="D14" s="256"/>
      <c r="E14" s="707"/>
      <c r="F14" s="707"/>
      <c r="G14" s="707"/>
      <c r="H14" s="707"/>
      <c r="I14" s="707"/>
      <c r="J14" s="707"/>
      <c r="K14" s="707"/>
      <c r="L14" s="707"/>
      <c r="M14" s="707"/>
      <c r="N14" s="707"/>
      <c r="O14" s="707"/>
      <c r="P14" s="707"/>
      <c r="Q14" t="s">
        <v>528</v>
      </c>
    </row>
    <row r="15" spans="1:17" x14ac:dyDescent="0.25">
      <c r="A15" s="230"/>
      <c r="B15" s="230" t="s">
        <v>529</v>
      </c>
      <c r="C15" s="230"/>
      <c r="D15" s="256">
        <v>285.56</v>
      </c>
      <c r="E15" s="256">
        <v>5</v>
      </c>
      <c r="F15" s="256">
        <v>0</v>
      </c>
      <c r="G15" s="256">
        <v>0</v>
      </c>
      <c r="H15" s="256">
        <v>0</v>
      </c>
      <c r="I15" s="256">
        <v>0</v>
      </c>
      <c r="J15" s="256">
        <v>0</v>
      </c>
      <c r="K15" s="256">
        <v>0</v>
      </c>
      <c r="L15" s="256">
        <v>0</v>
      </c>
      <c r="M15" s="256">
        <v>0</v>
      </c>
      <c r="N15" s="256">
        <v>0</v>
      </c>
      <c r="O15" s="256">
        <v>5</v>
      </c>
      <c r="P15" s="256">
        <v>5</v>
      </c>
    </row>
    <row r="16" spans="1:17" x14ac:dyDescent="0.25">
      <c r="A16" s="707"/>
      <c r="B16" s="230" t="s">
        <v>530</v>
      </c>
      <c r="C16" s="707"/>
      <c r="D16" s="256">
        <v>67.209999999999994</v>
      </c>
      <c r="E16" s="256">
        <v>13.68</v>
      </c>
      <c r="F16" s="256">
        <v>0</v>
      </c>
      <c r="G16" s="256">
        <v>0</v>
      </c>
      <c r="H16" s="256">
        <v>0</v>
      </c>
      <c r="I16" s="256">
        <v>0</v>
      </c>
      <c r="J16" s="256">
        <v>0</v>
      </c>
      <c r="K16" s="256">
        <v>0</v>
      </c>
      <c r="L16" s="256">
        <v>0</v>
      </c>
      <c r="M16" s="256">
        <v>0</v>
      </c>
      <c r="N16" s="256">
        <v>0</v>
      </c>
      <c r="O16" s="256">
        <v>13.68</v>
      </c>
      <c r="P16" s="256">
        <v>13.68</v>
      </c>
    </row>
    <row r="17" spans="1:17" x14ac:dyDescent="0.25">
      <c r="A17" s="707"/>
      <c r="B17" s="230" t="s">
        <v>531</v>
      </c>
      <c r="C17" s="707"/>
      <c r="D17" s="256">
        <v>11.12</v>
      </c>
      <c r="E17" s="256">
        <v>47.8</v>
      </c>
      <c r="F17" s="256">
        <v>0</v>
      </c>
      <c r="G17" s="256">
        <v>0</v>
      </c>
      <c r="H17" s="256">
        <v>0</v>
      </c>
      <c r="I17" s="256">
        <v>0</v>
      </c>
      <c r="J17" s="256">
        <v>0</v>
      </c>
      <c r="K17" s="256">
        <v>0</v>
      </c>
      <c r="L17" s="256">
        <v>0</v>
      </c>
      <c r="M17" s="256">
        <v>0</v>
      </c>
      <c r="N17" s="256">
        <v>0</v>
      </c>
      <c r="O17" s="256">
        <v>47.8</v>
      </c>
      <c r="P17" s="256">
        <v>47.8</v>
      </c>
    </row>
    <row r="18" spans="1:17" x14ac:dyDescent="0.25">
      <c r="A18" s="707"/>
      <c r="B18" s="230" t="s">
        <v>532</v>
      </c>
      <c r="C18" s="707"/>
      <c r="D18" s="256">
        <v>6.2149999999999999</v>
      </c>
      <c r="E18" s="256">
        <v>5.0049999999999999</v>
      </c>
      <c r="F18" s="256">
        <v>0</v>
      </c>
      <c r="G18" s="256">
        <v>0</v>
      </c>
      <c r="H18" s="256">
        <v>0</v>
      </c>
      <c r="I18" s="256">
        <v>0</v>
      </c>
      <c r="J18" s="256">
        <v>0</v>
      </c>
      <c r="K18" s="256">
        <v>0</v>
      </c>
      <c r="L18" s="256">
        <v>0</v>
      </c>
      <c r="M18" s="256">
        <v>0</v>
      </c>
      <c r="N18" s="256">
        <v>0</v>
      </c>
      <c r="O18" s="256">
        <v>5.0049999999999999</v>
      </c>
      <c r="P18" s="256">
        <v>5.0049999999999999</v>
      </c>
    </row>
    <row r="19" spans="1:17" x14ac:dyDescent="0.25">
      <c r="A19" s="707"/>
      <c r="B19" s="230"/>
      <c r="C19" s="707"/>
      <c r="D19" s="256" t="s">
        <v>533</v>
      </c>
      <c r="E19" s="256" t="s">
        <v>533</v>
      </c>
      <c r="F19" s="256" t="s">
        <v>533</v>
      </c>
      <c r="G19" s="256" t="s">
        <v>533</v>
      </c>
      <c r="H19" s="256" t="s">
        <v>533</v>
      </c>
      <c r="I19" s="256" t="s">
        <v>533</v>
      </c>
      <c r="J19" s="256" t="s">
        <v>533</v>
      </c>
      <c r="K19" s="256" t="s">
        <v>533</v>
      </c>
      <c r="L19" s="256" t="s">
        <v>533</v>
      </c>
      <c r="M19" s="256" t="s">
        <v>533</v>
      </c>
      <c r="N19" s="256" t="s">
        <v>533</v>
      </c>
      <c r="O19" s="256" t="s">
        <v>533</v>
      </c>
      <c r="P19" s="256" t="s">
        <v>533</v>
      </c>
    </row>
    <row r="20" spans="1:17" x14ac:dyDescent="0.25">
      <c r="A20" s="707"/>
      <c r="B20" s="230"/>
      <c r="C20" s="707" t="s">
        <v>534</v>
      </c>
      <c r="D20" s="256">
        <v>370.10500000000002</v>
      </c>
      <c r="E20" s="256">
        <v>71.484999999999999</v>
      </c>
      <c r="F20" s="256">
        <v>0</v>
      </c>
      <c r="G20" s="256">
        <v>0</v>
      </c>
      <c r="H20" s="256">
        <v>0</v>
      </c>
      <c r="I20" s="256">
        <v>0</v>
      </c>
      <c r="J20" s="256">
        <v>0</v>
      </c>
      <c r="K20" s="256">
        <v>0</v>
      </c>
      <c r="L20" s="256">
        <v>0</v>
      </c>
      <c r="M20" s="256">
        <v>0</v>
      </c>
      <c r="N20" s="256">
        <v>0</v>
      </c>
      <c r="O20" s="256">
        <v>71.484999999999999</v>
      </c>
      <c r="P20" s="256">
        <v>71.484999999999999</v>
      </c>
    </row>
    <row r="21" spans="1:17" x14ac:dyDescent="0.25">
      <c r="A21" s="707"/>
      <c r="B21" s="230"/>
      <c r="C21" s="707"/>
      <c r="D21" s="256"/>
      <c r="E21" s="256"/>
      <c r="F21" s="256"/>
      <c r="G21" s="256"/>
      <c r="H21" s="256"/>
      <c r="I21" s="256"/>
      <c r="J21" s="256"/>
      <c r="K21" s="256"/>
      <c r="L21" s="256"/>
      <c r="M21" s="256"/>
      <c r="N21" s="256"/>
      <c r="O21" s="256"/>
      <c r="P21" s="256"/>
    </row>
    <row r="22" spans="1:17" ht="17.100000000000001" customHeight="1" x14ac:dyDescent="0.25">
      <c r="A22" s="707" t="s">
        <v>535</v>
      </c>
      <c r="B22" s="230"/>
      <c r="C22" s="707"/>
      <c r="D22" s="256">
        <v>271.98399999999998</v>
      </c>
      <c r="E22" s="256">
        <v>9.327</v>
      </c>
      <c r="F22" s="256">
        <v>0</v>
      </c>
      <c r="G22" s="256">
        <v>0</v>
      </c>
      <c r="H22" s="256">
        <v>0</v>
      </c>
      <c r="I22" s="256">
        <v>0</v>
      </c>
      <c r="J22" s="256">
        <v>0</v>
      </c>
      <c r="K22" s="256">
        <v>0</v>
      </c>
      <c r="L22" s="256">
        <v>0</v>
      </c>
      <c r="M22" s="256">
        <v>0</v>
      </c>
      <c r="N22" s="256">
        <v>0</v>
      </c>
      <c r="O22" s="256">
        <v>9.327</v>
      </c>
      <c r="P22" s="256">
        <v>9.327</v>
      </c>
      <c r="Q22" t="s">
        <v>536</v>
      </c>
    </row>
    <row r="23" spans="1:17" x14ac:dyDescent="0.25">
      <c r="A23" s="707" t="s">
        <v>149</v>
      </c>
      <c r="B23" s="230"/>
      <c r="C23" s="230"/>
      <c r="D23" s="256">
        <v>149.97300000000001</v>
      </c>
      <c r="E23" s="256">
        <v>2.5999999999999999E-2</v>
      </c>
      <c r="F23" s="256">
        <v>0</v>
      </c>
      <c r="G23" s="256">
        <v>0</v>
      </c>
      <c r="H23" s="256">
        <v>0</v>
      </c>
      <c r="I23" s="256">
        <v>0</v>
      </c>
      <c r="J23" s="256">
        <v>0</v>
      </c>
      <c r="K23" s="256">
        <v>0</v>
      </c>
      <c r="L23" s="256">
        <v>0</v>
      </c>
      <c r="M23" s="256">
        <v>0</v>
      </c>
      <c r="N23" s="256">
        <v>0</v>
      </c>
      <c r="O23" s="256">
        <v>2.5999999999999999E-2</v>
      </c>
      <c r="P23" s="256">
        <v>2.5999999999999999E-2</v>
      </c>
      <c r="Q23" t="s">
        <v>51</v>
      </c>
    </row>
    <row r="24" spans="1:17" x14ac:dyDescent="0.25">
      <c r="A24" s="707" t="s">
        <v>537</v>
      </c>
      <c r="B24" s="230"/>
      <c r="C24" s="230"/>
      <c r="D24" s="256">
        <v>135.41999999999999</v>
      </c>
      <c r="E24" s="256">
        <v>72.537999999999997</v>
      </c>
      <c r="F24" s="256">
        <v>10.331</v>
      </c>
      <c r="G24" s="256">
        <v>4.2670000000000003</v>
      </c>
      <c r="H24" s="256">
        <v>1.347</v>
      </c>
      <c r="I24" s="256">
        <v>0.67400000000000004</v>
      </c>
      <c r="J24" s="256">
        <v>0</v>
      </c>
      <c r="K24" s="256">
        <v>0</v>
      </c>
      <c r="L24" s="256">
        <v>0</v>
      </c>
      <c r="M24" s="256">
        <v>0</v>
      </c>
      <c r="N24" s="256">
        <v>0</v>
      </c>
      <c r="O24" s="256">
        <v>89.156999999999996</v>
      </c>
      <c r="P24" s="256">
        <v>89.156999999999996</v>
      </c>
      <c r="Q24" t="s">
        <v>538</v>
      </c>
    </row>
    <row r="25" spans="1:17" x14ac:dyDescent="0.25">
      <c r="A25" s="707" t="s">
        <v>539</v>
      </c>
      <c r="B25" s="230"/>
      <c r="C25" s="230"/>
      <c r="D25" s="256"/>
      <c r="E25" s="256"/>
      <c r="F25" s="256"/>
      <c r="G25" s="256"/>
      <c r="H25" s="256"/>
      <c r="I25" s="256"/>
      <c r="J25" s="256"/>
      <c r="K25" s="256"/>
      <c r="L25" s="256"/>
      <c r="M25" s="256"/>
      <c r="N25" s="256"/>
      <c r="O25" s="256"/>
      <c r="P25" s="256"/>
    </row>
    <row r="26" spans="1:17" x14ac:dyDescent="0.25">
      <c r="A26" s="707" t="s">
        <v>540</v>
      </c>
      <c r="B26" s="230"/>
      <c r="C26" s="230"/>
      <c r="D26" s="256">
        <v>40.831000000000003</v>
      </c>
      <c r="E26" s="256">
        <v>79.391999999999996</v>
      </c>
      <c r="F26" s="256">
        <v>47.442999999999998</v>
      </c>
      <c r="G26" s="256">
        <v>4.7220000000000004</v>
      </c>
      <c r="H26" s="256">
        <v>0</v>
      </c>
      <c r="I26" s="256">
        <v>0</v>
      </c>
      <c r="J26" s="256">
        <v>0</v>
      </c>
      <c r="K26" s="256">
        <v>0</v>
      </c>
      <c r="L26" s="256">
        <v>0</v>
      </c>
      <c r="M26" s="256">
        <v>0</v>
      </c>
      <c r="N26" s="256">
        <v>0</v>
      </c>
      <c r="O26" s="256">
        <v>131.55699999999999</v>
      </c>
      <c r="P26" s="256">
        <v>131.55699999999999</v>
      </c>
      <c r="Q26" t="s">
        <v>133</v>
      </c>
    </row>
    <row r="27" spans="1:17" x14ac:dyDescent="0.25">
      <c r="A27" s="707" t="s">
        <v>541</v>
      </c>
      <c r="B27" s="230"/>
      <c r="C27" s="230"/>
      <c r="D27" s="256">
        <v>58.054000000000002</v>
      </c>
      <c r="E27" s="256">
        <v>14.755000000000001</v>
      </c>
      <c r="F27" s="256">
        <v>3.4750000000000001</v>
      </c>
      <c r="G27" s="256">
        <v>3.9249999999999998</v>
      </c>
      <c r="H27" s="256">
        <v>4.375</v>
      </c>
      <c r="I27" s="256">
        <v>4.375</v>
      </c>
      <c r="J27" s="256">
        <v>4.5</v>
      </c>
      <c r="K27" s="256">
        <v>4.5</v>
      </c>
      <c r="L27" s="256">
        <v>4.5</v>
      </c>
      <c r="M27" s="256">
        <v>4.5</v>
      </c>
      <c r="N27" s="256">
        <v>4.5</v>
      </c>
      <c r="O27" s="256">
        <v>30.905000000000001</v>
      </c>
      <c r="P27" s="256">
        <v>53.405000000000001</v>
      </c>
    </row>
    <row r="28" spans="1:17" x14ac:dyDescent="0.25">
      <c r="A28" s="707" t="s">
        <v>542</v>
      </c>
      <c r="B28" s="230"/>
      <c r="C28" s="230"/>
      <c r="D28" s="256">
        <v>47.372999999999998</v>
      </c>
      <c r="E28" s="256">
        <v>-46.081000000000003</v>
      </c>
      <c r="F28" s="256">
        <v>0</v>
      </c>
      <c r="G28" s="256">
        <v>0</v>
      </c>
      <c r="H28" s="256">
        <v>0</v>
      </c>
      <c r="I28" s="256">
        <v>0</v>
      </c>
      <c r="J28" s="256">
        <v>0</v>
      </c>
      <c r="K28" s="256">
        <v>0</v>
      </c>
      <c r="L28" s="256">
        <v>0</v>
      </c>
      <c r="M28" s="256">
        <v>0</v>
      </c>
      <c r="N28" s="256">
        <v>0</v>
      </c>
      <c r="O28" s="256">
        <v>-46.081000000000003</v>
      </c>
      <c r="P28" s="256">
        <v>-46.081000000000003</v>
      </c>
      <c r="Q28" t="s">
        <v>55</v>
      </c>
    </row>
    <row r="29" spans="1:17" x14ac:dyDescent="0.25">
      <c r="A29" s="707" t="s">
        <v>543</v>
      </c>
      <c r="B29" s="230"/>
      <c r="C29" s="230"/>
      <c r="D29" s="256">
        <v>24.475000000000001</v>
      </c>
      <c r="E29" s="256">
        <v>32.784999999999997</v>
      </c>
      <c r="F29" s="256">
        <v>8.4600000000000009</v>
      </c>
      <c r="G29" s="256">
        <v>0</v>
      </c>
      <c r="H29" s="256">
        <v>0</v>
      </c>
      <c r="I29" s="256">
        <v>0</v>
      </c>
      <c r="J29" s="256">
        <v>0</v>
      </c>
      <c r="K29" s="256">
        <v>0</v>
      </c>
      <c r="L29" s="256">
        <v>0</v>
      </c>
      <c r="M29" s="256">
        <v>0</v>
      </c>
      <c r="N29" s="256">
        <v>0</v>
      </c>
      <c r="O29" s="256">
        <v>41.244999999999997</v>
      </c>
      <c r="P29" s="256">
        <v>41.244999999999997</v>
      </c>
      <c r="Q29" t="s">
        <v>544</v>
      </c>
    </row>
    <row r="30" spans="1:17" x14ac:dyDescent="0.25">
      <c r="A30" s="707" t="s">
        <v>545</v>
      </c>
      <c r="B30" s="230"/>
      <c r="C30" s="230"/>
      <c r="D30" s="256">
        <v>27.5</v>
      </c>
      <c r="E30" s="256">
        <v>0.86</v>
      </c>
      <c r="F30" s="256">
        <v>-0.22</v>
      </c>
      <c r="G30" s="256">
        <v>-0.49</v>
      </c>
      <c r="H30" s="256">
        <v>-0.56000000000000005</v>
      </c>
      <c r="I30" s="256">
        <v>-0.98</v>
      </c>
      <c r="J30" s="256">
        <v>-0.76</v>
      </c>
      <c r="K30" s="256">
        <v>-0.74</v>
      </c>
      <c r="L30" s="256">
        <v>-0.72</v>
      </c>
      <c r="M30" s="256">
        <v>-0.7</v>
      </c>
      <c r="N30" s="256">
        <v>-0.69</v>
      </c>
      <c r="O30" s="256">
        <v>-1.39</v>
      </c>
      <c r="P30" s="256">
        <v>-5</v>
      </c>
      <c r="Q30" t="s">
        <v>52</v>
      </c>
    </row>
    <row r="31" spans="1:17" x14ac:dyDescent="0.25">
      <c r="A31" s="707" t="s">
        <v>150</v>
      </c>
      <c r="B31" s="230"/>
      <c r="C31" s="230"/>
      <c r="D31" s="256">
        <v>11.407999999999999</v>
      </c>
      <c r="E31" s="256">
        <v>10.763</v>
      </c>
      <c r="F31" s="256">
        <v>5.7809999999999997</v>
      </c>
      <c r="G31" s="256">
        <v>0.92300000000000004</v>
      </c>
      <c r="H31" s="256">
        <v>0.52300000000000002</v>
      </c>
      <c r="I31" s="256">
        <v>0.43099999999999999</v>
      </c>
      <c r="J31" s="256">
        <v>0.246</v>
      </c>
      <c r="K31" s="256">
        <v>0</v>
      </c>
      <c r="L31" s="256">
        <v>0</v>
      </c>
      <c r="M31" s="256">
        <v>0</v>
      </c>
      <c r="N31" s="256">
        <v>0</v>
      </c>
      <c r="O31" s="256">
        <v>18.420999999999999</v>
      </c>
      <c r="P31" s="256">
        <v>18.667000000000002</v>
      </c>
      <c r="Q31" t="s">
        <v>546</v>
      </c>
    </row>
    <row r="32" spans="1:17" x14ac:dyDescent="0.25">
      <c r="A32" s="707" t="s">
        <v>547</v>
      </c>
      <c r="B32" s="230"/>
      <c r="C32" s="230"/>
      <c r="D32" s="256">
        <v>99.444000000000003</v>
      </c>
      <c r="E32" s="256">
        <v>61.634</v>
      </c>
      <c r="F32" s="256">
        <v>23.815000000000001</v>
      </c>
      <c r="G32" s="256">
        <v>7.35</v>
      </c>
      <c r="H32" s="256">
        <v>4.4029999999999996</v>
      </c>
      <c r="I32" s="256">
        <v>1.663</v>
      </c>
      <c r="J32" s="256">
        <v>0.74399999999999999</v>
      </c>
      <c r="K32" s="256">
        <v>0.65500000000000003</v>
      </c>
      <c r="L32" s="256">
        <v>0.68799999999999994</v>
      </c>
      <c r="M32" s="256">
        <v>10.603</v>
      </c>
      <c r="N32" s="256">
        <v>-35.328000000000003</v>
      </c>
      <c r="O32" s="256">
        <v>98.864999999999995</v>
      </c>
      <c r="P32" s="256">
        <v>76.227000000000004</v>
      </c>
      <c r="Q32" t="s">
        <v>548</v>
      </c>
    </row>
    <row r="33" spans="1:16" x14ac:dyDescent="0.25">
      <c r="A33" s="707"/>
      <c r="B33" s="230"/>
      <c r="C33" s="230"/>
      <c r="D33" s="256"/>
      <c r="E33" s="256"/>
      <c r="F33" s="256"/>
      <c r="G33" s="256"/>
      <c r="H33" s="256"/>
      <c r="I33" s="256"/>
      <c r="J33" s="256"/>
      <c r="K33" s="256"/>
      <c r="L33" s="256"/>
      <c r="M33" s="256"/>
      <c r="N33" s="256"/>
      <c r="O33" s="256"/>
      <c r="P33" s="256"/>
    </row>
    <row r="34" spans="1:16" x14ac:dyDescent="0.25">
      <c r="A34" s="1004"/>
      <c r="B34" s="1004"/>
      <c r="C34" s="1004" t="s">
        <v>312</v>
      </c>
      <c r="D34" s="1007">
        <v>1777.13</v>
      </c>
      <c r="E34" s="1007">
        <v>307.48399999999998</v>
      </c>
      <c r="F34" s="1007">
        <v>99.084999999999994</v>
      </c>
      <c r="G34" s="1007">
        <v>20.696999999999999</v>
      </c>
      <c r="H34" s="1007">
        <v>10.087999999999999</v>
      </c>
      <c r="I34" s="1007">
        <v>6.1630000000000003</v>
      </c>
      <c r="J34" s="1007">
        <v>4.7300000000000004</v>
      </c>
      <c r="K34" s="1007">
        <v>4.415</v>
      </c>
      <c r="L34" s="1007">
        <v>4.468</v>
      </c>
      <c r="M34" s="1007">
        <v>14.403</v>
      </c>
      <c r="N34" s="1007">
        <v>-31.518000000000001</v>
      </c>
      <c r="O34" s="1007">
        <v>443.517</v>
      </c>
      <c r="P34" s="1007">
        <v>440.01499999999999</v>
      </c>
    </row>
    <row r="35" spans="1:16" x14ac:dyDescent="0.25">
      <c r="A35" s="230"/>
      <c r="B35" s="230"/>
      <c r="C35" s="230"/>
      <c r="D35" s="1003"/>
      <c r="E35" s="477"/>
      <c r="F35" s="707"/>
      <c r="G35" s="707"/>
      <c r="H35" s="707"/>
      <c r="I35" s="707"/>
      <c r="J35" s="707"/>
      <c r="K35" s="707"/>
      <c r="L35" s="707"/>
      <c r="M35" s="707"/>
      <c r="N35" s="707"/>
      <c r="O35" s="707"/>
      <c r="P35" s="707"/>
    </row>
    <row r="36" spans="1:16" x14ac:dyDescent="0.25">
      <c r="A36" s="997" t="s">
        <v>549</v>
      </c>
      <c r="B36" s="997"/>
      <c r="C36" s="997"/>
      <c r="D36" s="998"/>
      <c r="E36" s="997"/>
      <c r="F36" s="997"/>
      <c r="G36" s="997"/>
      <c r="H36" s="997"/>
      <c r="I36" s="997"/>
      <c r="J36" s="997"/>
      <c r="K36" s="997"/>
      <c r="L36" s="997"/>
      <c r="M36" s="997"/>
      <c r="N36" s="997"/>
      <c r="O36" s="997"/>
      <c r="P36" s="997"/>
    </row>
    <row r="37" spans="1:16" x14ac:dyDescent="0.25">
      <c r="A37" s="997"/>
      <c r="B37" s="997"/>
      <c r="C37" s="997"/>
      <c r="D37" s="998"/>
      <c r="E37" s="997"/>
      <c r="F37" s="997"/>
      <c r="G37" s="997"/>
      <c r="H37" s="997"/>
      <c r="I37" s="997"/>
      <c r="J37" s="997"/>
      <c r="K37" s="997"/>
      <c r="L37" s="997"/>
      <c r="M37" s="997"/>
      <c r="N37" s="997"/>
      <c r="O37" s="997"/>
      <c r="P37" s="997"/>
    </row>
    <row r="38" spans="1:16" x14ac:dyDescent="0.25">
      <c r="A38" s="1437" t="s">
        <v>550</v>
      </c>
      <c r="B38" s="1437"/>
      <c r="C38" s="1437"/>
      <c r="D38" s="1437"/>
      <c r="E38" s="1437"/>
      <c r="F38" s="1437"/>
      <c r="G38" s="1437"/>
      <c r="H38" s="1437"/>
      <c r="I38" s="1437"/>
      <c r="J38" s="1437"/>
      <c r="K38" s="1437"/>
      <c r="L38" s="1437"/>
      <c r="M38" s="1437"/>
      <c r="N38" s="1437"/>
      <c r="O38" s="1437"/>
      <c r="P38" s="1437"/>
    </row>
    <row r="39" spans="1:16" x14ac:dyDescent="0.25">
      <c r="A39" s="1437"/>
      <c r="B39" s="1437"/>
      <c r="C39" s="1437"/>
      <c r="D39" s="1437"/>
      <c r="E39" s="1437"/>
      <c r="F39" s="1437"/>
      <c r="G39" s="1437"/>
      <c r="H39" s="1437"/>
      <c r="I39" s="1437"/>
      <c r="J39" s="1437"/>
      <c r="K39" s="1437"/>
      <c r="L39" s="1437"/>
      <c r="M39" s="1437"/>
      <c r="N39" s="1437"/>
      <c r="O39" s="1437"/>
      <c r="P39" s="1437"/>
    </row>
    <row r="40" spans="1:16" x14ac:dyDescent="0.25">
      <c r="A40" s="1437"/>
      <c r="B40" s="1437"/>
      <c r="C40" s="1437"/>
      <c r="D40" s="1437"/>
      <c r="E40" s="1437"/>
      <c r="F40" s="1437"/>
      <c r="G40" s="1437"/>
      <c r="H40" s="1437"/>
      <c r="I40" s="1437"/>
      <c r="J40" s="1437"/>
      <c r="K40" s="1437"/>
      <c r="L40" s="1437"/>
      <c r="M40" s="1437"/>
      <c r="N40" s="1437"/>
      <c r="O40" s="1437"/>
      <c r="P40" s="1437"/>
    </row>
    <row r="41" spans="1:16" x14ac:dyDescent="0.25">
      <c r="A41" s="1437"/>
      <c r="B41" s="1437"/>
      <c r="C41" s="1437"/>
      <c r="D41" s="1437"/>
      <c r="E41" s="1437"/>
      <c r="F41" s="1437"/>
      <c r="G41" s="1437"/>
      <c r="H41" s="1437"/>
      <c r="I41" s="1437"/>
      <c r="J41" s="1437"/>
      <c r="K41" s="1437"/>
      <c r="L41" s="1437"/>
      <c r="M41" s="1437"/>
      <c r="N41" s="1437"/>
      <c r="O41" s="1437"/>
      <c r="P41" s="1437"/>
    </row>
    <row r="42" spans="1:16" x14ac:dyDescent="0.25">
      <c r="A42" s="1437"/>
      <c r="B42" s="1437"/>
      <c r="C42" s="1437"/>
      <c r="D42" s="1437"/>
      <c r="E42" s="1437"/>
      <c r="F42" s="1437"/>
      <c r="G42" s="1437"/>
      <c r="H42" s="1437"/>
      <c r="I42" s="1437"/>
      <c r="J42" s="1437"/>
      <c r="K42" s="1437"/>
      <c r="L42" s="1437"/>
      <c r="M42" s="1437"/>
      <c r="N42" s="1437"/>
      <c r="O42" s="1437"/>
      <c r="P42" s="1437"/>
    </row>
    <row r="43" spans="1:16" x14ac:dyDescent="0.25">
      <c r="A43" s="237"/>
      <c r="B43" s="237"/>
      <c r="C43" s="237"/>
      <c r="D43" s="237"/>
      <c r="E43" s="237"/>
      <c r="F43" s="237"/>
      <c r="G43" s="237"/>
      <c r="H43" s="237"/>
      <c r="I43" s="237"/>
      <c r="J43" s="237"/>
      <c r="K43" s="237"/>
      <c r="L43" s="237"/>
      <c r="M43" s="237"/>
      <c r="N43" s="237"/>
      <c r="O43" s="237"/>
      <c r="P43" s="237"/>
    </row>
    <row r="44" spans="1:16" x14ac:dyDescent="0.25">
      <c r="A44" s="1332" t="s">
        <v>551</v>
      </c>
      <c r="B44" s="1332"/>
      <c r="C44" s="1332"/>
      <c r="D44" s="1332"/>
      <c r="E44" s="1332"/>
      <c r="F44" s="1332"/>
      <c r="G44" s="1332"/>
      <c r="H44" s="1332"/>
      <c r="I44" s="1332"/>
      <c r="J44" s="1332"/>
      <c r="K44" s="1332"/>
      <c r="L44" s="1332"/>
      <c r="M44" s="1332"/>
      <c r="N44" s="1332"/>
      <c r="O44" s="1332"/>
      <c r="P44" s="1332"/>
    </row>
    <row r="45" spans="1:16" x14ac:dyDescent="0.25">
      <c r="A45" s="1332"/>
      <c r="B45" s="1332"/>
      <c r="C45" s="1332"/>
      <c r="D45" s="1332"/>
      <c r="E45" s="1332"/>
      <c r="F45" s="1332"/>
      <c r="G45" s="1332"/>
      <c r="H45" s="1332"/>
      <c r="I45" s="1332"/>
      <c r="J45" s="1332"/>
      <c r="K45" s="1332"/>
      <c r="L45" s="1332"/>
      <c r="M45" s="1332"/>
      <c r="N45" s="1332"/>
      <c r="O45" s="1332"/>
      <c r="P45" s="1332"/>
    </row>
    <row r="46" spans="1:16" x14ac:dyDescent="0.25">
      <c r="A46" s="1332"/>
      <c r="B46" s="1332"/>
      <c r="C46" s="1332"/>
      <c r="D46" s="1332"/>
      <c r="E46" s="1332"/>
      <c r="F46" s="1332"/>
      <c r="G46" s="1332"/>
      <c r="H46" s="1332"/>
      <c r="I46" s="1332"/>
      <c r="J46" s="1332"/>
      <c r="K46" s="1332"/>
      <c r="L46" s="1332"/>
      <c r="M46" s="1332"/>
      <c r="N46" s="1332"/>
      <c r="O46" s="1332"/>
      <c r="P46" s="1332"/>
    </row>
    <row r="47" spans="1:16" x14ac:dyDescent="0.25">
      <c r="A47" s="997"/>
      <c r="B47" s="997"/>
      <c r="C47" s="997"/>
      <c r="D47" s="998"/>
      <c r="E47" s="997"/>
      <c r="F47" s="997"/>
      <c r="G47" s="997"/>
      <c r="H47" s="997"/>
      <c r="I47" s="997"/>
      <c r="J47" s="997"/>
      <c r="K47" s="997"/>
      <c r="L47" s="997"/>
      <c r="M47" s="997"/>
      <c r="N47" s="997"/>
      <c r="O47" s="997"/>
      <c r="P47" s="997"/>
    </row>
    <row r="48" spans="1:16" x14ac:dyDescent="0.25">
      <c r="A48" s="1435" t="s">
        <v>552</v>
      </c>
      <c r="B48" s="1436"/>
      <c r="C48" s="1436"/>
      <c r="D48" s="1436"/>
      <c r="E48" s="1436"/>
      <c r="F48" s="1436"/>
      <c r="G48" s="1436"/>
      <c r="H48" s="1436"/>
      <c r="I48" s="1436"/>
      <c r="J48" s="1436"/>
      <c r="K48" s="1436"/>
      <c r="L48" s="1436"/>
      <c r="M48" s="1436"/>
      <c r="N48" s="1436"/>
      <c r="O48" s="1436"/>
      <c r="P48" s="1436"/>
    </row>
    <row r="49" spans="1:16" x14ac:dyDescent="0.25">
      <c r="A49" s="1436"/>
      <c r="B49" s="1436"/>
      <c r="C49" s="1436"/>
      <c r="D49" s="1436"/>
      <c r="E49" s="1436"/>
      <c r="F49" s="1436"/>
      <c r="G49" s="1436"/>
      <c r="H49" s="1436"/>
      <c r="I49" s="1436"/>
      <c r="J49" s="1436"/>
      <c r="K49" s="1436"/>
      <c r="L49" s="1436"/>
      <c r="M49" s="1436"/>
      <c r="N49" s="1436"/>
      <c r="O49" s="1436"/>
      <c r="P49" s="1436"/>
    </row>
    <row r="50" spans="1:16" x14ac:dyDescent="0.25">
      <c r="A50" s="997"/>
      <c r="B50" s="997"/>
      <c r="C50" s="997"/>
      <c r="D50" s="998"/>
      <c r="E50" s="997"/>
      <c r="F50" s="997"/>
      <c r="G50" s="997"/>
      <c r="H50" s="997"/>
      <c r="I50" s="997"/>
      <c r="J50" s="997"/>
      <c r="K50" s="997"/>
      <c r="L50" s="997"/>
      <c r="M50" s="997"/>
      <c r="N50" s="997"/>
      <c r="O50" s="997"/>
      <c r="P50" s="997"/>
    </row>
    <row r="51" spans="1:16" x14ac:dyDescent="0.25">
      <c r="A51" s="1431" t="s">
        <v>553</v>
      </c>
      <c r="B51" s="1431"/>
      <c r="C51" s="1431"/>
      <c r="D51" s="1431"/>
      <c r="E51" s="1431"/>
      <c r="F51" s="1431"/>
      <c r="G51" s="1431"/>
      <c r="H51" s="1431"/>
      <c r="I51" s="1431"/>
      <c r="J51" s="1431"/>
      <c r="K51" s="1431"/>
      <c r="L51" s="1431"/>
      <c r="M51" s="1431"/>
      <c r="N51" s="1431"/>
      <c r="O51" s="1431"/>
      <c r="P51" s="1431"/>
    </row>
    <row r="52" spans="1:16" x14ac:dyDescent="0.25">
      <c r="A52" s="1431"/>
      <c r="B52" s="1431"/>
      <c r="C52" s="1431"/>
      <c r="D52" s="1431"/>
      <c r="E52" s="1431"/>
      <c r="F52" s="1431"/>
      <c r="G52" s="1431"/>
      <c r="H52" s="1431"/>
      <c r="I52" s="1431"/>
      <c r="J52" s="1431"/>
      <c r="K52" s="1431"/>
      <c r="L52" s="1431"/>
      <c r="M52" s="1431"/>
      <c r="N52" s="1431"/>
      <c r="O52" s="1431"/>
      <c r="P52" s="1431"/>
    </row>
    <row r="53" spans="1:16" x14ac:dyDescent="0.25">
      <c r="A53" s="1431"/>
      <c r="B53" s="1431"/>
      <c r="C53" s="1431"/>
      <c r="D53" s="1431"/>
      <c r="E53" s="1431"/>
      <c r="F53" s="1431"/>
      <c r="G53" s="1431"/>
      <c r="H53" s="1431"/>
      <c r="I53" s="1431"/>
      <c r="J53" s="1431"/>
      <c r="K53" s="1431"/>
      <c r="L53" s="1431"/>
      <c r="M53" s="1431"/>
      <c r="N53" s="1431"/>
      <c r="O53" s="1431"/>
      <c r="P53" s="1431"/>
    </row>
    <row r="54" spans="1:16" x14ac:dyDescent="0.25">
      <c r="A54" s="999"/>
      <c r="B54" s="999"/>
      <c r="C54" s="999"/>
      <c r="D54" s="1000"/>
      <c r="E54" s="999"/>
      <c r="F54" s="999"/>
      <c r="G54" s="999"/>
      <c r="H54" s="999"/>
      <c r="I54" s="999"/>
      <c r="J54" s="999"/>
      <c r="K54" s="999"/>
      <c r="L54" s="999"/>
      <c r="M54" s="999"/>
      <c r="N54" s="999"/>
      <c r="O54" s="999"/>
      <c r="P54" s="999"/>
    </row>
  </sheetData>
  <mergeCells count="6">
    <mergeCell ref="A51:P53"/>
    <mergeCell ref="A7:P7"/>
    <mergeCell ref="O10:P10"/>
    <mergeCell ref="A48:P49"/>
    <mergeCell ref="A38:P42"/>
    <mergeCell ref="A44:P46"/>
  </mergeCells>
  <hyperlinks>
    <hyperlink ref="A4" r:id="rId1" xr:uid="{00000000-0004-0000-1E00-000000000000}"/>
  </hyperlinks>
  <pageMargins left="0.7" right="0.7" top="0.75" bottom="0.75" header="0.3" footer="0.3"/>
  <pageSetup paperSize="9"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U198"/>
  <sheetViews>
    <sheetView topLeftCell="A109" workbookViewId="0">
      <selection activeCell="K104" sqref="K104"/>
    </sheetView>
  </sheetViews>
  <sheetFormatPr defaultColWidth="10.85546875" defaultRowHeight="15" x14ac:dyDescent="0.25"/>
  <cols>
    <col min="1" max="1" width="36" customWidth="1"/>
    <col min="2" max="2" width="15.5703125" customWidth="1"/>
    <col min="3" max="19" width="10.7109375" customWidth="1"/>
    <col min="20" max="20" width="125.85546875" customWidth="1"/>
  </cols>
  <sheetData>
    <row r="1" spans="1:19" x14ac:dyDescent="0.25">
      <c r="A1" s="620" t="s">
        <v>1386</v>
      </c>
      <c r="D1" s="1086">
        <v>2022</v>
      </c>
      <c r="E1" s="1086">
        <v>2023</v>
      </c>
      <c r="F1" s="1086">
        <v>2024</v>
      </c>
      <c r="G1" s="1086">
        <v>2025</v>
      </c>
      <c r="H1" s="1086">
        <v>2026</v>
      </c>
      <c r="I1" s="1086">
        <v>2027</v>
      </c>
      <c r="J1" s="1086">
        <v>2028</v>
      </c>
      <c r="K1" s="1086">
        <v>2029</v>
      </c>
      <c r="L1" s="1086">
        <v>2030</v>
      </c>
      <c r="M1" s="1087">
        <v>2031</v>
      </c>
      <c r="N1" s="1088" t="s">
        <v>1188</v>
      </c>
      <c r="O1" s="1088" t="s">
        <v>1189</v>
      </c>
      <c r="P1" s="1073"/>
      <c r="Q1" s="1073"/>
      <c r="R1" s="1073"/>
      <c r="S1" s="1073"/>
    </row>
    <row r="2" spans="1:19" x14ac:dyDescent="0.25">
      <c r="C2" s="1438" t="s">
        <v>1387</v>
      </c>
      <c r="D2" s="1438"/>
      <c r="E2" s="1438"/>
      <c r="F2" s="1438"/>
      <c r="G2" s="1438"/>
      <c r="H2" s="1438"/>
      <c r="I2" s="1438"/>
      <c r="J2" s="1438"/>
      <c r="K2" s="1438"/>
      <c r="L2" s="1438"/>
      <c r="M2" s="1438"/>
      <c r="N2" s="1438"/>
      <c r="O2" s="1438"/>
      <c r="P2" s="1072"/>
      <c r="Q2" s="1072"/>
      <c r="R2" s="1072"/>
      <c r="S2" s="1072"/>
    </row>
    <row r="3" spans="1:19" x14ac:dyDescent="0.25">
      <c r="A3" s="35" t="s">
        <v>1197</v>
      </c>
      <c r="B3" s="35">
        <v>13601</v>
      </c>
      <c r="C3" s="35" t="s">
        <v>1388</v>
      </c>
      <c r="D3" s="35">
        <v>0</v>
      </c>
      <c r="E3" s="35">
        <v>0</v>
      </c>
      <c r="F3" s="35">
        <v>601</v>
      </c>
      <c r="G3" s="35">
        <v>1038</v>
      </c>
      <c r="H3" s="35">
        <v>1251</v>
      </c>
      <c r="I3" s="35">
        <v>1431</v>
      </c>
      <c r="J3" s="35">
        <v>1492</v>
      </c>
      <c r="K3" s="35">
        <v>1530</v>
      </c>
      <c r="L3" s="35">
        <v>1567</v>
      </c>
      <c r="M3" s="35">
        <v>1606</v>
      </c>
      <c r="N3" s="35">
        <v>2890</v>
      </c>
      <c r="O3" s="35">
        <v>10516</v>
      </c>
      <c r="P3" s="35"/>
      <c r="Q3" s="35"/>
      <c r="R3" s="35"/>
      <c r="S3" s="35"/>
    </row>
    <row r="4" spans="1:19" x14ac:dyDescent="0.25">
      <c r="A4" s="35" t="s">
        <v>1210</v>
      </c>
      <c r="B4" s="35">
        <v>10301</v>
      </c>
      <c r="C4" s="35" t="s">
        <v>1388</v>
      </c>
      <c r="D4" s="35">
        <v>0</v>
      </c>
      <c r="E4" s="35">
        <v>3823</v>
      </c>
      <c r="F4" s="35">
        <v>3380</v>
      </c>
      <c r="G4" s="35">
        <v>4970</v>
      </c>
      <c r="H4" s="35">
        <v>6248</v>
      </c>
      <c r="I4" s="35">
        <v>7996</v>
      </c>
      <c r="J4" s="35">
        <v>10106</v>
      </c>
      <c r="K4" s="35">
        <v>12617</v>
      </c>
      <c r="L4" s="35">
        <v>15072</v>
      </c>
      <c r="M4" s="35">
        <v>15388</v>
      </c>
      <c r="N4" s="35">
        <v>18421</v>
      </c>
      <c r="O4" s="35">
        <v>79600</v>
      </c>
      <c r="P4" s="35"/>
      <c r="Q4" s="35"/>
      <c r="R4" s="35"/>
      <c r="S4" s="35"/>
    </row>
    <row r="5" spans="1:19" x14ac:dyDescent="0.25">
      <c r="A5" s="35" t="s">
        <v>1212</v>
      </c>
      <c r="B5" s="35">
        <v>13802</v>
      </c>
      <c r="C5" s="35" t="s">
        <v>1388</v>
      </c>
      <c r="D5" s="35">
        <v>0</v>
      </c>
      <c r="E5" s="35">
        <v>55</v>
      </c>
      <c r="F5" s="35">
        <v>55</v>
      </c>
      <c r="G5" s="35">
        <v>55</v>
      </c>
      <c r="H5" s="35">
        <v>55</v>
      </c>
      <c r="I5" s="35">
        <v>55</v>
      </c>
      <c r="J5" s="35">
        <v>55</v>
      </c>
      <c r="K5" s="35">
        <v>55</v>
      </c>
      <c r="L5" s="35">
        <v>55</v>
      </c>
      <c r="M5" s="35">
        <v>55</v>
      </c>
      <c r="N5" s="35">
        <v>220</v>
      </c>
      <c r="O5" s="35">
        <v>495</v>
      </c>
      <c r="P5" s="35"/>
      <c r="Q5" s="35"/>
      <c r="R5" s="35"/>
      <c r="S5" s="35"/>
    </row>
    <row r="6" spans="1:19" x14ac:dyDescent="0.25">
      <c r="A6" s="35" t="s">
        <v>1214</v>
      </c>
      <c r="B6" s="35">
        <v>22005</v>
      </c>
      <c r="C6" s="35" t="s">
        <v>1388</v>
      </c>
      <c r="D6" s="35">
        <v>0</v>
      </c>
      <c r="E6" s="35">
        <v>19</v>
      </c>
      <c r="F6" s="35">
        <v>26</v>
      </c>
      <c r="G6" s="35">
        <v>27</v>
      </c>
      <c r="H6" s="35">
        <v>17</v>
      </c>
      <c r="I6" s="35">
        <v>7</v>
      </c>
      <c r="J6" s="35">
        <v>3</v>
      </c>
      <c r="K6" s="35">
        <v>1</v>
      </c>
      <c r="L6" s="35">
        <v>0</v>
      </c>
      <c r="M6" s="35">
        <v>0</v>
      </c>
      <c r="N6" s="35">
        <v>89</v>
      </c>
      <c r="O6" s="35">
        <v>100</v>
      </c>
      <c r="P6" s="35"/>
      <c r="Q6" s="35"/>
      <c r="R6" s="35"/>
      <c r="S6" s="35"/>
    </row>
    <row r="7" spans="1:19" x14ac:dyDescent="0.25">
      <c r="A7" s="35" t="s">
        <v>1200</v>
      </c>
      <c r="B7" s="35">
        <v>23001</v>
      </c>
      <c r="C7" s="35" t="s">
        <v>1388</v>
      </c>
      <c r="D7" s="35">
        <v>0</v>
      </c>
      <c r="E7" s="35">
        <v>35</v>
      </c>
      <c r="F7" s="35">
        <v>125</v>
      </c>
      <c r="G7" s="35">
        <v>170</v>
      </c>
      <c r="H7" s="35">
        <v>375</v>
      </c>
      <c r="I7" s="35">
        <v>470</v>
      </c>
      <c r="J7" s="35">
        <v>415</v>
      </c>
      <c r="K7" s="35">
        <v>280</v>
      </c>
      <c r="L7" s="35">
        <v>217</v>
      </c>
      <c r="M7" s="35">
        <v>58</v>
      </c>
      <c r="N7" s="35">
        <v>705</v>
      </c>
      <c r="O7" s="35">
        <v>2145</v>
      </c>
      <c r="P7" s="35"/>
      <c r="Q7" s="35"/>
      <c r="R7" s="35"/>
      <c r="S7" s="35"/>
    </row>
    <row r="8" spans="1:19" x14ac:dyDescent="0.25">
      <c r="A8" s="35" t="s">
        <v>1216</v>
      </c>
      <c r="B8" s="35">
        <v>23005</v>
      </c>
      <c r="C8" s="35" t="s">
        <v>1388</v>
      </c>
      <c r="D8" s="35">
        <v>0</v>
      </c>
      <c r="E8" s="35">
        <v>15</v>
      </c>
      <c r="F8" s="35">
        <v>15</v>
      </c>
      <c r="G8" s="35">
        <v>15</v>
      </c>
      <c r="H8" s="35">
        <v>10</v>
      </c>
      <c r="I8" s="35">
        <v>10</v>
      </c>
      <c r="J8" s="35">
        <v>10</v>
      </c>
      <c r="K8" s="35">
        <v>10</v>
      </c>
      <c r="L8" s="35">
        <v>10</v>
      </c>
      <c r="M8" s="35">
        <v>5</v>
      </c>
      <c r="N8" s="35">
        <v>55</v>
      </c>
      <c r="O8" s="35">
        <v>100</v>
      </c>
      <c r="P8" s="35"/>
      <c r="Q8" s="35"/>
      <c r="R8" s="35"/>
      <c r="S8" s="35"/>
    </row>
    <row r="9" spans="1:19" x14ac:dyDescent="0.25">
      <c r="A9" s="35" t="s">
        <v>1269</v>
      </c>
      <c r="B9" s="35">
        <v>23003</v>
      </c>
      <c r="C9" s="35" t="s">
        <v>1256</v>
      </c>
      <c r="D9" s="35">
        <v>0</v>
      </c>
      <c r="E9" s="35">
        <v>65</v>
      </c>
      <c r="F9" s="35">
        <v>150</v>
      </c>
      <c r="G9" s="35">
        <v>290</v>
      </c>
      <c r="H9" s="35">
        <v>290</v>
      </c>
      <c r="I9" s="35">
        <v>290</v>
      </c>
      <c r="J9" s="35">
        <v>285</v>
      </c>
      <c r="K9" s="35">
        <v>250</v>
      </c>
      <c r="L9" s="35">
        <v>220</v>
      </c>
      <c r="M9" s="35">
        <v>160</v>
      </c>
      <c r="N9" s="35">
        <v>795</v>
      </c>
      <c r="O9" s="35">
        <v>2000</v>
      </c>
      <c r="P9" s="35"/>
      <c r="Q9" s="35"/>
      <c r="R9" s="35"/>
      <c r="S9" s="35"/>
    </row>
    <row r="10" spans="1:19" x14ac:dyDescent="0.25">
      <c r="A10" s="35" t="s">
        <v>1297</v>
      </c>
      <c r="B10" s="35">
        <v>11102</v>
      </c>
      <c r="C10" s="35" t="s">
        <v>210</v>
      </c>
      <c r="D10" s="35">
        <v>0</v>
      </c>
      <c r="E10" s="35">
        <v>110</v>
      </c>
      <c r="F10" s="35">
        <v>504</v>
      </c>
      <c r="G10" s="35">
        <v>878</v>
      </c>
      <c r="H10" s="35">
        <v>1193</v>
      </c>
      <c r="I10" s="35">
        <v>1596</v>
      </c>
      <c r="J10" s="35">
        <v>2081</v>
      </c>
      <c r="K10" s="35">
        <v>2587</v>
      </c>
      <c r="L10" s="35">
        <v>3117</v>
      </c>
      <c r="M10" s="35">
        <v>3648</v>
      </c>
      <c r="N10" s="35">
        <v>2685</v>
      </c>
      <c r="O10" s="35">
        <v>15714</v>
      </c>
      <c r="P10" s="35"/>
      <c r="Q10" s="35"/>
      <c r="R10" s="35"/>
      <c r="S10" s="35"/>
    </row>
    <row r="11" spans="1:19" x14ac:dyDescent="0.25">
      <c r="A11" s="35" t="s">
        <v>1299</v>
      </c>
      <c r="B11" s="35">
        <v>11405</v>
      </c>
      <c r="C11" s="35" t="s">
        <v>210</v>
      </c>
      <c r="D11" s="35">
        <v>0</v>
      </c>
      <c r="E11" s="35">
        <v>0</v>
      </c>
      <c r="F11" s="35">
        <v>235</v>
      </c>
      <c r="G11" s="35">
        <v>317</v>
      </c>
      <c r="H11" s="35">
        <v>304</v>
      </c>
      <c r="I11" s="35">
        <v>314</v>
      </c>
      <c r="J11" s="35">
        <v>324</v>
      </c>
      <c r="K11" s="35">
        <v>335</v>
      </c>
      <c r="L11" s="35">
        <v>346</v>
      </c>
      <c r="M11" s="35">
        <v>359</v>
      </c>
      <c r="N11" s="35">
        <v>856</v>
      </c>
      <c r="O11" s="35">
        <v>2534</v>
      </c>
      <c r="P11" s="35"/>
      <c r="Q11" s="35"/>
      <c r="R11" s="35"/>
      <c r="S11" s="35"/>
    </row>
    <row r="12" spans="1:19" x14ac:dyDescent="0.25">
      <c r="A12" s="35" t="s">
        <v>1301</v>
      </c>
      <c r="B12" s="35">
        <v>11001</v>
      </c>
      <c r="C12" s="35" t="s">
        <v>211</v>
      </c>
      <c r="D12" s="35">
        <v>0</v>
      </c>
      <c r="E12" s="35">
        <v>0</v>
      </c>
      <c r="F12" s="35">
        <v>0</v>
      </c>
      <c r="G12" s="35">
        <v>0</v>
      </c>
      <c r="H12" s="35">
        <v>-3728</v>
      </c>
      <c r="I12" s="35">
        <v>-8317</v>
      </c>
      <c r="J12" s="35">
        <v>-17535</v>
      </c>
      <c r="K12" s="35">
        <v>-21009</v>
      </c>
      <c r="L12" s="35">
        <v>-23416</v>
      </c>
      <c r="M12" s="35">
        <v>-24516</v>
      </c>
      <c r="N12" s="35">
        <v>-3728</v>
      </c>
      <c r="O12" s="35">
        <v>-98521</v>
      </c>
      <c r="P12" s="35"/>
      <c r="Q12" s="35"/>
      <c r="R12" s="35"/>
      <c r="S12" s="35"/>
    </row>
    <row r="13" spans="1:19" x14ac:dyDescent="0.25">
      <c r="A13" s="35">
        <v>0</v>
      </c>
      <c r="B13" s="35">
        <v>11004</v>
      </c>
      <c r="C13" s="35" t="s">
        <v>211</v>
      </c>
      <c r="D13" s="35">
        <v>0</v>
      </c>
      <c r="E13" s="35">
        <v>333</v>
      </c>
      <c r="F13" s="35">
        <v>314</v>
      </c>
      <c r="G13" s="35">
        <v>314</v>
      </c>
      <c r="H13" s="35">
        <v>314</v>
      </c>
      <c r="I13" s="35">
        <v>314</v>
      </c>
      <c r="J13" s="35">
        <v>314</v>
      </c>
      <c r="K13" s="35">
        <v>314</v>
      </c>
      <c r="L13" s="35">
        <v>314</v>
      </c>
      <c r="M13" s="35">
        <v>314</v>
      </c>
      <c r="N13" s="35">
        <v>1275</v>
      </c>
      <c r="O13" s="35">
        <v>2845</v>
      </c>
      <c r="P13" s="35"/>
      <c r="Q13" s="35"/>
      <c r="R13" s="35"/>
      <c r="S13" s="35"/>
    </row>
    <row r="14" spans="1:19" x14ac:dyDescent="0.25">
      <c r="A14" s="35" t="s">
        <v>1297</v>
      </c>
      <c r="B14" s="35">
        <v>11102</v>
      </c>
      <c r="C14" s="35" t="s">
        <v>211</v>
      </c>
      <c r="D14" s="35">
        <v>0</v>
      </c>
      <c r="E14" s="35">
        <v>-719</v>
      </c>
      <c r="F14" s="35">
        <v>-1051</v>
      </c>
      <c r="G14" s="35">
        <v>-18680</v>
      </c>
      <c r="H14" s="35">
        <v>-7174</v>
      </c>
      <c r="I14" s="35">
        <v>-7523</v>
      </c>
      <c r="J14" s="35">
        <v>-7820</v>
      </c>
      <c r="K14" s="35">
        <v>-8529</v>
      </c>
      <c r="L14" s="35">
        <v>-9564</v>
      </c>
      <c r="M14" s="35">
        <v>-10720</v>
      </c>
      <c r="N14" s="35">
        <v>-27624</v>
      </c>
      <c r="O14" s="35">
        <v>-71780</v>
      </c>
      <c r="P14" s="35"/>
      <c r="Q14" s="35"/>
      <c r="R14" s="35"/>
      <c r="S14" s="35"/>
    </row>
    <row r="15" spans="1:19" x14ac:dyDescent="0.25">
      <c r="A15" s="35">
        <v>0</v>
      </c>
      <c r="B15" s="35">
        <v>11102</v>
      </c>
      <c r="C15" s="35" t="s">
        <v>211</v>
      </c>
      <c r="D15" s="35">
        <v>0</v>
      </c>
      <c r="E15" s="35">
        <v>-23</v>
      </c>
      <c r="F15" s="35">
        <v>-60</v>
      </c>
      <c r="G15" s="35">
        <v>-61</v>
      </c>
      <c r="H15" s="35">
        <v>-43</v>
      </c>
      <c r="I15" s="35">
        <v>-30</v>
      </c>
      <c r="J15" s="35">
        <v>-34</v>
      </c>
      <c r="K15" s="35">
        <v>-26</v>
      </c>
      <c r="L15" s="35">
        <v>-3</v>
      </c>
      <c r="M15" s="35">
        <v>7</v>
      </c>
      <c r="N15" s="35">
        <v>-187</v>
      </c>
      <c r="O15" s="35">
        <v>-273</v>
      </c>
      <c r="P15" s="35"/>
      <c r="Q15" s="35"/>
      <c r="R15" s="35"/>
      <c r="S15" s="35"/>
    </row>
    <row r="16" spans="1:19" x14ac:dyDescent="0.25">
      <c r="A16" s="35" t="s">
        <v>1304</v>
      </c>
      <c r="B16" s="35">
        <v>11201</v>
      </c>
      <c r="C16" s="35" t="s">
        <v>211</v>
      </c>
      <c r="D16" s="35">
        <v>0</v>
      </c>
      <c r="E16" s="35">
        <v>48</v>
      </c>
      <c r="F16" s="35">
        <v>2541</v>
      </c>
      <c r="G16" s="35">
        <v>4311</v>
      </c>
      <c r="H16" s="35">
        <v>3827</v>
      </c>
      <c r="I16" s="35">
        <v>4927</v>
      </c>
      <c r="J16" s="35">
        <v>5162</v>
      </c>
      <c r="K16" s="35">
        <v>4780</v>
      </c>
      <c r="L16" s="35">
        <v>2375</v>
      </c>
      <c r="M16" s="35">
        <v>1866</v>
      </c>
      <c r="N16" s="35">
        <v>10727</v>
      </c>
      <c r="O16" s="35">
        <v>29837</v>
      </c>
      <c r="P16" s="35"/>
      <c r="Q16" s="35"/>
      <c r="R16" s="35"/>
      <c r="S16" s="35"/>
    </row>
    <row r="17" spans="1:19" x14ac:dyDescent="0.25">
      <c r="A17" s="35" t="s">
        <v>1389</v>
      </c>
      <c r="B17" s="35">
        <v>11202</v>
      </c>
      <c r="C17" s="35" t="s">
        <v>211</v>
      </c>
      <c r="D17" s="35">
        <v>0</v>
      </c>
      <c r="E17" s="35">
        <v>5</v>
      </c>
      <c r="F17" s="35">
        <v>3</v>
      </c>
      <c r="G17" s="35">
        <v>17</v>
      </c>
      <c r="H17" s="35">
        <v>15</v>
      </c>
      <c r="I17" s="35">
        <v>15</v>
      </c>
      <c r="J17" s="35">
        <v>20</v>
      </c>
      <c r="K17" s="35">
        <v>15</v>
      </c>
      <c r="L17" s="35">
        <v>15</v>
      </c>
      <c r="M17" s="35">
        <v>20</v>
      </c>
      <c r="N17" s="35">
        <v>40</v>
      </c>
      <c r="O17" s="35">
        <v>125</v>
      </c>
      <c r="P17" s="35"/>
      <c r="Q17" s="35"/>
      <c r="R17" s="35"/>
      <c r="S17" s="35"/>
    </row>
    <row r="18" spans="1:19" x14ac:dyDescent="0.25">
      <c r="A18" s="35" t="s">
        <v>1306</v>
      </c>
      <c r="B18" s="35">
        <v>11301</v>
      </c>
      <c r="C18" s="35" t="s">
        <v>211</v>
      </c>
      <c r="D18" s="35">
        <v>0</v>
      </c>
      <c r="E18" s="35">
        <v>0</v>
      </c>
      <c r="F18" s="35">
        <v>0</v>
      </c>
      <c r="G18" s="35">
        <v>0</v>
      </c>
      <c r="H18" s="35">
        <v>0</v>
      </c>
      <c r="I18" s="35">
        <v>-16290</v>
      </c>
      <c r="J18" s="35">
        <v>-25656</v>
      </c>
      <c r="K18" s="35">
        <v>-23394</v>
      </c>
      <c r="L18" s="35">
        <v>-27561</v>
      </c>
      <c r="M18" s="35">
        <v>-29250</v>
      </c>
      <c r="N18" s="35">
        <v>0</v>
      </c>
      <c r="O18" s="35">
        <v>-122151</v>
      </c>
      <c r="P18" s="35"/>
      <c r="Q18" s="35"/>
      <c r="R18" s="35"/>
      <c r="S18" s="35"/>
    </row>
    <row r="19" spans="1:19" x14ac:dyDescent="0.25">
      <c r="A19" s="35" t="s">
        <v>1308</v>
      </c>
      <c r="B19" s="35">
        <v>11401</v>
      </c>
      <c r="C19" s="35" t="s">
        <v>211</v>
      </c>
      <c r="D19" s="35">
        <v>0</v>
      </c>
      <c r="E19" s="35">
        <v>-69</v>
      </c>
      <c r="F19" s="35">
        <v>301</v>
      </c>
      <c r="G19" s="35">
        <v>863</v>
      </c>
      <c r="H19" s="35">
        <v>579</v>
      </c>
      <c r="I19" s="35">
        <v>466</v>
      </c>
      <c r="J19" s="35">
        <v>551</v>
      </c>
      <c r="K19" s="35">
        <v>503</v>
      </c>
      <c r="L19" s="35">
        <v>593</v>
      </c>
      <c r="M19" s="35">
        <v>632</v>
      </c>
      <c r="N19" s="35">
        <v>1674</v>
      </c>
      <c r="O19" s="35">
        <v>4419</v>
      </c>
      <c r="P19" s="35"/>
      <c r="Q19" s="35"/>
      <c r="R19" s="35"/>
      <c r="S19" s="35"/>
    </row>
    <row r="20" spans="1:19" x14ac:dyDescent="0.25">
      <c r="A20" s="35">
        <v>0</v>
      </c>
      <c r="B20" s="35">
        <v>11402</v>
      </c>
      <c r="C20" s="35" t="s">
        <v>211</v>
      </c>
      <c r="D20" s="35">
        <v>0</v>
      </c>
      <c r="E20" s="35">
        <v>-1</v>
      </c>
      <c r="F20" s="35">
        <v>-1</v>
      </c>
      <c r="G20" s="35">
        <v>-1</v>
      </c>
      <c r="H20" s="35">
        <v>-2</v>
      </c>
      <c r="I20" s="35">
        <v>-2</v>
      </c>
      <c r="J20" s="35">
        <v>-2</v>
      </c>
      <c r="K20" s="35">
        <v>-2</v>
      </c>
      <c r="L20" s="35">
        <v>-2</v>
      </c>
      <c r="M20" s="35">
        <v>-2</v>
      </c>
      <c r="N20" s="35">
        <v>-5</v>
      </c>
      <c r="O20" s="35">
        <v>-15</v>
      </c>
      <c r="P20" s="35"/>
      <c r="Q20" s="35"/>
      <c r="R20" s="35"/>
      <c r="S20" s="35"/>
    </row>
    <row r="21" spans="1:19" x14ac:dyDescent="0.25">
      <c r="A21" s="35">
        <v>0</v>
      </c>
      <c r="B21" s="35">
        <v>11403</v>
      </c>
      <c r="C21" s="35" t="s">
        <v>211</v>
      </c>
      <c r="D21" s="35">
        <v>0</v>
      </c>
      <c r="E21" s="35">
        <v>0</v>
      </c>
      <c r="F21" s="35">
        <v>0</v>
      </c>
      <c r="G21" s="35">
        <v>0</v>
      </c>
      <c r="H21" s="35">
        <v>0</v>
      </c>
      <c r="I21" s="35">
        <v>0</v>
      </c>
      <c r="J21" s="35">
        <v>0</v>
      </c>
      <c r="K21" s="35">
        <v>0</v>
      </c>
      <c r="L21" s="35">
        <v>0</v>
      </c>
      <c r="M21" s="35">
        <v>0</v>
      </c>
      <c r="N21" s="35">
        <v>0</v>
      </c>
      <c r="O21" s="35">
        <v>0</v>
      </c>
      <c r="P21" s="35"/>
      <c r="Q21" s="35"/>
      <c r="R21" s="35"/>
      <c r="S21" s="35"/>
    </row>
    <row r="22" spans="1:19" x14ac:dyDescent="0.25">
      <c r="A22" s="35">
        <v>0</v>
      </c>
      <c r="B22" s="35">
        <v>11406</v>
      </c>
      <c r="C22" s="35" t="s">
        <v>211</v>
      </c>
      <c r="D22" s="35">
        <v>0</v>
      </c>
      <c r="E22" s="35">
        <v>1</v>
      </c>
      <c r="F22" s="35">
        <v>501</v>
      </c>
      <c r="G22" s="35">
        <v>506</v>
      </c>
      <c r="H22" s="35">
        <v>561</v>
      </c>
      <c r="I22" s="35">
        <v>628</v>
      </c>
      <c r="J22" s="35">
        <v>681</v>
      </c>
      <c r="K22" s="35">
        <v>608</v>
      </c>
      <c r="L22" s="35">
        <v>659</v>
      </c>
      <c r="M22" s="35">
        <v>684</v>
      </c>
      <c r="N22" s="35">
        <v>1569</v>
      </c>
      <c r="O22" s="35">
        <v>4829</v>
      </c>
      <c r="P22" s="35"/>
      <c r="Q22" s="35"/>
      <c r="R22" s="35"/>
      <c r="S22" s="35"/>
    </row>
    <row r="23" spans="1:19" x14ac:dyDescent="0.25">
      <c r="A23" s="35">
        <v>0</v>
      </c>
      <c r="B23" s="35">
        <v>11407</v>
      </c>
      <c r="C23" s="35" t="s">
        <v>211</v>
      </c>
      <c r="D23" s="35">
        <v>0</v>
      </c>
      <c r="E23" s="35">
        <v>10</v>
      </c>
      <c r="F23" s="35">
        <v>25</v>
      </c>
      <c r="G23" s="35">
        <v>28</v>
      </c>
      <c r="H23" s="35">
        <v>29</v>
      </c>
      <c r="I23" s="35">
        <v>31</v>
      </c>
      <c r="J23" s="35">
        <v>33</v>
      </c>
      <c r="K23" s="35">
        <v>33</v>
      </c>
      <c r="L23" s="35">
        <v>35</v>
      </c>
      <c r="M23" s="35">
        <v>37</v>
      </c>
      <c r="N23" s="35">
        <v>92</v>
      </c>
      <c r="O23" s="35">
        <v>261</v>
      </c>
      <c r="P23" s="35"/>
      <c r="Q23" s="35"/>
      <c r="R23" s="35"/>
      <c r="S23" s="35"/>
    </row>
    <row r="24" spans="1:19" x14ac:dyDescent="0.25">
      <c r="A24" s="35">
        <v>0</v>
      </c>
      <c r="B24" s="35">
        <v>11408</v>
      </c>
      <c r="C24" s="35" t="s">
        <v>211</v>
      </c>
      <c r="D24" s="35">
        <v>0</v>
      </c>
      <c r="E24" s="35">
        <v>0</v>
      </c>
      <c r="F24" s="35">
        <v>0</v>
      </c>
      <c r="G24" s="35">
        <v>0</v>
      </c>
      <c r="H24" s="35">
        <v>0</v>
      </c>
      <c r="I24" s="35">
        <v>0</v>
      </c>
      <c r="J24" s="35">
        <v>0</v>
      </c>
      <c r="K24" s="35">
        <v>0</v>
      </c>
      <c r="L24" s="35">
        <v>0</v>
      </c>
      <c r="M24" s="35">
        <v>0</v>
      </c>
      <c r="N24" s="35">
        <v>0</v>
      </c>
      <c r="O24" s="35">
        <v>0</v>
      </c>
      <c r="P24" s="35"/>
      <c r="Q24" s="35"/>
      <c r="R24" s="35"/>
      <c r="S24" s="35"/>
    </row>
    <row r="25" spans="1:19" x14ac:dyDescent="0.25">
      <c r="A25" s="35" t="s">
        <v>1310</v>
      </c>
      <c r="B25" s="35">
        <v>11404</v>
      </c>
      <c r="C25" s="35" t="s">
        <v>211</v>
      </c>
      <c r="D25" s="35">
        <v>0</v>
      </c>
      <c r="E25" s="35">
        <v>0</v>
      </c>
      <c r="F25" s="35">
        <v>195</v>
      </c>
      <c r="G25" s="35">
        <v>230</v>
      </c>
      <c r="H25" s="35">
        <v>248</v>
      </c>
      <c r="I25" s="35">
        <v>266</v>
      </c>
      <c r="J25" s="35">
        <v>311</v>
      </c>
      <c r="K25" s="35">
        <v>281</v>
      </c>
      <c r="L25" s="35">
        <v>327</v>
      </c>
      <c r="M25" s="35">
        <v>347</v>
      </c>
      <c r="N25" s="35">
        <v>673</v>
      </c>
      <c r="O25" s="35">
        <v>2205</v>
      </c>
      <c r="P25" s="35"/>
      <c r="Q25" s="35"/>
      <c r="R25" s="35"/>
      <c r="S25" s="35"/>
    </row>
    <row r="26" spans="1:19" x14ac:dyDescent="0.25">
      <c r="A26" s="35" t="s">
        <v>1322</v>
      </c>
      <c r="B26" s="35">
        <v>12001</v>
      </c>
      <c r="C26" s="35" t="s">
        <v>1390</v>
      </c>
      <c r="D26" s="35">
        <v>0</v>
      </c>
      <c r="E26" s="35">
        <v>20892</v>
      </c>
      <c r="F26" s="35">
        <v>11288</v>
      </c>
      <c r="G26" s="35">
        <v>9651</v>
      </c>
      <c r="H26" s="35">
        <v>-8548</v>
      </c>
      <c r="I26" s="35">
        <v>-463</v>
      </c>
      <c r="J26" s="35">
        <v>0</v>
      </c>
      <c r="K26" s="35">
        <v>0</v>
      </c>
      <c r="L26" s="35">
        <v>0</v>
      </c>
      <c r="M26" s="35">
        <v>0</v>
      </c>
      <c r="N26" s="35">
        <v>33283</v>
      </c>
      <c r="O26" s="35">
        <v>32820</v>
      </c>
      <c r="P26" s="35"/>
      <c r="Q26" s="35"/>
      <c r="R26" s="35"/>
      <c r="S26" s="35"/>
    </row>
    <row r="27" spans="1:19" x14ac:dyDescent="0.25">
      <c r="A27" s="35" t="s">
        <v>1324</v>
      </c>
      <c r="B27" s="35">
        <v>22003</v>
      </c>
      <c r="C27" s="35" t="s">
        <v>1390</v>
      </c>
      <c r="D27" s="35">
        <v>0</v>
      </c>
      <c r="E27" s="35">
        <v>24</v>
      </c>
      <c r="F27" s="35">
        <v>65</v>
      </c>
      <c r="G27" s="35">
        <v>112</v>
      </c>
      <c r="H27" s="35">
        <v>130</v>
      </c>
      <c r="I27" s="35">
        <v>98</v>
      </c>
      <c r="J27" s="35">
        <v>56</v>
      </c>
      <c r="K27" s="35">
        <v>15</v>
      </c>
      <c r="L27" s="35">
        <v>0</v>
      </c>
      <c r="M27" s="35">
        <v>0</v>
      </c>
      <c r="N27" s="35">
        <v>331</v>
      </c>
      <c r="O27" s="35">
        <v>500</v>
      </c>
      <c r="P27" s="35"/>
      <c r="Q27" s="35"/>
      <c r="R27" s="35"/>
      <c r="S27" s="35"/>
    </row>
    <row r="28" spans="1:19" x14ac:dyDescent="0.25">
      <c r="A28" s="35" t="s">
        <v>1326</v>
      </c>
      <c r="B28" s="35">
        <v>22004</v>
      </c>
      <c r="C28" s="35" t="s">
        <v>1390</v>
      </c>
      <c r="D28" s="35">
        <v>0</v>
      </c>
      <c r="E28" s="35">
        <v>50</v>
      </c>
      <c r="F28" s="35">
        <v>500</v>
      </c>
      <c r="G28" s="35">
        <v>920</v>
      </c>
      <c r="H28" s="35">
        <v>1310</v>
      </c>
      <c r="I28" s="35">
        <v>1680</v>
      </c>
      <c r="J28" s="35">
        <v>1780</v>
      </c>
      <c r="K28" s="35">
        <v>1640</v>
      </c>
      <c r="L28" s="35">
        <v>1090</v>
      </c>
      <c r="M28" s="35">
        <v>630</v>
      </c>
      <c r="N28" s="35">
        <v>2780</v>
      </c>
      <c r="O28" s="35">
        <v>9600</v>
      </c>
      <c r="P28" s="35"/>
      <c r="Q28" s="35"/>
      <c r="R28" s="35"/>
      <c r="S28" s="35"/>
    </row>
    <row r="29" spans="1:19" ht="45" customHeight="1" x14ac:dyDescent="0.25">
      <c r="A29" s="14" t="s">
        <v>1391</v>
      </c>
      <c r="B29" s="35">
        <v>22007</v>
      </c>
      <c r="C29" s="35" t="s">
        <v>1390</v>
      </c>
      <c r="D29" s="35">
        <v>-622</v>
      </c>
      <c r="E29" s="35">
        <v>80</v>
      </c>
      <c r="F29" s="35">
        <v>248</v>
      </c>
      <c r="G29" s="35">
        <v>266</v>
      </c>
      <c r="H29" s="35">
        <v>363</v>
      </c>
      <c r="I29" s="35">
        <v>464</v>
      </c>
      <c r="J29" s="35">
        <v>451</v>
      </c>
      <c r="K29" s="35">
        <v>336</v>
      </c>
      <c r="L29" s="35">
        <v>226</v>
      </c>
      <c r="M29" s="35">
        <v>117</v>
      </c>
      <c r="N29" s="35">
        <v>335</v>
      </c>
      <c r="O29" s="35">
        <v>1929</v>
      </c>
      <c r="P29" s="35"/>
      <c r="Q29" s="35"/>
      <c r="R29" s="35"/>
      <c r="S29" s="35"/>
    </row>
    <row r="30" spans="1:19" x14ac:dyDescent="0.25">
      <c r="A30" s="35" t="s">
        <v>1328</v>
      </c>
      <c r="B30" s="35">
        <v>23002</v>
      </c>
      <c r="C30" s="35" t="s">
        <v>1390</v>
      </c>
      <c r="D30" s="35">
        <v>0</v>
      </c>
      <c r="E30" s="35">
        <v>30</v>
      </c>
      <c r="F30" s="35">
        <v>90</v>
      </c>
      <c r="G30" s="35">
        <v>90</v>
      </c>
      <c r="H30" s="35">
        <v>85</v>
      </c>
      <c r="I30" s="35">
        <v>70</v>
      </c>
      <c r="J30" s="35">
        <v>65</v>
      </c>
      <c r="K30" s="35">
        <v>65</v>
      </c>
      <c r="L30" s="35">
        <v>35</v>
      </c>
      <c r="M30" s="35">
        <v>15</v>
      </c>
      <c r="N30" s="35">
        <v>295</v>
      </c>
      <c r="O30" s="35">
        <v>545</v>
      </c>
      <c r="P30" s="35"/>
      <c r="Q30" s="35"/>
      <c r="R30" s="35"/>
      <c r="S30" s="35"/>
    </row>
    <row r="31" spans="1:19" x14ac:dyDescent="0.25">
      <c r="A31" s="35" t="s">
        <v>1319</v>
      </c>
      <c r="B31" s="35">
        <v>30002</v>
      </c>
      <c r="C31" s="35" t="s">
        <v>1390</v>
      </c>
      <c r="D31" s="35">
        <v>0</v>
      </c>
      <c r="E31" s="35">
        <v>20</v>
      </c>
      <c r="F31" s="35">
        <v>65</v>
      </c>
      <c r="G31" s="35">
        <v>110</v>
      </c>
      <c r="H31" s="35">
        <v>135</v>
      </c>
      <c r="I31" s="35">
        <v>180</v>
      </c>
      <c r="J31" s="35">
        <v>230</v>
      </c>
      <c r="K31" s="35">
        <v>180</v>
      </c>
      <c r="L31" s="35">
        <v>60</v>
      </c>
      <c r="M31" s="35">
        <v>10</v>
      </c>
      <c r="N31" s="35">
        <v>330</v>
      </c>
      <c r="O31" s="35">
        <v>990</v>
      </c>
      <c r="P31" s="35"/>
      <c r="Q31" s="35"/>
      <c r="R31" s="35"/>
      <c r="S31" s="35"/>
    </row>
    <row r="32" spans="1:19" x14ac:dyDescent="0.25">
      <c r="A32" s="35" t="s">
        <v>1392</v>
      </c>
      <c r="B32" s="35">
        <v>13104</v>
      </c>
      <c r="C32" s="35" t="s">
        <v>1393</v>
      </c>
      <c r="D32" s="35">
        <v>0</v>
      </c>
      <c r="E32" s="35">
        <v>20</v>
      </c>
      <c r="F32" s="35">
        <v>145</v>
      </c>
      <c r="G32" s="35">
        <v>225</v>
      </c>
      <c r="H32" s="35">
        <v>238</v>
      </c>
      <c r="I32" s="35">
        <v>222</v>
      </c>
      <c r="J32" s="35">
        <v>206</v>
      </c>
      <c r="K32" s="35">
        <v>186</v>
      </c>
      <c r="L32" s="35">
        <v>165</v>
      </c>
      <c r="M32" s="35">
        <v>142</v>
      </c>
      <c r="N32" s="35">
        <v>628</v>
      </c>
      <c r="O32" s="35">
        <v>1550</v>
      </c>
      <c r="P32" s="35"/>
      <c r="Q32" s="35"/>
      <c r="R32" s="35"/>
      <c r="S32" s="35"/>
    </row>
    <row r="33" spans="1:19" x14ac:dyDescent="0.25">
      <c r="A33" s="35" t="s">
        <v>1394</v>
      </c>
      <c r="B33" s="35">
        <v>13105</v>
      </c>
      <c r="C33" s="35" t="s">
        <v>1393</v>
      </c>
      <c r="D33" s="35">
        <v>0</v>
      </c>
      <c r="E33" s="35">
        <v>0</v>
      </c>
      <c r="F33" s="35">
        <v>1050</v>
      </c>
      <c r="G33" s="35">
        <v>1692</v>
      </c>
      <c r="H33" s="35">
        <v>1781</v>
      </c>
      <c r="I33" s="35">
        <v>1842</v>
      </c>
      <c r="J33" s="35">
        <v>1901</v>
      </c>
      <c r="K33" s="35">
        <v>1944</v>
      </c>
      <c r="L33" s="35">
        <v>2054</v>
      </c>
      <c r="M33" s="35">
        <v>2137</v>
      </c>
      <c r="N33" s="35">
        <v>4522</v>
      </c>
      <c r="O33" s="35">
        <v>14401</v>
      </c>
      <c r="P33" s="35"/>
      <c r="Q33" s="35"/>
      <c r="R33" s="35"/>
      <c r="S33" s="35"/>
    </row>
    <row r="34" spans="1:19" x14ac:dyDescent="0.25">
      <c r="A34" s="35" t="s">
        <v>1356</v>
      </c>
      <c r="B34" s="35">
        <v>13204</v>
      </c>
      <c r="C34" s="35" t="s">
        <v>1393</v>
      </c>
      <c r="D34" s="35">
        <v>0</v>
      </c>
      <c r="E34" s="35">
        <v>59</v>
      </c>
      <c r="F34" s="35">
        <v>149</v>
      </c>
      <c r="G34" s="35">
        <v>244</v>
      </c>
      <c r="H34" s="35">
        <v>364</v>
      </c>
      <c r="I34" s="35">
        <v>498</v>
      </c>
      <c r="J34" s="35">
        <v>657</v>
      </c>
      <c r="K34" s="35">
        <v>851</v>
      </c>
      <c r="L34" s="35">
        <v>1086</v>
      </c>
      <c r="M34" s="35">
        <v>1410</v>
      </c>
      <c r="N34" s="35">
        <v>815</v>
      </c>
      <c r="O34" s="35">
        <v>5317</v>
      </c>
      <c r="P34" s="35"/>
      <c r="Q34" s="35"/>
      <c r="R34" s="35"/>
      <c r="S34" s="35"/>
    </row>
    <row r="35" spans="1:19" x14ac:dyDescent="0.25">
      <c r="A35" s="35" t="s">
        <v>1395</v>
      </c>
      <c r="B35" s="35">
        <v>13502</v>
      </c>
      <c r="C35" s="35" t="s">
        <v>1393</v>
      </c>
      <c r="D35" s="35">
        <v>0</v>
      </c>
      <c r="E35" s="35">
        <v>842</v>
      </c>
      <c r="F35" s="35">
        <v>1201</v>
      </c>
      <c r="G35" s="35">
        <v>1291</v>
      </c>
      <c r="H35" s="35">
        <v>1519</v>
      </c>
      <c r="I35" s="35">
        <v>1710</v>
      </c>
      <c r="J35" s="35">
        <v>1890</v>
      </c>
      <c r="K35" s="35">
        <v>2176</v>
      </c>
      <c r="L35" s="35">
        <v>2189</v>
      </c>
      <c r="M35" s="35">
        <v>1882</v>
      </c>
      <c r="N35" s="35">
        <v>4853</v>
      </c>
      <c r="O35" s="35">
        <v>14699</v>
      </c>
      <c r="P35" s="35"/>
      <c r="Q35" s="35"/>
      <c r="R35" s="35"/>
      <c r="S35" s="35"/>
    </row>
    <row r="36" spans="1:19" x14ac:dyDescent="0.25">
      <c r="A36" s="35" t="s">
        <v>1396</v>
      </c>
      <c r="B36" s="35">
        <v>13701</v>
      </c>
      <c r="C36" s="35" t="s">
        <v>1393</v>
      </c>
      <c r="D36" s="35">
        <v>0</v>
      </c>
      <c r="E36" s="35">
        <v>1</v>
      </c>
      <c r="F36" s="35">
        <v>1</v>
      </c>
      <c r="G36" s="35">
        <v>2</v>
      </c>
      <c r="H36" s="35">
        <v>2</v>
      </c>
      <c r="I36" s="35">
        <v>3</v>
      </c>
      <c r="J36" s="35">
        <v>3</v>
      </c>
      <c r="K36" s="35">
        <v>4</v>
      </c>
      <c r="L36" s="35">
        <v>5</v>
      </c>
      <c r="M36" s="35">
        <v>6</v>
      </c>
      <c r="N36" s="35">
        <v>6</v>
      </c>
      <c r="O36" s="35">
        <v>26</v>
      </c>
      <c r="P36" s="35"/>
      <c r="Q36" s="35"/>
      <c r="R36" s="35"/>
      <c r="S36" s="35"/>
    </row>
    <row r="37" spans="1:19" x14ac:dyDescent="0.25">
      <c r="A37" s="35" t="s">
        <v>1338</v>
      </c>
      <c r="B37" s="35">
        <v>21001</v>
      </c>
      <c r="C37" s="35" t="s">
        <v>1393</v>
      </c>
      <c r="D37" s="35">
        <v>0</v>
      </c>
      <c r="E37" s="35">
        <v>178</v>
      </c>
      <c r="F37" s="35">
        <v>716</v>
      </c>
      <c r="G37" s="35">
        <v>1268</v>
      </c>
      <c r="H37" s="35">
        <v>2150</v>
      </c>
      <c r="I37" s="35">
        <v>3000</v>
      </c>
      <c r="J37" s="35">
        <v>2906</v>
      </c>
      <c r="K37" s="35">
        <v>2533</v>
      </c>
      <c r="L37" s="35">
        <v>1750</v>
      </c>
      <c r="M37" s="35">
        <v>807</v>
      </c>
      <c r="N37" s="35">
        <v>4312</v>
      </c>
      <c r="O37" s="35">
        <v>15308</v>
      </c>
      <c r="P37" s="35"/>
      <c r="Q37" s="35"/>
      <c r="R37" s="35"/>
      <c r="S37" s="35"/>
    </row>
    <row r="38" spans="1:19" x14ac:dyDescent="0.25">
      <c r="A38" s="35">
        <v>0</v>
      </c>
      <c r="B38" s="35">
        <v>21002</v>
      </c>
      <c r="C38" s="35" t="s">
        <v>1393</v>
      </c>
      <c r="D38" s="35">
        <v>0</v>
      </c>
      <c r="E38" s="35">
        <v>86</v>
      </c>
      <c r="F38" s="35">
        <v>95</v>
      </c>
      <c r="G38" s="35">
        <v>125</v>
      </c>
      <c r="H38" s="35">
        <v>225</v>
      </c>
      <c r="I38" s="35">
        <v>225</v>
      </c>
      <c r="J38" s="35">
        <v>245</v>
      </c>
      <c r="K38" s="35">
        <v>240</v>
      </c>
      <c r="L38" s="35">
        <v>109</v>
      </c>
      <c r="M38" s="35">
        <v>50</v>
      </c>
      <c r="N38" s="35">
        <v>531</v>
      </c>
      <c r="O38" s="35">
        <v>1400</v>
      </c>
      <c r="P38" s="35"/>
      <c r="Q38" s="35"/>
      <c r="R38" s="35"/>
      <c r="S38" s="35"/>
    </row>
    <row r="39" spans="1:19" x14ac:dyDescent="0.25">
      <c r="A39" s="35" t="s">
        <v>1350</v>
      </c>
      <c r="B39" s="35">
        <v>22002</v>
      </c>
      <c r="C39" s="35" t="s">
        <v>1393</v>
      </c>
      <c r="D39" s="35">
        <v>0</v>
      </c>
      <c r="E39" s="35">
        <v>5</v>
      </c>
      <c r="F39" s="35">
        <v>41</v>
      </c>
      <c r="G39" s="35">
        <v>116</v>
      </c>
      <c r="H39" s="35">
        <v>284</v>
      </c>
      <c r="I39" s="35">
        <v>417</v>
      </c>
      <c r="J39" s="35">
        <v>459</v>
      </c>
      <c r="K39" s="35">
        <v>355</v>
      </c>
      <c r="L39" s="35">
        <v>210</v>
      </c>
      <c r="M39" s="35">
        <v>90</v>
      </c>
      <c r="N39" s="35">
        <v>446</v>
      </c>
      <c r="O39" s="35">
        <v>1977</v>
      </c>
      <c r="P39" s="35"/>
      <c r="Q39" s="35"/>
      <c r="R39" s="35"/>
      <c r="S39" s="35"/>
    </row>
    <row r="40" spans="1:19" x14ac:dyDescent="0.25">
      <c r="A40" s="35" t="s">
        <v>1366</v>
      </c>
      <c r="B40" s="35">
        <v>30001</v>
      </c>
      <c r="C40" s="35" t="s">
        <v>1393</v>
      </c>
      <c r="D40" s="35">
        <v>0</v>
      </c>
      <c r="E40" s="35">
        <v>25</v>
      </c>
      <c r="F40" s="35">
        <v>100</v>
      </c>
      <c r="G40" s="35">
        <v>125</v>
      </c>
      <c r="H40" s="35">
        <v>100</v>
      </c>
      <c r="I40" s="35">
        <v>75</v>
      </c>
      <c r="J40" s="35">
        <v>30</v>
      </c>
      <c r="K40" s="35">
        <v>20</v>
      </c>
      <c r="L40" s="35">
        <v>0</v>
      </c>
      <c r="M40" s="35">
        <v>0</v>
      </c>
      <c r="N40" s="35">
        <v>350</v>
      </c>
      <c r="O40" s="35">
        <v>475</v>
      </c>
      <c r="P40" s="35"/>
      <c r="Q40" s="35"/>
      <c r="R40" s="35"/>
      <c r="S40" s="35"/>
    </row>
    <row r="42" spans="1:19" x14ac:dyDescent="0.25">
      <c r="C42" s="1439" t="s">
        <v>1397</v>
      </c>
      <c r="D42" s="1439"/>
      <c r="E42" s="1439"/>
      <c r="F42" s="1439"/>
      <c r="G42" s="1439"/>
      <c r="H42" s="1439"/>
      <c r="I42" s="1439"/>
      <c r="J42" s="1439"/>
      <c r="K42" s="1439"/>
      <c r="L42" s="1439"/>
      <c r="M42" s="1439"/>
      <c r="N42" s="1439"/>
      <c r="O42" s="1439"/>
      <c r="P42" s="1072"/>
      <c r="Q42" s="1072"/>
      <c r="R42" s="1072"/>
      <c r="S42" s="1072"/>
    </row>
    <row r="43" spans="1:19" x14ac:dyDescent="0.25">
      <c r="A43" s="35" t="s">
        <v>1398</v>
      </c>
      <c r="B43" s="35">
        <v>10101</v>
      </c>
      <c r="C43" s="35" t="s">
        <v>1399</v>
      </c>
      <c r="D43" s="35">
        <v>0</v>
      </c>
      <c r="E43" s="35">
        <v>34679</v>
      </c>
      <c r="F43" s="35">
        <v>34258</v>
      </c>
      <c r="G43" s="35">
        <v>22039</v>
      </c>
      <c r="H43" s="35">
        <v>17702</v>
      </c>
      <c r="I43" s="35">
        <v>18699</v>
      </c>
      <c r="J43" s="35">
        <v>20798</v>
      </c>
      <c r="K43" s="35">
        <v>22756</v>
      </c>
      <c r="L43" s="35">
        <v>24658</v>
      </c>
      <c r="M43" s="35">
        <v>26659</v>
      </c>
      <c r="N43" s="35">
        <v>108678</v>
      </c>
      <c r="O43" s="35">
        <v>222248</v>
      </c>
      <c r="P43" s="35"/>
      <c r="Q43" s="35"/>
      <c r="R43" s="35"/>
      <c r="S43" s="35"/>
    </row>
    <row r="44" spans="1:19" x14ac:dyDescent="0.25">
      <c r="A44" s="35" t="s">
        <v>1400</v>
      </c>
      <c r="B44" s="35" t="s">
        <v>1401</v>
      </c>
      <c r="C44" s="35" t="s">
        <v>1399</v>
      </c>
      <c r="D44" s="35">
        <v>0</v>
      </c>
      <c r="E44" s="35">
        <v>113</v>
      </c>
      <c r="F44" s="35">
        <v>314</v>
      </c>
      <c r="G44" s="35">
        <v>470</v>
      </c>
      <c r="H44" s="35">
        <v>642</v>
      </c>
      <c r="I44" s="35">
        <v>812</v>
      </c>
      <c r="J44" s="35">
        <v>973</v>
      </c>
      <c r="K44" s="35">
        <v>1100</v>
      </c>
      <c r="L44" s="35">
        <v>1181</v>
      </c>
      <c r="M44" s="35">
        <v>1245</v>
      </c>
      <c r="N44" s="35">
        <v>1539</v>
      </c>
      <c r="O44" s="35">
        <v>6850</v>
      </c>
      <c r="P44" s="35"/>
      <c r="Q44" s="35"/>
      <c r="R44" s="35"/>
      <c r="S44" s="35"/>
    </row>
    <row r="45" spans="1:19" x14ac:dyDescent="0.25">
      <c r="A45" s="35" t="s">
        <v>1402</v>
      </c>
      <c r="B45" s="35">
        <v>13101</v>
      </c>
      <c r="C45" s="35" t="s">
        <v>1399</v>
      </c>
      <c r="D45" s="35">
        <v>0</v>
      </c>
      <c r="E45" s="35">
        <v>-1562</v>
      </c>
      <c r="F45" s="35">
        <v>-2183</v>
      </c>
      <c r="G45" s="35">
        <v>-3317</v>
      </c>
      <c r="H45" s="35">
        <v>-4822</v>
      </c>
      <c r="I45" s="35">
        <v>-6428</v>
      </c>
      <c r="J45" s="35">
        <v>-7677</v>
      </c>
      <c r="K45" s="35">
        <v>-8232</v>
      </c>
      <c r="L45" s="35">
        <v>-8329</v>
      </c>
      <c r="M45" s="35">
        <v>-8511</v>
      </c>
      <c r="N45" s="35">
        <v>-11885</v>
      </c>
      <c r="O45" s="35">
        <v>-51062</v>
      </c>
      <c r="P45" s="35"/>
      <c r="Q45" s="35"/>
      <c r="R45" s="35"/>
      <c r="S45" s="35"/>
    </row>
    <row r="46" spans="1:19" x14ac:dyDescent="0.25">
      <c r="A46" s="35" t="s">
        <v>1403</v>
      </c>
      <c r="B46" s="35">
        <v>13102</v>
      </c>
      <c r="C46" s="35" t="s">
        <v>1399</v>
      </c>
      <c r="D46" s="35">
        <v>0</v>
      </c>
      <c r="E46" s="35">
        <v>-2140</v>
      </c>
      <c r="F46" s="35">
        <v>-1559</v>
      </c>
      <c r="G46" s="35">
        <v>-2458</v>
      </c>
      <c r="H46" s="35">
        <v>-5367</v>
      </c>
      <c r="I46" s="35">
        <v>-2359</v>
      </c>
      <c r="J46" s="35">
        <v>-48</v>
      </c>
      <c r="K46" s="35">
        <v>-38</v>
      </c>
      <c r="L46" s="35">
        <v>-9</v>
      </c>
      <c r="M46" s="35">
        <v>15</v>
      </c>
      <c r="N46" s="35">
        <v>-11523</v>
      </c>
      <c r="O46" s="35">
        <v>-13962</v>
      </c>
      <c r="P46" s="35"/>
      <c r="Q46" s="35"/>
      <c r="R46" s="35"/>
      <c r="S46" s="35"/>
    </row>
    <row r="47" spans="1:19" x14ac:dyDescent="0.25">
      <c r="A47" s="35" t="s">
        <v>1404</v>
      </c>
      <c r="B47" s="35">
        <v>13104</v>
      </c>
      <c r="C47" s="35" t="s">
        <v>1399</v>
      </c>
      <c r="D47" s="35">
        <v>0</v>
      </c>
      <c r="E47" s="35">
        <v>-22</v>
      </c>
      <c r="F47" s="35">
        <v>-158</v>
      </c>
      <c r="G47" s="35">
        <v>-244</v>
      </c>
      <c r="H47" s="35">
        <v>-257</v>
      </c>
      <c r="I47" s="35">
        <v>-241</v>
      </c>
      <c r="J47" s="35">
        <v>-223</v>
      </c>
      <c r="K47" s="35">
        <v>-202</v>
      </c>
      <c r="L47" s="35">
        <v>-178</v>
      </c>
      <c r="M47" s="35">
        <v>-154</v>
      </c>
      <c r="N47" s="35">
        <v>-681</v>
      </c>
      <c r="O47" s="35">
        <v>-1679</v>
      </c>
      <c r="P47" s="35"/>
      <c r="Q47" s="35"/>
      <c r="R47" s="35"/>
      <c r="S47" s="35"/>
    </row>
    <row r="48" spans="1:19" x14ac:dyDescent="0.25">
      <c r="A48" s="35" t="s">
        <v>1405</v>
      </c>
      <c r="B48" s="35">
        <v>13105</v>
      </c>
      <c r="C48" s="35" t="s">
        <v>1399</v>
      </c>
      <c r="D48" s="35">
        <v>0</v>
      </c>
      <c r="E48" s="35">
        <v>0</v>
      </c>
      <c r="F48" s="35">
        <v>-1138</v>
      </c>
      <c r="G48" s="35">
        <v>-1832</v>
      </c>
      <c r="H48" s="35">
        <v>-1929</v>
      </c>
      <c r="I48" s="35">
        <v>-1996</v>
      </c>
      <c r="J48" s="35">
        <v>-2059</v>
      </c>
      <c r="K48" s="35">
        <v>-2106</v>
      </c>
      <c r="L48" s="35">
        <v>-2225</v>
      </c>
      <c r="M48" s="35">
        <v>-2315</v>
      </c>
      <c r="N48" s="35">
        <v>-4899</v>
      </c>
      <c r="O48" s="35">
        <v>-15600</v>
      </c>
      <c r="P48" s="35"/>
      <c r="Q48" s="35"/>
      <c r="R48" s="35"/>
      <c r="S48" s="35"/>
    </row>
    <row r="49" spans="1:19" x14ac:dyDescent="0.25">
      <c r="A49" s="35" t="s">
        <v>1406</v>
      </c>
      <c r="B49" s="35">
        <v>13303</v>
      </c>
      <c r="C49" s="35" t="s">
        <v>1399</v>
      </c>
      <c r="D49" s="35">
        <v>0</v>
      </c>
      <c r="E49" s="35">
        <v>-62</v>
      </c>
      <c r="F49" s="35">
        <v>-50</v>
      </c>
      <c r="G49" s="35">
        <v>-46</v>
      </c>
      <c r="H49" s="35">
        <v>-42</v>
      </c>
      <c r="I49" s="35">
        <v>-38</v>
      </c>
      <c r="J49" s="35">
        <v>-35</v>
      </c>
      <c r="K49" s="35">
        <v>-32</v>
      </c>
      <c r="L49" s="35">
        <v>-30</v>
      </c>
      <c r="M49" s="35">
        <v>-28</v>
      </c>
      <c r="N49" s="35">
        <v>-200</v>
      </c>
      <c r="O49" s="35">
        <v>-362</v>
      </c>
      <c r="P49" s="35"/>
      <c r="Q49" s="35"/>
      <c r="R49" s="35"/>
      <c r="S49" s="35"/>
    </row>
    <row r="50" spans="1:19" x14ac:dyDescent="0.25">
      <c r="A50" s="35" t="s">
        <v>1407</v>
      </c>
      <c r="B50" s="35" t="s">
        <v>1408</v>
      </c>
      <c r="C50" s="35" t="s">
        <v>1399</v>
      </c>
      <c r="D50" s="35">
        <v>0</v>
      </c>
      <c r="E50" s="35">
        <v>-2376</v>
      </c>
      <c r="F50" s="35">
        <v>-2679</v>
      </c>
      <c r="G50" s="35">
        <v>-2315</v>
      </c>
      <c r="H50" s="35">
        <v>-2572</v>
      </c>
      <c r="I50" s="35">
        <v>-2467</v>
      </c>
      <c r="J50" s="35">
        <v>-2490</v>
      </c>
      <c r="K50" s="35">
        <v>-2638</v>
      </c>
      <c r="L50" s="35">
        <v>-2569</v>
      </c>
      <c r="M50" s="35">
        <v>-2081</v>
      </c>
      <c r="N50" s="35">
        <v>-9943</v>
      </c>
      <c r="O50" s="35">
        <v>-22188</v>
      </c>
      <c r="P50" s="35"/>
      <c r="Q50" s="35"/>
      <c r="R50" s="35"/>
      <c r="S50" s="35"/>
    </row>
    <row r="51" spans="1:19" x14ac:dyDescent="0.25">
      <c r="A51" s="35" t="s">
        <v>1409</v>
      </c>
      <c r="B51" s="35">
        <v>13601</v>
      </c>
      <c r="C51" s="35" t="s">
        <v>1399</v>
      </c>
      <c r="D51" s="35">
        <v>0</v>
      </c>
      <c r="E51" s="35">
        <v>902</v>
      </c>
      <c r="F51" s="35">
        <v>1230</v>
      </c>
      <c r="G51" s="35">
        <v>1271</v>
      </c>
      <c r="H51" s="35">
        <v>1304</v>
      </c>
      <c r="I51" s="35">
        <v>1336</v>
      </c>
      <c r="J51" s="35">
        <v>1368</v>
      </c>
      <c r="K51" s="35">
        <v>1402</v>
      </c>
      <c r="L51" s="35">
        <v>1436</v>
      </c>
      <c r="M51" s="35">
        <v>1470</v>
      </c>
      <c r="N51" s="35">
        <v>4707</v>
      </c>
      <c r="O51" s="35">
        <v>11719</v>
      </c>
      <c r="P51" s="35"/>
      <c r="Q51" s="35"/>
      <c r="R51" s="35"/>
      <c r="S51" s="35"/>
    </row>
    <row r="52" spans="1:19" x14ac:dyDescent="0.25">
      <c r="A52" s="35" t="s">
        <v>1410</v>
      </c>
      <c r="B52" s="35" t="s">
        <v>1411</v>
      </c>
      <c r="C52" s="35" t="s">
        <v>1399</v>
      </c>
      <c r="D52" s="35">
        <v>0</v>
      </c>
      <c r="E52" s="35">
        <v>1</v>
      </c>
      <c r="F52" s="35">
        <v>1</v>
      </c>
      <c r="G52" s="35">
        <v>-678</v>
      </c>
      <c r="H52" s="35">
        <v>-858</v>
      </c>
      <c r="I52" s="35">
        <v>-7820</v>
      </c>
      <c r="J52" s="35">
        <v>-11303</v>
      </c>
      <c r="K52" s="35">
        <v>-12736</v>
      </c>
      <c r="L52" s="35">
        <v>-14927</v>
      </c>
      <c r="M52" s="35">
        <v>-17285</v>
      </c>
      <c r="N52" s="35">
        <v>-1535</v>
      </c>
      <c r="O52" s="35">
        <v>-65606</v>
      </c>
      <c r="P52" s="35"/>
      <c r="Q52" s="35"/>
      <c r="R52" s="35"/>
      <c r="S52" s="35"/>
    </row>
    <row r="53" spans="1:19" x14ac:dyDescent="0.25">
      <c r="A53" s="35" t="s">
        <v>1412</v>
      </c>
      <c r="B53" s="35">
        <v>13901</v>
      </c>
      <c r="C53" s="35" t="s">
        <v>1399</v>
      </c>
      <c r="D53" s="35">
        <v>0</v>
      </c>
      <c r="E53" s="35">
        <v>103</v>
      </c>
      <c r="F53" s="35">
        <v>135</v>
      </c>
      <c r="G53" s="35">
        <v>131</v>
      </c>
      <c r="H53" s="35">
        <v>130</v>
      </c>
      <c r="I53" s="35">
        <v>130</v>
      </c>
      <c r="J53" s="35">
        <v>131</v>
      </c>
      <c r="K53" s="35">
        <v>132</v>
      </c>
      <c r="L53" s="35">
        <v>133</v>
      </c>
      <c r="M53" s="35">
        <v>134</v>
      </c>
      <c r="N53" s="35">
        <v>498</v>
      </c>
      <c r="O53" s="35">
        <v>1159</v>
      </c>
      <c r="P53" s="35"/>
      <c r="Q53" s="35"/>
      <c r="R53" s="35"/>
      <c r="S53" s="35"/>
    </row>
    <row r="54" spans="1:19" x14ac:dyDescent="0.25">
      <c r="A54" s="35" t="s">
        <v>1413</v>
      </c>
      <c r="B54" s="35">
        <v>13902</v>
      </c>
      <c r="C54" s="35" t="s">
        <v>1399</v>
      </c>
      <c r="D54" s="35">
        <v>0</v>
      </c>
      <c r="E54" s="35">
        <v>-16</v>
      </c>
      <c r="F54" s="35">
        <v>-13</v>
      </c>
      <c r="G54" s="35">
        <v>-15</v>
      </c>
      <c r="H54" s="35">
        <v>-16</v>
      </c>
      <c r="I54" s="35">
        <v>-18</v>
      </c>
      <c r="J54" s="35">
        <v>-21</v>
      </c>
      <c r="K54" s="35">
        <v>-22</v>
      </c>
      <c r="L54" s="35">
        <v>-23</v>
      </c>
      <c r="M54" s="35">
        <v>-24</v>
      </c>
      <c r="N54" s="35">
        <v>-60</v>
      </c>
      <c r="O54" s="35">
        <v>-168</v>
      </c>
      <c r="P54" s="35"/>
      <c r="Q54" s="35"/>
      <c r="R54" s="35"/>
      <c r="S54" s="35"/>
    </row>
    <row r="55" spans="1:19" x14ac:dyDescent="0.25">
      <c r="A55" s="35" t="s">
        <v>1414</v>
      </c>
      <c r="B55" s="35" t="s">
        <v>1415</v>
      </c>
      <c r="C55" s="35" t="s">
        <v>1399</v>
      </c>
      <c r="D55" s="35">
        <v>0</v>
      </c>
      <c r="E55" s="35">
        <v>0</v>
      </c>
      <c r="F55" s="35">
        <v>0</v>
      </c>
      <c r="G55" s="35">
        <v>0</v>
      </c>
      <c r="H55" s="35">
        <v>0</v>
      </c>
      <c r="I55" s="35">
        <v>17666</v>
      </c>
      <c r="J55" s="35">
        <v>26198</v>
      </c>
      <c r="K55" s="35">
        <v>9453</v>
      </c>
      <c r="L55" s="35">
        <v>-274</v>
      </c>
      <c r="M55" s="35">
        <v>-284</v>
      </c>
      <c r="N55" s="35">
        <v>0</v>
      </c>
      <c r="O55" s="35">
        <v>52759</v>
      </c>
      <c r="P55" s="35"/>
      <c r="Q55" s="35"/>
      <c r="R55" s="35"/>
      <c r="S55" s="35"/>
    </row>
    <row r="56" spans="1:19" x14ac:dyDescent="0.25">
      <c r="A56" s="35" t="s">
        <v>1416</v>
      </c>
      <c r="B56" s="35">
        <v>60113</v>
      </c>
      <c r="C56" s="35" t="s">
        <v>1399</v>
      </c>
      <c r="D56" s="35">
        <v>0</v>
      </c>
      <c r="E56" s="35">
        <v>0</v>
      </c>
      <c r="F56" s="35">
        <v>0</v>
      </c>
      <c r="G56" s="35">
        <v>0</v>
      </c>
      <c r="H56" s="35">
        <v>850</v>
      </c>
      <c r="I56" s="191">
        <v>1350</v>
      </c>
      <c r="J56" s="191">
        <v>1400</v>
      </c>
      <c r="K56" s="191">
        <v>1200</v>
      </c>
      <c r="L56" s="191">
        <v>1050</v>
      </c>
      <c r="M56" s="35">
        <v>500</v>
      </c>
      <c r="N56" s="35">
        <v>850</v>
      </c>
      <c r="O56" s="191">
        <v>6350</v>
      </c>
      <c r="P56" s="191"/>
      <c r="Q56" s="191"/>
      <c r="R56" s="191"/>
      <c r="S56" s="191"/>
    </row>
    <row r="57" spans="1:19" x14ac:dyDescent="0.25">
      <c r="A57" s="35" t="s">
        <v>1417</v>
      </c>
      <c r="B57" s="35">
        <v>10201</v>
      </c>
      <c r="C57" s="35" t="s">
        <v>1399</v>
      </c>
      <c r="D57" s="35">
        <v>0</v>
      </c>
      <c r="E57" s="35">
        <v>5697</v>
      </c>
      <c r="F57" s="35">
        <v>7875</v>
      </c>
      <c r="G57" s="35">
        <v>8070</v>
      </c>
      <c r="H57" s="35">
        <v>8581</v>
      </c>
      <c r="I57" s="35">
        <v>8882</v>
      </c>
      <c r="J57" s="35">
        <v>8838</v>
      </c>
      <c r="K57" s="35">
        <v>8603</v>
      </c>
      <c r="L57" s="35">
        <v>8500</v>
      </c>
      <c r="M57" s="35">
        <v>8641</v>
      </c>
      <c r="N57" s="35">
        <v>30223</v>
      </c>
      <c r="O57" s="35">
        <v>73686</v>
      </c>
      <c r="P57" s="35"/>
      <c r="Q57" s="35"/>
      <c r="R57" s="35"/>
      <c r="S57" s="35"/>
    </row>
    <row r="58" spans="1:19" x14ac:dyDescent="0.25">
      <c r="A58" s="35" t="s">
        <v>1424</v>
      </c>
      <c r="B58" s="35">
        <v>13304</v>
      </c>
      <c r="C58" s="35" t="s">
        <v>1429</v>
      </c>
      <c r="D58" s="35">
        <v>0</v>
      </c>
      <c r="E58" s="35">
        <v>-273</v>
      </c>
      <c r="F58" s="35">
        <v>-193</v>
      </c>
      <c r="G58" s="35">
        <v>-203</v>
      </c>
      <c r="H58" s="35">
        <v>-216</v>
      </c>
      <c r="I58" s="35">
        <v>-230</v>
      </c>
      <c r="J58" s="35">
        <v>-241</v>
      </c>
      <c r="K58" s="35">
        <v>-240</v>
      </c>
      <c r="L58" s="35">
        <v>-229</v>
      </c>
      <c r="M58" s="35">
        <v>-217</v>
      </c>
      <c r="N58" s="35">
        <v>-887</v>
      </c>
      <c r="O58" s="35">
        <v>-2043</v>
      </c>
      <c r="P58" s="35"/>
      <c r="Q58" s="35"/>
      <c r="R58" s="35"/>
      <c r="S58" s="35"/>
    </row>
    <row r="59" spans="1:19" x14ac:dyDescent="0.25">
      <c r="A59" s="35" t="s">
        <v>1420</v>
      </c>
      <c r="B59" s="35" t="s">
        <v>1421</v>
      </c>
      <c r="C59" s="35" t="s">
        <v>1429</v>
      </c>
      <c r="D59" s="35">
        <v>0</v>
      </c>
      <c r="E59" s="35">
        <v>-2882</v>
      </c>
      <c r="F59" s="35">
        <v>-2038</v>
      </c>
      <c r="G59" s="35">
        <v>-1405</v>
      </c>
      <c r="H59" s="35">
        <v>-554</v>
      </c>
      <c r="I59" s="35">
        <v>-753</v>
      </c>
      <c r="J59" s="35">
        <v>-970</v>
      </c>
      <c r="K59" s="35">
        <v>-1231</v>
      </c>
      <c r="L59" s="35">
        <v>-1581</v>
      </c>
      <c r="M59" s="35">
        <v>-2108</v>
      </c>
      <c r="N59" s="35">
        <v>-6880</v>
      </c>
      <c r="O59" s="35">
        <v>-13523</v>
      </c>
      <c r="P59" s="35"/>
      <c r="Q59" s="35"/>
      <c r="R59" s="35"/>
      <c r="S59" s="35"/>
    </row>
    <row r="60" spans="1:19" x14ac:dyDescent="0.25">
      <c r="A60" s="1089" t="s">
        <v>1418</v>
      </c>
      <c r="B60" s="1090">
        <v>10301</v>
      </c>
      <c r="C60" s="1090" t="s">
        <v>239</v>
      </c>
      <c r="D60" s="1090">
        <v>0</v>
      </c>
      <c r="E60" s="1091">
        <v>2012</v>
      </c>
      <c r="F60" s="1091">
        <v>5106</v>
      </c>
      <c r="G60" s="1091">
        <v>11125</v>
      </c>
      <c r="H60" s="1091">
        <v>16116</v>
      </c>
      <c r="I60" s="1091">
        <v>21716</v>
      </c>
      <c r="J60" s="1091">
        <v>26314</v>
      </c>
      <c r="K60" s="1091">
        <v>31218</v>
      </c>
      <c r="L60" s="1091">
        <v>34877</v>
      </c>
      <c r="M60" s="1091">
        <v>31904</v>
      </c>
      <c r="N60" s="1091">
        <v>34359</v>
      </c>
      <c r="O60" s="1092">
        <v>180388</v>
      </c>
      <c r="P60" s="191"/>
      <c r="Q60" s="191"/>
      <c r="R60" s="191"/>
      <c r="S60" s="191"/>
    </row>
    <row r="61" spans="1:19" x14ac:dyDescent="0.25">
      <c r="A61" s="35" t="s">
        <v>1419</v>
      </c>
      <c r="B61" s="35">
        <v>12001</v>
      </c>
      <c r="C61" s="35" t="s">
        <v>239</v>
      </c>
      <c r="D61" s="35">
        <v>0</v>
      </c>
      <c r="E61" s="35">
        <v>1297</v>
      </c>
      <c r="F61" s="35">
        <v>-10555</v>
      </c>
      <c r="G61" s="35">
        <v>-10586</v>
      </c>
      <c r="H61" s="35">
        <v>-11431</v>
      </c>
      <c r="I61" s="35">
        <v>-154</v>
      </c>
      <c r="J61" s="35">
        <v>132</v>
      </c>
      <c r="K61" s="35">
        <v>53</v>
      </c>
      <c r="L61" s="35">
        <v>6</v>
      </c>
      <c r="M61" s="35">
        <v>0</v>
      </c>
      <c r="N61" s="35">
        <v>-31275</v>
      </c>
      <c r="O61" s="35">
        <v>-31238</v>
      </c>
      <c r="P61" s="35"/>
      <c r="Q61" s="35"/>
      <c r="R61" s="35"/>
      <c r="S61" s="35"/>
    </row>
    <row r="62" spans="1:19" x14ac:dyDescent="0.25">
      <c r="A62" s="35" t="s">
        <v>1422</v>
      </c>
      <c r="B62" s="35">
        <v>13301</v>
      </c>
      <c r="C62" s="35" t="s">
        <v>239</v>
      </c>
      <c r="D62" s="35">
        <v>0</v>
      </c>
      <c r="E62" s="35">
        <v>-1887</v>
      </c>
      <c r="F62" s="35">
        <v>-1348</v>
      </c>
      <c r="G62" s="35">
        <v>-1324</v>
      </c>
      <c r="H62" s="35">
        <v>-1345</v>
      </c>
      <c r="I62" s="35">
        <v>-1327</v>
      </c>
      <c r="J62" s="35">
        <v>-1277</v>
      </c>
      <c r="K62" s="35">
        <v>-1301</v>
      </c>
      <c r="L62" s="35">
        <v>-1314</v>
      </c>
      <c r="M62" s="35">
        <v>-1327</v>
      </c>
      <c r="N62" s="35">
        <v>-5904</v>
      </c>
      <c r="O62" s="35">
        <v>-12451</v>
      </c>
      <c r="P62" s="35"/>
      <c r="Q62" s="35"/>
      <c r="R62" s="35"/>
      <c r="S62" s="35"/>
    </row>
    <row r="63" spans="1:19" x14ac:dyDescent="0.25">
      <c r="A63" s="35" t="s">
        <v>1423</v>
      </c>
      <c r="B63" s="35">
        <v>13302</v>
      </c>
      <c r="C63" s="35" t="s">
        <v>239</v>
      </c>
      <c r="D63" s="35">
        <v>0</v>
      </c>
      <c r="E63" s="35">
        <v>-459</v>
      </c>
      <c r="F63" s="35">
        <v>-1021</v>
      </c>
      <c r="G63" s="35">
        <v>-2692</v>
      </c>
      <c r="H63" s="35">
        <v>-2770</v>
      </c>
      <c r="I63" s="35">
        <v>-2850</v>
      </c>
      <c r="J63" s="35">
        <v>-2935</v>
      </c>
      <c r="K63" s="35">
        <v>-3019</v>
      </c>
      <c r="L63" s="35">
        <v>-3092</v>
      </c>
      <c r="M63" s="35">
        <v>-3185</v>
      </c>
      <c r="N63" s="35">
        <v>-6942</v>
      </c>
      <c r="O63" s="35">
        <v>-22022</v>
      </c>
      <c r="P63" s="35"/>
      <c r="Q63" s="35"/>
      <c r="R63" s="35"/>
      <c r="S63" s="35"/>
    </row>
    <row r="64" spans="1:19" x14ac:dyDescent="0.25">
      <c r="A64" s="35" t="s">
        <v>1425</v>
      </c>
      <c r="B64" s="35" t="s">
        <v>1426</v>
      </c>
      <c r="C64" s="35" t="s">
        <v>239</v>
      </c>
      <c r="D64" s="35">
        <v>0</v>
      </c>
      <c r="E64" s="35">
        <v>-511</v>
      </c>
      <c r="F64" s="35">
        <v>-852</v>
      </c>
      <c r="G64" s="35">
        <v>-1050</v>
      </c>
      <c r="H64" s="35">
        <v>-1275</v>
      </c>
      <c r="I64" s="35">
        <v>-1572</v>
      </c>
      <c r="J64" s="35">
        <v>-1862</v>
      </c>
      <c r="K64" s="35">
        <v>-2104</v>
      </c>
      <c r="L64" s="35">
        <v>-2364</v>
      </c>
      <c r="M64" s="35">
        <v>-2615</v>
      </c>
      <c r="N64" s="35">
        <v>-3689</v>
      </c>
      <c r="O64" s="35">
        <v>-14209</v>
      </c>
      <c r="P64" s="35"/>
      <c r="Q64" s="35"/>
      <c r="R64" s="35"/>
      <c r="S64" s="35"/>
    </row>
    <row r="67" spans="3:19" x14ac:dyDescent="0.25">
      <c r="D67" s="1093">
        <v>2022</v>
      </c>
      <c r="E67" s="1093">
        <v>2023</v>
      </c>
      <c r="F67" s="1093">
        <v>2024</v>
      </c>
      <c r="G67" s="1093">
        <v>2025</v>
      </c>
      <c r="H67" s="1093">
        <v>2026</v>
      </c>
      <c r="I67" s="1093">
        <v>2027</v>
      </c>
      <c r="J67" s="1093">
        <v>2028</v>
      </c>
      <c r="K67" s="1093">
        <v>2029</v>
      </c>
      <c r="L67" s="1093">
        <v>2030</v>
      </c>
      <c r="M67" s="1094">
        <v>2031</v>
      </c>
      <c r="N67" s="1073" t="s">
        <v>1368</v>
      </c>
      <c r="O67" s="1095" t="s">
        <v>1369</v>
      </c>
      <c r="P67" s="1073"/>
      <c r="Q67" s="1073"/>
      <c r="R67" s="1073"/>
      <c r="S67" s="1073"/>
    </row>
    <row r="68" spans="3:19" x14ac:dyDescent="0.25">
      <c r="C68" s="1440" t="s">
        <v>1427</v>
      </c>
      <c r="D68" s="1441"/>
      <c r="E68" s="1441"/>
      <c r="F68" s="1441"/>
      <c r="G68" s="1441"/>
      <c r="H68" s="1441"/>
      <c r="I68" s="1441"/>
      <c r="J68" s="1441"/>
      <c r="K68" s="1441"/>
      <c r="L68" s="1441"/>
      <c r="M68" s="1441"/>
      <c r="N68" s="1441"/>
      <c r="O68" s="1442"/>
      <c r="P68" s="1072"/>
      <c r="Q68" s="1072"/>
      <c r="R68" s="1072"/>
      <c r="S68" s="1072"/>
    </row>
    <row r="69" spans="3:19" x14ac:dyDescent="0.25">
      <c r="C69" s="47" t="s">
        <v>1388</v>
      </c>
      <c r="D69" s="35">
        <f t="shared" ref="D69:O69" si="0">SUM(D3:D8)</f>
        <v>0</v>
      </c>
      <c r="E69" s="35">
        <f t="shared" si="0"/>
        <v>3947</v>
      </c>
      <c r="F69" s="35">
        <f t="shared" si="0"/>
        <v>4202</v>
      </c>
      <c r="G69" s="35">
        <f t="shared" si="0"/>
        <v>6275</v>
      </c>
      <c r="H69" s="35">
        <f t="shared" si="0"/>
        <v>7956</v>
      </c>
      <c r="I69" s="35">
        <f t="shared" si="0"/>
        <v>9969</v>
      </c>
      <c r="J69" s="35">
        <f t="shared" si="0"/>
        <v>12081</v>
      </c>
      <c r="K69" s="35">
        <f t="shared" si="0"/>
        <v>14493</v>
      </c>
      <c r="L69" s="35">
        <f t="shared" si="0"/>
        <v>16921</v>
      </c>
      <c r="M69" s="35">
        <f t="shared" si="0"/>
        <v>17112</v>
      </c>
      <c r="N69" s="35">
        <f t="shared" si="0"/>
        <v>22380</v>
      </c>
      <c r="O69" s="35">
        <f t="shared" si="0"/>
        <v>92956</v>
      </c>
      <c r="P69" s="35"/>
      <c r="Q69" s="35"/>
      <c r="R69" s="35"/>
      <c r="S69" s="35"/>
    </row>
    <row r="70" spans="3:19" x14ac:dyDescent="0.25">
      <c r="C70" s="47" t="s">
        <v>1256</v>
      </c>
      <c r="D70" s="35">
        <f t="shared" ref="D70:O70" si="1">SUM(D9)</f>
        <v>0</v>
      </c>
      <c r="E70" s="35">
        <f t="shared" si="1"/>
        <v>65</v>
      </c>
      <c r="F70" s="35">
        <f t="shared" si="1"/>
        <v>150</v>
      </c>
      <c r="G70" s="35">
        <f t="shared" si="1"/>
        <v>290</v>
      </c>
      <c r="H70" s="35">
        <f t="shared" si="1"/>
        <v>290</v>
      </c>
      <c r="I70" s="35">
        <f t="shared" si="1"/>
        <v>290</v>
      </c>
      <c r="J70" s="35">
        <f t="shared" si="1"/>
        <v>285</v>
      </c>
      <c r="K70" s="35">
        <f t="shared" si="1"/>
        <v>250</v>
      </c>
      <c r="L70" s="35">
        <f t="shared" si="1"/>
        <v>220</v>
      </c>
      <c r="M70" s="35">
        <f t="shared" si="1"/>
        <v>160</v>
      </c>
      <c r="N70" s="47">
        <f t="shared" si="1"/>
        <v>795</v>
      </c>
      <c r="O70" s="214">
        <f t="shared" si="1"/>
        <v>2000</v>
      </c>
      <c r="P70" s="35"/>
      <c r="Q70" s="35"/>
      <c r="R70" s="35"/>
      <c r="S70" s="35"/>
    </row>
    <row r="71" spans="3:19" x14ac:dyDescent="0.25">
      <c r="C71" s="47" t="s">
        <v>210</v>
      </c>
      <c r="D71" s="35">
        <f t="shared" ref="D71:O71" si="2">SUM(D10:D11)</f>
        <v>0</v>
      </c>
      <c r="E71" s="35">
        <f t="shared" si="2"/>
        <v>110</v>
      </c>
      <c r="F71" s="35">
        <f t="shared" si="2"/>
        <v>739</v>
      </c>
      <c r="G71" s="35">
        <f t="shared" si="2"/>
        <v>1195</v>
      </c>
      <c r="H71" s="35">
        <f t="shared" si="2"/>
        <v>1497</v>
      </c>
      <c r="I71" s="35">
        <f t="shared" si="2"/>
        <v>1910</v>
      </c>
      <c r="J71" s="35">
        <f t="shared" si="2"/>
        <v>2405</v>
      </c>
      <c r="K71" s="35">
        <f t="shared" si="2"/>
        <v>2922</v>
      </c>
      <c r="L71" s="35">
        <f t="shared" si="2"/>
        <v>3463</v>
      </c>
      <c r="M71" s="35">
        <f t="shared" si="2"/>
        <v>4007</v>
      </c>
      <c r="N71" s="47">
        <f t="shared" si="2"/>
        <v>3541</v>
      </c>
      <c r="O71" s="214">
        <f t="shared" si="2"/>
        <v>18248</v>
      </c>
      <c r="P71" s="35"/>
      <c r="Q71" s="35"/>
      <c r="R71" s="35"/>
      <c r="S71" s="35"/>
    </row>
    <row r="72" spans="3:19" x14ac:dyDescent="0.25">
      <c r="C72" s="47" t="s">
        <v>211</v>
      </c>
      <c r="D72" s="35">
        <f t="shared" ref="D72:O72" si="3">SUM(D12:D25)</f>
        <v>0</v>
      </c>
      <c r="E72" s="35">
        <f t="shared" si="3"/>
        <v>-415</v>
      </c>
      <c r="F72" s="35">
        <f t="shared" si="3"/>
        <v>2768</v>
      </c>
      <c r="G72" s="35">
        <f t="shared" si="3"/>
        <v>-12473</v>
      </c>
      <c r="H72" s="35">
        <f t="shared" si="3"/>
        <v>-5374</v>
      </c>
      <c r="I72" s="35">
        <f t="shared" si="3"/>
        <v>-25515</v>
      </c>
      <c r="J72" s="35">
        <f t="shared" si="3"/>
        <v>-43975</v>
      </c>
      <c r="K72" s="35">
        <f t="shared" si="3"/>
        <v>-46426</v>
      </c>
      <c r="L72" s="35">
        <f t="shared" si="3"/>
        <v>-56228</v>
      </c>
      <c r="M72" s="35">
        <f t="shared" si="3"/>
        <v>-60581</v>
      </c>
      <c r="N72" s="47">
        <f t="shared" si="3"/>
        <v>-15494</v>
      </c>
      <c r="O72" s="214">
        <f t="shared" si="3"/>
        <v>-248219</v>
      </c>
      <c r="P72" s="35"/>
      <c r="Q72" s="35"/>
      <c r="R72" s="35"/>
      <c r="S72" s="35"/>
    </row>
    <row r="73" spans="3:19" x14ac:dyDescent="0.25">
      <c r="C73" s="47" t="s">
        <v>1390</v>
      </c>
      <c r="D73" s="35">
        <f t="shared" ref="D73:O73" si="4">SUM(D26:D31)</f>
        <v>-622</v>
      </c>
      <c r="E73" s="35">
        <f t="shared" si="4"/>
        <v>21096</v>
      </c>
      <c r="F73" s="35">
        <f t="shared" si="4"/>
        <v>12256</v>
      </c>
      <c r="G73" s="35">
        <f t="shared" si="4"/>
        <v>11149</v>
      </c>
      <c r="H73" s="35">
        <f t="shared" si="4"/>
        <v>-6525</v>
      </c>
      <c r="I73" s="35">
        <f t="shared" si="4"/>
        <v>2029</v>
      </c>
      <c r="J73" s="35">
        <f t="shared" si="4"/>
        <v>2582</v>
      </c>
      <c r="K73" s="35">
        <f t="shared" si="4"/>
        <v>2236</v>
      </c>
      <c r="L73" s="35">
        <f t="shared" si="4"/>
        <v>1411</v>
      </c>
      <c r="M73" s="35">
        <f t="shared" si="4"/>
        <v>772</v>
      </c>
      <c r="N73" s="47">
        <f t="shared" si="4"/>
        <v>37354</v>
      </c>
      <c r="O73" s="214">
        <f t="shared" si="4"/>
        <v>46384</v>
      </c>
      <c r="P73" s="35"/>
      <c r="Q73" s="35"/>
      <c r="R73" s="35"/>
      <c r="S73" s="35"/>
    </row>
    <row r="74" spans="3:19" x14ac:dyDescent="0.25">
      <c r="C74" s="47" t="s">
        <v>1393</v>
      </c>
      <c r="D74" s="35">
        <f t="shared" ref="D74:O74" si="5">SUM(D32:D40)</f>
        <v>0</v>
      </c>
      <c r="E74" s="35">
        <f t="shared" si="5"/>
        <v>1216</v>
      </c>
      <c r="F74" s="35">
        <f t="shared" si="5"/>
        <v>3498</v>
      </c>
      <c r="G74" s="35">
        <f t="shared" si="5"/>
        <v>5088</v>
      </c>
      <c r="H74" s="35">
        <f t="shared" si="5"/>
        <v>6663</v>
      </c>
      <c r="I74" s="35">
        <f t="shared" si="5"/>
        <v>7992</v>
      </c>
      <c r="J74" s="35">
        <f t="shared" si="5"/>
        <v>8297</v>
      </c>
      <c r="K74" s="35">
        <f t="shared" si="5"/>
        <v>8309</v>
      </c>
      <c r="L74" s="35">
        <f t="shared" si="5"/>
        <v>7568</v>
      </c>
      <c r="M74" s="35">
        <f t="shared" si="5"/>
        <v>6524</v>
      </c>
      <c r="N74" s="309">
        <f t="shared" si="5"/>
        <v>16463</v>
      </c>
      <c r="O74" s="215">
        <f t="shared" si="5"/>
        <v>55153</v>
      </c>
      <c r="P74" s="35"/>
      <c r="Q74" s="35"/>
      <c r="R74" s="35"/>
      <c r="S74" s="35"/>
    </row>
    <row r="75" spans="3:19" x14ac:dyDescent="0.25">
      <c r="C75" s="1440" t="s">
        <v>1428</v>
      </c>
      <c r="D75" s="1441"/>
      <c r="E75" s="1441"/>
      <c r="F75" s="1441"/>
      <c r="G75" s="1441"/>
      <c r="H75" s="1441"/>
      <c r="I75" s="1441"/>
      <c r="J75" s="1441"/>
      <c r="K75" s="1441"/>
      <c r="L75" s="1441"/>
      <c r="M75" s="1441"/>
      <c r="N75" s="1441"/>
      <c r="O75" s="1442"/>
      <c r="P75" s="1072"/>
      <c r="Q75" s="1072"/>
      <c r="R75" s="1072"/>
      <c r="S75" s="1072"/>
    </row>
    <row r="76" spans="3:19" x14ac:dyDescent="0.25">
      <c r="C76" s="47" t="s">
        <v>385</v>
      </c>
      <c r="D76" s="35">
        <v>0</v>
      </c>
      <c r="E76" s="35">
        <v>596</v>
      </c>
      <c r="F76" s="35">
        <v>1406</v>
      </c>
      <c r="G76" s="35">
        <v>1885</v>
      </c>
      <c r="H76" s="35">
        <v>2113</v>
      </c>
      <c r="I76" s="35">
        <v>2058</v>
      </c>
      <c r="J76" s="35">
        <v>1745</v>
      </c>
      <c r="K76" s="35">
        <v>1369</v>
      </c>
      <c r="L76" s="35">
        <v>970</v>
      </c>
      <c r="M76" s="35">
        <v>369</v>
      </c>
      <c r="N76" s="733">
        <v>6000</v>
      </c>
      <c r="O76" s="437">
        <v>12511</v>
      </c>
      <c r="P76" s="35"/>
      <c r="Q76" s="35"/>
      <c r="R76" s="35"/>
      <c r="S76" s="35"/>
    </row>
    <row r="77" spans="3:19" x14ac:dyDescent="0.25">
      <c r="C77" s="47" t="s">
        <v>134</v>
      </c>
      <c r="D77" s="35">
        <v>0</v>
      </c>
      <c r="E77" s="35">
        <v>754</v>
      </c>
      <c r="F77" s="35">
        <v>2328</v>
      </c>
      <c r="G77" s="35">
        <v>3782</v>
      </c>
      <c r="H77" s="35">
        <v>5158</v>
      </c>
      <c r="I77" s="35">
        <v>4539</v>
      </c>
      <c r="J77" s="35">
        <v>3010</v>
      </c>
      <c r="K77" s="35">
        <v>1730</v>
      </c>
      <c r="L77" s="35">
        <v>790</v>
      </c>
      <c r="M77" s="35">
        <v>244</v>
      </c>
      <c r="N77" s="47">
        <v>12022</v>
      </c>
      <c r="O77" s="214">
        <v>22335</v>
      </c>
      <c r="P77" s="35"/>
      <c r="Q77" s="35"/>
      <c r="R77" s="35"/>
      <c r="S77" s="35"/>
    </row>
    <row r="78" spans="3:19" x14ac:dyDescent="0.25">
      <c r="C78" s="47" t="s">
        <v>192</v>
      </c>
      <c r="D78" s="35">
        <v>0</v>
      </c>
      <c r="E78" s="35">
        <v>68</v>
      </c>
      <c r="F78" s="35">
        <v>1363</v>
      </c>
      <c r="G78" s="35">
        <v>2433</v>
      </c>
      <c r="H78" s="35">
        <v>2803</v>
      </c>
      <c r="I78" s="35">
        <v>1741</v>
      </c>
      <c r="J78" s="35">
        <v>570</v>
      </c>
      <c r="K78" s="35">
        <v>35</v>
      </c>
      <c r="L78" s="35">
        <v>0</v>
      </c>
      <c r="M78" s="35">
        <v>0</v>
      </c>
      <c r="N78" s="47">
        <v>6667</v>
      </c>
      <c r="O78" s="214">
        <v>9013</v>
      </c>
      <c r="P78" s="35"/>
      <c r="Q78" s="35"/>
      <c r="R78" s="35"/>
      <c r="S78" s="35"/>
    </row>
    <row r="79" spans="3:19" x14ac:dyDescent="0.25">
      <c r="C79" s="47" t="s">
        <v>52</v>
      </c>
      <c r="D79" s="35">
        <v>0</v>
      </c>
      <c r="E79" s="35">
        <v>81</v>
      </c>
      <c r="F79" s="35">
        <v>350</v>
      </c>
      <c r="G79" s="35">
        <v>1354</v>
      </c>
      <c r="H79" s="35">
        <v>2869</v>
      </c>
      <c r="I79" s="35">
        <v>3890</v>
      </c>
      <c r="J79" s="35">
        <v>3430</v>
      </c>
      <c r="K79" s="35">
        <v>2260</v>
      </c>
      <c r="L79" s="35">
        <v>1320</v>
      </c>
      <c r="M79" s="35">
        <v>665</v>
      </c>
      <c r="N79" s="47">
        <v>4654</v>
      </c>
      <c r="O79" s="214">
        <v>16219</v>
      </c>
      <c r="P79" s="35"/>
      <c r="Q79" s="35"/>
      <c r="R79" s="35"/>
      <c r="S79" s="35"/>
    </row>
    <row r="80" spans="3:19" x14ac:dyDescent="0.25">
      <c r="C80" s="47" t="s">
        <v>57</v>
      </c>
      <c r="D80" s="35">
        <v>0</v>
      </c>
      <c r="E80" s="35">
        <v>794</v>
      </c>
      <c r="F80" s="35">
        <v>3183</v>
      </c>
      <c r="G80" s="35">
        <v>5818</v>
      </c>
      <c r="H80" s="35">
        <v>7253</v>
      </c>
      <c r="I80" s="35">
        <v>5628</v>
      </c>
      <c r="J80" s="35">
        <v>1977</v>
      </c>
      <c r="K80" s="35">
        <v>229</v>
      </c>
      <c r="L80" s="35">
        <v>33</v>
      </c>
      <c r="M80" s="35">
        <v>1</v>
      </c>
      <c r="N80" s="47">
        <v>17048</v>
      </c>
      <c r="O80" s="214">
        <v>24916</v>
      </c>
      <c r="P80" s="35"/>
      <c r="Q80" s="35"/>
      <c r="R80" s="35"/>
      <c r="S80" s="35"/>
    </row>
    <row r="81" spans="1:20" x14ac:dyDescent="0.25">
      <c r="C81" s="47"/>
      <c r="N81" s="309"/>
      <c r="O81" s="215"/>
      <c r="P81" s="35"/>
      <c r="Q81" s="35"/>
      <c r="R81" s="35"/>
      <c r="S81" s="35"/>
    </row>
    <row r="82" spans="1:20" x14ac:dyDescent="0.25">
      <c r="C82" s="1440" t="s">
        <v>1397</v>
      </c>
      <c r="D82" s="1441"/>
      <c r="E82" s="1441"/>
      <c r="F82" s="1441"/>
      <c r="G82" s="1441"/>
      <c r="H82" s="1441"/>
      <c r="I82" s="1441"/>
      <c r="J82" s="1441"/>
      <c r="K82" s="1441"/>
      <c r="L82" s="1441"/>
      <c r="M82" s="1441"/>
      <c r="N82" s="1441"/>
      <c r="O82" s="1442"/>
      <c r="P82" s="1072"/>
      <c r="Q82" s="1072"/>
      <c r="R82" s="1072"/>
      <c r="S82" s="1072"/>
    </row>
    <row r="83" spans="1:20" x14ac:dyDescent="0.25">
      <c r="C83" s="47" t="s">
        <v>1399</v>
      </c>
      <c r="D83" s="35">
        <f t="shared" ref="D83:O83" si="6">SUM(D43:D57)</f>
        <v>0</v>
      </c>
      <c r="E83" s="35">
        <f t="shared" si="6"/>
        <v>35317</v>
      </c>
      <c r="F83" s="35">
        <f t="shared" si="6"/>
        <v>36033</v>
      </c>
      <c r="G83" s="35">
        <f t="shared" si="6"/>
        <v>21076</v>
      </c>
      <c r="H83" s="35">
        <f t="shared" si="6"/>
        <v>13346</v>
      </c>
      <c r="I83" s="35">
        <f t="shared" si="6"/>
        <v>27508</v>
      </c>
      <c r="J83" s="35">
        <f t="shared" si="6"/>
        <v>35850</v>
      </c>
      <c r="K83" s="35">
        <f t="shared" si="6"/>
        <v>18640</v>
      </c>
      <c r="L83" s="35">
        <f t="shared" si="6"/>
        <v>8394</v>
      </c>
      <c r="M83" s="35">
        <f t="shared" si="6"/>
        <v>7982</v>
      </c>
      <c r="N83" s="35">
        <f t="shared" si="6"/>
        <v>105769</v>
      </c>
      <c r="O83" s="35">
        <f t="shared" si="6"/>
        <v>204144</v>
      </c>
      <c r="P83" s="35"/>
      <c r="Q83" s="35"/>
      <c r="R83" s="35"/>
      <c r="S83" s="35"/>
    </row>
    <row r="84" spans="1:20" x14ac:dyDescent="0.25">
      <c r="C84" s="47" t="s">
        <v>484</v>
      </c>
      <c r="D84" s="35">
        <f>SUM(D58:D59)</f>
        <v>0</v>
      </c>
      <c r="E84" s="35">
        <f t="shared" ref="E84:O84" si="7">SUM(E58:E59)</f>
        <v>-3155</v>
      </c>
      <c r="F84" s="35">
        <f t="shared" si="7"/>
        <v>-2231</v>
      </c>
      <c r="G84" s="35">
        <f t="shared" si="7"/>
        <v>-1608</v>
      </c>
      <c r="H84" s="35">
        <f t="shared" si="7"/>
        <v>-770</v>
      </c>
      <c r="I84" s="35">
        <f t="shared" si="7"/>
        <v>-983</v>
      </c>
      <c r="J84" s="35">
        <f t="shared" si="7"/>
        <v>-1211</v>
      </c>
      <c r="K84" s="35">
        <f t="shared" si="7"/>
        <v>-1471</v>
      </c>
      <c r="L84" s="35">
        <f t="shared" si="7"/>
        <v>-1810</v>
      </c>
      <c r="M84" s="35">
        <f t="shared" si="7"/>
        <v>-2325</v>
      </c>
      <c r="N84" s="35">
        <f t="shared" si="7"/>
        <v>-7767</v>
      </c>
      <c r="O84" s="35">
        <f t="shared" si="7"/>
        <v>-15566</v>
      </c>
      <c r="P84" s="35"/>
      <c r="Q84" s="35"/>
      <c r="R84" s="35"/>
      <c r="S84" s="35"/>
    </row>
    <row r="85" spans="1:20" x14ac:dyDescent="0.25">
      <c r="C85" s="47" t="s">
        <v>239</v>
      </c>
      <c r="D85" s="35">
        <f>SUM(D60:D64)</f>
        <v>0</v>
      </c>
      <c r="E85" s="35">
        <f t="shared" ref="E85:O85" si="8">SUM(E60:E64)</f>
        <v>452</v>
      </c>
      <c r="F85" s="35">
        <f t="shared" si="8"/>
        <v>-8670</v>
      </c>
      <c r="G85" s="35">
        <f t="shared" si="8"/>
        <v>-4527</v>
      </c>
      <c r="H85" s="35">
        <f t="shared" si="8"/>
        <v>-705</v>
      </c>
      <c r="I85" s="35">
        <f t="shared" si="8"/>
        <v>15813</v>
      </c>
      <c r="J85" s="35">
        <f t="shared" si="8"/>
        <v>20372</v>
      </c>
      <c r="K85" s="35">
        <f t="shared" si="8"/>
        <v>24847</v>
      </c>
      <c r="L85" s="35">
        <f t="shared" si="8"/>
        <v>28113</v>
      </c>
      <c r="M85" s="35">
        <f t="shared" si="8"/>
        <v>24777</v>
      </c>
      <c r="N85" s="35">
        <f t="shared" si="8"/>
        <v>-13451</v>
      </c>
      <c r="O85" s="35">
        <f t="shared" si="8"/>
        <v>100468</v>
      </c>
      <c r="P85" s="35"/>
      <c r="Q85" s="35"/>
      <c r="R85" s="35"/>
      <c r="S85" s="35"/>
    </row>
    <row r="87" spans="1:20" x14ac:dyDescent="0.25">
      <c r="A87" s="60" t="s">
        <v>1379</v>
      </c>
    </row>
    <row r="88" spans="1:20" x14ac:dyDescent="0.25">
      <c r="A88" s="1008" t="s">
        <v>1186</v>
      </c>
      <c r="B88" s="1009" t="s">
        <v>1187</v>
      </c>
      <c r="C88" s="1010">
        <v>2022</v>
      </c>
      <c r="D88" s="1010">
        <v>2023</v>
      </c>
      <c r="E88" s="1010">
        <v>2024</v>
      </c>
      <c r="F88" s="1010">
        <v>2025</v>
      </c>
      <c r="G88" s="1010">
        <v>2026</v>
      </c>
      <c r="H88" s="1010">
        <v>2027</v>
      </c>
      <c r="I88" s="1010">
        <v>2028</v>
      </c>
      <c r="J88" s="1010">
        <v>2029</v>
      </c>
      <c r="K88" s="1010">
        <v>2030</v>
      </c>
      <c r="L88" s="1010">
        <v>2031</v>
      </c>
      <c r="M88" s="1011" t="s">
        <v>1188</v>
      </c>
      <c r="N88" s="1011" t="s">
        <v>1189</v>
      </c>
      <c r="O88" s="1012" t="s">
        <v>1190</v>
      </c>
      <c r="P88" s="1012"/>
      <c r="Q88" s="1012"/>
      <c r="R88" s="1012"/>
      <c r="S88" s="1012"/>
      <c r="T88" s="1013" t="s">
        <v>1191</v>
      </c>
    </row>
    <row r="89" spans="1:20" x14ac:dyDescent="0.25">
      <c r="A89" s="1014" t="s">
        <v>1192</v>
      </c>
      <c r="B89" s="1015" t="s">
        <v>1193</v>
      </c>
      <c r="C89" s="1016">
        <v>0</v>
      </c>
      <c r="D89" s="1016">
        <v>3</v>
      </c>
      <c r="E89" s="1016">
        <v>3</v>
      </c>
      <c r="F89" s="1016">
        <v>3</v>
      </c>
      <c r="G89" s="1016">
        <v>3</v>
      </c>
      <c r="H89" s="1016">
        <v>1</v>
      </c>
      <c r="I89" s="1016">
        <v>0</v>
      </c>
      <c r="J89" s="1016">
        <v>0</v>
      </c>
      <c r="K89" s="1016">
        <v>0</v>
      </c>
      <c r="L89" s="1016">
        <v>0</v>
      </c>
      <c r="M89" s="1016">
        <v>12</v>
      </c>
      <c r="N89" s="1016">
        <v>13</v>
      </c>
      <c r="O89" s="1017" t="s">
        <v>1194</v>
      </c>
      <c r="P89" s="1017"/>
      <c r="Q89" s="1017"/>
      <c r="R89" s="1017"/>
      <c r="S89" s="1017"/>
      <c r="T89" s="1018"/>
    </row>
    <row r="90" spans="1:20" ht="24" customHeight="1" x14ac:dyDescent="0.25">
      <c r="A90" s="1014" t="s">
        <v>1195</v>
      </c>
      <c r="B90" s="1015" t="s">
        <v>1196</v>
      </c>
      <c r="C90" s="1016">
        <v>0</v>
      </c>
      <c r="D90" s="1016">
        <v>65</v>
      </c>
      <c r="E90" s="1016">
        <v>1360</v>
      </c>
      <c r="F90" s="1016">
        <v>2430</v>
      </c>
      <c r="G90" s="1016">
        <v>2800</v>
      </c>
      <c r="H90" s="1016">
        <v>1740</v>
      </c>
      <c r="I90" s="1016">
        <v>570</v>
      </c>
      <c r="J90" s="1016">
        <v>35</v>
      </c>
      <c r="K90" s="1016">
        <v>0</v>
      </c>
      <c r="L90" s="1016">
        <v>0</v>
      </c>
      <c r="M90" s="1016">
        <v>6655</v>
      </c>
      <c r="N90" s="1016">
        <v>9000</v>
      </c>
      <c r="O90" s="1017" t="s">
        <v>1194</v>
      </c>
      <c r="P90" s="1017"/>
      <c r="Q90" s="1017"/>
      <c r="R90" s="1017"/>
      <c r="S90" s="1017"/>
      <c r="T90" s="1019"/>
    </row>
    <row r="91" spans="1:20" x14ac:dyDescent="0.25">
      <c r="A91" s="1020" t="s">
        <v>1197</v>
      </c>
      <c r="B91" s="1021" t="s">
        <v>1198</v>
      </c>
      <c r="C91" s="1022">
        <v>0</v>
      </c>
      <c r="D91" s="1022">
        <v>0</v>
      </c>
      <c r="E91" s="1022">
        <v>601</v>
      </c>
      <c r="F91" s="1023">
        <v>1038</v>
      </c>
      <c r="G91" s="1023">
        <v>1251</v>
      </c>
      <c r="H91" s="1023">
        <v>1431</v>
      </c>
      <c r="I91" s="1023">
        <v>1492</v>
      </c>
      <c r="J91" s="1023">
        <v>1530</v>
      </c>
      <c r="K91" s="1023">
        <v>1567</v>
      </c>
      <c r="L91" s="1023">
        <v>1606</v>
      </c>
      <c r="M91" s="1023">
        <v>2890</v>
      </c>
      <c r="N91" s="1023">
        <v>10516</v>
      </c>
      <c r="O91" s="1024" t="s">
        <v>1199</v>
      </c>
      <c r="P91" s="1024"/>
      <c r="Q91" s="1024"/>
      <c r="R91" s="1024"/>
      <c r="S91" s="1024"/>
      <c r="T91" s="1025"/>
    </row>
    <row r="92" spans="1:20" x14ac:dyDescent="0.25">
      <c r="A92" s="1026" t="s">
        <v>1200</v>
      </c>
      <c r="B92" s="1027" t="s">
        <v>1201</v>
      </c>
      <c r="C92" s="1093">
        <v>0</v>
      </c>
      <c r="D92" s="1093">
        <v>30</v>
      </c>
      <c r="E92" s="1093">
        <v>120</v>
      </c>
      <c r="F92" s="1093">
        <v>165</v>
      </c>
      <c r="G92" s="1093">
        <v>370</v>
      </c>
      <c r="H92" s="1093">
        <v>470</v>
      </c>
      <c r="I92" s="1093">
        <v>420</v>
      </c>
      <c r="J92" s="1093">
        <v>285</v>
      </c>
      <c r="K92" s="1093">
        <v>220</v>
      </c>
      <c r="L92" s="1094">
        <v>65</v>
      </c>
      <c r="M92" s="1093">
        <v>685</v>
      </c>
      <c r="N92" s="1028">
        <v>2145</v>
      </c>
      <c r="O92" s="1029" t="s">
        <v>1202</v>
      </c>
      <c r="P92" s="1074"/>
      <c r="Q92" s="1074"/>
      <c r="R92" s="1074"/>
      <c r="S92" s="1074"/>
      <c r="T92" s="1030" t="s">
        <v>1203</v>
      </c>
    </row>
    <row r="93" spans="1:20" x14ac:dyDescent="0.25">
      <c r="A93" s="1014" t="s">
        <v>1204</v>
      </c>
      <c r="B93" s="1015" t="s">
        <v>1205</v>
      </c>
      <c r="C93" s="1016">
        <v>0</v>
      </c>
      <c r="D93" s="1016">
        <v>2</v>
      </c>
      <c r="E93" s="1016">
        <v>10</v>
      </c>
      <c r="F93" s="1016">
        <v>25</v>
      </c>
      <c r="G93" s="1016">
        <v>28</v>
      </c>
      <c r="H93" s="1016">
        <v>17</v>
      </c>
      <c r="I93" s="1016">
        <v>11</v>
      </c>
      <c r="J93" s="1016">
        <v>4</v>
      </c>
      <c r="K93" s="1016">
        <v>2</v>
      </c>
      <c r="L93" s="1016">
        <v>1</v>
      </c>
      <c r="M93" s="1016">
        <v>65</v>
      </c>
      <c r="N93" s="1016">
        <v>100</v>
      </c>
      <c r="O93" s="1017" t="s">
        <v>1202</v>
      </c>
      <c r="P93" s="1017"/>
      <c r="Q93" s="1017"/>
      <c r="R93" s="1017"/>
      <c r="S93" s="1017"/>
      <c r="T93" s="1018" t="s">
        <v>1206</v>
      </c>
    </row>
    <row r="94" spans="1:20" ht="24" customHeight="1" x14ac:dyDescent="0.25">
      <c r="A94" s="1031" t="s">
        <v>1207</v>
      </c>
      <c r="B94" s="1032" t="s">
        <v>1208</v>
      </c>
      <c r="C94" s="1016">
        <v>0</v>
      </c>
      <c r="D94" s="1016">
        <v>36</v>
      </c>
      <c r="E94" s="1016">
        <v>30</v>
      </c>
      <c r="F94" s="1016">
        <v>14</v>
      </c>
      <c r="G94" s="1016">
        <v>7</v>
      </c>
      <c r="H94" s="1016">
        <v>0</v>
      </c>
      <c r="I94" s="1016">
        <v>0</v>
      </c>
      <c r="J94" s="1016">
        <v>0</v>
      </c>
      <c r="K94" s="1016">
        <v>0</v>
      </c>
      <c r="L94" s="1016">
        <v>0</v>
      </c>
      <c r="M94" s="1016">
        <v>87</v>
      </c>
      <c r="N94" s="1016">
        <v>87</v>
      </c>
      <c r="O94" s="1017" t="s">
        <v>1202</v>
      </c>
      <c r="P94" s="1017"/>
      <c r="Q94" s="1017"/>
      <c r="R94" s="1017"/>
      <c r="S94" s="1017"/>
      <c r="T94" s="1018" t="s">
        <v>1209</v>
      </c>
    </row>
    <row r="95" spans="1:20" x14ac:dyDescent="0.25">
      <c r="A95" s="1014" t="s">
        <v>1210</v>
      </c>
      <c r="B95" s="1015" t="s">
        <v>1211</v>
      </c>
      <c r="C95" s="1016">
        <v>0</v>
      </c>
      <c r="D95" s="1033">
        <v>5240</v>
      </c>
      <c r="E95" s="1033">
        <v>4175</v>
      </c>
      <c r="F95" s="1033">
        <v>5215</v>
      </c>
      <c r="G95" s="1033">
        <v>6493</v>
      </c>
      <c r="H95" s="1033">
        <v>7982</v>
      </c>
      <c r="I95" s="1033">
        <v>9820</v>
      </c>
      <c r="J95" s="1033">
        <v>11813</v>
      </c>
      <c r="K95" s="1033">
        <v>14269</v>
      </c>
      <c r="L95" s="1033">
        <v>14605</v>
      </c>
      <c r="M95" s="1033">
        <v>21123</v>
      </c>
      <c r="N95" s="1033">
        <v>79612</v>
      </c>
      <c r="O95" s="1034" t="s">
        <v>1202</v>
      </c>
      <c r="P95" s="1034"/>
      <c r="Q95" s="1034"/>
      <c r="R95" s="1034"/>
      <c r="S95" s="1034"/>
      <c r="T95" s="1018"/>
    </row>
    <row r="96" spans="1:20" x14ac:dyDescent="0.25">
      <c r="A96" s="1014" t="s">
        <v>1212</v>
      </c>
      <c r="B96" s="1015" t="s">
        <v>1213</v>
      </c>
      <c r="C96" s="1035">
        <v>0</v>
      </c>
      <c r="D96" s="1035">
        <v>55</v>
      </c>
      <c r="E96" s="1035">
        <v>55</v>
      </c>
      <c r="F96" s="1035">
        <v>55</v>
      </c>
      <c r="G96" s="1035">
        <v>55</v>
      </c>
      <c r="H96" s="1035">
        <v>55</v>
      </c>
      <c r="I96" s="1035">
        <v>55</v>
      </c>
      <c r="J96" s="1035">
        <v>55</v>
      </c>
      <c r="K96" s="1035">
        <v>55</v>
      </c>
      <c r="L96" s="1035">
        <v>55</v>
      </c>
      <c r="M96" s="1035">
        <v>220</v>
      </c>
      <c r="N96" s="1035">
        <v>495</v>
      </c>
      <c r="O96" s="1036" t="s">
        <v>1202</v>
      </c>
      <c r="P96" s="1036"/>
      <c r="Q96" s="1036"/>
      <c r="R96" s="1036"/>
      <c r="S96" s="1036"/>
      <c r="T96" s="1019"/>
    </row>
    <row r="97" spans="1:20" x14ac:dyDescent="0.25">
      <c r="A97" s="1014" t="s">
        <v>1214</v>
      </c>
      <c r="B97" s="1015" t="s">
        <v>1215</v>
      </c>
      <c r="C97" s="1016">
        <v>0</v>
      </c>
      <c r="D97" s="1016">
        <v>19</v>
      </c>
      <c r="E97" s="1016">
        <v>26</v>
      </c>
      <c r="F97" s="1016">
        <v>27</v>
      </c>
      <c r="G97" s="1016">
        <v>17</v>
      </c>
      <c r="H97" s="1016">
        <v>7</v>
      </c>
      <c r="I97" s="1016">
        <v>3</v>
      </c>
      <c r="J97" s="1016">
        <v>1</v>
      </c>
      <c r="K97" s="1016">
        <v>0</v>
      </c>
      <c r="L97" s="1016">
        <v>0</v>
      </c>
      <c r="M97" s="1016">
        <v>89</v>
      </c>
      <c r="N97" s="1016">
        <v>100</v>
      </c>
      <c r="O97" s="1034" t="s">
        <v>1202</v>
      </c>
      <c r="P97" s="1034"/>
      <c r="Q97" s="1034"/>
      <c r="R97" s="1034"/>
      <c r="S97" s="1034"/>
      <c r="T97" s="1019"/>
    </row>
    <row r="98" spans="1:20" x14ac:dyDescent="0.25">
      <c r="A98" s="1014" t="s">
        <v>1216</v>
      </c>
      <c r="B98" s="1015" t="s">
        <v>1217</v>
      </c>
      <c r="C98" s="1016">
        <v>0</v>
      </c>
      <c r="D98" s="1016">
        <v>15</v>
      </c>
      <c r="E98" s="1016">
        <v>15</v>
      </c>
      <c r="F98" s="1016">
        <v>15</v>
      </c>
      <c r="G98" s="1016">
        <v>10</v>
      </c>
      <c r="H98" s="1016">
        <v>10</v>
      </c>
      <c r="I98" s="1016">
        <v>10</v>
      </c>
      <c r="J98" s="1016">
        <v>10</v>
      </c>
      <c r="K98" s="1016">
        <v>10</v>
      </c>
      <c r="L98" s="1016">
        <v>5</v>
      </c>
      <c r="M98" s="1016">
        <v>55</v>
      </c>
      <c r="N98" s="1016">
        <v>100</v>
      </c>
      <c r="O98" s="1017" t="s">
        <v>1202</v>
      </c>
      <c r="P98" s="1017"/>
      <c r="Q98" s="1017"/>
      <c r="R98" s="1017"/>
      <c r="S98" s="1017"/>
      <c r="T98" s="1019"/>
    </row>
    <row r="99" spans="1:20" ht="36" customHeight="1" x14ac:dyDescent="0.25">
      <c r="A99" s="1014" t="s">
        <v>1218</v>
      </c>
      <c r="B99" s="1015" t="s">
        <v>1219</v>
      </c>
      <c r="C99" s="1037">
        <v>0</v>
      </c>
      <c r="D99" s="1037">
        <v>22</v>
      </c>
      <c r="E99" s="1037">
        <v>96</v>
      </c>
      <c r="F99" s="1037">
        <v>170</v>
      </c>
      <c r="G99" s="1037">
        <v>213</v>
      </c>
      <c r="H99" s="1037">
        <v>160</v>
      </c>
      <c r="I99" s="1037">
        <v>47</v>
      </c>
      <c r="J99" s="1037">
        <v>2</v>
      </c>
      <c r="K99" s="1037">
        <v>0</v>
      </c>
      <c r="L99" s="1037">
        <v>0</v>
      </c>
      <c r="M99" s="1037">
        <v>501</v>
      </c>
      <c r="N99" s="1037">
        <v>710</v>
      </c>
      <c r="O99" s="1016" t="s">
        <v>1202</v>
      </c>
      <c r="P99" s="1016"/>
      <c r="Q99" s="1016"/>
      <c r="R99" s="1016"/>
      <c r="S99" s="1016"/>
      <c r="T99" s="1019"/>
    </row>
    <row r="100" spans="1:20" ht="36" customHeight="1" x14ac:dyDescent="0.25">
      <c r="A100" s="1014" t="s">
        <v>1220</v>
      </c>
      <c r="B100" s="1015" t="s">
        <v>1221</v>
      </c>
      <c r="C100" s="1038"/>
      <c r="D100" s="1038">
        <v>90</v>
      </c>
      <c r="E100" s="1038">
        <v>260</v>
      </c>
      <c r="F100" s="1038">
        <v>427</v>
      </c>
      <c r="G100" s="1038">
        <v>560</v>
      </c>
      <c r="H100" s="1038">
        <v>572</v>
      </c>
      <c r="I100" s="1038">
        <v>534</v>
      </c>
      <c r="J100" s="1038">
        <v>275</v>
      </c>
      <c r="K100" s="1038">
        <v>162</v>
      </c>
      <c r="L100" s="1038">
        <v>70</v>
      </c>
      <c r="M100" s="1038">
        <v>1347</v>
      </c>
      <c r="N100" s="1038">
        <v>2960</v>
      </c>
      <c r="O100" s="1039" t="s">
        <v>1202</v>
      </c>
      <c r="P100" s="1039"/>
      <c r="Q100" s="1039"/>
      <c r="R100" s="1039"/>
      <c r="S100" s="1039"/>
      <c r="T100" s="1019"/>
    </row>
    <row r="101" spans="1:20" x14ac:dyDescent="0.25">
      <c r="A101" s="1014" t="s">
        <v>1222</v>
      </c>
      <c r="B101" s="1015" t="s">
        <v>1223</v>
      </c>
      <c r="C101" s="1016">
        <v>0</v>
      </c>
      <c r="D101" s="1016">
        <v>40</v>
      </c>
      <c r="E101" s="1016">
        <v>60</v>
      </c>
      <c r="F101" s="1016">
        <v>52</v>
      </c>
      <c r="G101" s="1016">
        <v>40</v>
      </c>
      <c r="H101" s="1016">
        <v>27</v>
      </c>
      <c r="I101" s="1016">
        <v>19</v>
      </c>
      <c r="J101" s="1016">
        <v>10</v>
      </c>
      <c r="K101" s="1016">
        <v>2</v>
      </c>
      <c r="L101" s="1016">
        <v>0</v>
      </c>
      <c r="M101" s="1016">
        <v>192</v>
      </c>
      <c r="N101" s="1016">
        <v>250</v>
      </c>
      <c r="O101" s="1017" t="s">
        <v>1202</v>
      </c>
      <c r="P101" s="1017"/>
      <c r="Q101" s="1017"/>
      <c r="R101" s="1017"/>
      <c r="S101" s="1017"/>
      <c r="T101" s="1019"/>
    </row>
    <row r="102" spans="1:20" x14ac:dyDescent="0.25">
      <c r="A102" s="1031" t="s">
        <v>1224</v>
      </c>
      <c r="B102" s="1032" t="s">
        <v>1225</v>
      </c>
      <c r="C102" s="1016">
        <v>0</v>
      </c>
      <c r="D102" s="1016">
        <v>49</v>
      </c>
      <c r="E102" s="1016">
        <v>62</v>
      </c>
      <c r="F102" s="1016">
        <v>62</v>
      </c>
      <c r="G102" s="1016">
        <v>62</v>
      </c>
      <c r="H102" s="1016">
        <v>63</v>
      </c>
      <c r="I102" s="1016">
        <v>63</v>
      </c>
      <c r="J102" s="1016">
        <v>63</v>
      </c>
      <c r="K102" s="1016">
        <v>64</v>
      </c>
      <c r="L102" s="1016">
        <v>12</v>
      </c>
      <c r="M102" s="1016">
        <v>235</v>
      </c>
      <c r="N102" s="1016">
        <v>500</v>
      </c>
      <c r="O102" s="1017" t="s">
        <v>1202</v>
      </c>
      <c r="P102" s="1017"/>
      <c r="Q102" s="1017"/>
      <c r="R102" s="1017"/>
      <c r="S102" s="1017"/>
      <c r="T102" s="1019"/>
    </row>
    <row r="103" spans="1:20" x14ac:dyDescent="0.25">
      <c r="A103" s="1014" t="s">
        <v>1226</v>
      </c>
      <c r="B103" s="1015" t="s">
        <v>1227</v>
      </c>
      <c r="C103" s="1016">
        <v>0</v>
      </c>
      <c r="D103" s="1016">
        <v>0</v>
      </c>
      <c r="E103" s="1016">
        <v>0</v>
      </c>
      <c r="F103" s="1016">
        <v>0</v>
      </c>
      <c r="G103" s="1016">
        <v>-20</v>
      </c>
      <c r="H103" s="1016">
        <v>-28</v>
      </c>
      <c r="I103" s="1016">
        <v>-28</v>
      </c>
      <c r="J103" s="1016">
        <v>-28</v>
      </c>
      <c r="K103" s="1016">
        <v>-28</v>
      </c>
      <c r="L103" s="1016">
        <v>-28</v>
      </c>
      <c r="M103" s="1016">
        <v>-20</v>
      </c>
      <c r="N103" s="1016">
        <v>-160</v>
      </c>
      <c r="O103" s="1017" t="s">
        <v>1202</v>
      </c>
      <c r="P103" s="1017"/>
      <c r="Q103" s="1017"/>
      <c r="R103" s="1017"/>
      <c r="S103" s="1017"/>
      <c r="T103" s="1019"/>
    </row>
    <row r="104" spans="1:20" ht="24" customHeight="1" x14ac:dyDescent="0.25">
      <c r="A104" s="1014" t="s">
        <v>1228</v>
      </c>
      <c r="B104" s="1015" t="s">
        <v>1229</v>
      </c>
      <c r="C104" s="1016">
        <v>0</v>
      </c>
      <c r="D104" s="1016">
        <v>-235</v>
      </c>
      <c r="E104" s="1016">
        <v>-44</v>
      </c>
      <c r="F104" s="1016">
        <v>-22</v>
      </c>
      <c r="G104" s="1016">
        <v>-26</v>
      </c>
      <c r="H104" s="1016">
        <v>-23</v>
      </c>
      <c r="I104" s="1016">
        <v>-19</v>
      </c>
      <c r="J104" s="1016">
        <v>-41</v>
      </c>
      <c r="K104" s="1016">
        <v>-35</v>
      </c>
      <c r="L104" s="1016">
        <v>-39</v>
      </c>
      <c r="M104" s="1016">
        <v>-327</v>
      </c>
      <c r="N104" s="1016">
        <v>-484</v>
      </c>
      <c r="O104" s="1017" t="s">
        <v>1202</v>
      </c>
      <c r="P104" s="1017"/>
      <c r="Q104" s="1017"/>
      <c r="R104" s="1017"/>
      <c r="S104" s="1017"/>
      <c r="T104" s="1019"/>
    </row>
    <row r="105" spans="1:20" x14ac:dyDescent="0.25">
      <c r="A105" s="1014" t="s">
        <v>1230</v>
      </c>
      <c r="B105" s="1015" t="s">
        <v>1231</v>
      </c>
      <c r="C105" s="1016">
        <v>0</v>
      </c>
      <c r="D105" s="1016">
        <v>7</v>
      </c>
      <c r="E105" s="1016">
        <v>8</v>
      </c>
      <c r="F105" s="1016">
        <v>6</v>
      </c>
      <c r="G105" s="1016">
        <v>2</v>
      </c>
      <c r="H105" s="1016">
        <v>1</v>
      </c>
      <c r="I105" s="1016">
        <v>0</v>
      </c>
      <c r="J105" s="1016">
        <v>0</v>
      </c>
      <c r="K105" s="1016">
        <v>0</v>
      </c>
      <c r="L105" s="1016">
        <v>0</v>
      </c>
      <c r="M105" s="1016">
        <v>23</v>
      </c>
      <c r="N105" s="1016">
        <v>24</v>
      </c>
      <c r="O105" s="1017" t="s">
        <v>1202</v>
      </c>
      <c r="P105" s="1017"/>
      <c r="Q105" s="1017"/>
      <c r="R105" s="1017"/>
      <c r="S105" s="1017"/>
      <c r="T105" s="1019"/>
    </row>
    <row r="106" spans="1:20" ht="36" customHeight="1" x14ac:dyDescent="0.25">
      <c r="A106" s="1014" t="s">
        <v>1232</v>
      </c>
      <c r="B106" s="1015" t="s">
        <v>1233</v>
      </c>
      <c r="C106" s="1016">
        <v>0</v>
      </c>
      <c r="D106" s="1016">
        <v>50</v>
      </c>
      <c r="E106" s="1016">
        <v>77</v>
      </c>
      <c r="F106" s="1016">
        <v>87</v>
      </c>
      <c r="G106" s="1016">
        <v>81</v>
      </c>
      <c r="H106" s="1016">
        <v>50</v>
      </c>
      <c r="I106" s="1016">
        <v>30</v>
      </c>
      <c r="J106" s="1016">
        <v>10</v>
      </c>
      <c r="K106" s="1016">
        <v>0</v>
      </c>
      <c r="L106" s="1016">
        <v>0</v>
      </c>
      <c r="M106" s="1016">
        <v>295</v>
      </c>
      <c r="N106" s="1016">
        <v>385</v>
      </c>
      <c r="O106" s="1017" t="s">
        <v>1202</v>
      </c>
      <c r="P106" s="1017"/>
      <c r="Q106" s="1017"/>
      <c r="R106" s="1017"/>
      <c r="S106" s="1017"/>
      <c r="T106" s="1019"/>
    </row>
    <row r="107" spans="1:20" x14ac:dyDescent="0.25">
      <c r="A107" s="1031" t="s">
        <v>1234</v>
      </c>
      <c r="B107" s="1032" t="s">
        <v>1235</v>
      </c>
      <c r="C107" s="1016">
        <v>0</v>
      </c>
      <c r="D107" s="1016">
        <v>3</v>
      </c>
      <c r="E107" s="1016">
        <v>2</v>
      </c>
      <c r="F107" s="1016">
        <v>0</v>
      </c>
      <c r="G107" s="1016">
        <v>0</v>
      </c>
      <c r="H107" s="1016">
        <v>0</v>
      </c>
      <c r="I107" s="1016">
        <v>0</v>
      </c>
      <c r="J107" s="1016">
        <v>0</v>
      </c>
      <c r="K107" s="1016">
        <v>0</v>
      </c>
      <c r="L107" s="1016">
        <v>0</v>
      </c>
      <c r="M107" s="1016">
        <v>5</v>
      </c>
      <c r="N107" s="1016">
        <v>5</v>
      </c>
      <c r="O107" s="1017" t="s">
        <v>1236</v>
      </c>
      <c r="P107" s="1017"/>
      <c r="Q107" s="1017"/>
      <c r="R107" s="1017"/>
      <c r="S107" s="1017"/>
      <c r="T107" s="1019"/>
    </row>
    <row r="108" spans="1:20" x14ac:dyDescent="0.25">
      <c r="A108" s="1031" t="s">
        <v>1237</v>
      </c>
      <c r="B108" s="1032" t="s">
        <v>1238</v>
      </c>
      <c r="C108" s="1016">
        <v>0</v>
      </c>
      <c r="D108" s="1016">
        <v>70</v>
      </c>
      <c r="E108" s="1016">
        <v>80</v>
      </c>
      <c r="F108" s="1016">
        <v>62</v>
      </c>
      <c r="G108" s="1016">
        <v>25</v>
      </c>
      <c r="H108" s="1016">
        <v>13</v>
      </c>
      <c r="I108" s="1016">
        <v>0</v>
      </c>
      <c r="J108" s="1016">
        <v>0</v>
      </c>
      <c r="K108" s="1016">
        <v>0</v>
      </c>
      <c r="L108" s="1016">
        <v>0</v>
      </c>
      <c r="M108" s="1016">
        <v>237</v>
      </c>
      <c r="N108" s="1016">
        <v>250</v>
      </c>
      <c r="O108" s="1017" t="s">
        <v>1236</v>
      </c>
      <c r="P108" s="1017"/>
      <c r="Q108" s="1017"/>
      <c r="R108" s="1017"/>
      <c r="S108" s="1017"/>
      <c r="T108" s="1019"/>
    </row>
    <row r="109" spans="1:20" ht="24" customHeight="1" x14ac:dyDescent="0.25">
      <c r="A109" s="1031" t="s">
        <v>1239</v>
      </c>
      <c r="B109" s="1032" t="s">
        <v>1240</v>
      </c>
      <c r="C109" s="1035">
        <v>0</v>
      </c>
      <c r="D109" s="1035">
        <v>33</v>
      </c>
      <c r="E109" s="1035">
        <v>54</v>
      </c>
      <c r="F109" s="1035">
        <v>37</v>
      </c>
      <c r="G109" s="1035">
        <v>16</v>
      </c>
      <c r="H109" s="1035">
        <v>0</v>
      </c>
      <c r="I109" s="1035">
        <v>0</v>
      </c>
      <c r="J109" s="1035">
        <v>0</v>
      </c>
      <c r="K109" s="1035">
        <v>0</v>
      </c>
      <c r="L109" s="1035">
        <v>0</v>
      </c>
      <c r="M109" s="1035">
        <v>140</v>
      </c>
      <c r="N109" s="1035">
        <v>140</v>
      </c>
      <c r="O109" s="1017" t="s">
        <v>1202</v>
      </c>
      <c r="P109" s="1017"/>
      <c r="Q109" s="1017"/>
      <c r="R109" s="1017"/>
      <c r="S109" s="1017"/>
      <c r="T109" s="1019"/>
    </row>
    <row r="110" spans="1:20" x14ac:dyDescent="0.25">
      <c r="A110" s="1014" t="s">
        <v>1241</v>
      </c>
      <c r="B110" s="1015" t="s">
        <v>1242</v>
      </c>
      <c r="C110" s="1016">
        <v>0</v>
      </c>
      <c r="D110" s="1016">
        <v>40</v>
      </c>
      <c r="E110" s="1016">
        <v>40</v>
      </c>
      <c r="F110" s="1016">
        <v>30</v>
      </c>
      <c r="G110" s="1016">
        <v>10</v>
      </c>
      <c r="H110" s="1016">
        <v>5</v>
      </c>
      <c r="I110" s="1016">
        <v>0</v>
      </c>
      <c r="J110" s="1016">
        <v>0</v>
      </c>
      <c r="K110" s="1016">
        <v>0</v>
      </c>
      <c r="L110" s="1016">
        <v>0</v>
      </c>
      <c r="M110" s="1016">
        <v>120</v>
      </c>
      <c r="N110" s="1016">
        <v>125</v>
      </c>
      <c r="O110" s="1017" t="s">
        <v>1202</v>
      </c>
      <c r="P110" s="1017"/>
      <c r="Q110" s="1017"/>
      <c r="R110" s="1017"/>
      <c r="S110" s="1017"/>
      <c r="T110" s="1019"/>
    </row>
    <row r="111" spans="1:20" x14ac:dyDescent="0.25">
      <c r="A111" s="1031" t="s">
        <v>1243</v>
      </c>
      <c r="B111" s="1015" t="s">
        <v>1244</v>
      </c>
      <c r="C111" s="1016">
        <v>0</v>
      </c>
      <c r="D111" s="1016">
        <v>5</v>
      </c>
      <c r="E111" s="1016">
        <v>8</v>
      </c>
      <c r="F111" s="1016">
        <v>8</v>
      </c>
      <c r="G111" s="1016">
        <v>8</v>
      </c>
      <c r="H111" s="1016">
        <v>4</v>
      </c>
      <c r="I111" s="1016">
        <v>0</v>
      </c>
      <c r="J111" s="1016">
        <v>0</v>
      </c>
      <c r="K111" s="1016">
        <v>0</v>
      </c>
      <c r="L111" s="1016">
        <v>0</v>
      </c>
      <c r="M111" s="1016">
        <v>29</v>
      </c>
      <c r="N111" s="1016">
        <v>33</v>
      </c>
      <c r="O111" s="1017" t="s">
        <v>1202</v>
      </c>
      <c r="P111" s="1017"/>
      <c r="Q111" s="1017"/>
      <c r="R111" s="1017"/>
      <c r="S111" s="1017"/>
      <c r="T111" s="1019"/>
    </row>
    <row r="112" spans="1:20" x14ac:dyDescent="0.25">
      <c r="A112" s="1014" t="s">
        <v>1245</v>
      </c>
      <c r="B112" s="1032" t="s">
        <v>1246</v>
      </c>
      <c r="C112" s="1016">
        <v>0</v>
      </c>
      <c r="D112" s="1016">
        <v>3</v>
      </c>
      <c r="E112" s="1016">
        <v>8</v>
      </c>
      <c r="F112" s="1016">
        <v>8</v>
      </c>
      <c r="G112" s="1016">
        <v>8</v>
      </c>
      <c r="H112" s="1016">
        <v>3</v>
      </c>
      <c r="I112" s="1016">
        <v>0</v>
      </c>
      <c r="J112" s="1016">
        <v>0</v>
      </c>
      <c r="K112" s="1016">
        <v>0</v>
      </c>
      <c r="L112" s="1016">
        <v>0</v>
      </c>
      <c r="M112" s="1016">
        <v>27</v>
      </c>
      <c r="N112" s="1016">
        <v>30</v>
      </c>
      <c r="O112" s="1017" t="s">
        <v>1202</v>
      </c>
      <c r="P112" s="1017"/>
      <c r="Q112" s="1017"/>
      <c r="R112" s="1017"/>
      <c r="S112" s="1017"/>
      <c r="T112" s="1019"/>
    </row>
    <row r="113" spans="1:20" ht="24" customHeight="1" x14ac:dyDescent="0.25">
      <c r="A113" s="1014" t="s">
        <v>1247</v>
      </c>
      <c r="B113" s="1015" t="s">
        <v>1248</v>
      </c>
      <c r="C113" s="1035">
        <v>0</v>
      </c>
      <c r="D113" s="1035">
        <v>165</v>
      </c>
      <c r="E113" s="1035">
        <v>165</v>
      </c>
      <c r="F113" s="1035">
        <v>230</v>
      </c>
      <c r="G113" s="1035">
        <v>340</v>
      </c>
      <c r="H113" s="1035">
        <v>490</v>
      </c>
      <c r="I113" s="1035">
        <v>540</v>
      </c>
      <c r="J113" s="1035">
        <v>640</v>
      </c>
      <c r="K113" s="1035">
        <v>475</v>
      </c>
      <c r="L113" s="1035">
        <v>330</v>
      </c>
      <c r="M113" s="1035">
        <v>900</v>
      </c>
      <c r="N113" s="1035">
        <v>3375</v>
      </c>
      <c r="O113" s="1034" t="s">
        <v>1202</v>
      </c>
      <c r="P113" s="1034"/>
      <c r="Q113" s="1034"/>
      <c r="R113" s="1034"/>
      <c r="S113" s="1034"/>
      <c r="T113" s="1019"/>
    </row>
    <row r="114" spans="1:20" ht="24" customHeight="1" x14ac:dyDescent="0.25">
      <c r="A114" s="1040" t="s">
        <v>1218</v>
      </c>
      <c r="B114" s="1041" t="s">
        <v>1249</v>
      </c>
      <c r="C114" s="1016">
        <v>0</v>
      </c>
      <c r="D114" s="1016">
        <v>195</v>
      </c>
      <c r="E114" s="1016">
        <v>448</v>
      </c>
      <c r="F114" s="1016">
        <v>641</v>
      </c>
      <c r="G114" s="1016">
        <v>716</v>
      </c>
      <c r="H114" s="1016">
        <v>681</v>
      </c>
      <c r="I114" s="1016">
        <v>528</v>
      </c>
      <c r="J114" s="1016">
        <v>421</v>
      </c>
      <c r="K114" s="1016">
        <v>323</v>
      </c>
      <c r="L114" s="1016">
        <v>23</v>
      </c>
      <c r="M114" s="1033">
        <v>2000</v>
      </c>
      <c r="N114" s="1033">
        <v>3976</v>
      </c>
      <c r="O114" s="1034" t="s">
        <v>1202</v>
      </c>
      <c r="P114" s="1034"/>
      <c r="Q114" s="1034"/>
      <c r="R114" s="1034"/>
      <c r="S114" s="1034"/>
      <c r="T114" s="1042"/>
    </row>
    <row r="115" spans="1:20" ht="30" customHeight="1" x14ac:dyDescent="0.25">
      <c r="A115" s="1026" t="s">
        <v>1250</v>
      </c>
      <c r="B115" s="1027" t="s">
        <v>1251</v>
      </c>
      <c r="C115" s="1043">
        <v>0</v>
      </c>
      <c r="D115" s="1043">
        <v>20</v>
      </c>
      <c r="E115" s="1043">
        <v>57</v>
      </c>
      <c r="F115" s="1043">
        <v>96</v>
      </c>
      <c r="G115" s="1043">
        <v>150</v>
      </c>
      <c r="H115" s="1043">
        <v>200</v>
      </c>
      <c r="I115" s="1043">
        <v>185</v>
      </c>
      <c r="J115" s="1043">
        <v>147</v>
      </c>
      <c r="K115" s="1043">
        <v>106</v>
      </c>
      <c r="L115" s="1043">
        <v>39</v>
      </c>
      <c r="M115" s="1043">
        <v>323</v>
      </c>
      <c r="N115" s="1044">
        <v>1000</v>
      </c>
      <c r="O115" s="1045" t="s">
        <v>1252</v>
      </c>
      <c r="P115" s="1075"/>
      <c r="Q115" s="1075"/>
      <c r="R115" s="1075"/>
      <c r="S115" s="1075"/>
      <c r="T115" s="1046" t="s">
        <v>1253</v>
      </c>
    </row>
    <row r="116" spans="1:20" x14ac:dyDescent="0.25">
      <c r="A116" s="1031" t="s">
        <v>1254</v>
      </c>
      <c r="B116" s="1015" t="s">
        <v>1255</v>
      </c>
      <c r="C116" s="1016">
        <v>0</v>
      </c>
      <c r="D116" s="1016">
        <v>15</v>
      </c>
      <c r="E116" s="1016">
        <v>53</v>
      </c>
      <c r="F116" s="1016">
        <v>57</v>
      </c>
      <c r="G116" s="1016">
        <v>48</v>
      </c>
      <c r="H116" s="1016">
        <v>43</v>
      </c>
      <c r="I116" s="1016">
        <v>17</v>
      </c>
      <c r="J116" s="1016">
        <v>2</v>
      </c>
      <c r="K116" s="1016">
        <v>0</v>
      </c>
      <c r="L116" s="1016">
        <v>0</v>
      </c>
      <c r="M116" s="1016">
        <v>173</v>
      </c>
      <c r="N116" s="1016">
        <v>235</v>
      </c>
      <c r="O116" s="1017" t="s">
        <v>1256</v>
      </c>
      <c r="P116" s="1017"/>
      <c r="Q116" s="1017"/>
      <c r="R116" s="1017"/>
      <c r="S116" s="1017"/>
      <c r="T116" s="1018" t="s">
        <v>1257</v>
      </c>
    </row>
    <row r="117" spans="1:20" x14ac:dyDescent="0.25">
      <c r="A117" s="1014" t="s">
        <v>1258</v>
      </c>
      <c r="B117" s="1015" t="s">
        <v>1259</v>
      </c>
      <c r="C117" s="1016">
        <v>0</v>
      </c>
      <c r="D117" s="1016">
        <v>15</v>
      </c>
      <c r="E117" s="1016">
        <v>53</v>
      </c>
      <c r="F117" s="1016">
        <v>57</v>
      </c>
      <c r="G117" s="1016">
        <v>48</v>
      </c>
      <c r="H117" s="1016">
        <v>43</v>
      </c>
      <c r="I117" s="1016">
        <v>17</v>
      </c>
      <c r="J117" s="1016">
        <v>2</v>
      </c>
      <c r="K117" s="1016">
        <v>0</v>
      </c>
      <c r="L117" s="1016">
        <v>0</v>
      </c>
      <c r="M117" s="1016">
        <v>173</v>
      </c>
      <c r="N117" s="1016">
        <v>235</v>
      </c>
      <c r="O117" s="1017" t="s">
        <v>1256</v>
      </c>
      <c r="P117" s="1017"/>
      <c r="Q117" s="1017"/>
      <c r="R117" s="1017"/>
      <c r="S117" s="1017"/>
      <c r="T117" s="1018" t="s">
        <v>1257</v>
      </c>
    </row>
    <row r="118" spans="1:20" x14ac:dyDescent="0.25">
      <c r="A118" s="1031" t="s">
        <v>1260</v>
      </c>
      <c r="B118" s="1032" t="s">
        <v>1261</v>
      </c>
      <c r="C118" s="1016">
        <v>0</v>
      </c>
      <c r="D118" s="1016">
        <v>42</v>
      </c>
      <c r="E118" s="1016">
        <v>18</v>
      </c>
      <c r="F118" s="1016">
        <v>0</v>
      </c>
      <c r="G118" s="1016">
        <v>0</v>
      </c>
      <c r="H118" s="1016">
        <v>0</v>
      </c>
      <c r="I118" s="1016">
        <v>0</v>
      </c>
      <c r="J118" s="1016">
        <v>0</v>
      </c>
      <c r="K118" s="1016">
        <v>0</v>
      </c>
      <c r="L118" s="1016">
        <v>0</v>
      </c>
      <c r="M118" s="1016">
        <v>60</v>
      </c>
      <c r="N118" s="1016">
        <v>60</v>
      </c>
      <c r="O118" s="1017" t="s">
        <v>1252</v>
      </c>
      <c r="P118" s="1017"/>
      <c r="Q118" s="1017"/>
      <c r="R118" s="1017"/>
      <c r="S118" s="1017"/>
      <c r="T118" s="1019" t="s">
        <v>1262</v>
      </c>
    </row>
    <row r="119" spans="1:20" x14ac:dyDescent="0.25">
      <c r="A119" s="1014" t="s">
        <v>1263</v>
      </c>
      <c r="B119" s="1015" t="s">
        <v>1264</v>
      </c>
      <c r="C119" s="1016">
        <v>0</v>
      </c>
      <c r="D119" s="1016">
        <v>2</v>
      </c>
      <c r="E119" s="1016">
        <v>13</v>
      </c>
      <c r="F119" s="1016">
        <v>26</v>
      </c>
      <c r="G119" s="1016">
        <v>30</v>
      </c>
      <c r="H119" s="1016">
        <v>24</v>
      </c>
      <c r="I119" s="1016">
        <v>0</v>
      </c>
      <c r="J119" s="1016">
        <v>0</v>
      </c>
      <c r="K119" s="1016">
        <v>0</v>
      </c>
      <c r="L119" s="1016">
        <v>0</v>
      </c>
      <c r="M119" s="1016">
        <v>71</v>
      </c>
      <c r="N119" s="1016">
        <v>95</v>
      </c>
      <c r="O119" s="1017" t="s">
        <v>1252</v>
      </c>
      <c r="P119" s="1017"/>
      <c r="Q119" s="1017"/>
      <c r="R119" s="1017"/>
      <c r="S119" s="1017"/>
      <c r="T119" s="1018" t="s">
        <v>1265</v>
      </c>
    </row>
    <row r="120" spans="1:20" ht="36" customHeight="1" x14ac:dyDescent="0.25">
      <c r="A120" s="1014" t="s">
        <v>1266</v>
      </c>
      <c r="B120" s="1015" t="s">
        <v>1267</v>
      </c>
      <c r="C120" s="1016">
        <v>0</v>
      </c>
      <c r="D120" s="1016">
        <v>3</v>
      </c>
      <c r="E120" s="1016">
        <v>19</v>
      </c>
      <c r="F120" s="1016">
        <v>67</v>
      </c>
      <c r="G120" s="1016">
        <v>86</v>
      </c>
      <c r="H120" s="1016">
        <v>59</v>
      </c>
      <c r="I120" s="1016">
        <v>35</v>
      </c>
      <c r="J120" s="1016">
        <v>19</v>
      </c>
      <c r="K120" s="1016">
        <v>6</v>
      </c>
      <c r="L120" s="1016">
        <v>0</v>
      </c>
      <c r="M120" s="1016">
        <v>175</v>
      </c>
      <c r="N120" s="1016">
        <v>294</v>
      </c>
      <c r="O120" s="1017" t="s">
        <v>1252</v>
      </c>
      <c r="P120" s="1017"/>
      <c r="Q120" s="1017"/>
      <c r="R120" s="1017"/>
      <c r="S120" s="1017"/>
      <c r="T120" s="1042" t="s">
        <v>1268</v>
      </c>
    </row>
    <row r="121" spans="1:20" x14ac:dyDescent="0.25">
      <c r="A121" s="1014" t="s">
        <v>1269</v>
      </c>
      <c r="B121" s="1015" t="s">
        <v>1270</v>
      </c>
      <c r="C121" s="1016">
        <v>0</v>
      </c>
      <c r="D121" s="1016">
        <v>65</v>
      </c>
      <c r="E121" s="1016">
        <v>150</v>
      </c>
      <c r="F121" s="1016">
        <v>290</v>
      </c>
      <c r="G121" s="1016">
        <v>290</v>
      </c>
      <c r="H121" s="1016">
        <v>290</v>
      </c>
      <c r="I121" s="1016">
        <v>285</v>
      </c>
      <c r="J121" s="1016">
        <v>250</v>
      </c>
      <c r="K121" s="1016">
        <v>220</v>
      </c>
      <c r="L121" s="1016">
        <v>160</v>
      </c>
      <c r="M121" s="1016">
        <v>795</v>
      </c>
      <c r="N121" s="1033">
        <v>2000</v>
      </c>
      <c r="O121" s="1017" t="s">
        <v>1252</v>
      </c>
      <c r="P121" s="1017"/>
      <c r="Q121" s="1017"/>
      <c r="R121" s="1017"/>
      <c r="S121" s="1017"/>
      <c r="T121" s="1019"/>
    </row>
    <row r="122" spans="1:20" x14ac:dyDescent="0.25">
      <c r="A122" s="1014" t="s">
        <v>1271</v>
      </c>
      <c r="B122" s="1015" t="s">
        <v>1272</v>
      </c>
      <c r="C122" s="1016">
        <v>0</v>
      </c>
      <c r="D122" s="1016">
        <v>5</v>
      </c>
      <c r="E122" s="1016">
        <v>20</v>
      </c>
      <c r="F122" s="1016">
        <v>65</v>
      </c>
      <c r="G122" s="1016">
        <v>105</v>
      </c>
      <c r="H122" s="1016">
        <v>140</v>
      </c>
      <c r="I122" s="1016">
        <v>175</v>
      </c>
      <c r="J122" s="1016">
        <v>210</v>
      </c>
      <c r="K122" s="1016">
        <v>150</v>
      </c>
      <c r="L122" s="1016">
        <v>35</v>
      </c>
      <c r="M122" s="1016">
        <v>195</v>
      </c>
      <c r="N122" s="1016">
        <v>905</v>
      </c>
      <c r="O122" s="1047" t="s">
        <v>1252</v>
      </c>
      <c r="P122" s="1047"/>
      <c r="Q122" s="1047"/>
      <c r="R122" s="1047"/>
      <c r="S122" s="1047"/>
      <c r="T122" s="1048"/>
    </row>
    <row r="123" spans="1:20" x14ac:dyDescent="0.25">
      <c r="A123" s="1014" t="s">
        <v>1273</v>
      </c>
      <c r="B123" s="1015" t="s">
        <v>1274</v>
      </c>
      <c r="C123" s="1016">
        <v>0</v>
      </c>
      <c r="D123" s="1016">
        <v>10</v>
      </c>
      <c r="E123" s="1016">
        <v>150</v>
      </c>
      <c r="F123" s="1016">
        <v>300</v>
      </c>
      <c r="G123" s="1016">
        <v>590</v>
      </c>
      <c r="H123" s="1016">
        <v>460</v>
      </c>
      <c r="I123" s="1016">
        <v>295</v>
      </c>
      <c r="J123" s="1016">
        <v>195</v>
      </c>
      <c r="K123" s="1016">
        <v>0</v>
      </c>
      <c r="L123" s="1016">
        <v>0</v>
      </c>
      <c r="M123" s="1033">
        <v>1050</v>
      </c>
      <c r="N123" s="1033">
        <v>2000</v>
      </c>
      <c r="O123" s="1017" t="s">
        <v>1252</v>
      </c>
      <c r="P123" s="1017"/>
      <c r="Q123" s="1017"/>
      <c r="R123" s="1017"/>
      <c r="S123" s="1017"/>
      <c r="T123" s="1019"/>
    </row>
    <row r="124" spans="1:20" x14ac:dyDescent="0.25">
      <c r="A124" s="1014" t="s">
        <v>1275</v>
      </c>
      <c r="B124" s="1015" t="s">
        <v>1276</v>
      </c>
      <c r="C124" s="1016"/>
      <c r="D124" s="1016"/>
      <c r="E124" s="1016"/>
      <c r="F124" s="1016"/>
      <c r="G124" s="1016"/>
      <c r="H124" s="1016"/>
      <c r="I124" s="1016"/>
      <c r="J124" s="1016"/>
      <c r="K124" s="1016"/>
      <c r="L124" s="1016"/>
      <c r="M124" s="1016"/>
      <c r="N124" s="1016"/>
      <c r="O124" s="1017"/>
      <c r="P124" s="1017"/>
      <c r="Q124" s="1017"/>
      <c r="R124" s="1017"/>
      <c r="S124" s="1017"/>
      <c r="T124" s="1019"/>
    </row>
    <row r="125" spans="1:20" ht="24" customHeight="1" x14ac:dyDescent="0.25">
      <c r="A125" s="1031" t="s">
        <v>1277</v>
      </c>
      <c r="B125" s="1032" t="s">
        <v>1278</v>
      </c>
      <c r="C125" s="1035">
        <v>0</v>
      </c>
      <c r="D125" s="1035">
        <v>72</v>
      </c>
      <c r="E125" s="1035">
        <v>123</v>
      </c>
      <c r="F125" s="1035">
        <v>122</v>
      </c>
      <c r="G125" s="1035">
        <v>115</v>
      </c>
      <c r="H125" s="1035">
        <v>55</v>
      </c>
      <c r="I125" s="1035">
        <v>55</v>
      </c>
      <c r="J125" s="1035">
        <v>33</v>
      </c>
      <c r="K125" s="1035">
        <v>0</v>
      </c>
      <c r="L125" s="1035">
        <v>0</v>
      </c>
      <c r="M125" s="1035">
        <v>432</v>
      </c>
      <c r="N125" s="1035">
        <v>575</v>
      </c>
      <c r="O125" s="1016" t="s">
        <v>1252</v>
      </c>
      <c r="P125" s="1016"/>
      <c r="Q125" s="1016"/>
      <c r="R125" s="1016"/>
      <c r="S125" s="1016"/>
      <c r="T125" s="1019"/>
    </row>
    <row r="126" spans="1:20" x14ac:dyDescent="0.25">
      <c r="A126" s="1014" t="s">
        <v>1279</v>
      </c>
      <c r="B126" s="1015" t="s">
        <v>1280</v>
      </c>
      <c r="C126" s="1016">
        <v>0</v>
      </c>
      <c r="D126" s="1016">
        <v>1</v>
      </c>
      <c r="E126" s="1016">
        <v>2</v>
      </c>
      <c r="F126" s="1016">
        <v>2</v>
      </c>
      <c r="G126" s="1016">
        <v>2</v>
      </c>
      <c r="H126" s="1016">
        <v>2</v>
      </c>
      <c r="I126" s="1016">
        <v>2</v>
      </c>
      <c r="J126" s="1016">
        <v>2</v>
      </c>
      <c r="K126" s="1016">
        <v>2</v>
      </c>
      <c r="L126" s="1016">
        <v>1</v>
      </c>
      <c r="M126" s="1016">
        <v>7</v>
      </c>
      <c r="N126" s="1016">
        <v>16</v>
      </c>
      <c r="O126" s="1017" t="s">
        <v>1252</v>
      </c>
      <c r="P126" s="1017"/>
      <c r="Q126" s="1017"/>
      <c r="R126" s="1017"/>
      <c r="S126" s="1017"/>
      <c r="T126" s="1019"/>
    </row>
    <row r="127" spans="1:20" x14ac:dyDescent="0.25">
      <c r="A127" s="1014" t="s">
        <v>1281</v>
      </c>
      <c r="B127" s="1015" t="s">
        <v>1282</v>
      </c>
      <c r="C127" s="1016">
        <v>0</v>
      </c>
      <c r="D127" s="1016">
        <v>49</v>
      </c>
      <c r="E127" s="1016">
        <v>190</v>
      </c>
      <c r="F127" s="1016">
        <v>379</v>
      </c>
      <c r="G127" s="1016">
        <v>531</v>
      </c>
      <c r="H127" s="1016">
        <v>619</v>
      </c>
      <c r="I127" s="1016">
        <v>580</v>
      </c>
      <c r="J127" s="1016">
        <v>387</v>
      </c>
      <c r="K127" s="1016">
        <v>196</v>
      </c>
      <c r="L127" s="1016">
        <v>69</v>
      </c>
      <c r="M127" s="1033">
        <v>1149</v>
      </c>
      <c r="N127" s="1033">
        <v>3000</v>
      </c>
      <c r="O127" s="1017" t="s">
        <v>1252</v>
      </c>
      <c r="P127" s="1017"/>
      <c r="Q127" s="1017"/>
      <c r="R127" s="1017"/>
      <c r="S127" s="1017"/>
      <c r="T127" s="1019"/>
    </row>
    <row r="128" spans="1:20" x14ac:dyDescent="0.25">
      <c r="A128" s="1031" t="s">
        <v>1283</v>
      </c>
      <c r="B128" s="1032" t="s">
        <v>1284</v>
      </c>
      <c r="C128" s="1016">
        <v>0</v>
      </c>
      <c r="D128" s="1016">
        <v>22</v>
      </c>
      <c r="E128" s="1016">
        <v>22</v>
      </c>
      <c r="F128" s="1016">
        <v>6</v>
      </c>
      <c r="G128" s="1016">
        <v>0</v>
      </c>
      <c r="H128" s="1016">
        <v>0</v>
      </c>
      <c r="I128" s="1016">
        <v>0</v>
      </c>
      <c r="J128" s="1016">
        <v>0</v>
      </c>
      <c r="K128" s="1016">
        <v>0</v>
      </c>
      <c r="L128" s="1016">
        <v>0</v>
      </c>
      <c r="M128" s="1016">
        <v>50</v>
      </c>
      <c r="N128" s="1016">
        <v>50</v>
      </c>
      <c r="O128" s="1017" t="s">
        <v>1252</v>
      </c>
      <c r="P128" s="1017"/>
      <c r="Q128" s="1017"/>
      <c r="R128" s="1017"/>
      <c r="S128" s="1017"/>
      <c r="T128" s="1018"/>
    </row>
    <row r="129" spans="1:20" x14ac:dyDescent="0.25">
      <c r="A129" s="1014" t="s">
        <v>1285</v>
      </c>
      <c r="B129" s="1015" t="s">
        <v>1286</v>
      </c>
      <c r="C129" s="1016">
        <v>0</v>
      </c>
      <c r="D129" s="1016">
        <v>30</v>
      </c>
      <c r="E129" s="1016">
        <v>30</v>
      </c>
      <c r="F129" s="1016">
        <v>40</v>
      </c>
      <c r="G129" s="1016">
        <v>15</v>
      </c>
      <c r="H129" s="1016">
        <v>5</v>
      </c>
      <c r="I129" s="1016">
        <v>5</v>
      </c>
      <c r="J129" s="1016">
        <v>0</v>
      </c>
      <c r="K129" s="1016">
        <v>0</v>
      </c>
      <c r="L129" s="1016">
        <v>0</v>
      </c>
      <c r="M129" s="1016">
        <v>115</v>
      </c>
      <c r="N129" s="1016">
        <v>125</v>
      </c>
      <c r="O129" s="1017" t="s">
        <v>1252</v>
      </c>
      <c r="P129" s="1017"/>
      <c r="Q129" s="1017"/>
      <c r="R129" s="1017"/>
      <c r="S129" s="1017"/>
      <c r="T129" s="1019"/>
    </row>
    <row r="130" spans="1:20" x14ac:dyDescent="0.25">
      <c r="A130" s="1014" t="s">
        <v>1287</v>
      </c>
      <c r="B130" s="1015" t="s">
        <v>1288</v>
      </c>
      <c r="C130" s="1016">
        <v>0</v>
      </c>
      <c r="D130" s="1016">
        <v>10</v>
      </c>
      <c r="E130" s="1016">
        <v>230</v>
      </c>
      <c r="F130" s="1016">
        <v>660</v>
      </c>
      <c r="G130" s="1016">
        <v>945</v>
      </c>
      <c r="H130" s="1016">
        <v>605</v>
      </c>
      <c r="I130" s="1016">
        <v>100</v>
      </c>
      <c r="J130" s="1016">
        <v>0</v>
      </c>
      <c r="K130" s="1016">
        <v>0</v>
      </c>
      <c r="L130" s="1016">
        <v>0</v>
      </c>
      <c r="M130" s="1033">
        <v>1845</v>
      </c>
      <c r="N130" s="1033">
        <v>2550</v>
      </c>
      <c r="O130" s="1017" t="s">
        <v>1252</v>
      </c>
      <c r="P130" s="1017"/>
      <c r="Q130" s="1017"/>
      <c r="R130" s="1017"/>
      <c r="S130" s="1017"/>
      <c r="T130" s="1019"/>
    </row>
    <row r="131" spans="1:20" x14ac:dyDescent="0.25">
      <c r="A131" s="1014" t="s">
        <v>1289</v>
      </c>
      <c r="B131" s="1015" t="s">
        <v>1290</v>
      </c>
      <c r="C131" s="1016">
        <v>0</v>
      </c>
      <c r="D131" s="1016">
        <v>10</v>
      </c>
      <c r="E131" s="1016">
        <v>45</v>
      </c>
      <c r="F131" s="1016">
        <v>70</v>
      </c>
      <c r="G131" s="1016">
        <v>100</v>
      </c>
      <c r="H131" s="1016">
        <v>100</v>
      </c>
      <c r="I131" s="1016">
        <v>100</v>
      </c>
      <c r="J131" s="1016">
        <v>100</v>
      </c>
      <c r="K131" s="1016">
        <v>100</v>
      </c>
      <c r="L131" s="1016">
        <v>100</v>
      </c>
      <c r="M131" s="1016">
        <v>225</v>
      </c>
      <c r="N131" s="1016">
        <v>725</v>
      </c>
      <c r="O131" s="1017" t="s">
        <v>1252</v>
      </c>
      <c r="P131" s="1017"/>
      <c r="Q131" s="1017"/>
      <c r="R131" s="1017"/>
      <c r="S131" s="1017"/>
      <c r="T131" s="1019"/>
    </row>
    <row r="132" spans="1:20" x14ac:dyDescent="0.25">
      <c r="A132" s="1031" t="s">
        <v>1291</v>
      </c>
      <c r="B132" s="1032" t="s">
        <v>1292</v>
      </c>
      <c r="C132" s="1016">
        <v>0</v>
      </c>
      <c r="D132" s="1016">
        <v>14</v>
      </c>
      <c r="E132" s="1016">
        <v>11</v>
      </c>
      <c r="F132" s="1016">
        <v>0</v>
      </c>
      <c r="G132" s="1016">
        <v>0</v>
      </c>
      <c r="H132" s="1016">
        <v>0</v>
      </c>
      <c r="I132" s="1016">
        <v>0</v>
      </c>
      <c r="J132" s="1016">
        <v>0</v>
      </c>
      <c r="K132" s="1016">
        <v>0</v>
      </c>
      <c r="L132" s="1016">
        <v>0</v>
      </c>
      <c r="M132" s="1016">
        <v>25</v>
      </c>
      <c r="N132" s="1016">
        <v>25</v>
      </c>
      <c r="O132" s="1017" t="s">
        <v>1256</v>
      </c>
      <c r="P132" s="1017"/>
      <c r="Q132" s="1017"/>
      <c r="R132" s="1017"/>
      <c r="S132" s="1017"/>
      <c r="T132" s="1018"/>
    </row>
    <row r="133" spans="1:20" x14ac:dyDescent="0.25">
      <c r="A133" s="1031" t="s">
        <v>1293</v>
      </c>
      <c r="B133" s="1032" t="s">
        <v>1294</v>
      </c>
      <c r="C133" s="1016">
        <v>0</v>
      </c>
      <c r="D133" s="1016">
        <v>84</v>
      </c>
      <c r="E133" s="1016">
        <v>320</v>
      </c>
      <c r="F133" s="1016">
        <v>638</v>
      </c>
      <c r="G133" s="1016">
        <v>928</v>
      </c>
      <c r="H133" s="1016">
        <v>940</v>
      </c>
      <c r="I133" s="1016">
        <v>720</v>
      </c>
      <c r="J133" s="1016">
        <v>300</v>
      </c>
      <c r="K133" s="1016">
        <v>120</v>
      </c>
      <c r="L133" s="1016">
        <v>0</v>
      </c>
      <c r="M133" s="1033">
        <v>1970</v>
      </c>
      <c r="N133" s="1033">
        <v>4050</v>
      </c>
      <c r="O133" s="1017" t="s">
        <v>1256</v>
      </c>
      <c r="P133" s="1017"/>
      <c r="Q133" s="1017"/>
      <c r="R133" s="1017"/>
      <c r="S133" s="1017"/>
      <c r="T133" s="1019"/>
    </row>
    <row r="134" spans="1:20" x14ac:dyDescent="0.25">
      <c r="A134" s="1014" t="s">
        <v>1295</v>
      </c>
      <c r="B134" s="1015" t="s">
        <v>1296</v>
      </c>
      <c r="C134" s="1016">
        <v>0</v>
      </c>
      <c r="D134" s="1016">
        <v>40</v>
      </c>
      <c r="E134" s="1016">
        <v>200</v>
      </c>
      <c r="F134" s="1016">
        <v>400</v>
      </c>
      <c r="G134" s="1016">
        <v>660</v>
      </c>
      <c r="H134" s="1016">
        <v>640</v>
      </c>
      <c r="I134" s="1016">
        <v>515</v>
      </c>
      <c r="J134" s="1016">
        <v>240</v>
      </c>
      <c r="K134" s="1016">
        <v>105</v>
      </c>
      <c r="L134" s="1016">
        <v>0</v>
      </c>
      <c r="M134" s="1033">
        <v>1300</v>
      </c>
      <c r="N134" s="1033">
        <v>2800</v>
      </c>
      <c r="O134" s="1017" t="s">
        <v>1256</v>
      </c>
      <c r="P134" s="1017"/>
      <c r="Q134" s="1017"/>
      <c r="R134" s="1017"/>
      <c r="S134" s="1017"/>
      <c r="T134" s="1019"/>
    </row>
    <row r="135" spans="1:20" x14ac:dyDescent="0.25">
      <c r="A135" s="1014" t="s">
        <v>1297</v>
      </c>
      <c r="B135" s="1015" t="s">
        <v>1298</v>
      </c>
      <c r="C135" s="1049">
        <v>0</v>
      </c>
      <c r="D135" s="1049">
        <v>138</v>
      </c>
      <c r="E135" s="1049">
        <v>566</v>
      </c>
      <c r="F135" s="1049">
        <v>994</v>
      </c>
      <c r="G135" s="1050">
        <v>1328</v>
      </c>
      <c r="H135" s="1050">
        <v>1791</v>
      </c>
      <c r="I135" s="1050">
        <v>2350</v>
      </c>
      <c r="J135" s="1050">
        <v>2928</v>
      </c>
      <c r="K135" s="1050">
        <v>3548</v>
      </c>
      <c r="L135" s="1050">
        <v>4162</v>
      </c>
      <c r="M135" s="1050">
        <v>3026</v>
      </c>
      <c r="N135" s="1050">
        <v>17805</v>
      </c>
      <c r="O135" s="1051" t="s">
        <v>54</v>
      </c>
      <c r="P135" s="1051"/>
      <c r="Q135" s="1051"/>
      <c r="R135" s="1051"/>
      <c r="S135" s="1051"/>
      <c r="T135" s="1052"/>
    </row>
    <row r="136" spans="1:20" x14ac:dyDescent="0.25">
      <c r="A136" s="1014" t="s">
        <v>1299</v>
      </c>
      <c r="B136" s="1015" t="s">
        <v>1300</v>
      </c>
      <c r="C136" s="1049">
        <v>0</v>
      </c>
      <c r="D136" s="1049">
        <v>0</v>
      </c>
      <c r="E136" s="1049">
        <v>235</v>
      </c>
      <c r="F136" s="1049">
        <v>317</v>
      </c>
      <c r="G136" s="1049">
        <v>304</v>
      </c>
      <c r="H136" s="1049">
        <v>314</v>
      </c>
      <c r="I136" s="1049">
        <v>324</v>
      </c>
      <c r="J136" s="1049">
        <v>335</v>
      </c>
      <c r="K136" s="1049">
        <v>346</v>
      </c>
      <c r="L136" s="1049">
        <v>359</v>
      </c>
      <c r="M136" s="1049">
        <v>856</v>
      </c>
      <c r="N136" s="1050">
        <v>2534</v>
      </c>
      <c r="O136" s="1051" t="s">
        <v>54</v>
      </c>
      <c r="P136" s="1051"/>
      <c r="Q136" s="1051"/>
      <c r="R136" s="1051"/>
      <c r="S136" s="1051"/>
      <c r="T136" s="1019"/>
    </row>
    <row r="137" spans="1:20" ht="24" customHeight="1" x14ac:dyDescent="0.25">
      <c r="A137" s="1014" t="s">
        <v>1301</v>
      </c>
      <c r="B137" s="1015" t="s">
        <v>1302</v>
      </c>
      <c r="C137" s="1053"/>
      <c r="D137" s="1053">
        <v>333</v>
      </c>
      <c r="E137" s="1053">
        <v>314</v>
      </c>
      <c r="F137" s="1053">
        <v>314</v>
      </c>
      <c r="G137" s="1053">
        <v>-4530</v>
      </c>
      <c r="H137" s="1053">
        <v>-9118</v>
      </c>
      <c r="I137" s="1053">
        <v>-18184</v>
      </c>
      <c r="J137" s="1053">
        <v>-20493</v>
      </c>
      <c r="K137" s="1053">
        <v>-23289</v>
      </c>
      <c r="L137" s="1053">
        <v>-24298</v>
      </c>
      <c r="M137" s="1053">
        <v>-569</v>
      </c>
      <c r="N137" s="1053">
        <v>-95951</v>
      </c>
      <c r="O137" s="1054" t="s">
        <v>55</v>
      </c>
      <c r="P137" s="1054"/>
      <c r="Q137" s="1054"/>
      <c r="R137" s="1054"/>
      <c r="S137" s="1054"/>
      <c r="T137" s="1055"/>
    </row>
    <row r="138" spans="1:20" ht="36" customHeight="1" x14ac:dyDescent="0.25">
      <c r="A138" s="1014" t="s">
        <v>1297</v>
      </c>
      <c r="B138" s="1015" t="s">
        <v>1303</v>
      </c>
      <c r="C138" s="1056">
        <v>0</v>
      </c>
      <c r="D138" s="1056">
        <v>-2447</v>
      </c>
      <c r="E138" s="1056">
        <v>-3716</v>
      </c>
      <c r="F138" s="1056">
        <v>-19171</v>
      </c>
      <c r="G138" s="1056">
        <v>-7014</v>
      </c>
      <c r="H138" s="1056">
        <v>-7706</v>
      </c>
      <c r="I138" s="1056">
        <v>-8497</v>
      </c>
      <c r="J138" s="1056">
        <v>-9360</v>
      </c>
      <c r="K138" s="1056">
        <v>-10602</v>
      </c>
      <c r="L138" s="1056">
        <v>-11603</v>
      </c>
      <c r="M138" s="1056">
        <v>-32348</v>
      </c>
      <c r="N138" s="1056">
        <v>-80116</v>
      </c>
      <c r="O138" s="1054" t="s">
        <v>55</v>
      </c>
      <c r="P138" s="1054"/>
      <c r="Q138" s="1054"/>
      <c r="R138" s="1054"/>
      <c r="S138" s="1054"/>
      <c r="T138" s="1019"/>
    </row>
    <row r="139" spans="1:20" x14ac:dyDescent="0.25">
      <c r="A139" s="1014" t="s">
        <v>1304</v>
      </c>
      <c r="B139" s="1015" t="s">
        <v>1305</v>
      </c>
      <c r="C139" s="1053">
        <v>0</v>
      </c>
      <c r="D139" s="1053">
        <v>53</v>
      </c>
      <c r="E139" s="1053">
        <v>1991</v>
      </c>
      <c r="F139" s="1053">
        <v>3308</v>
      </c>
      <c r="G139" s="1053">
        <v>3545</v>
      </c>
      <c r="H139" s="1053">
        <v>4537</v>
      </c>
      <c r="I139" s="1053">
        <v>4476</v>
      </c>
      <c r="J139" s="1053">
        <v>3947</v>
      </c>
      <c r="K139" s="1053">
        <v>1781</v>
      </c>
      <c r="L139" s="1053">
        <v>1462</v>
      </c>
      <c r="M139" s="1053">
        <v>8897</v>
      </c>
      <c r="N139" s="1053">
        <v>25100</v>
      </c>
      <c r="O139" s="1054" t="s">
        <v>55</v>
      </c>
      <c r="P139" s="1054"/>
      <c r="Q139" s="1054"/>
      <c r="R139" s="1054"/>
      <c r="S139" s="1054"/>
      <c r="T139" s="1019"/>
    </row>
    <row r="140" spans="1:20" x14ac:dyDescent="0.25">
      <c r="A140" s="1014" t="s">
        <v>1306</v>
      </c>
      <c r="B140" s="1015" t="s">
        <v>1307</v>
      </c>
      <c r="C140" s="1057">
        <v>0</v>
      </c>
      <c r="D140" s="1057">
        <v>0</v>
      </c>
      <c r="E140" s="1057">
        <v>0</v>
      </c>
      <c r="F140" s="1057">
        <v>0</v>
      </c>
      <c r="G140" s="1057">
        <v>0</v>
      </c>
      <c r="H140" s="1058">
        <v>-16290</v>
      </c>
      <c r="I140" s="1058">
        <v>-25656</v>
      </c>
      <c r="J140" s="1058">
        <v>-23394</v>
      </c>
      <c r="K140" s="1058">
        <v>-27561</v>
      </c>
      <c r="L140" s="1058">
        <v>-29250</v>
      </c>
      <c r="M140" s="1057">
        <v>0</v>
      </c>
      <c r="N140" s="1058">
        <v>-122151</v>
      </c>
      <c r="O140" s="1054" t="s">
        <v>55</v>
      </c>
      <c r="P140" s="1054"/>
      <c r="Q140" s="1054"/>
      <c r="R140" s="1054"/>
      <c r="S140" s="1054"/>
      <c r="T140" s="1019"/>
    </row>
    <row r="141" spans="1:20" ht="36" customHeight="1" x14ac:dyDescent="0.25">
      <c r="A141" s="1014" t="s">
        <v>1308</v>
      </c>
      <c r="B141" s="1015" t="s">
        <v>1309</v>
      </c>
      <c r="C141" s="1053">
        <v>0</v>
      </c>
      <c r="D141" s="1053">
        <v>-70</v>
      </c>
      <c r="E141" s="1053">
        <v>300</v>
      </c>
      <c r="F141" s="1053">
        <v>862</v>
      </c>
      <c r="G141" s="1053">
        <v>577</v>
      </c>
      <c r="H141" s="1053">
        <v>464</v>
      </c>
      <c r="I141" s="1053">
        <v>549</v>
      </c>
      <c r="J141" s="1053">
        <v>501</v>
      </c>
      <c r="K141" s="1053">
        <v>591</v>
      </c>
      <c r="L141" s="1053">
        <v>630</v>
      </c>
      <c r="M141" s="1053">
        <v>1669</v>
      </c>
      <c r="N141" s="1053">
        <v>4404</v>
      </c>
      <c r="O141" s="1054" t="s">
        <v>55</v>
      </c>
      <c r="P141" s="1054"/>
      <c r="Q141" s="1054"/>
      <c r="R141" s="1054"/>
      <c r="S141" s="1054"/>
      <c r="T141" s="1019"/>
    </row>
    <row r="142" spans="1:20" x14ac:dyDescent="0.25">
      <c r="A142" s="1014" t="s">
        <v>1310</v>
      </c>
      <c r="B142" s="1015" t="s">
        <v>1311</v>
      </c>
      <c r="C142" s="1057">
        <v>0</v>
      </c>
      <c r="D142" s="1057">
        <v>0</v>
      </c>
      <c r="E142" s="1057">
        <v>195</v>
      </c>
      <c r="F142" s="1057">
        <v>230</v>
      </c>
      <c r="G142" s="1057">
        <v>248</v>
      </c>
      <c r="H142" s="1057">
        <v>266</v>
      </c>
      <c r="I142" s="1057">
        <v>311</v>
      </c>
      <c r="J142" s="1057">
        <v>281</v>
      </c>
      <c r="K142" s="1057">
        <v>327</v>
      </c>
      <c r="L142" s="1057">
        <v>347</v>
      </c>
      <c r="M142" s="1057">
        <v>673</v>
      </c>
      <c r="N142" s="1058">
        <v>2205</v>
      </c>
      <c r="O142" s="1054" t="s">
        <v>55</v>
      </c>
      <c r="P142" s="1054"/>
      <c r="Q142" s="1054"/>
      <c r="R142" s="1054"/>
      <c r="S142" s="1054"/>
      <c r="T142" s="1019"/>
    </row>
    <row r="143" spans="1:20" x14ac:dyDescent="0.25">
      <c r="A143" s="1031" t="s">
        <v>1312</v>
      </c>
      <c r="B143" s="1032" t="s">
        <v>1313</v>
      </c>
      <c r="C143" s="1059">
        <v>0</v>
      </c>
      <c r="D143" s="1059">
        <v>70</v>
      </c>
      <c r="E143" s="1059">
        <v>132</v>
      </c>
      <c r="F143" s="1059">
        <v>51</v>
      </c>
      <c r="G143" s="1059">
        <v>20</v>
      </c>
      <c r="H143" s="1059">
        <v>8</v>
      </c>
      <c r="I143" s="1059">
        <v>0</v>
      </c>
      <c r="J143" s="1059">
        <v>0</v>
      </c>
      <c r="K143" s="1059">
        <v>0</v>
      </c>
      <c r="L143" s="1059">
        <v>0</v>
      </c>
      <c r="M143" s="1059">
        <v>273</v>
      </c>
      <c r="N143" s="1059">
        <v>281</v>
      </c>
      <c r="O143" s="1060" t="s">
        <v>1314</v>
      </c>
      <c r="P143" s="1060"/>
      <c r="Q143" s="1060"/>
      <c r="R143" s="1060"/>
      <c r="S143" s="1060"/>
      <c r="T143" s="1019" t="s">
        <v>1315</v>
      </c>
    </row>
    <row r="144" spans="1:20" x14ac:dyDescent="0.25">
      <c r="A144" s="1031" t="s">
        <v>1316</v>
      </c>
      <c r="B144" s="1032" t="s">
        <v>1317</v>
      </c>
      <c r="C144" s="1059">
        <v>0</v>
      </c>
      <c r="D144" s="1059">
        <v>465</v>
      </c>
      <c r="E144" s="1061">
        <v>2420</v>
      </c>
      <c r="F144" s="1061">
        <v>4755</v>
      </c>
      <c r="G144" s="1061">
        <v>5980</v>
      </c>
      <c r="H144" s="1061">
        <v>4694</v>
      </c>
      <c r="I144" s="1061">
        <v>1573</v>
      </c>
      <c r="J144" s="1059">
        <v>93</v>
      </c>
      <c r="K144" s="1059">
        <v>0</v>
      </c>
      <c r="L144" s="1059">
        <v>0</v>
      </c>
      <c r="M144" s="1061">
        <v>13620</v>
      </c>
      <c r="N144" s="1061">
        <v>19980</v>
      </c>
      <c r="O144" s="1060" t="s">
        <v>1314</v>
      </c>
      <c r="P144" s="1060"/>
      <c r="Q144" s="1060"/>
      <c r="R144" s="1060"/>
      <c r="S144" s="1060"/>
      <c r="T144" s="1019" t="s">
        <v>1318</v>
      </c>
    </row>
    <row r="145" spans="1:20" x14ac:dyDescent="0.25">
      <c r="A145" s="1014" t="s">
        <v>1319</v>
      </c>
      <c r="B145" s="1015" t="s">
        <v>1320</v>
      </c>
      <c r="C145" s="1059">
        <v>0</v>
      </c>
      <c r="D145" s="1059">
        <v>20</v>
      </c>
      <c r="E145" s="1059">
        <v>65</v>
      </c>
      <c r="F145" s="1059">
        <v>110</v>
      </c>
      <c r="G145" s="1059">
        <v>135</v>
      </c>
      <c r="H145" s="1059">
        <v>180</v>
      </c>
      <c r="I145" s="1059">
        <v>230</v>
      </c>
      <c r="J145" s="1059">
        <v>180</v>
      </c>
      <c r="K145" s="1059">
        <v>60</v>
      </c>
      <c r="L145" s="1059">
        <v>10</v>
      </c>
      <c r="M145" s="1059">
        <v>330</v>
      </c>
      <c r="N145" s="1059">
        <v>990</v>
      </c>
      <c r="O145" s="1060" t="s">
        <v>1314</v>
      </c>
      <c r="P145" s="1060"/>
      <c r="Q145" s="1060"/>
      <c r="R145" s="1060"/>
      <c r="S145" s="1060"/>
      <c r="T145" s="1042" t="s">
        <v>1321</v>
      </c>
    </row>
    <row r="146" spans="1:20" x14ac:dyDescent="0.25">
      <c r="A146" s="1014" t="s">
        <v>1322</v>
      </c>
      <c r="B146" s="1015" t="s">
        <v>1323</v>
      </c>
      <c r="C146" s="1059">
        <v>0</v>
      </c>
      <c r="D146" s="1061">
        <v>20892</v>
      </c>
      <c r="E146" s="1061">
        <v>11288</v>
      </c>
      <c r="F146" s="1061">
        <v>9651</v>
      </c>
      <c r="G146" s="1061">
        <v>-8548</v>
      </c>
      <c r="H146" s="1059">
        <v>-463</v>
      </c>
      <c r="I146" s="1059">
        <v>0</v>
      </c>
      <c r="J146" s="1059">
        <v>0</v>
      </c>
      <c r="K146" s="1059">
        <v>0</v>
      </c>
      <c r="L146" s="1059">
        <v>0</v>
      </c>
      <c r="M146" s="1061">
        <v>33283</v>
      </c>
      <c r="N146" s="1061">
        <v>32820</v>
      </c>
      <c r="O146" s="1062" t="s">
        <v>1314</v>
      </c>
      <c r="P146" s="1062"/>
      <c r="Q146" s="1062"/>
      <c r="R146" s="1062"/>
      <c r="S146" s="1062"/>
      <c r="T146" s="1019"/>
    </row>
    <row r="147" spans="1:20" x14ac:dyDescent="0.25">
      <c r="A147" s="1014" t="s">
        <v>1324</v>
      </c>
      <c r="B147" s="1015" t="s">
        <v>1325</v>
      </c>
      <c r="C147" s="1059">
        <v>0</v>
      </c>
      <c r="D147" s="1059">
        <v>24</v>
      </c>
      <c r="E147" s="1059">
        <v>65</v>
      </c>
      <c r="F147" s="1059">
        <v>112</v>
      </c>
      <c r="G147" s="1059">
        <v>130</v>
      </c>
      <c r="H147" s="1059">
        <v>98</v>
      </c>
      <c r="I147" s="1059">
        <v>56</v>
      </c>
      <c r="J147" s="1059">
        <v>15</v>
      </c>
      <c r="K147" s="1059">
        <v>0</v>
      </c>
      <c r="L147" s="1059">
        <v>0</v>
      </c>
      <c r="M147" s="1059">
        <v>331</v>
      </c>
      <c r="N147" s="1059">
        <v>500</v>
      </c>
      <c r="O147" s="1062" t="s">
        <v>1314</v>
      </c>
      <c r="P147" s="1062"/>
      <c r="Q147" s="1062"/>
      <c r="R147" s="1062"/>
      <c r="S147" s="1062"/>
      <c r="T147" s="1019"/>
    </row>
    <row r="148" spans="1:20" x14ac:dyDescent="0.25">
      <c r="A148" s="1063" t="s">
        <v>1326</v>
      </c>
      <c r="B148" s="1064" t="s">
        <v>1327</v>
      </c>
      <c r="C148" s="1059">
        <v>0</v>
      </c>
      <c r="D148" s="1059">
        <v>50</v>
      </c>
      <c r="E148" s="1059">
        <v>500</v>
      </c>
      <c r="F148" s="1059">
        <v>920</v>
      </c>
      <c r="G148" s="1061">
        <v>1310</v>
      </c>
      <c r="H148" s="1061">
        <v>1680</v>
      </c>
      <c r="I148" s="1061">
        <v>1780</v>
      </c>
      <c r="J148" s="1061">
        <v>1640</v>
      </c>
      <c r="K148" s="1061">
        <v>1090</v>
      </c>
      <c r="L148" s="1059">
        <v>630</v>
      </c>
      <c r="M148" s="1061">
        <v>2780</v>
      </c>
      <c r="N148" s="1061">
        <v>9600</v>
      </c>
      <c r="O148" s="1062" t="s">
        <v>1314</v>
      </c>
      <c r="P148" s="1062"/>
      <c r="Q148" s="1062"/>
      <c r="R148" s="1062"/>
      <c r="S148" s="1062"/>
      <c r="T148" s="1065"/>
    </row>
    <row r="149" spans="1:20" x14ac:dyDescent="0.25">
      <c r="A149" s="1014" t="s">
        <v>1328</v>
      </c>
      <c r="B149" s="1015" t="s">
        <v>1329</v>
      </c>
      <c r="C149" s="1059">
        <v>0</v>
      </c>
      <c r="D149" s="1059">
        <v>30</v>
      </c>
      <c r="E149" s="1059">
        <v>90</v>
      </c>
      <c r="F149" s="1059">
        <v>90</v>
      </c>
      <c r="G149" s="1059">
        <v>85</v>
      </c>
      <c r="H149" s="1059">
        <v>70</v>
      </c>
      <c r="I149" s="1059">
        <v>65</v>
      </c>
      <c r="J149" s="1059">
        <v>65</v>
      </c>
      <c r="K149" s="1059">
        <v>35</v>
      </c>
      <c r="L149" s="1059">
        <v>15</v>
      </c>
      <c r="M149" s="1059">
        <v>295</v>
      </c>
      <c r="N149" s="1059">
        <v>545</v>
      </c>
      <c r="O149" s="1062" t="s">
        <v>1314</v>
      </c>
      <c r="P149" s="1062"/>
      <c r="Q149" s="1062"/>
      <c r="R149" s="1062"/>
      <c r="S149" s="1062"/>
      <c r="T149" s="1019"/>
    </row>
    <row r="150" spans="1:20" x14ac:dyDescent="0.25">
      <c r="A150" s="1014" t="s">
        <v>1330</v>
      </c>
      <c r="B150" s="1015" t="s">
        <v>1331</v>
      </c>
      <c r="C150" s="1059">
        <v>0</v>
      </c>
      <c r="D150" s="1059">
        <v>185</v>
      </c>
      <c r="E150" s="1059">
        <v>394</v>
      </c>
      <c r="F150" s="1059">
        <v>639</v>
      </c>
      <c r="G150" s="1059">
        <v>722</v>
      </c>
      <c r="H150" s="1059">
        <v>595</v>
      </c>
      <c r="I150" s="1059">
        <v>346</v>
      </c>
      <c r="J150" s="1059">
        <v>101</v>
      </c>
      <c r="K150" s="1059">
        <v>18</v>
      </c>
      <c r="L150" s="1059">
        <v>0</v>
      </c>
      <c r="M150" s="1061">
        <v>1940</v>
      </c>
      <c r="N150" s="1061">
        <v>3000</v>
      </c>
      <c r="O150" s="1060" t="s">
        <v>1314</v>
      </c>
      <c r="P150" s="1060"/>
      <c r="Q150" s="1060"/>
      <c r="R150" s="1060"/>
      <c r="S150" s="1060"/>
      <c r="T150" s="1019"/>
    </row>
    <row r="151" spans="1:20" x14ac:dyDescent="0.25">
      <c r="A151" s="1014" t="s">
        <v>1332</v>
      </c>
      <c r="B151" s="1015" t="s">
        <v>1333</v>
      </c>
      <c r="C151" s="1059">
        <v>0</v>
      </c>
      <c r="D151" s="1059">
        <v>8</v>
      </c>
      <c r="E151" s="1059">
        <v>26</v>
      </c>
      <c r="F151" s="1059">
        <v>41</v>
      </c>
      <c r="G151" s="1059">
        <v>38</v>
      </c>
      <c r="H151" s="1059">
        <v>22</v>
      </c>
      <c r="I151" s="1059">
        <v>11</v>
      </c>
      <c r="J151" s="1059">
        <v>4</v>
      </c>
      <c r="K151" s="1059">
        <v>0</v>
      </c>
      <c r="L151" s="1059">
        <v>0</v>
      </c>
      <c r="M151" s="1059">
        <v>113</v>
      </c>
      <c r="N151" s="1059">
        <v>150</v>
      </c>
      <c r="O151" s="1060" t="s">
        <v>1314</v>
      </c>
      <c r="P151" s="1060"/>
      <c r="Q151" s="1060"/>
      <c r="R151" s="1060"/>
      <c r="S151" s="1060"/>
      <c r="T151" s="1019"/>
    </row>
    <row r="152" spans="1:20" ht="24" customHeight="1" x14ac:dyDescent="0.25">
      <c r="A152" s="1031" t="s">
        <v>1334</v>
      </c>
      <c r="B152" s="1032" t="s">
        <v>1335</v>
      </c>
      <c r="C152" s="1066">
        <v>0</v>
      </c>
      <c r="D152" s="1067">
        <v>77</v>
      </c>
      <c r="E152" s="1067">
        <v>232</v>
      </c>
      <c r="F152" s="1067">
        <v>341</v>
      </c>
      <c r="G152" s="1067">
        <v>496</v>
      </c>
      <c r="H152" s="1067">
        <v>310</v>
      </c>
      <c r="I152" s="1067">
        <v>47</v>
      </c>
      <c r="J152" s="1067">
        <v>31</v>
      </c>
      <c r="K152" s="1067">
        <v>15</v>
      </c>
      <c r="L152" s="1067">
        <v>1</v>
      </c>
      <c r="M152" s="1068">
        <v>1146</v>
      </c>
      <c r="N152" s="1068">
        <v>1550</v>
      </c>
      <c r="O152" s="1069" t="s">
        <v>1336</v>
      </c>
      <c r="P152" s="1076"/>
      <c r="Q152" s="1076"/>
      <c r="R152" s="1076"/>
      <c r="S152" s="1076"/>
      <c r="T152" s="1019" t="s">
        <v>1337</v>
      </c>
    </row>
    <row r="153" spans="1:20" ht="30" customHeight="1" x14ac:dyDescent="0.25">
      <c r="A153" s="1014" t="s">
        <v>1338</v>
      </c>
      <c r="B153" s="1015" t="s">
        <v>1339</v>
      </c>
      <c r="C153" s="1070">
        <v>0</v>
      </c>
      <c r="D153" s="1070">
        <v>264</v>
      </c>
      <c r="E153" s="1070">
        <v>715</v>
      </c>
      <c r="F153" s="1070">
        <v>1393</v>
      </c>
      <c r="G153" s="1070">
        <v>2492</v>
      </c>
      <c r="H153" s="1070">
        <v>3364</v>
      </c>
      <c r="I153" s="1070">
        <v>3209</v>
      </c>
      <c r="J153" s="1070">
        <v>2750</v>
      </c>
      <c r="K153" s="1070">
        <v>1783</v>
      </c>
      <c r="L153" s="1070">
        <v>744</v>
      </c>
      <c r="M153" s="1071">
        <v>4864</v>
      </c>
      <c r="N153" s="1071">
        <v>16714</v>
      </c>
      <c r="O153" s="1077" t="s">
        <v>52</v>
      </c>
      <c r="P153" s="1077"/>
      <c r="Q153" s="1077"/>
      <c r="R153" s="1077"/>
      <c r="S153" s="1077"/>
      <c r="T153" s="1078" t="s">
        <v>1340</v>
      </c>
    </row>
    <row r="154" spans="1:20" x14ac:dyDescent="0.25">
      <c r="A154" s="1014" t="s">
        <v>1341</v>
      </c>
      <c r="B154" s="1015" t="s">
        <v>1342</v>
      </c>
      <c r="C154" s="1079">
        <v>0</v>
      </c>
      <c r="D154" s="1079">
        <v>0</v>
      </c>
      <c r="E154" s="1079">
        <v>50</v>
      </c>
      <c r="F154" s="1079">
        <v>270</v>
      </c>
      <c r="G154" s="1079">
        <v>680</v>
      </c>
      <c r="H154" s="1079">
        <v>850</v>
      </c>
      <c r="I154" s="1079">
        <v>730</v>
      </c>
      <c r="J154" s="1079">
        <v>485</v>
      </c>
      <c r="K154" s="1079">
        <v>285</v>
      </c>
      <c r="L154" s="1079">
        <v>145</v>
      </c>
      <c r="M154" s="1080">
        <v>1000</v>
      </c>
      <c r="N154" s="1080">
        <v>3495</v>
      </c>
      <c r="O154" s="1081" t="s">
        <v>52</v>
      </c>
      <c r="P154" s="1081"/>
      <c r="Q154" s="1081"/>
      <c r="R154" s="1081"/>
      <c r="S154" s="1081"/>
      <c r="T154" s="1082" t="s">
        <v>1343</v>
      </c>
    </row>
    <row r="155" spans="1:20" x14ac:dyDescent="0.25">
      <c r="A155" s="1014" t="s">
        <v>1344</v>
      </c>
      <c r="B155" s="1015" t="s">
        <v>1345</v>
      </c>
      <c r="C155" s="1079">
        <v>0</v>
      </c>
      <c r="D155" s="1079">
        <v>5</v>
      </c>
      <c r="E155" s="1079">
        <v>5</v>
      </c>
      <c r="F155" s="1079">
        <v>10</v>
      </c>
      <c r="G155" s="1079">
        <v>25</v>
      </c>
      <c r="H155" s="1079">
        <v>70</v>
      </c>
      <c r="I155" s="1079">
        <v>175</v>
      </c>
      <c r="J155" s="1079">
        <v>385</v>
      </c>
      <c r="K155" s="1079">
        <v>460</v>
      </c>
      <c r="L155" s="1079">
        <v>325</v>
      </c>
      <c r="M155" s="1079">
        <v>45</v>
      </c>
      <c r="N155" s="1080">
        <v>1460</v>
      </c>
      <c r="O155" s="1083" t="s">
        <v>52</v>
      </c>
      <c r="P155" s="1083"/>
      <c r="Q155" s="1083"/>
      <c r="R155" s="1083"/>
      <c r="S155" s="1083"/>
      <c r="T155" s="1082" t="s">
        <v>1346</v>
      </c>
    </row>
    <row r="156" spans="1:20" x14ac:dyDescent="0.25">
      <c r="A156" s="1031" t="s">
        <v>1347</v>
      </c>
      <c r="B156" s="1032" t="s">
        <v>1348</v>
      </c>
      <c r="C156" s="1079">
        <v>0</v>
      </c>
      <c r="D156" s="1079">
        <v>6</v>
      </c>
      <c r="E156" s="1079">
        <v>8</v>
      </c>
      <c r="F156" s="1079">
        <v>1</v>
      </c>
      <c r="G156" s="1079">
        <v>0</v>
      </c>
      <c r="H156" s="1079">
        <v>0</v>
      </c>
      <c r="I156" s="1079">
        <v>0</v>
      </c>
      <c r="J156" s="1079">
        <v>0</v>
      </c>
      <c r="K156" s="1079">
        <v>0</v>
      </c>
      <c r="L156" s="1079">
        <v>0</v>
      </c>
      <c r="M156" s="1079">
        <v>15</v>
      </c>
      <c r="N156" s="1079">
        <v>15</v>
      </c>
      <c r="O156" s="1083" t="s">
        <v>52</v>
      </c>
      <c r="P156" s="1083"/>
      <c r="Q156" s="1083"/>
      <c r="R156" s="1083"/>
      <c r="S156" s="1083"/>
      <c r="T156" s="1082" t="s">
        <v>1349</v>
      </c>
    </row>
    <row r="157" spans="1:20" ht="24" customHeight="1" x14ac:dyDescent="0.25">
      <c r="A157" s="1014" t="s">
        <v>1350</v>
      </c>
      <c r="B157" s="1015" t="s">
        <v>1351</v>
      </c>
      <c r="C157" s="1079">
        <v>0</v>
      </c>
      <c r="D157" s="1079">
        <v>5</v>
      </c>
      <c r="E157" s="1079">
        <v>41</v>
      </c>
      <c r="F157" s="1079">
        <v>116</v>
      </c>
      <c r="G157" s="1079">
        <v>284</v>
      </c>
      <c r="H157" s="1079">
        <v>417</v>
      </c>
      <c r="I157" s="1079">
        <v>459</v>
      </c>
      <c r="J157" s="1079">
        <v>355</v>
      </c>
      <c r="K157" s="1079">
        <v>210</v>
      </c>
      <c r="L157" s="1079">
        <v>90</v>
      </c>
      <c r="M157" s="1079">
        <v>446</v>
      </c>
      <c r="N157" s="1080">
        <v>1977</v>
      </c>
      <c r="O157" s="1084" t="s">
        <v>52</v>
      </c>
      <c r="P157" s="1084"/>
      <c r="Q157" s="1084"/>
      <c r="R157" s="1084"/>
      <c r="S157" s="1084"/>
      <c r="T157" s="1085" t="s">
        <v>1352</v>
      </c>
    </row>
    <row r="158" spans="1:20" ht="24" customHeight="1" x14ac:dyDescent="0.25">
      <c r="A158" s="1014" t="s">
        <v>1353</v>
      </c>
      <c r="B158" s="1015" t="s">
        <v>1354</v>
      </c>
      <c r="C158" s="1079">
        <v>0</v>
      </c>
      <c r="D158" s="1079">
        <v>20</v>
      </c>
      <c r="E158" s="1079">
        <v>100</v>
      </c>
      <c r="F158" s="1079">
        <v>460</v>
      </c>
      <c r="G158" s="1080">
        <v>1070</v>
      </c>
      <c r="H158" s="1080">
        <v>1430</v>
      </c>
      <c r="I158" s="1080">
        <v>1110</v>
      </c>
      <c r="J158" s="1079">
        <v>660</v>
      </c>
      <c r="K158" s="1079">
        <v>300</v>
      </c>
      <c r="L158" s="1079">
        <v>100</v>
      </c>
      <c r="M158" s="1080">
        <v>1650</v>
      </c>
      <c r="N158" s="1080">
        <v>5250</v>
      </c>
      <c r="O158" s="1083" t="s">
        <v>52</v>
      </c>
      <c r="P158" s="1083"/>
      <c r="Q158" s="1083"/>
      <c r="R158" s="1083"/>
      <c r="S158" s="1083"/>
      <c r="T158" s="1082" t="s">
        <v>1355</v>
      </c>
    </row>
    <row r="159" spans="1:20" x14ac:dyDescent="0.25">
      <c r="A159" s="1014" t="s">
        <v>1356</v>
      </c>
      <c r="B159" s="1015" t="s">
        <v>1357</v>
      </c>
      <c r="C159" s="1097">
        <v>0</v>
      </c>
      <c r="D159" s="1097">
        <v>56</v>
      </c>
      <c r="E159" s="1097">
        <v>141</v>
      </c>
      <c r="F159" s="1097">
        <v>230</v>
      </c>
      <c r="G159" s="1097">
        <v>343</v>
      </c>
      <c r="H159" s="1097">
        <v>470</v>
      </c>
      <c r="I159" s="1097">
        <v>620</v>
      </c>
      <c r="J159" s="1097">
        <v>802</v>
      </c>
      <c r="K159" s="1097">
        <v>1024</v>
      </c>
      <c r="L159" s="1097">
        <v>1330</v>
      </c>
      <c r="M159" s="1097">
        <v>769</v>
      </c>
      <c r="N159" s="1097">
        <v>5015</v>
      </c>
      <c r="O159" s="1081" t="s">
        <v>52</v>
      </c>
      <c r="P159" s="1081"/>
      <c r="Q159" s="1081"/>
      <c r="R159" s="1081"/>
      <c r="S159" s="1081"/>
      <c r="T159" s="1019"/>
    </row>
    <row r="160" spans="1:20" x14ac:dyDescent="0.25">
      <c r="A160" s="1014" t="s">
        <v>1358</v>
      </c>
      <c r="B160" s="1015" t="s">
        <v>1359</v>
      </c>
      <c r="C160" s="1079"/>
      <c r="D160" s="1079"/>
      <c r="E160" s="1079"/>
      <c r="F160" s="1079"/>
      <c r="G160" s="1079"/>
      <c r="H160" s="1079"/>
      <c r="I160" s="1079"/>
      <c r="J160" s="1079"/>
      <c r="K160" s="1079"/>
      <c r="L160" s="1079"/>
      <c r="M160" s="1079"/>
      <c r="N160" s="1080"/>
      <c r="O160" s="1084"/>
      <c r="P160" s="1084"/>
      <c r="Q160" s="1084"/>
      <c r="R160" s="1084"/>
      <c r="S160" s="1084"/>
      <c r="T160" s="1019"/>
    </row>
    <row r="161" spans="1:21" x14ac:dyDescent="0.25">
      <c r="A161" s="1014" t="s">
        <v>1360</v>
      </c>
      <c r="B161" s="1015" t="s">
        <v>1361</v>
      </c>
      <c r="C161" s="1079"/>
      <c r="D161" s="1079"/>
      <c r="E161" s="1079"/>
      <c r="F161" s="1079"/>
      <c r="G161" s="1079"/>
      <c r="H161" s="1079"/>
      <c r="I161" s="1079"/>
      <c r="J161" s="1079"/>
      <c r="K161" s="1079"/>
      <c r="L161" s="1079"/>
      <c r="M161" s="1079"/>
      <c r="N161" s="1080"/>
      <c r="O161" s="1098"/>
      <c r="P161" s="1098"/>
      <c r="Q161" s="1098"/>
      <c r="R161" s="1098"/>
      <c r="S161" s="1098"/>
      <c r="T161" s="1099"/>
    </row>
    <row r="162" spans="1:21" x14ac:dyDescent="0.25">
      <c r="A162" s="1014" t="s">
        <v>1362</v>
      </c>
      <c r="B162" s="1015" t="s">
        <v>1363</v>
      </c>
      <c r="C162" s="1079">
        <v>0</v>
      </c>
      <c r="D162" s="1079">
        <v>20</v>
      </c>
      <c r="E162" s="1079">
        <v>70</v>
      </c>
      <c r="F162" s="1079">
        <v>130</v>
      </c>
      <c r="G162" s="1079">
        <v>155</v>
      </c>
      <c r="H162" s="1079">
        <v>155</v>
      </c>
      <c r="I162" s="1079">
        <v>155</v>
      </c>
      <c r="J162" s="1079">
        <v>135</v>
      </c>
      <c r="K162" s="1079">
        <v>80</v>
      </c>
      <c r="L162" s="1079">
        <v>20</v>
      </c>
      <c r="M162" s="1079">
        <v>375</v>
      </c>
      <c r="N162" s="1079">
        <v>920</v>
      </c>
      <c r="O162" s="1083" t="s">
        <v>52</v>
      </c>
      <c r="P162" s="1083"/>
      <c r="Q162" s="1083"/>
      <c r="R162" s="1083"/>
      <c r="S162" s="1083"/>
      <c r="T162" s="1019"/>
    </row>
    <row r="163" spans="1:21" x14ac:dyDescent="0.25">
      <c r="A163" s="1031" t="s">
        <v>1364</v>
      </c>
      <c r="B163" s="1032" t="s">
        <v>1365</v>
      </c>
      <c r="C163" s="1079">
        <v>0</v>
      </c>
      <c r="D163" s="1079">
        <v>15</v>
      </c>
      <c r="E163" s="1079">
        <v>12</v>
      </c>
      <c r="F163" s="1079">
        <v>8</v>
      </c>
      <c r="G163" s="1079">
        <v>4</v>
      </c>
      <c r="H163" s="1079">
        <v>0</v>
      </c>
      <c r="I163" s="1079">
        <v>0</v>
      </c>
      <c r="J163" s="1079">
        <v>0</v>
      </c>
      <c r="K163" s="1079">
        <v>0</v>
      </c>
      <c r="L163" s="1079">
        <v>0</v>
      </c>
      <c r="M163" s="1079">
        <v>39</v>
      </c>
      <c r="N163" s="1079">
        <v>39</v>
      </c>
      <c r="O163" s="1083" t="s">
        <v>52</v>
      </c>
      <c r="P163" s="1083"/>
      <c r="Q163" s="1083"/>
      <c r="R163" s="1083"/>
      <c r="S163" s="1083"/>
      <c r="T163" s="1019"/>
    </row>
    <row r="164" spans="1:21" x14ac:dyDescent="0.25">
      <c r="A164" s="1014" t="s">
        <v>1366</v>
      </c>
      <c r="B164" s="1015" t="s">
        <v>1367</v>
      </c>
      <c r="C164" s="1100">
        <v>0</v>
      </c>
      <c r="D164" s="1100">
        <v>25</v>
      </c>
      <c r="E164" s="1100">
        <v>100</v>
      </c>
      <c r="F164" s="1100">
        <v>125</v>
      </c>
      <c r="G164" s="1100">
        <v>100</v>
      </c>
      <c r="H164" s="1100">
        <v>75</v>
      </c>
      <c r="I164" s="1100">
        <v>30</v>
      </c>
      <c r="J164" s="1100">
        <v>20</v>
      </c>
      <c r="K164" s="1100">
        <v>0</v>
      </c>
      <c r="L164" s="1100">
        <v>0</v>
      </c>
      <c r="M164" s="1100">
        <v>350</v>
      </c>
      <c r="N164" s="1100">
        <v>475</v>
      </c>
      <c r="O164" s="1101" t="s">
        <v>52</v>
      </c>
      <c r="P164" s="1101"/>
      <c r="Q164" s="1101"/>
      <c r="R164" s="1101"/>
      <c r="S164" s="1101"/>
      <c r="T164" s="1019"/>
    </row>
    <row r="165" spans="1:21" x14ac:dyDescent="0.25">
      <c r="A165" s="55"/>
      <c r="B165" s="17"/>
      <c r="C165" s="37"/>
      <c r="D165" s="37"/>
      <c r="E165" s="37"/>
      <c r="F165" s="37"/>
      <c r="G165" s="37"/>
      <c r="H165" s="37"/>
      <c r="I165" s="37"/>
      <c r="J165" s="37"/>
      <c r="K165" s="37"/>
      <c r="L165" s="37"/>
      <c r="M165" s="37"/>
      <c r="N165" s="37"/>
      <c r="O165" s="55"/>
      <c r="P165" s="55"/>
      <c r="Q165" s="55"/>
      <c r="R165" s="55"/>
      <c r="S165" s="55"/>
      <c r="T165" s="17"/>
    </row>
    <row r="167" spans="1:21" x14ac:dyDescent="0.25">
      <c r="A167" s="56" t="s">
        <v>1375</v>
      </c>
    </row>
    <row r="168" spans="1:21" x14ac:dyDescent="0.25">
      <c r="A168" s="1102"/>
      <c r="B168" s="1102"/>
      <c r="C168" s="1086"/>
      <c r="D168" s="1086">
        <v>2022</v>
      </c>
      <c r="E168" s="1086">
        <v>2023</v>
      </c>
      <c r="F168" s="1086">
        <v>2024</v>
      </c>
      <c r="G168" s="1086">
        <v>2025</v>
      </c>
      <c r="H168" s="1086">
        <v>2026</v>
      </c>
      <c r="I168" s="1086">
        <v>2027</v>
      </c>
      <c r="J168" s="1086">
        <v>2028</v>
      </c>
      <c r="K168" s="1086">
        <v>2029</v>
      </c>
      <c r="L168" s="1086">
        <v>2030</v>
      </c>
      <c r="M168" s="1087">
        <v>2031</v>
      </c>
      <c r="N168" s="1088" t="s">
        <v>1368</v>
      </c>
      <c r="O168" s="1088" t="s">
        <v>1369</v>
      </c>
      <c r="P168" s="1073"/>
      <c r="Q168" s="1073"/>
      <c r="R168" s="1073"/>
      <c r="S168" s="1073"/>
      <c r="U168" s="62"/>
    </row>
    <row r="169" spans="1:21" x14ac:dyDescent="0.25">
      <c r="A169" s="1103" t="s">
        <v>1370</v>
      </c>
      <c r="B169" s="1103"/>
      <c r="C169" s="1109"/>
      <c r="D169" s="1109">
        <f t="shared" ref="D169:O169" si="9">D78/1000</f>
        <v>0</v>
      </c>
      <c r="E169" s="1109">
        <f t="shared" si="9"/>
        <v>6.8000000000000005E-2</v>
      </c>
      <c r="F169" s="1109">
        <f t="shared" si="9"/>
        <v>1.363</v>
      </c>
      <c r="G169" s="1109">
        <f t="shared" si="9"/>
        <v>2.4329999999999998</v>
      </c>
      <c r="H169" s="1109">
        <f t="shared" si="9"/>
        <v>2.8029999999999999</v>
      </c>
      <c r="I169" s="1109">
        <f t="shared" si="9"/>
        <v>1.7410000000000001</v>
      </c>
      <c r="J169" s="1109">
        <f t="shared" si="9"/>
        <v>0.56999999999999995</v>
      </c>
      <c r="K169" s="1109">
        <f t="shared" si="9"/>
        <v>3.5000000000000003E-2</v>
      </c>
      <c r="L169" s="1109">
        <f t="shared" si="9"/>
        <v>0</v>
      </c>
      <c r="M169" s="1109">
        <f t="shared" si="9"/>
        <v>0</v>
      </c>
      <c r="N169" s="1109">
        <f t="shared" si="9"/>
        <v>6.6669999999999998</v>
      </c>
      <c r="O169" s="1109">
        <f t="shared" si="9"/>
        <v>9.0129999999999999</v>
      </c>
      <c r="P169" s="1109"/>
      <c r="Q169" s="1109"/>
      <c r="R169" s="1109"/>
      <c r="S169" s="1109"/>
      <c r="U169" s="62"/>
    </row>
    <row r="170" spans="1:21" x14ac:dyDescent="0.25">
      <c r="A170" s="1103" t="s">
        <v>1371</v>
      </c>
      <c r="B170" s="1103"/>
      <c r="C170" s="1109"/>
      <c r="D170" s="1109">
        <f t="shared" ref="D170:O170" si="10">(D77+D70)/1000</f>
        <v>0</v>
      </c>
      <c r="E170" s="1109">
        <f t="shared" si="10"/>
        <v>0.81899999999999995</v>
      </c>
      <c r="F170" s="1109">
        <f t="shared" si="10"/>
        <v>2.4780000000000002</v>
      </c>
      <c r="G170" s="1109">
        <f t="shared" si="10"/>
        <v>4.0720000000000001</v>
      </c>
      <c r="H170" s="1109">
        <f t="shared" si="10"/>
        <v>5.4480000000000004</v>
      </c>
      <c r="I170" s="1109">
        <f t="shared" si="10"/>
        <v>4.8289999999999997</v>
      </c>
      <c r="J170" s="1109">
        <f t="shared" si="10"/>
        <v>3.2949999999999999</v>
      </c>
      <c r="K170" s="1109">
        <f t="shared" si="10"/>
        <v>1.98</v>
      </c>
      <c r="L170" s="1109">
        <f t="shared" si="10"/>
        <v>1.01</v>
      </c>
      <c r="M170" s="1109">
        <f t="shared" si="10"/>
        <v>0.40400000000000003</v>
      </c>
      <c r="N170" s="1109">
        <f t="shared" si="10"/>
        <v>12.817</v>
      </c>
      <c r="O170" s="1109">
        <f t="shared" si="10"/>
        <v>24.335000000000001</v>
      </c>
      <c r="P170" s="1109"/>
      <c r="Q170" s="1109"/>
      <c r="R170" s="1109"/>
      <c r="S170" s="1109"/>
      <c r="U170" s="62"/>
    </row>
    <row r="171" spans="1:21" x14ac:dyDescent="0.25">
      <c r="A171" s="1103" t="s">
        <v>1372</v>
      </c>
      <c r="B171" s="1103"/>
      <c r="C171" s="1109"/>
      <c r="D171" s="1109">
        <f t="shared" ref="D171:O171" si="11">(D69+D76)/1000</f>
        <v>0</v>
      </c>
      <c r="E171" s="1109">
        <f t="shared" si="11"/>
        <v>4.5430000000000001</v>
      </c>
      <c r="F171" s="1109">
        <f t="shared" si="11"/>
        <v>5.6079999999999997</v>
      </c>
      <c r="G171" s="1109">
        <f t="shared" si="11"/>
        <v>8.16</v>
      </c>
      <c r="H171" s="1109">
        <f t="shared" si="11"/>
        <v>10.069000000000001</v>
      </c>
      <c r="I171" s="1109">
        <f t="shared" si="11"/>
        <v>12.026999999999999</v>
      </c>
      <c r="J171" s="1109">
        <f t="shared" si="11"/>
        <v>13.826000000000001</v>
      </c>
      <c r="K171" s="1109">
        <f t="shared" si="11"/>
        <v>15.862</v>
      </c>
      <c r="L171" s="1109">
        <f t="shared" si="11"/>
        <v>17.890999999999998</v>
      </c>
      <c r="M171" s="1109">
        <f t="shared" si="11"/>
        <v>17.481000000000002</v>
      </c>
      <c r="N171" s="1109">
        <f t="shared" si="11"/>
        <v>28.38</v>
      </c>
      <c r="O171" s="1109">
        <f t="shared" si="11"/>
        <v>105.467</v>
      </c>
      <c r="P171" s="1109"/>
      <c r="Q171" s="1109"/>
      <c r="R171" s="1109"/>
      <c r="S171" s="1109"/>
      <c r="U171" s="62"/>
    </row>
    <row r="172" spans="1:21" x14ac:dyDescent="0.25">
      <c r="A172" s="1104" t="s">
        <v>52</v>
      </c>
      <c r="B172" s="1104"/>
      <c r="C172" s="1109"/>
      <c r="D172" s="1109">
        <f t="shared" ref="D172:O172" si="12">(D79+D74)/1000</f>
        <v>0</v>
      </c>
      <c r="E172" s="1109">
        <f t="shared" si="12"/>
        <v>1.2969999999999999</v>
      </c>
      <c r="F172" s="1109">
        <f t="shared" si="12"/>
        <v>3.8479999999999999</v>
      </c>
      <c r="G172" s="1109">
        <f t="shared" si="12"/>
        <v>6.4420000000000002</v>
      </c>
      <c r="H172" s="1109">
        <f t="shared" si="12"/>
        <v>9.532</v>
      </c>
      <c r="I172" s="1109">
        <f t="shared" si="12"/>
        <v>11.882</v>
      </c>
      <c r="J172" s="1109">
        <f t="shared" si="12"/>
        <v>11.727</v>
      </c>
      <c r="K172" s="1109">
        <f t="shared" si="12"/>
        <v>10.569000000000001</v>
      </c>
      <c r="L172" s="1109">
        <f t="shared" si="12"/>
        <v>8.8879999999999999</v>
      </c>
      <c r="M172" s="1109">
        <f t="shared" si="12"/>
        <v>7.1890000000000001</v>
      </c>
      <c r="N172" s="1109">
        <f t="shared" si="12"/>
        <v>21.117000000000001</v>
      </c>
      <c r="O172" s="1109">
        <f t="shared" si="12"/>
        <v>71.372</v>
      </c>
      <c r="P172" s="1109"/>
      <c r="Q172" s="1109"/>
      <c r="R172" s="1109"/>
      <c r="S172" s="1109"/>
      <c r="U172" s="62"/>
    </row>
    <row r="173" spans="1:21" x14ac:dyDescent="0.25">
      <c r="A173" s="1105" t="s">
        <v>528</v>
      </c>
      <c r="B173" s="1105"/>
      <c r="C173" s="1109"/>
      <c r="D173" s="1109"/>
      <c r="E173" s="1109"/>
      <c r="F173" s="1109"/>
      <c r="G173" s="1109"/>
      <c r="H173" s="1109"/>
      <c r="I173" s="1109"/>
      <c r="J173" s="1109"/>
      <c r="K173" s="1109"/>
      <c r="L173" s="1109"/>
      <c r="M173" s="1109"/>
      <c r="N173" s="1109"/>
      <c r="O173" s="1109"/>
      <c r="P173" s="1109"/>
      <c r="Q173" s="1109"/>
      <c r="R173" s="1109"/>
      <c r="S173" s="1109"/>
      <c r="U173" s="62"/>
    </row>
    <row r="174" spans="1:21" x14ac:dyDescent="0.25">
      <c r="A174" s="1106" t="s">
        <v>54</v>
      </c>
      <c r="B174" s="1106"/>
      <c r="C174" s="1109"/>
      <c r="D174" s="1109">
        <f t="shared" ref="D174:O174" si="13">D71/1000</f>
        <v>0</v>
      </c>
      <c r="E174" s="1109">
        <f t="shared" si="13"/>
        <v>0.11</v>
      </c>
      <c r="F174" s="1109">
        <f t="shared" si="13"/>
        <v>0.73899999999999999</v>
      </c>
      <c r="G174" s="1109">
        <f t="shared" si="13"/>
        <v>1.1950000000000001</v>
      </c>
      <c r="H174" s="1109">
        <f t="shared" si="13"/>
        <v>1.4970000000000001</v>
      </c>
      <c r="I174" s="1109">
        <f t="shared" si="13"/>
        <v>1.91</v>
      </c>
      <c r="J174" s="1109">
        <f t="shared" si="13"/>
        <v>2.4049999999999998</v>
      </c>
      <c r="K174" s="1109">
        <f t="shared" si="13"/>
        <v>2.9220000000000002</v>
      </c>
      <c r="L174" s="1109">
        <f t="shared" si="13"/>
        <v>3.4630000000000001</v>
      </c>
      <c r="M174" s="1109">
        <f t="shared" si="13"/>
        <v>4.0069999999999997</v>
      </c>
      <c r="N174" s="1109">
        <f t="shared" si="13"/>
        <v>3.5409999999999999</v>
      </c>
      <c r="O174" s="1109">
        <f t="shared" si="13"/>
        <v>18.248000000000001</v>
      </c>
      <c r="P174" s="1109"/>
      <c r="Q174" s="1109"/>
      <c r="R174" s="1109"/>
      <c r="S174" s="1109"/>
      <c r="U174" s="62"/>
    </row>
    <row r="175" spans="1:21" x14ac:dyDescent="0.25">
      <c r="A175" s="1106" t="s">
        <v>1373</v>
      </c>
      <c r="B175" s="1106"/>
      <c r="C175" s="1109"/>
      <c r="D175" s="1109">
        <f t="shared" ref="D175:O175" si="14">D72/1000</f>
        <v>0</v>
      </c>
      <c r="E175" s="1109">
        <f t="shared" si="14"/>
        <v>-0.41499999999999998</v>
      </c>
      <c r="F175" s="1109">
        <f t="shared" si="14"/>
        <v>2.7679999999999998</v>
      </c>
      <c r="G175" s="1109">
        <f t="shared" si="14"/>
        <v>-12.473000000000001</v>
      </c>
      <c r="H175" s="1109">
        <f t="shared" si="14"/>
        <v>-5.3739999999999997</v>
      </c>
      <c r="I175" s="1109">
        <f t="shared" si="14"/>
        <v>-25.515000000000001</v>
      </c>
      <c r="J175" s="1109">
        <f t="shared" si="14"/>
        <v>-43.975000000000001</v>
      </c>
      <c r="K175" s="1109">
        <f t="shared" si="14"/>
        <v>-46.426000000000002</v>
      </c>
      <c r="L175" s="1109">
        <f t="shared" si="14"/>
        <v>-56.228000000000002</v>
      </c>
      <c r="M175" s="1109">
        <f t="shared" si="14"/>
        <v>-60.581000000000003</v>
      </c>
      <c r="N175" s="1109">
        <f t="shared" si="14"/>
        <v>-15.494</v>
      </c>
      <c r="O175" s="1109">
        <f t="shared" si="14"/>
        <v>-248.21899999999999</v>
      </c>
      <c r="P175" s="1109"/>
      <c r="Q175" s="1109"/>
      <c r="R175" s="1109"/>
      <c r="S175" s="1109"/>
      <c r="U175" s="62"/>
    </row>
    <row r="176" spans="1:21" x14ac:dyDescent="0.25">
      <c r="A176" s="1107" t="s">
        <v>57</v>
      </c>
      <c r="B176" s="1107"/>
      <c r="C176" s="1109"/>
      <c r="D176" s="1109">
        <f t="shared" ref="D176:O176" si="15">(D80+D73)/1000</f>
        <v>-0.622</v>
      </c>
      <c r="E176" s="1109">
        <f t="shared" si="15"/>
        <v>21.89</v>
      </c>
      <c r="F176" s="1109">
        <f t="shared" si="15"/>
        <v>15.439</v>
      </c>
      <c r="G176" s="1109">
        <f t="shared" si="15"/>
        <v>16.966999999999999</v>
      </c>
      <c r="H176" s="1109">
        <f t="shared" si="15"/>
        <v>0.72799999999999998</v>
      </c>
      <c r="I176" s="1109">
        <f t="shared" si="15"/>
        <v>7.657</v>
      </c>
      <c r="J176" s="1109">
        <f t="shared" si="15"/>
        <v>4.5590000000000002</v>
      </c>
      <c r="K176" s="1109">
        <f t="shared" si="15"/>
        <v>2.4649999999999999</v>
      </c>
      <c r="L176" s="1109">
        <f t="shared" si="15"/>
        <v>1.444</v>
      </c>
      <c r="M176" s="1109">
        <f t="shared" si="15"/>
        <v>0.77300000000000002</v>
      </c>
      <c r="N176" s="1109">
        <f t="shared" si="15"/>
        <v>54.402000000000001</v>
      </c>
      <c r="O176" s="1109">
        <f t="shared" si="15"/>
        <v>71.3</v>
      </c>
      <c r="P176" s="1109"/>
      <c r="Q176" s="1109"/>
      <c r="R176" s="1109"/>
      <c r="S176" s="1109"/>
      <c r="U176" s="62"/>
    </row>
    <row r="177" spans="1:21" x14ac:dyDescent="0.25">
      <c r="A177" s="1108" t="s">
        <v>1429</v>
      </c>
      <c r="B177" s="1108"/>
      <c r="C177" s="1109"/>
      <c r="D177" s="1096">
        <f t="shared" ref="D177:O177" si="16">D84/1000</f>
        <v>0</v>
      </c>
      <c r="E177" s="1096">
        <f t="shared" si="16"/>
        <v>-3.1549999999999998</v>
      </c>
      <c r="F177" s="1096">
        <f t="shared" si="16"/>
        <v>-2.2309999999999999</v>
      </c>
      <c r="G177" s="1096">
        <f t="shared" si="16"/>
        <v>-1.6080000000000001</v>
      </c>
      <c r="H177" s="1096">
        <f t="shared" si="16"/>
        <v>-0.77</v>
      </c>
      <c r="I177" s="1096">
        <f t="shared" si="16"/>
        <v>-0.98299999999999998</v>
      </c>
      <c r="J177" s="1096">
        <f t="shared" si="16"/>
        <v>-1.2110000000000001</v>
      </c>
      <c r="K177" s="1096">
        <f t="shared" si="16"/>
        <v>-1.4710000000000001</v>
      </c>
      <c r="L177" s="1096">
        <f t="shared" si="16"/>
        <v>-1.81</v>
      </c>
      <c r="M177" s="1096">
        <f t="shared" si="16"/>
        <v>-2.3250000000000002</v>
      </c>
      <c r="N177" s="1096">
        <f t="shared" si="16"/>
        <v>-7.7670000000000003</v>
      </c>
      <c r="O177" s="1096">
        <f t="shared" si="16"/>
        <v>-15.566000000000001</v>
      </c>
      <c r="P177" s="1096"/>
      <c r="Q177" s="1096"/>
      <c r="R177" s="1096"/>
      <c r="S177" s="1096"/>
      <c r="U177" s="62"/>
    </row>
    <row r="178" spans="1:21" x14ac:dyDescent="0.25">
      <c r="A178" s="1108" t="s">
        <v>239</v>
      </c>
      <c r="B178" s="1108"/>
      <c r="C178" s="1109"/>
      <c r="D178" s="1096">
        <f t="shared" ref="D178:O178" si="17">D85/1000</f>
        <v>0</v>
      </c>
      <c r="E178" s="1096">
        <f t="shared" si="17"/>
        <v>0.45200000000000001</v>
      </c>
      <c r="F178" s="1096">
        <f t="shared" si="17"/>
        <v>-8.67</v>
      </c>
      <c r="G178" s="1096">
        <f t="shared" si="17"/>
        <v>-4.5270000000000001</v>
      </c>
      <c r="H178" s="1096">
        <f t="shared" si="17"/>
        <v>-0.70499999999999996</v>
      </c>
      <c r="I178" s="1096">
        <f t="shared" si="17"/>
        <v>15.813000000000001</v>
      </c>
      <c r="J178" s="1096">
        <f t="shared" si="17"/>
        <v>20.372</v>
      </c>
      <c r="K178" s="1096">
        <f t="shared" si="17"/>
        <v>24.847000000000001</v>
      </c>
      <c r="L178" s="1096">
        <f t="shared" si="17"/>
        <v>28.113</v>
      </c>
      <c r="M178" s="1096">
        <f t="shared" si="17"/>
        <v>24.777000000000001</v>
      </c>
      <c r="N178" s="1096">
        <f t="shared" si="17"/>
        <v>-13.451000000000001</v>
      </c>
      <c r="O178" s="1096">
        <f t="shared" si="17"/>
        <v>100.468</v>
      </c>
      <c r="P178" s="1096"/>
      <c r="Q178" s="1096"/>
      <c r="R178" s="1096"/>
      <c r="S178" s="1096"/>
      <c r="U178" s="62"/>
    </row>
    <row r="179" spans="1:21" x14ac:dyDescent="0.25">
      <c r="A179" s="1108" t="s">
        <v>106</v>
      </c>
      <c r="B179" s="1108"/>
      <c r="C179" s="1109"/>
      <c r="D179" s="1096">
        <f t="shared" ref="D179:O179" si="18">D83/1000</f>
        <v>0</v>
      </c>
      <c r="E179" s="1096">
        <f t="shared" si="18"/>
        <v>35.317</v>
      </c>
      <c r="F179" s="1096">
        <f t="shared" si="18"/>
        <v>36.033000000000001</v>
      </c>
      <c r="G179" s="1096">
        <f t="shared" si="18"/>
        <v>21.076000000000001</v>
      </c>
      <c r="H179" s="1096">
        <f t="shared" si="18"/>
        <v>13.346</v>
      </c>
      <c r="I179" s="1096">
        <f t="shared" si="18"/>
        <v>27.507999999999999</v>
      </c>
      <c r="J179" s="1096">
        <f t="shared" si="18"/>
        <v>35.85</v>
      </c>
      <c r="K179" s="1096">
        <f t="shared" si="18"/>
        <v>18.64</v>
      </c>
      <c r="L179" s="1096">
        <f t="shared" si="18"/>
        <v>8.3940000000000001</v>
      </c>
      <c r="M179" s="1096">
        <f t="shared" si="18"/>
        <v>7.9820000000000002</v>
      </c>
      <c r="N179" s="1096">
        <f t="shared" si="18"/>
        <v>105.76900000000001</v>
      </c>
      <c r="O179" s="1096">
        <f t="shared" si="18"/>
        <v>204.14400000000001</v>
      </c>
      <c r="P179" s="1096"/>
      <c r="Q179" s="1096"/>
      <c r="R179" s="1096"/>
      <c r="S179" s="1096"/>
      <c r="U179" s="62"/>
    </row>
    <row r="182" spans="1:21" x14ac:dyDescent="0.25">
      <c r="A182" s="56" t="s">
        <v>1374</v>
      </c>
    </row>
    <row r="183" spans="1:21" x14ac:dyDescent="0.25">
      <c r="A183" s="1102"/>
      <c r="B183" s="1102"/>
      <c r="C183" s="1102"/>
      <c r="D183" s="1102" t="s">
        <v>183</v>
      </c>
      <c r="E183" s="1102" t="s">
        <v>184</v>
      </c>
      <c r="F183" s="1102" t="s">
        <v>185</v>
      </c>
      <c r="G183" s="1102" t="s">
        <v>186</v>
      </c>
      <c r="H183" s="1102" t="s">
        <v>187</v>
      </c>
      <c r="I183" s="1102" t="s">
        <v>188</v>
      </c>
      <c r="J183" s="1102" t="s">
        <v>189</v>
      </c>
      <c r="K183" s="1102" t="s">
        <v>190</v>
      </c>
      <c r="L183" s="1102" t="s">
        <v>191</v>
      </c>
      <c r="M183" s="1102" t="s">
        <v>175</v>
      </c>
      <c r="N183" s="1102" t="s">
        <v>176</v>
      </c>
      <c r="O183" s="1102" t="s">
        <v>177</v>
      </c>
      <c r="P183" s="1102" t="s">
        <v>765</v>
      </c>
      <c r="Q183" s="1102" t="s">
        <v>766</v>
      </c>
      <c r="R183" s="1102" t="s">
        <v>767</v>
      </c>
      <c r="S183" s="1102" t="s">
        <v>1157</v>
      </c>
      <c r="U183" s="62"/>
    </row>
    <row r="184" spans="1:21" x14ac:dyDescent="0.25">
      <c r="A184" s="1103" t="s">
        <v>1370</v>
      </c>
      <c r="B184" s="1103"/>
      <c r="C184" s="1110"/>
      <c r="D184" s="1110">
        <f t="shared" ref="D184:D191" si="19">D169</f>
        <v>0</v>
      </c>
      <c r="E184" s="1110">
        <f>D184</f>
        <v>0</v>
      </c>
      <c r="F184" s="1110">
        <f t="shared" ref="F184:F191" si="20">E169</f>
        <v>6.8000000000000005E-2</v>
      </c>
      <c r="G184" s="1110">
        <f>F184</f>
        <v>6.8000000000000005E-2</v>
      </c>
      <c r="H184" s="1110">
        <f>G184</f>
        <v>6.8000000000000005E-2</v>
      </c>
      <c r="I184" s="1110">
        <f>H184</f>
        <v>6.8000000000000005E-2</v>
      </c>
      <c r="J184" s="1110">
        <f t="shared" ref="J184:J191" si="21">F169</f>
        <v>1.363</v>
      </c>
      <c r="K184" s="1110">
        <f t="shared" ref="K184:M191" si="22">J184</f>
        <v>1.363</v>
      </c>
      <c r="L184" s="1110">
        <f t="shared" si="22"/>
        <v>1.363</v>
      </c>
      <c r="M184" s="1110">
        <f>L184</f>
        <v>1.363</v>
      </c>
      <c r="N184" s="1110">
        <f>G169</f>
        <v>2.4329999999999998</v>
      </c>
      <c r="O184" s="1110">
        <f>N184</f>
        <v>2.4329999999999998</v>
      </c>
      <c r="P184" s="1110">
        <f t="shared" ref="P184:Q184" si="23">O184</f>
        <v>2.4329999999999998</v>
      </c>
      <c r="Q184" s="1110">
        <f t="shared" si="23"/>
        <v>2.4329999999999998</v>
      </c>
      <c r="R184" s="1110">
        <f>H169</f>
        <v>2.8029999999999999</v>
      </c>
      <c r="S184" s="1110">
        <f>R184</f>
        <v>2.8029999999999999</v>
      </c>
      <c r="U184" s="62"/>
    </row>
    <row r="185" spans="1:21" x14ac:dyDescent="0.25">
      <c r="A185" s="1103" t="s">
        <v>1371</v>
      </c>
      <c r="B185" s="1103"/>
      <c r="C185" s="1110"/>
      <c r="D185" s="1110">
        <f t="shared" si="19"/>
        <v>0</v>
      </c>
      <c r="E185" s="1110">
        <f t="shared" ref="E185:E191" si="24">D185</f>
        <v>0</v>
      </c>
      <c r="F185" s="1110">
        <f t="shared" si="20"/>
        <v>0.81899999999999995</v>
      </c>
      <c r="G185" s="1110">
        <f t="shared" ref="G185:I191" si="25">F185</f>
        <v>0.81899999999999995</v>
      </c>
      <c r="H185" s="1110">
        <f t="shared" si="25"/>
        <v>0.81899999999999995</v>
      </c>
      <c r="I185" s="1110">
        <f t="shared" si="25"/>
        <v>0.81899999999999995</v>
      </c>
      <c r="J185" s="1110">
        <f>F170</f>
        <v>2.4780000000000002</v>
      </c>
      <c r="K185" s="1110">
        <f t="shared" si="22"/>
        <v>2.4780000000000002</v>
      </c>
      <c r="L185" s="1110">
        <f t="shared" si="22"/>
        <v>2.4780000000000002</v>
      </c>
      <c r="M185" s="1110">
        <f>L185</f>
        <v>2.4780000000000002</v>
      </c>
      <c r="N185" s="1110">
        <f>G170</f>
        <v>4.0720000000000001</v>
      </c>
      <c r="O185" s="1110">
        <f>N185</f>
        <v>4.0720000000000001</v>
      </c>
      <c r="P185" s="1110">
        <f t="shared" ref="P185:Q194" si="26">O185</f>
        <v>4.0720000000000001</v>
      </c>
      <c r="Q185" s="1110">
        <f t="shared" si="26"/>
        <v>4.0720000000000001</v>
      </c>
      <c r="R185" s="1110">
        <f>H170</f>
        <v>5.4480000000000004</v>
      </c>
      <c r="S185" s="1110">
        <f t="shared" ref="S185:S194" si="27">R185</f>
        <v>5.4480000000000004</v>
      </c>
      <c r="U185" s="62"/>
    </row>
    <row r="186" spans="1:21" x14ac:dyDescent="0.25">
      <c r="A186" s="1103" t="s">
        <v>1372</v>
      </c>
      <c r="B186" s="1103"/>
      <c r="C186" s="1110"/>
      <c r="D186" s="1110">
        <f t="shared" si="19"/>
        <v>0</v>
      </c>
      <c r="E186" s="1110">
        <f t="shared" si="24"/>
        <v>0</v>
      </c>
      <c r="F186" s="1110">
        <f t="shared" si="20"/>
        <v>4.5430000000000001</v>
      </c>
      <c r="G186" s="1110">
        <f t="shared" si="25"/>
        <v>4.5430000000000001</v>
      </c>
      <c r="H186" s="1110">
        <f t="shared" si="25"/>
        <v>4.5430000000000001</v>
      </c>
      <c r="I186" s="1110">
        <f t="shared" si="25"/>
        <v>4.5430000000000001</v>
      </c>
      <c r="J186" s="1110">
        <f t="shared" si="21"/>
        <v>5.6079999999999997</v>
      </c>
      <c r="K186" s="1110">
        <f t="shared" si="22"/>
        <v>5.6079999999999997</v>
      </c>
      <c r="L186" s="1110">
        <f t="shared" si="22"/>
        <v>5.6079999999999997</v>
      </c>
      <c r="M186" s="1110">
        <f t="shared" si="22"/>
        <v>5.6079999999999997</v>
      </c>
      <c r="N186" s="1110">
        <f>G171</f>
        <v>8.16</v>
      </c>
      <c r="O186" s="1110">
        <f t="shared" ref="O186:O191" si="28">N186</f>
        <v>8.16</v>
      </c>
      <c r="P186" s="1110">
        <f t="shared" si="26"/>
        <v>8.16</v>
      </c>
      <c r="Q186" s="1110">
        <f t="shared" si="26"/>
        <v>8.16</v>
      </c>
      <c r="R186" s="1110">
        <f t="shared" ref="R186:R194" si="29">H171</f>
        <v>10.069000000000001</v>
      </c>
      <c r="S186" s="1110">
        <f t="shared" si="27"/>
        <v>10.069000000000001</v>
      </c>
      <c r="U186" s="62"/>
    </row>
    <row r="187" spans="1:21" x14ac:dyDescent="0.25">
      <c r="A187" s="1104" t="s">
        <v>52</v>
      </c>
      <c r="B187" s="1104"/>
      <c r="C187" s="1110"/>
      <c r="D187" s="1110">
        <f t="shared" si="19"/>
        <v>0</v>
      </c>
      <c r="E187" s="1110">
        <f t="shared" si="24"/>
        <v>0</v>
      </c>
      <c r="F187" s="1110">
        <f t="shared" si="20"/>
        <v>1.2969999999999999</v>
      </c>
      <c r="G187" s="1110">
        <f t="shared" si="25"/>
        <v>1.2969999999999999</v>
      </c>
      <c r="H187" s="1110">
        <f t="shared" si="25"/>
        <v>1.2969999999999999</v>
      </c>
      <c r="I187" s="1110">
        <f t="shared" si="25"/>
        <v>1.2969999999999999</v>
      </c>
      <c r="J187" s="1110">
        <f t="shared" si="21"/>
        <v>3.8479999999999999</v>
      </c>
      <c r="K187" s="1110">
        <f t="shared" si="22"/>
        <v>3.8479999999999999</v>
      </c>
      <c r="L187" s="1110">
        <f t="shared" si="22"/>
        <v>3.8479999999999999</v>
      </c>
      <c r="M187" s="1110">
        <f t="shared" si="22"/>
        <v>3.8479999999999999</v>
      </c>
      <c r="N187" s="1110">
        <f t="shared" ref="N187:N191" si="30">G172</f>
        <v>6.4420000000000002</v>
      </c>
      <c r="O187" s="1110">
        <f t="shared" si="28"/>
        <v>6.4420000000000002</v>
      </c>
      <c r="P187" s="1110">
        <f t="shared" si="26"/>
        <v>6.4420000000000002</v>
      </c>
      <c r="Q187" s="1110">
        <f t="shared" si="26"/>
        <v>6.4420000000000002</v>
      </c>
      <c r="R187" s="1110">
        <f t="shared" si="29"/>
        <v>9.532</v>
      </c>
      <c r="S187" s="1110">
        <f t="shared" si="27"/>
        <v>9.532</v>
      </c>
      <c r="U187" s="62"/>
    </row>
    <row r="188" spans="1:21" x14ac:dyDescent="0.25">
      <c r="A188" s="1105" t="s">
        <v>528</v>
      </c>
      <c r="B188" s="1105"/>
      <c r="C188" s="1110"/>
      <c r="D188" s="1110">
        <f t="shared" si="19"/>
        <v>0</v>
      </c>
      <c r="E188" s="1110">
        <f t="shared" si="24"/>
        <v>0</v>
      </c>
      <c r="F188" s="1110">
        <f t="shared" si="20"/>
        <v>0</v>
      </c>
      <c r="G188" s="1110">
        <f t="shared" si="25"/>
        <v>0</v>
      </c>
      <c r="H188" s="1110">
        <f t="shared" si="25"/>
        <v>0</v>
      </c>
      <c r="I188" s="1110">
        <f t="shared" si="25"/>
        <v>0</v>
      </c>
      <c r="J188" s="1110">
        <f t="shared" si="21"/>
        <v>0</v>
      </c>
      <c r="K188" s="1110">
        <f t="shared" si="22"/>
        <v>0</v>
      </c>
      <c r="L188" s="1110">
        <f t="shared" si="22"/>
        <v>0</v>
      </c>
      <c r="M188" s="1110">
        <f t="shared" si="22"/>
        <v>0</v>
      </c>
      <c r="N188" s="1110">
        <f t="shared" si="30"/>
        <v>0</v>
      </c>
      <c r="O188" s="1110">
        <f t="shared" si="28"/>
        <v>0</v>
      </c>
      <c r="P188" s="1110">
        <f t="shared" si="26"/>
        <v>0</v>
      </c>
      <c r="Q188" s="1110">
        <f t="shared" si="26"/>
        <v>0</v>
      </c>
      <c r="R188" s="1110">
        <f t="shared" si="29"/>
        <v>0</v>
      </c>
      <c r="S188" s="1110">
        <f t="shared" si="27"/>
        <v>0</v>
      </c>
      <c r="U188" s="62"/>
    </row>
    <row r="189" spans="1:21" x14ac:dyDescent="0.25">
      <c r="A189" s="1106" t="s">
        <v>54</v>
      </c>
      <c r="B189" s="1106"/>
      <c r="C189" s="1110"/>
      <c r="D189" s="1110">
        <f t="shared" si="19"/>
        <v>0</v>
      </c>
      <c r="E189" s="1110">
        <f t="shared" si="24"/>
        <v>0</v>
      </c>
      <c r="F189" s="1110">
        <f t="shared" si="20"/>
        <v>0.11</v>
      </c>
      <c r="G189" s="1110">
        <f t="shared" si="25"/>
        <v>0.11</v>
      </c>
      <c r="H189" s="1110">
        <f t="shared" si="25"/>
        <v>0.11</v>
      </c>
      <c r="I189" s="1110">
        <f t="shared" si="25"/>
        <v>0.11</v>
      </c>
      <c r="J189" s="1110">
        <f t="shared" si="21"/>
        <v>0.73899999999999999</v>
      </c>
      <c r="K189" s="1110">
        <f t="shared" si="22"/>
        <v>0.73899999999999999</v>
      </c>
      <c r="L189" s="1110">
        <f t="shared" si="22"/>
        <v>0.73899999999999999</v>
      </c>
      <c r="M189" s="1110">
        <f t="shared" si="22"/>
        <v>0.73899999999999999</v>
      </c>
      <c r="N189" s="1110">
        <f t="shared" si="30"/>
        <v>1.1950000000000001</v>
      </c>
      <c r="O189" s="1110">
        <f t="shared" si="28"/>
        <v>1.1950000000000001</v>
      </c>
      <c r="P189" s="1110">
        <f t="shared" si="26"/>
        <v>1.1950000000000001</v>
      </c>
      <c r="Q189" s="1110">
        <f t="shared" si="26"/>
        <v>1.1950000000000001</v>
      </c>
      <c r="R189" s="1110">
        <f t="shared" si="29"/>
        <v>1.4970000000000001</v>
      </c>
      <c r="S189" s="1110">
        <f t="shared" si="27"/>
        <v>1.4970000000000001</v>
      </c>
      <c r="U189" s="62"/>
    </row>
    <row r="190" spans="1:21" x14ac:dyDescent="0.25">
      <c r="A190" s="1106" t="s">
        <v>1373</v>
      </c>
      <c r="B190" s="1106"/>
      <c r="C190" s="1110"/>
      <c r="D190" s="1110">
        <f t="shared" si="19"/>
        <v>0</v>
      </c>
      <c r="E190" s="1110">
        <f t="shared" si="24"/>
        <v>0</v>
      </c>
      <c r="F190" s="1110">
        <f t="shared" si="20"/>
        <v>-0.41499999999999998</v>
      </c>
      <c r="G190" s="1110">
        <f t="shared" si="25"/>
        <v>-0.41499999999999998</v>
      </c>
      <c r="H190" s="1110">
        <f t="shared" si="25"/>
        <v>-0.41499999999999998</v>
      </c>
      <c r="I190" s="1110">
        <f t="shared" si="25"/>
        <v>-0.41499999999999998</v>
      </c>
      <c r="J190" s="1110">
        <f t="shared" si="21"/>
        <v>2.7679999999999998</v>
      </c>
      <c r="K190" s="1110">
        <f t="shared" si="22"/>
        <v>2.7679999999999998</v>
      </c>
      <c r="L190" s="1110">
        <f t="shared" si="22"/>
        <v>2.7679999999999998</v>
      </c>
      <c r="M190" s="1110">
        <f t="shared" si="22"/>
        <v>2.7679999999999998</v>
      </c>
      <c r="N190" s="1110">
        <f t="shared" si="30"/>
        <v>-12.473000000000001</v>
      </c>
      <c r="O190" s="1110">
        <f t="shared" si="28"/>
        <v>-12.473000000000001</v>
      </c>
      <c r="P190" s="1110">
        <f t="shared" si="26"/>
        <v>-12.473000000000001</v>
      </c>
      <c r="Q190" s="1110">
        <f t="shared" si="26"/>
        <v>-12.473000000000001</v>
      </c>
      <c r="R190" s="1110">
        <f t="shared" si="29"/>
        <v>-5.3739999999999997</v>
      </c>
      <c r="S190" s="1110">
        <f t="shared" si="27"/>
        <v>-5.3739999999999997</v>
      </c>
      <c r="U190" s="62"/>
    </row>
    <row r="191" spans="1:21" x14ac:dyDescent="0.25">
      <c r="A191" s="1107" t="s">
        <v>57</v>
      </c>
      <c r="B191" s="1107"/>
      <c r="C191" s="1110"/>
      <c r="D191" s="1110">
        <f t="shared" si="19"/>
        <v>-0.622</v>
      </c>
      <c r="E191" s="1110">
        <f t="shared" si="24"/>
        <v>-0.622</v>
      </c>
      <c r="F191" s="1110">
        <f t="shared" si="20"/>
        <v>21.89</v>
      </c>
      <c r="G191" s="1110">
        <f t="shared" si="25"/>
        <v>21.89</v>
      </c>
      <c r="H191" s="1110">
        <f t="shared" si="25"/>
        <v>21.89</v>
      </c>
      <c r="I191" s="1110">
        <f t="shared" si="25"/>
        <v>21.89</v>
      </c>
      <c r="J191" s="1110">
        <f t="shared" si="21"/>
        <v>15.439</v>
      </c>
      <c r="K191" s="1110">
        <f t="shared" si="22"/>
        <v>15.439</v>
      </c>
      <c r="L191" s="1110">
        <f t="shared" si="22"/>
        <v>15.439</v>
      </c>
      <c r="M191" s="1110">
        <f t="shared" si="22"/>
        <v>15.439</v>
      </c>
      <c r="N191" s="1110">
        <f t="shared" si="30"/>
        <v>16.966999999999999</v>
      </c>
      <c r="O191" s="1110">
        <f t="shared" si="28"/>
        <v>16.966999999999999</v>
      </c>
      <c r="P191" s="1110">
        <f t="shared" si="26"/>
        <v>16.966999999999999</v>
      </c>
      <c r="Q191" s="1110">
        <f t="shared" si="26"/>
        <v>16.966999999999999</v>
      </c>
      <c r="R191" s="1110">
        <f t="shared" si="29"/>
        <v>0.72799999999999998</v>
      </c>
      <c r="S191" s="1110">
        <f t="shared" si="27"/>
        <v>0.72799999999999998</v>
      </c>
      <c r="U191" s="62"/>
    </row>
    <row r="192" spans="1:21" x14ac:dyDescent="0.25">
      <c r="A192" s="1108" t="s">
        <v>486</v>
      </c>
      <c r="B192" s="1108"/>
      <c r="C192" s="1110"/>
      <c r="D192" s="1096">
        <f t="shared" ref="D192:D194" si="31">D177</f>
        <v>0</v>
      </c>
      <c r="E192" s="1096">
        <f t="shared" ref="E192:E194" si="32">D192</f>
        <v>0</v>
      </c>
      <c r="F192" s="1096">
        <f t="shared" ref="F192:F194" si="33">E177</f>
        <v>-3.1549999999999998</v>
      </c>
      <c r="G192" s="1096">
        <f t="shared" ref="G192:G194" si="34">F192</f>
        <v>-3.1549999999999998</v>
      </c>
      <c r="H192" s="1096">
        <f t="shared" ref="H192:H194" si="35">G192</f>
        <v>-3.1549999999999998</v>
      </c>
      <c r="I192" s="1096">
        <f t="shared" ref="I192:I194" si="36">H192</f>
        <v>-3.1549999999999998</v>
      </c>
      <c r="J192" s="1096">
        <f t="shared" ref="J192:J194" si="37">F177</f>
        <v>-2.2309999999999999</v>
      </c>
      <c r="K192" s="1096">
        <f t="shared" ref="K192:K194" si="38">J192</f>
        <v>-2.2309999999999999</v>
      </c>
      <c r="L192" s="1096">
        <f t="shared" ref="L192:L194" si="39">K192</f>
        <v>-2.2309999999999999</v>
      </c>
      <c r="M192" s="1096">
        <f t="shared" ref="M192:M194" si="40">L192</f>
        <v>-2.2309999999999999</v>
      </c>
      <c r="N192" s="1096">
        <f t="shared" ref="N192:N194" si="41">G177</f>
        <v>-1.6080000000000001</v>
      </c>
      <c r="O192" s="1096">
        <f t="shared" ref="O192:O194" si="42">N192</f>
        <v>-1.6080000000000001</v>
      </c>
      <c r="P192" s="1096">
        <f t="shared" si="26"/>
        <v>-1.6080000000000001</v>
      </c>
      <c r="Q192" s="1096">
        <f t="shared" si="26"/>
        <v>-1.6080000000000001</v>
      </c>
      <c r="R192" s="1110">
        <f t="shared" si="29"/>
        <v>-0.77</v>
      </c>
      <c r="S192" s="1110">
        <f t="shared" si="27"/>
        <v>-0.77</v>
      </c>
      <c r="U192" s="62"/>
    </row>
    <row r="193" spans="1:21" x14ac:dyDescent="0.25">
      <c r="A193" s="1108" t="s">
        <v>484</v>
      </c>
      <c r="B193" s="1108"/>
      <c r="C193" s="1110"/>
      <c r="D193" s="1096">
        <f t="shared" si="31"/>
        <v>0</v>
      </c>
      <c r="E193" s="1096">
        <f t="shared" si="32"/>
        <v>0</v>
      </c>
      <c r="F193" s="1096">
        <f t="shared" si="33"/>
        <v>0.45200000000000001</v>
      </c>
      <c r="G193" s="1096">
        <f t="shared" si="34"/>
        <v>0.45200000000000001</v>
      </c>
      <c r="H193" s="1096">
        <f t="shared" si="35"/>
        <v>0.45200000000000001</v>
      </c>
      <c r="I193" s="1096">
        <f t="shared" si="36"/>
        <v>0.45200000000000001</v>
      </c>
      <c r="J193" s="1096">
        <f t="shared" si="37"/>
        <v>-8.67</v>
      </c>
      <c r="K193" s="1096">
        <f t="shared" si="38"/>
        <v>-8.67</v>
      </c>
      <c r="L193" s="1096">
        <f t="shared" si="39"/>
        <v>-8.67</v>
      </c>
      <c r="M193" s="1096">
        <f t="shared" si="40"/>
        <v>-8.67</v>
      </c>
      <c r="N193" s="1096">
        <f t="shared" si="41"/>
        <v>-4.5270000000000001</v>
      </c>
      <c r="O193" s="1096">
        <f t="shared" si="42"/>
        <v>-4.5270000000000001</v>
      </c>
      <c r="P193" s="1096">
        <f t="shared" si="26"/>
        <v>-4.5270000000000001</v>
      </c>
      <c r="Q193" s="1096">
        <f t="shared" si="26"/>
        <v>-4.5270000000000001</v>
      </c>
      <c r="R193" s="1110">
        <f t="shared" si="29"/>
        <v>-0.70499999999999996</v>
      </c>
      <c r="S193" s="1110">
        <f t="shared" si="27"/>
        <v>-0.70499999999999996</v>
      </c>
      <c r="U193" s="62"/>
    </row>
    <row r="194" spans="1:21" x14ac:dyDescent="0.25">
      <c r="A194" s="1108" t="s">
        <v>106</v>
      </c>
      <c r="B194" s="1108"/>
      <c r="C194" s="1110"/>
      <c r="D194" s="1096">
        <f t="shared" si="31"/>
        <v>0</v>
      </c>
      <c r="E194" s="1096">
        <f t="shared" si="32"/>
        <v>0</v>
      </c>
      <c r="F194" s="1096">
        <f t="shared" si="33"/>
        <v>35.317</v>
      </c>
      <c r="G194" s="1096">
        <f t="shared" si="34"/>
        <v>35.317</v>
      </c>
      <c r="H194" s="1096">
        <f t="shared" si="35"/>
        <v>35.317</v>
      </c>
      <c r="I194" s="1096">
        <f t="shared" si="36"/>
        <v>35.317</v>
      </c>
      <c r="J194" s="1096">
        <f t="shared" si="37"/>
        <v>36.033000000000001</v>
      </c>
      <c r="K194" s="1096">
        <f t="shared" si="38"/>
        <v>36.033000000000001</v>
      </c>
      <c r="L194" s="1096">
        <f t="shared" si="39"/>
        <v>36.033000000000001</v>
      </c>
      <c r="M194" s="1096">
        <f t="shared" si="40"/>
        <v>36.033000000000001</v>
      </c>
      <c r="N194" s="1096">
        <f t="shared" si="41"/>
        <v>21.076000000000001</v>
      </c>
      <c r="O194" s="1096">
        <f t="shared" si="42"/>
        <v>21.076000000000001</v>
      </c>
      <c r="P194" s="1096">
        <f t="shared" si="26"/>
        <v>21.076000000000001</v>
      </c>
      <c r="Q194" s="1096">
        <f t="shared" si="26"/>
        <v>21.076000000000001</v>
      </c>
      <c r="R194" s="1110">
        <f t="shared" si="29"/>
        <v>13.346</v>
      </c>
      <c r="S194" s="1110">
        <f t="shared" si="27"/>
        <v>13.346</v>
      </c>
      <c r="U194" s="62"/>
    </row>
    <row r="197" spans="1:21" x14ac:dyDescent="0.25">
      <c r="A197" s="56" t="s">
        <v>1376</v>
      </c>
    </row>
    <row r="198" spans="1:21" x14ac:dyDescent="0.25">
      <c r="A198" s="1104" t="s">
        <v>52</v>
      </c>
      <c r="D198" s="1111">
        <v>0</v>
      </c>
      <c r="E198" s="1111">
        <v>0</v>
      </c>
      <c r="F198" s="1111">
        <v>2.3250000000000002</v>
      </c>
      <c r="G198" s="1111">
        <v>2.3250000000000002</v>
      </c>
      <c r="H198" s="1111">
        <v>2.3250000000000002</v>
      </c>
      <c r="I198" s="1111">
        <v>2.3250000000000002</v>
      </c>
      <c r="J198" s="1111">
        <v>5.5830000000000002</v>
      </c>
      <c r="K198" s="1111">
        <v>5.5830000000000002</v>
      </c>
      <c r="L198" s="1111">
        <v>5.5830000000000002</v>
      </c>
      <c r="M198" s="1111">
        <v>5.5830000000000002</v>
      </c>
      <c r="N198" s="1111">
        <v>8.0220000000000002</v>
      </c>
      <c r="O198" s="1111">
        <v>8.0220000000000002</v>
      </c>
      <c r="P198" s="1111"/>
      <c r="Q198" s="1111"/>
      <c r="R198" s="1111"/>
      <c r="S198" s="1111"/>
    </row>
  </sheetData>
  <mergeCells count="5">
    <mergeCell ref="C2:O2"/>
    <mergeCell ref="C42:O42"/>
    <mergeCell ref="C68:O68"/>
    <mergeCell ref="C75:O75"/>
    <mergeCell ref="C82:O82"/>
  </mergeCells>
  <hyperlinks>
    <hyperlink ref="T157" r:id="rId1" xr:uid="{00000000-0004-0000-1F00-000000000000}"/>
    <hyperlink ref="T115" r:id="rId2" xr:uid="{00000000-0004-0000-1F00-000001000000}"/>
    <hyperlink ref="T153" r:id="rId3" location=":~:text=Who%20is%20eligible%20for%20Conservation,resource%20concerns%20when%20they%20apply." xr:uid="{00000000-0004-0000-1F00-000002000000}"/>
    <hyperlink ref="A1" r:id="rId4" xr:uid="{00000000-0004-0000-1F00-000003000000}"/>
  </hyperlinks>
  <pageMargins left="0.7" right="0.7" top="0.75" bottom="0.75" header="0.3" footer="0.3"/>
  <pageSetup orientation="portrait" horizontalDpi="1200" verticalDpi="1200"/>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F50"/>
  <sheetViews>
    <sheetView topLeftCell="A22" workbookViewId="0">
      <selection activeCell="E6" sqref="E6"/>
    </sheetView>
  </sheetViews>
  <sheetFormatPr defaultColWidth="10.85546875" defaultRowHeight="15" x14ac:dyDescent="0.25"/>
  <cols>
    <col min="1" max="1" width="77.85546875" customWidth="1"/>
    <col min="2" max="2" width="21" customWidth="1"/>
    <col min="5" max="5" width="37.42578125" customWidth="1"/>
    <col min="6" max="6" width="16" customWidth="1"/>
  </cols>
  <sheetData>
    <row r="1" spans="1:6" x14ac:dyDescent="0.25">
      <c r="A1" s="230" t="s">
        <v>554</v>
      </c>
    </row>
    <row r="2" spans="1:6" ht="20.85" customHeight="1" x14ac:dyDescent="0.3">
      <c r="A2" s="1116" t="s">
        <v>555</v>
      </c>
      <c r="B2" s="1116" t="s">
        <v>556</v>
      </c>
      <c r="C2" s="1116" t="s">
        <v>557</v>
      </c>
      <c r="D2" s="1116" t="s">
        <v>558</v>
      </c>
    </row>
    <row r="3" spans="1:6" x14ac:dyDescent="0.25">
      <c r="A3" s="1117" t="s">
        <v>559</v>
      </c>
      <c r="B3" s="667">
        <f>SUM(B4:B7)</f>
        <v>325</v>
      </c>
      <c r="E3" s="1443" t="s">
        <v>560</v>
      </c>
      <c r="F3" s="1443"/>
    </row>
    <row r="4" spans="1:6" x14ac:dyDescent="0.25">
      <c r="A4" s="757" t="s">
        <v>561</v>
      </c>
      <c r="B4" s="667">
        <v>284</v>
      </c>
      <c r="E4" s="504" t="s">
        <v>51</v>
      </c>
      <c r="F4" s="504" t="s">
        <v>562</v>
      </c>
    </row>
    <row r="5" spans="1:6" x14ac:dyDescent="0.25">
      <c r="A5" s="757" t="s">
        <v>414</v>
      </c>
      <c r="B5" s="667">
        <v>20</v>
      </c>
      <c r="E5" s="230" t="s">
        <v>150</v>
      </c>
      <c r="F5" s="230">
        <f>SUM(B11:B16)</f>
        <v>82</v>
      </c>
    </row>
    <row r="6" spans="1:6" x14ac:dyDescent="0.25">
      <c r="A6" s="757" t="s">
        <v>421</v>
      </c>
      <c r="B6" s="667">
        <v>15</v>
      </c>
      <c r="E6" s="230" t="s">
        <v>49</v>
      </c>
      <c r="F6" s="230">
        <f>B23</f>
        <v>3</v>
      </c>
    </row>
    <row r="7" spans="1:6" x14ac:dyDescent="0.25">
      <c r="A7" s="757" t="s">
        <v>422</v>
      </c>
      <c r="B7" s="667">
        <v>6</v>
      </c>
      <c r="E7" s="230" t="s">
        <v>343</v>
      </c>
      <c r="F7" s="230">
        <f>B27-B28</f>
        <v>29</v>
      </c>
    </row>
    <row r="8" spans="1:6" x14ac:dyDescent="0.25">
      <c r="A8" s="504" t="s">
        <v>563</v>
      </c>
      <c r="B8" s="667">
        <v>121</v>
      </c>
      <c r="E8" s="230" t="s">
        <v>360</v>
      </c>
      <c r="F8" s="230">
        <f>B42</f>
        <v>2</v>
      </c>
    </row>
    <row r="9" spans="1:6" x14ac:dyDescent="0.25">
      <c r="A9" s="1118" t="s">
        <v>564</v>
      </c>
      <c r="B9" s="667">
        <v>166</v>
      </c>
      <c r="E9" s="230" t="s">
        <v>565</v>
      </c>
      <c r="F9" s="230">
        <f>B18+B20+B21</f>
        <v>34</v>
      </c>
    </row>
    <row r="10" spans="1:6" x14ac:dyDescent="0.25">
      <c r="A10" s="1115" t="s">
        <v>566</v>
      </c>
      <c r="B10" s="667">
        <v>82</v>
      </c>
      <c r="E10" s="504" t="s">
        <v>567</v>
      </c>
      <c r="F10" s="504" t="s">
        <v>568</v>
      </c>
    </row>
    <row r="11" spans="1:6" x14ac:dyDescent="0.25">
      <c r="A11" s="757" t="s">
        <v>569</v>
      </c>
      <c r="B11" s="667">
        <v>54</v>
      </c>
      <c r="E11" s="230" t="s">
        <v>316</v>
      </c>
      <c r="F11" s="230">
        <f>B4</f>
        <v>284</v>
      </c>
    </row>
    <row r="12" spans="1:6" x14ac:dyDescent="0.25">
      <c r="A12" s="757" t="s">
        <v>570</v>
      </c>
      <c r="B12" s="667">
        <v>20</v>
      </c>
      <c r="E12" s="230" t="s">
        <v>571</v>
      </c>
      <c r="F12" s="230">
        <f>B5</f>
        <v>20</v>
      </c>
    </row>
    <row r="13" spans="1:6" x14ac:dyDescent="0.25">
      <c r="A13" s="757" t="s">
        <v>572</v>
      </c>
      <c r="B13" s="667">
        <v>4</v>
      </c>
      <c r="E13" s="230" t="s">
        <v>421</v>
      </c>
      <c r="F13" s="230">
        <f>B6</f>
        <v>15</v>
      </c>
    </row>
    <row r="14" spans="1:6" ht="27.6" customHeight="1" x14ac:dyDescent="0.25">
      <c r="A14" s="757" t="s">
        <v>573</v>
      </c>
      <c r="B14" s="667">
        <v>2</v>
      </c>
      <c r="E14" s="273" t="s">
        <v>422</v>
      </c>
      <c r="F14" s="230">
        <f>B7</f>
        <v>6</v>
      </c>
    </row>
    <row r="15" spans="1:6" ht="27.6" customHeight="1" x14ac:dyDescent="0.25">
      <c r="A15" s="757" t="s">
        <v>574</v>
      </c>
      <c r="B15" s="667">
        <v>1</v>
      </c>
      <c r="E15" s="273" t="s">
        <v>575</v>
      </c>
      <c r="F15" s="230">
        <f>B28</f>
        <v>15</v>
      </c>
    </row>
    <row r="16" spans="1:6" x14ac:dyDescent="0.25">
      <c r="A16" s="757" t="s">
        <v>576</v>
      </c>
      <c r="B16" s="667">
        <v>1</v>
      </c>
      <c r="E16" s="230" t="s">
        <v>577</v>
      </c>
      <c r="F16" s="230">
        <f>B37</f>
        <v>12</v>
      </c>
    </row>
    <row r="17" spans="1:6" x14ac:dyDescent="0.25">
      <c r="A17" s="504" t="s">
        <v>578</v>
      </c>
      <c r="B17" s="667">
        <v>72</v>
      </c>
      <c r="E17" s="230" t="s">
        <v>579</v>
      </c>
      <c r="F17" s="230">
        <f>B38</f>
        <v>10</v>
      </c>
    </row>
    <row r="18" spans="1:6" x14ac:dyDescent="0.25">
      <c r="A18" s="757" t="s">
        <v>580</v>
      </c>
      <c r="B18" s="667">
        <v>22</v>
      </c>
      <c r="C18" s="230" t="s">
        <v>581</v>
      </c>
    </row>
    <row r="19" spans="1:6" x14ac:dyDescent="0.25">
      <c r="A19" s="757" t="s">
        <v>582</v>
      </c>
      <c r="B19" s="667">
        <v>20</v>
      </c>
      <c r="C19" s="230" t="s">
        <v>109</v>
      </c>
    </row>
    <row r="20" spans="1:6" x14ac:dyDescent="0.25">
      <c r="A20" s="757" t="s">
        <v>583</v>
      </c>
      <c r="B20" s="667">
        <v>8</v>
      </c>
      <c r="C20" s="230" t="s">
        <v>581</v>
      </c>
    </row>
    <row r="21" spans="1:6" x14ac:dyDescent="0.25">
      <c r="A21" s="757" t="s">
        <v>584</v>
      </c>
      <c r="B21" s="667">
        <v>4</v>
      </c>
      <c r="C21" s="230" t="s">
        <v>51</v>
      </c>
    </row>
    <row r="22" spans="1:6" x14ac:dyDescent="0.25">
      <c r="A22" s="757" t="s">
        <v>585</v>
      </c>
      <c r="B22" s="667">
        <v>4</v>
      </c>
      <c r="C22" s="230" t="s">
        <v>109</v>
      </c>
    </row>
    <row r="23" spans="1:6" x14ac:dyDescent="0.25">
      <c r="A23" s="757" t="s">
        <v>586</v>
      </c>
      <c r="B23" s="667">
        <v>3</v>
      </c>
      <c r="C23" s="230" t="s">
        <v>587</v>
      </c>
    </row>
    <row r="24" spans="1:6" x14ac:dyDescent="0.25">
      <c r="A24" s="757" t="s">
        <v>588</v>
      </c>
      <c r="B24" s="667">
        <v>3</v>
      </c>
      <c r="C24" s="230" t="s">
        <v>589</v>
      </c>
    </row>
    <row r="25" spans="1:6" x14ac:dyDescent="0.25">
      <c r="A25" s="1119" t="s">
        <v>590</v>
      </c>
      <c r="B25" s="667">
        <v>3</v>
      </c>
      <c r="C25" s="230" t="s">
        <v>55</v>
      </c>
    </row>
    <row r="26" spans="1:6" x14ac:dyDescent="0.25">
      <c r="A26" s="757" t="s">
        <v>591</v>
      </c>
      <c r="B26" s="667">
        <v>4</v>
      </c>
      <c r="C26" s="230" t="s">
        <v>592</v>
      </c>
    </row>
    <row r="27" spans="1:6" x14ac:dyDescent="0.25">
      <c r="A27" s="504" t="s">
        <v>343</v>
      </c>
      <c r="B27" s="667">
        <v>44</v>
      </c>
    </row>
    <row r="28" spans="1:6" x14ac:dyDescent="0.25">
      <c r="A28" s="1112" t="s">
        <v>575</v>
      </c>
      <c r="B28" s="1113">
        <v>15</v>
      </c>
    </row>
    <row r="29" spans="1:6" x14ac:dyDescent="0.25">
      <c r="A29" s="757" t="s">
        <v>593</v>
      </c>
      <c r="B29" s="667">
        <v>14</v>
      </c>
    </row>
    <row r="30" spans="1:6" x14ac:dyDescent="0.25">
      <c r="A30" s="757" t="s">
        <v>594</v>
      </c>
      <c r="B30" s="667">
        <v>10</v>
      </c>
    </row>
    <row r="31" spans="1:6" x14ac:dyDescent="0.25">
      <c r="A31" s="757" t="s">
        <v>595</v>
      </c>
      <c r="B31" s="667">
        <v>2</v>
      </c>
    </row>
    <row r="32" spans="1:6" x14ac:dyDescent="0.25">
      <c r="A32" s="757" t="s">
        <v>596</v>
      </c>
      <c r="B32" s="667">
        <v>2</v>
      </c>
    </row>
    <row r="33" spans="1:6" x14ac:dyDescent="0.25">
      <c r="A33" s="757" t="s">
        <v>597</v>
      </c>
      <c r="B33" s="667">
        <v>1</v>
      </c>
    </row>
    <row r="34" spans="1:6" x14ac:dyDescent="0.25">
      <c r="A34" s="504" t="s">
        <v>598</v>
      </c>
      <c r="B34" s="667">
        <v>88</v>
      </c>
    </row>
    <row r="35" spans="1:6" x14ac:dyDescent="0.25">
      <c r="A35" s="1119" t="s">
        <v>599</v>
      </c>
      <c r="B35" s="667">
        <v>26</v>
      </c>
    </row>
    <row r="36" spans="1:6" x14ac:dyDescent="0.25">
      <c r="A36" s="757" t="s">
        <v>600</v>
      </c>
      <c r="B36" s="667">
        <v>25</v>
      </c>
    </row>
    <row r="37" spans="1:6" x14ac:dyDescent="0.25">
      <c r="A37" s="757" t="s">
        <v>577</v>
      </c>
      <c r="B37" s="667">
        <v>12</v>
      </c>
      <c r="C37" s="230" t="s">
        <v>601</v>
      </c>
      <c r="E37" s="230" t="s">
        <v>602</v>
      </c>
      <c r="F37" s="230" t="s">
        <v>603</v>
      </c>
    </row>
    <row r="38" spans="1:6" x14ac:dyDescent="0.25">
      <c r="A38" s="757" t="s">
        <v>579</v>
      </c>
      <c r="B38" s="667">
        <v>10</v>
      </c>
      <c r="C38" s="230" t="s">
        <v>601</v>
      </c>
      <c r="E38" s="230" t="s">
        <v>604</v>
      </c>
      <c r="F38" s="230" t="s">
        <v>605</v>
      </c>
    </row>
    <row r="39" spans="1:6" x14ac:dyDescent="0.25">
      <c r="A39" s="757" t="s">
        <v>606</v>
      </c>
      <c r="B39" s="667">
        <v>7</v>
      </c>
      <c r="C39" s="230" t="s">
        <v>592</v>
      </c>
      <c r="E39" s="230" t="s">
        <v>607</v>
      </c>
      <c r="F39" s="230" t="s">
        <v>608</v>
      </c>
    </row>
    <row r="40" spans="1:6" x14ac:dyDescent="0.25">
      <c r="A40" s="757" t="s">
        <v>609</v>
      </c>
      <c r="B40" s="667">
        <v>5</v>
      </c>
      <c r="C40" s="230" t="s">
        <v>109</v>
      </c>
      <c r="E40" s="230" t="s">
        <v>610</v>
      </c>
    </row>
    <row r="41" spans="1:6" x14ac:dyDescent="0.25">
      <c r="A41" s="757" t="s">
        <v>611</v>
      </c>
      <c r="B41" s="667">
        <v>2</v>
      </c>
      <c r="C41" s="230" t="s">
        <v>592</v>
      </c>
      <c r="E41" s="230" t="s">
        <v>612</v>
      </c>
    </row>
    <row r="42" spans="1:6" x14ac:dyDescent="0.25">
      <c r="A42" s="757" t="s">
        <v>613</v>
      </c>
      <c r="B42" s="667">
        <v>2</v>
      </c>
      <c r="C42" s="230" t="s">
        <v>581</v>
      </c>
      <c r="E42" s="1114" t="s">
        <v>614</v>
      </c>
    </row>
    <row r="43" spans="1:6" x14ac:dyDescent="0.25">
      <c r="A43" s="757" t="s">
        <v>615</v>
      </c>
      <c r="B43" s="667">
        <v>0</v>
      </c>
      <c r="E43" s="230" t="s">
        <v>616</v>
      </c>
    </row>
    <row r="44" spans="1:6" x14ac:dyDescent="0.25">
      <c r="A44" s="504" t="s">
        <v>617</v>
      </c>
      <c r="B44" s="667">
        <v>40</v>
      </c>
    </row>
    <row r="45" spans="1:6" x14ac:dyDescent="0.25">
      <c r="A45" s="1119" t="s">
        <v>618</v>
      </c>
      <c r="B45" s="1120">
        <v>21</v>
      </c>
    </row>
    <row r="46" spans="1:6" x14ac:dyDescent="0.25">
      <c r="A46" s="757" t="s">
        <v>619</v>
      </c>
      <c r="B46" s="667">
        <v>6</v>
      </c>
    </row>
    <row r="47" spans="1:6" x14ac:dyDescent="0.25">
      <c r="A47" s="1119" t="s">
        <v>620</v>
      </c>
      <c r="B47" s="1120">
        <v>4</v>
      </c>
    </row>
    <row r="48" spans="1:6" x14ac:dyDescent="0.25">
      <c r="A48" s="757" t="s">
        <v>621</v>
      </c>
      <c r="B48" s="667">
        <v>4</v>
      </c>
    </row>
    <row r="49" spans="1:2" x14ac:dyDescent="0.25">
      <c r="A49" s="1119" t="s">
        <v>622</v>
      </c>
      <c r="B49" s="1120">
        <v>3</v>
      </c>
    </row>
    <row r="50" spans="1:2" x14ac:dyDescent="0.25">
      <c r="A50" s="757" t="s">
        <v>623</v>
      </c>
      <c r="B50" s="667">
        <v>2</v>
      </c>
    </row>
  </sheetData>
  <mergeCells count="1">
    <mergeCell ref="E3:F3"/>
  </mergeCells>
  <pageMargins left="0.7" right="0.7" top="0.75" bottom="0.75" header="0.3" footer="0.3"/>
  <pageSetup orientation="portrait" horizontalDpi="300" verticalDpi="300"/>
  <drawing r:id="rId1"/>
  <legacyDrawing r:id="rId2"/>
  <tableParts count="1">
    <tablePart r:id="rId3"/>
  </tableParts>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J502"/>
  <sheetViews>
    <sheetView topLeftCell="AI1" zoomScale="105" zoomScaleNormal="90" workbookViewId="0">
      <selection activeCell="T6" sqref="T6"/>
    </sheetView>
  </sheetViews>
  <sheetFormatPr defaultColWidth="10.85546875" defaultRowHeight="15" x14ac:dyDescent="0.25"/>
  <cols>
    <col min="1" max="1" width="6.42578125" customWidth="1"/>
    <col min="2" max="2" width="8.140625" customWidth="1"/>
    <col min="4" max="4" width="7.140625" customWidth="1"/>
    <col min="5" max="5" width="8.85546875" customWidth="1"/>
    <col min="7" max="7" width="8.140625" customWidth="1"/>
    <col min="8" max="8" width="7.140625" customWidth="1"/>
    <col min="10" max="10" width="8.42578125" customWidth="1"/>
    <col min="12" max="13" width="8.42578125" customWidth="1"/>
    <col min="14" max="14" width="7.42578125" customWidth="1"/>
    <col min="15" max="62" width="8.42578125" customWidth="1"/>
  </cols>
  <sheetData>
    <row r="1" spans="1:62" x14ac:dyDescent="0.25">
      <c r="A1" s="35" t="s">
        <v>830</v>
      </c>
      <c r="I1" s="1444"/>
      <c r="J1" s="1444"/>
      <c r="K1" s="1444"/>
    </row>
    <row r="2" spans="1:62" ht="13.35" customHeight="1" x14ac:dyDescent="0.25">
      <c r="A2" s="1132"/>
      <c r="O2" s="1158" t="s">
        <v>795</v>
      </c>
      <c r="P2" s="1450" t="s">
        <v>624</v>
      </c>
      <c r="Q2" s="1450"/>
      <c r="R2" s="1450"/>
      <c r="S2" s="1450"/>
      <c r="T2" s="1161"/>
      <c r="U2" s="1161"/>
      <c r="V2" s="1161"/>
      <c r="W2" s="1161"/>
      <c r="X2" s="1161"/>
      <c r="Y2" s="1445" t="s">
        <v>625</v>
      </c>
      <c r="Z2" s="1446"/>
      <c r="AA2" s="1446"/>
      <c r="AB2" s="1446"/>
      <c r="AC2" s="1446"/>
      <c r="AD2" s="1446"/>
      <c r="AE2" s="1161"/>
      <c r="AF2" s="1161"/>
      <c r="AG2" s="1447" t="s">
        <v>626</v>
      </c>
      <c r="AH2" s="1446"/>
      <c r="AI2" s="1446"/>
      <c r="AJ2" s="1449" t="s">
        <v>627</v>
      </c>
      <c r="AK2" s="1449"/>
      <c r="AL2" s="1449"/>
      <c r="AM2" s="1449"/>
      <c r="AN2" s="1449"/>
      <c r="AO2" s="1449"/>
      <c r="AP2" s="1449"/>
      <c r="AQ2" s="1449"/>
      <c r="AR2" s="1449"/>
      <c r="AS2" s="1449"/>
      <c r="AT2" s="1162"/>
      <c r="AU2" s="1448" t="s">
        <v>385</v>
      </c>
      <c r="AV2" s="1448"/>
      <c r="AW2" s="1448"/>
      <c r="AX2" s="1448"/>
      <c r="AY2" s="1448"/>
      <c r="AZ2" s="1448"/>
      <c r="BA2" s="1448"/>
      <c r="BB2" s="1143"/>
      <c r="BC2" s="1143"/>
      <c r="BD2" s="1143"/>
      <c r="BE2" s="1143"/>
      <c r="BF2" s="1143"/>
      <c r="BG2" s="1143"/>
      <c r="BH2" s="1143"/>
      <c r="BI2" s="1143"/>
      <c r="BJ2" s="1149" t="s">
        <v>628</v>
      </c>
    </row>
    <row r="3" spans="1:62" ht="43.35" customHeight="1" x14ac:dyDescent="0.25">
      <c r="A3" s="1133"/>
      <c r="B3" s="1133"/>
      <c r="C3" s="1133"/>
      <c r="D3" s="1133"/>
      <c r="E3" s="1133"/>
      <c r="F3" s="1133"/>
      <c r="G3" s="1133"/>
      <c r="H3" s="1133"/>
      <c r="I3" s="1133"/>
      <c r="J3" s="1133"/>
      <c r="K3" s="1133"/>
      <c r="L3" s="1133"/>
      <c r="M3" s="1133"/>
      <c r="N3" s="1133"/>
      <c r="O3" s="1159" t="s">
        <v>629</v>
      </c>
      <c r="P3" s="1142" t="s">
        <v>630</v>
      </c>
      <c r="Q3" s="1142" t="s">
        <v>631</v>
      </c>
      <c r="R3" s="1142" t="s">
        <v>632</v>
      </c>
      <c r="S3" s="1142" t="s">
        <v>633</v>
      </c>
      <c r="T3" s="1142" t="s">
        <v>634</v>
      </c>
      <c r="U3" s="1142" t="s">
        <v>635</v>
      </c>
      <c r="V3" s="1142" t="s">
        <v>636</v>
      </c>
      <c r="W3" s="1142" t="s">
        <v>637</v>
      </c>
      <c r="X3" s="1142" t="s">
        <v>638</v>
      </c>
      <c r="Y3" s="1142" t="s">
        <v>639</v>
      </c>
      <c r="Z3" s="1142"/>
      <c r="AA3" s="1142"/>
      <c r="AB3" s="1142"/>
      <c r="AC3" s="1142" t="s">
        <v>640</v>
      </c>
      <c r="AD3" s="1142" t="s">
        <v>641</v>
      </c>
      <c r="AE3" s="1142" t="s">
        <v>642</v>
      </c>
      <c r="AF3" s="1142" t="s">
        <v>643</v>
      </c>
      <c r="AG3" s="1142" t="s">
        <v>644</v>
      </c>
      <c r="AH3" s="1142" t="s">
        <v>645</v>
      </c>
      <c r="AI3" s="1142" t="s">
        <v>646</v>
      </c>
      <c r="AJ3" s="1142" t="s">
        <v>647</v>
      </c>
      <c r="AK3" s="1142" t="s">
        <v>648</v>
      </c>
      <c r="AL3" s="1142" t="s">
        <v>649</v>
      </c>
      <c r="AM3" s="1142" t="s">
        <v>650</v>
      </c>
      <c r="AN3" s="1142" t="s">
        <v>651</v>
      </c>
      <c r="AO3" s="1142" t="s">
        <v>652</v>
      </c>
      <c r="AP3" s="1142" t="s">
        <v>653</v>
      </c>
      <c r="AQ3" s="1155" t="s">
        <v>654</v>
      </c>
      <c r="AR3" s="1142" t="s">
        <v>655</v>
      </c>
      <c r="AS3" s="1142" t="s">
        <v>656</v>
      </c>
      <c r="AT3" s="1142" t="s">
        <v>657</v>
      </c>
      <c r="AU3" s="1142" t="s">
        <v>658</v>
      </c>
      <c r="AV3" s="1142" t="s">
        <v>659</v>
      </c>
      <c r="AW3" s="1142" t="s">
        <v>660</v>
      </c>
      <c r="AX3" s="1142" t="s">
        <v>661</v>
      </c>
      <c r="AY3" s="1142" t="s">
        <v>662</v>
      </c>
      <c r="AZ3" s="1142" t="s">
        <v>663</v>
      </c>
      <c r="BA3" s="1142" t="s">
        <v>640</v>
      </c>
      <c r="BB3" s="1150" t="s">
        <v>664</v>
      </c>
      <c r="BC3" s="1150" t="s">
        <v>665</v>
      </c>
      <c r="BD3" s="1150" t="s">
        <v>666</v>
      </c>
      <c r="BE3" s="1150" t="s">
        <v>667</v>
      </c>
      <c r="BF3" s="1150" t="s">
        <v>668</v>
      </c>
      <c r="BG3" s="1150" t="s">
        <v>669</v>
      </c>
      <c r="BH3" s="1150" t="s">
        <v>670</v>
      </c>
      <c r="BI3" s="1150" t="s">
        <v>671</v>
      </c>
      <c r="BJ3" s="1144" t="s">
        <v>672</v>
      </c>
    </row>
    <row r="4" spans="1:62" ht="63" customHeight="1" x14ac:dyDescent="0.25">
      <c r="A4" s="1153" t="s">
        <v>673</v>
      </c>
      <c r="B4" s="1132" t="s">
        <v>56</v>
      </c>
      <c r="C4" s="1132" t="s">
        <v>674</v>
      </c>
      <c r="D4" s="1132" t="s">
        <v>544</v>
      </c>
      <c r="E4" s="1132" t="s">
        <v>675</v>
      </c>
      <c r="F4" s="1132" t="s">
        <v>676</v>
      </c>
      <c r="G4" s="1132" t="s">
        <v>677</v>
      </c>
      <c r="H4" s="1132" t="s">
        <v>131</v>
      </c>
      <c r="I4" s="1139" t="s">
        <v>348</v>
      </c>
      <c r="J4" s="1139" t="s">
        <v>150</v>
      </c>
      <c r="K4" s="1139" t="s">
        <v>678</v>
      </c>
      <c r="L4" s="1137" t="s">
        <v>159</v>
      </c>
      <c r="M4" s="1132" t="s">
        <v>109</v>
      </c>
      <c r="N4" s="1132" t="s">
        <v>679</v>
      </c>
      <c r="O4" s="1160" t="s">
        <v>680</v>
      </c>
      <c r="P4" s="1150" t="s">
        <v>681</v>
      </c>
      <c r="Q4" s="1150" t="s">
        <v>682</v>
      </c>
      <c r="R4" s="1150" t="s">
        <v>683</v>
      </c>
      <c r="S4" s="1150" t="s">
        <v>684</v>
      </c>
      <c r="T4" s="1150" t="s">
        <v>685</v>
      </c>
      <c r="U4" s="1150" t="s">
        <v>686</v>
      </c>
      <c r="V4" s="1150" t="s">
        <v>687</v>
      </c>
      <c r="W4" s="1150" t="s">
        <v>688</v>
      </c>
      <c r="X4" s="1150" t="s">
        <v>689</v>
      </c>
      <c r="Y4" s="1150" t="s">
        <v>690</v>
      </c>
      <c r="Z4" s="1150" t="s">
        <v>691</v>
      </c>
      <c r="AA4" s="1150" t="s">
        <v>692</v>
      </c>
      <c r="AB4" s="1150" t="s">
        <v>693</v>
      </c>
      <c r="AC4" s="1150" t="s">
        <v>694</v>
      </c>
      <c r="AD4" s="1150" t="s">
        <v>695</v>
      </c>
      <c r="AE4" s="1150" t="s">
        <v>696</v>
      </c>
      <c r="AF4" s="1150" t="s">
        <v>697</v>
      </c>
      <c r="AG4" s="1150" t="s">
        <v>210</v>
      </c>
      <c r="AH4" s="1150" t="s">
        <v>211</v>
      </c>
      <c r="AI4" s="1150" t="s">
        <v>698</v>
      </c>
      <c r="AJ4" s="1150" t="s">
        <v>699</v>
      </c>
      <c r="AK4" s="1150" t="s">
        <v>700</v>
      </c>
      <c r="AL4" s="1150" t="s">
        <v>701</v>
      </c>
      <c r="AM4" s="1150" t="s">
        <v>702</v>
      </c>
      <c r="AN4" s="1150" t="s">
        <v>703</v>
      </c>
      <c r="AO4" s="1150" t="s">
        <v>704</v>
      </c>
      <c r="AP4" s="1150" t="s">
        <v>705</v>
      </c>
      <c r="AQ4" s="1151" t="s">
        <v>706</v>
      </c>
      <c r="AR4" s="1150" t="s">
        <v>707</v>
      </c>
      <c r="AS4" s="1150" t="s">
        <v>708</v>
      </c>
      <c r="AT4" s="1150" t="s">
        <v>709</v>
      </c>
      <c r="AU4" s="1150" t="s">
        <v>710</v>
      </c>
      <c r="AV4" s="1150" t="s">
        <v>711</v>
      </c>
      <c r="AW4" s="1150" t="s">
        <v>712</v>
      </c>
      <c r="AX4" s="1150" t="s">
        <v>713</v>
      </c>
      <c r="AY4" s="1150" t="s">
        <v>714</v>
      </c>
      <c r="AZ4" s="1150" t="s">
        <v>715</v>
      </c>
      <c r="BA4" s="1150"/>
      <c r="BB4" s="1150" t="s">
        <v>426</v>
      </c>
      <c r="BC4" s="1150" t="s">
        <v>716</v>
      </c>
      <c r="BD4" s="1150" t="s">
        <v>717</v>
      </c>
      <c r="BE4" s="1150" t="s">
        <v>718</v>
      </c>
      <c r="BF4" s="1150" t="s">
        <v>719</v>
      </c>
      <c r="BG4" s="1150" t="s">
        <v>720</v>
      </c>
      <c r="BH4" s="1150" t="s">
        <v>721</v>
      </c>
      <c r="BI4" s="1150" t="s">
        <v>722</v>
      </c>
      <c r="BJ4" s="1152" t="s">
        <v>723</v>
      </c>
    </row>
    <row r="5" spans="1:62" x14ac:dyDescent="0.25">
      <c r="A5" s="1134">
        <v>2021</v>
      </c>
      <c r="B5" s="1136">
        <f>Q5</f>
        <v>394.202</v>
      </c>
      <c r="C5" s="1136">
        <f>SUM(Y5:AB5)</f>
        <v>195.7</v>
      </c>
      <c r="D5" s="1136">
        <f>T5</f>
        <v>18.823</v>
      </c>
      <c r="E5" s="1136">
        <f>SUM(P5:S5)-B5</f>
        <v>0.77600000000001046</v>
      </c>
      <c r="F5" s="1136">
        <f>SUM(T5:AF5)-C5-L5-D5 - 28</f>
        <v>19.722000000000016</v>
      </c>
      <c r="G5" s="1136">
        <f>SUM(BB5:BI5)-BC5</f>
        <v>81.642999999999986</v>
      </c>
      <c r="H5" s="1136">
        <f>SUM(AG5:AI5)</f>
        <v>7.798</v>
      </c>
      <c r="I5" s="1136">
        <f>AJ5</f>
        <v>283.95749999999998</v>
      </c>
      <c r="J5" s="1136">
        <f>AL5</f>
        <v>12.347</v>
      </c>
      <c r="K5" s="1136">
        <f>SUM(AM5:AT5)</f>
        <v>29.628</v>
      </c>
      <c r="L5" s="1140">
        <f>103/4</f>
        <v>25.75</v>
      </c>
      <c r="M5" s="1136">
        <f t="shared" ref="M5:M16" si="0">SUM(AU5:BA5)</f>
        <v>31.939</v>
      </c>
      <c r="N5" s="1136">
        <f>AK5</f>
        <v>3.4</v>
      </c>
      <c r="O5" s="1163">
        <v>50</v>
      </c>
      <c r="P5" s="1157">
        <v>0.55000000000000004</v>
      </c>
      <c r="Q5" s="993">
        <v>394.202</v>
      </c>
      <c r="R5" s="1165">
        <v>0.14599999999999999</v>
      </c>
      <c r="S5" s="1165">
        <v>0.08</v>
      </c>
      <c r="T5" s="1165">
        <v>18.823</v>
      </c>
      <c r="U5" s="993">
        <v>19</v>
      </c>
      <c r="V5" s="1165">
        <v>11.481999999999999</v>
      </c>
      <c r="W5" s="744">
        <v>1.5580000000000001</v>
      </c>
      <c r="X5" s="744">
        <v>0.74</v>
      </c>
      <c r="Y5" s="993">
        <v>0.2</v>
      </c>
      <c r="Z5" s="993">
        <v>43.1</v>
      </c>
      <c r="AA5" s="993">
        <v>33.9</v>
      </c>
      <c r="AB5" s="993">
        <v>118.5</v>
      </c>
      <c r="AC5" s="993">
        <v>28</v>
      </c>
      <c r="AD5" s="744">
        <v>-2.0379999999999998</v>
      </c>
      <c r="AE5" s="993">
        <v>14.31</v>
      </c>
      <c r="AF5" s="1165">
        <v>0.42</v>
      </c>
      <c r="AG5" s="1165">
        <v>7.7279999999999998</v>
      </c>
      <c r="AH5" s="993">
        <v>7.0000000000000007E-2</v>
      </c>
      <c r="AI5" s="993">
        <v>0</v>
      </c>
      <c r="AJ5" s="993">
        <v>283.95749999999998</v>
      </c>
      <c r="AK5" s="1156">
        <v>3.4</v>
      </c>
      <c r="AL5" s="1156">
        <v>12.347</v>
      </c>
      <c r="AM5" s="1166">
        <v>0.28599999999999998</v>
      </c>
      <c r="AN5" s="1156">
        <v>2</v>
      </c>
      <c r="AO5" s="993">
        <v>0.81</v>
      </c>
      <c r="AP5" s="1156">
        <v>0.52100000000000002</v>
      </c>
      <c r="AQ5" s="1167">
        <v>10</v>
      </c>
      <c r="AR5" s="1156">
        <v>2.7</v>
      </c>
      <c r="AS5" s="1156">
        <v>0.751</v>
      </c>
      <c r="AT5" s="993">
        <v>12.56</v>
      </c>
      <c r="AU5" s="993">
        <v>0</v>
      </c>
      <c r="AV5" s="1156">
        <v>1.415</v>
      </c>
      <c r="AW5" s="1156">
        <v>10.51</v>
      </c>
      <c r="AX5" s="1156">
        <v>2.6</v>
      </c>
      <c r="AY5" s="993">
        <v>-0.33</v>
      </c>
      <c r="AZ5" s="1156">
        <v>17.744</v>
      </c>
      <c r="BA5" s="993">
        <v>0</v>
      </c>
      <c r="BB5" s="1156">
        <v>4.0999999999999996</v>
      </c>
      <c r="BC5" s="1156">
        <v>7.25</v>
      </c>
      <c r="BD5" s="1156">
        <v>48.4</v>
      </c>
      <c r="BE5" s="1165">
        <v>0.83</v>
      </c>
      <c r="BF5" s="744">
        <v>4.5110000000000001</v>
      </c>
      <c r="BG5" s="993">
        <v>3.0739999999999998</v>
      </c>
      <c r="BH5" s="1121">
        <v>-0.28399999999999997</v>
      </c>
      <c r="BI5" s="1156">
        <v>21.012</v>
      </c>
      <c r="BJ5" s="1145">
        <v>1.1599999999999999</v>
      </c>
    </row>
    <row r="6" spans="1:62" x14ac:dyDescent="0.25">
      <c r="A6" s="1134">
        <v>2022</v>
      </c>
      <c r="B6" s="1136">
        <f t="shared" ref="B6:B15" si="1">Q6</f>
        <v>17.465</v>
      </c>
      <c r="C6" s="1136">
        <f t="shared" ref="C6:C15" si="2">SUM(Y6:AB6)</f>
        <v>10.1</v>
      </c>
      <c r="D6" s="1136">
        <f t="shared" ref="D6:D15" si="3">T6</f>
        <v>2.5950000000000002</v>
      </c>
      <c r="E6" s="1136">
        <f t="shared" ref="E6:E15" si="4">SUM(P6:S6)-B6</f>
        <v>19.719000000000005</v>
      </c>
      <c r="F6" s="1136">
        <f>SUM(T6:AF6)-C6-L6-D6</f>
        <v>52.756999999999998</v>
      </c>
      <c r="G6" s="1136">
        <f t="shared" ref="G6:G16" si="5">SUM(BB6:BI6)-BC6</f>
        <v>110.24799999999999</v>
      </c>
      <c r="H6" s="1136">
        <f t="shared" ref="H6:H15" si="6">SUM(AG6:AI6)</f>
        <v>7.9489999999999998</v>
      </c>
      <c r="I6" s="1136">
        <f t="shared" ref="I6:I15" si="7">AJ6</f>
        <v>77.092500000000001</v>
      </c>
      <c r="J6" s="1136">
        <f t="shared" ref="J6:J15" si="8">AL6</f>
        <v>46.79</v>
      </c>
      <c r="K6" s="1136">
        <f t="shared" ref="K6:K16" si="9">SUM(AM6:AT6)</f>
        <v>35.671000000000006</v>
      </c>
      <c r="L6" s="1140">
        <v>0</v>
      </c>
      <c r="M6" s="1136">
        <f t="shared" si="0"/>
        <v>56.412999999999997</v>
      </c>
      <c r="N6" s="1136">
        <f t="shared" ref="N6:N15" si="10">AK6</f>
        <v>5.0999999999999996</v>
      </c>
      <c r="O6" s="1163">
        <v>55</v>
      </c>
      <c r="P6" s="1157">
        <v>15.61</v>
      </c>
      <c r="Q6" s="993">
        <v>17.465</v>
      </c>
      <c r="R6" s="1165">
        <v>0.317</v>
      </c>
      <c r="S6" s="1165">
        <v>3.7919999999999998</v>
      </c>
      <c r="T6" s="993">
        <v>2.5950000000000002</v>
      </c>
      <c r="U6" s="1156">
        <v>14.5</v>
      </c>
      <c r="V6" s="993">
        <v>25.070999999999998</v>
      </c>
      <c r="W6" s="744">
        <v>1.952</v>
      </c>
      <c r="X6" s="744">
        <v>0.61399999999999999</v>
      </c>
      <c r="Y6" s="1156">
        <v>0</v>
      </c>
      <c r="Z6" s="1156">
        <v>2.2999999999999998</v>
      </c>
      <c r="AA6" s="1156">
        <v>1.6</v>
      </c>
      <c r="AB6" s="1156">
        <v>6.2</v>
      </c>
      <c r="AC6" s="993">
        <v>0</v>
      </c>
      <c r="AD6" s="993">
        <v>1.31</v>
      </c>
      <c r="AE6" s="993">
        <v>8.61</v>
      </c>
      <c r="AF6" s="993">
        <v>0.7</v>
      </c>
      <c r="AG6" s="1165">
        <v>7.782</v>
      </c>
      <c r="AH6" s="993">
        <v>0.12</v>
      </c>
      <c r="AI6" s="993">
        <v>4.7E-2</v>
      </c>
      <c r="AJ6" s="993">
        <v>77.092500000000001</v>
      </c>
      <c r="AK6" s="1156">
        <v>5.0999999999999996</v>
      </c>
      <c r="AL6" s="1156">
        <v>46.79</v>
      </c>
      <c r="AM6" s="1121">
        <v>0.30499999999999999</v>
      </c>
      <c r="AN6" s="1156">
        <v>4.3</v>
      </c>
      <c r="AO6" s="744">
        <v>1.1000000000000001</v>
      </c>
      <c r="AP6" s="1156">
        <v>1.575</v>
      </c>
      <c r="AQ6" s="1167">
        <v>10</v>
      </c>
      <c r="AR6" s="1156">
        <v>4.5</v>
      </c>
      <c r="AS6" s="1156">
        <v>1.9810000000000001</v>
      </c>
      <c r="AT6" s="993">
        <v>11.91</v>
      </c>
      <c r="AU6" s="993">
        <v>0</v>
      </c>
      <c r="AV6" s="1156">
        <v>3.927</v>
      </c>
      <c r="AW6" s="1156">
        <v>4.2880000000000003</v>
      </c>
      <c r="AX6" s="1156">
        <v>3.7</v>
      </c>
      <c r="AY6" s="993">
        <v>-1.34</v>
      </c>
      <c r="AZ6" s="1156">
        <v>45.838000000000001</v>
      </c>
      <c r="BA6" s="993">
        <v>0</v>
      </c>
      <c r="BB6" s="1156">
        <v>11.3</v>
      </c>
      <c r="BC6" s="1156">
        <v>0</v>
      </c>
      <c r="BD6" s="1156">
        <v>1.1000000000000001</v>
      </c>
      <c r="BE6" s="1165">
        <v>1.75</v>
      </c>
      <c r="BF6" s="744">
        <v>1.7330000000000001</v>
      </c>
      <c r="BG6" s="744">
        <v>7.1440000000000001</v>
      </c>
      <c r="BH6" s="1122">
        <v>81.608999999999995</v>
      </c>
      <c r="BI6" s="1156">
        <v>5.6120000000000001</v>
      </c>
      <c r="BJ6" s="1145">
        <v>4.2</v>
      </c>
    </row>
    <row r="7" spans="1:62" x14ac:dyDescent="0.25">
      <c r="A7" s="1134">
        <v>2023</v>
      </c>
      <c r="B7" s="1136">
        <f t="shared" si="1"/>
        <v>0.48599999999999999</v>
      </c>
      <c r="C7" s="1136">
        <f t="shared" si="2"/>
        <v>0</v>
      </c>
      <c r="D7" s="1136">
        <f t="shared" si="3"/>
        <v>0.93700000000000006</v>
      </c>
      <c r="E7" s="1136">
        <f t="shared" si="4"/>
        <v>1.4159999999999999</v>
      </c>
      <c r="F7" s="1136">
        <f t="shared" ref="F7:F15" si="11">SUM(T7:AF7)-C7-L7-D7</f>
        <v>12</v>
      </c>
      <c r="G7" s="1136">
        <f t="shared" si="5"/>
        <v>12.726000000000001</v>
      </c>
      <c r="H7" s="1136">
        <f t="shared" si="6"/>
        <v>4.7519999999999998</v>
      </c>
      <c r="I7" s="1136">
        <f t="shared" si="7"/>
        <v>1</v>
      </c>
      <c r="J7" s="1136">
        <f t="shared" si="8"/>
        <v>38.595999999999997</v>
      </c>
      <c r="K7" s="1136">
        <f t="shared" si="9"/>
        <v>24.216000000000001</v>
      </c>
      <c r="L7" s="1140">
        <v>0</v>
      </c>
      <c r="M7" s="1136">
        <f t="shared" si="0"/>
        <v>15.652999999999999</v>
      </c>
      <c r="N7" s="1136">
        <f t="shared" si="10"/>
        <v>0</v>
      </c>
      <c r="O7" s="1163">
        <v>0.7</v>
      </c>
      <c r="P7" s="1157">
        <v>0.96</v>
      </c>
      <c r="Q7" s="993">
        <v>0.48599999999999999</v>
      </c>
      <c r="R7" s="1165">
        <v>0.45600000000000002</v>
      </c>
      <c r="S7" s="993">
        <v>0</v>
      </c>
      <c r="T7" s="1123">
        <v>0.93700000000000006</v>
      </c>
      <c r="U7" s="1156">
        <v>3</v>
      </c>
      <c r="V7" s="1165">
        <v>7.891</v>
      </c>
      <c r="W7" s="744">
        <v>0.61699999999999999</v>
      </c>
      <c r="X7" s="744">
        <v>8.4000000000000005E-2</v>
      </c>
      <c r="Y7" s="1156">
        <v>0</v>
      </c>
      <c r="Z7" s="1156">
        <v>0</v>
      </c>
      <c r="AA7" s="1156">
        <v>0</v>
      </c>
      <c r="AB7" s="1156">
        <v>0</v>
      </c>
      <c r="AC7" s="993">
        <v>0</v>
      </c>
      <c r="AD7" s="993">
        <v>0.318</v>
      </c>
      <c r="AE7" s="1165">
        <v>-0.11000000000000001</v>
      </c>
      <c r="AF7" s="993">
        <v>0.2</v>
      </c>
      <c r="AG7" s="1165">
        <v>4.6749999999999998</v>
      </c>
      <c r="AH7" s="993">
        <v>0.06</v>
      </c>
      <c r="AI7" s="993">
        <v>1.7000000000000001E-2</v>
      </c>
      <c r="AJ7" s="993">
        <v>1</v>
      </c>
      <c r="AK7" s="1156">
        <v>0</v>
      </c>
      <c r="AL7" s="1156">
        <v>38.595999999999997</v>
      </c>
      <c r="AM7" s="993">
        <v>0.14899999999999999</v>
      </c>
      <c r="AN7" s="1156">
        <v>1.2</v>
      </c>
      <c r="AO7" s="744">
        <v>0.53</v>
      </c>
      <c r="AP7" s="1156">
        <v>0.38100000000000001</v>
      </c>
      <c r="AQ7" s="1167">
        <v>8</v>
      </c>
      <c r="AR7" s="1156">
        <v>4.5</v>
      </c>
      <c r="AS7" s="1156">
        <v>0.76600000000000001</v>
      </c>
      <c r="AT7" s="993">
        <v>8.69</v>
      </c>
      <c r="AU7" s="993">
        <v>0</v>
      </c>
      <c r="AV7" s="1156">
        <v>1.93</v>
      </c>
      <c r="AW7" s="1156">
        <v>1.4379999999999999</v>
      </c>
      <c r="AX7" s="1156">
        <v>2.6</v>
      </c>
      <c r="AY7" s="744">
        <v>-2.48</v>
      </c>
      <c r="AZ7" s="1156">
        <v>12.164999999999999</v>
      </c>
      <c r="BA7" s="744">
        <v>0</v>
      </c>
      <c r="BB7" s="1156">
        <v>8.4</v>
      </c>
      <c r="BC7" s="1156">
        <v>0</v>
      </c>
      <c r="BD7" s="1156">
        <v>0.3</v>
      </c>
      <c r="BE7" s="1165">
        <v>1.8</v>
      </c>
      <c r="BF7" s="744">
        <v>0</v>
      </c>
      <c r="BG7" s="744">
        <v>0</v>
      </c>
      <c r="BH7" s="1121">
        <v>1.3759999999999999</v>
      </c>
      <c r="BI7" s="1156">
        <v>0.85</v>
      </c>
      <c r="BJ7" s="1145">
        <v>2.7</v>
      </c>
    </row>
    <row r="8" spans="1:62" x14ac:dyDescent="0.25">
      <c r="A8" s="1134">
        <v>2024</v>
      </c>
      <c r="B8" s="1136">
        <f t="shared" si="1"/>
        <v>0</v>
      </c>
      <c r="C8" s="1136">
        <f t="shared" si="2"/>
        <v>0</v>
      </c>
      <c r="D8" s="1136">
        <f t="shared" si="3"/>
        <v>0.16</v>
      </c>
      <c r="E8" s="1136">
        <f t="shared" si="4"/>
        <v>1.4790000000000001</v>
      </c>
      <c r="F8" s="1136">
        <f t="shared" si="11"/>
        <v>4.2219999999999995</v>
      </c>
      <c r="G8" s="1136">
        <f t="shared" si="5"/>
        <v>1.365</v>
      </c>
      <c r="H8" s="1136">
        <f t="shared" si="6"/>
        <v>4.637999999999999</v>
      </c>
      <c r="I8" s="1136">
        <f t="shared" si="7"/>
        <v>0</v>
      </c>
      <c r="J8" s="1136">
        <f t="shared" si="8"/>
        <v>31.911000000000001</v>
      </c>
      <c r="K8" s="1136">
        <f t="shared" si="9"/>
        <v>9.6430000000000007</v>
      </c>
      <c r="L8" s="1140">
        <v>0</v>
      </c>
      <c r="M8" s="1136">
        <f t="shared" si="0"/>
        <v>3.9320000000000004</v>
      </c>
      <c r="N8" s="1136">
        <f t="shared" si="10"/>
        <v>0</v>
      </c>
      <c r="O8" s="1163">
        <v>0.7</v>
      </c>
      <c r="P8" s="1157">
        <v>0.96</v>
      </c>
      <c r="Q8" s="1156">
        <v>0</v>
      </c>
      <c r="R8" s="1165">
        <v>0.51900000000000002</v>
      </c>
      <c r="S8" s="993">
        <v>0</v>
      </c>
      <c r="T8" s="1124">
        <v>0.16</v>
      </c>
      <c r="U8" s="1156">
        <v>2.8</v>
      </c>
      <c r="V8" s="993">
        <v>0.504</v>
      </c>
      <c r="W8" s="744">
        <v>0.47199999999999998</v>
      </c>
      <c r="X8" s="744">
        <v>2E-3</v>
      </c>
      <c r="Y8" s="1156">
        <v>0</v>
      </c>
      <c r="Z8" s="1156">
        <v>0</v>
      </c>
      <c r="AA8" s="1156">
        <v>0</v>
      </c>
      <c r="AB8" s="1156">
        <v>0</v>
      </c>
      <c r="AC8" s="993">
        <v>0</v>
      </c>
      <c r="AD8" s="993">
        <v>0.34399999999999997</v>
      </c>
      <c r="AE8" s="1165">
        <v>0</v>
      </c>
      <c r="AF8" s="1165">
        <v>0.1</v>
      </c>
      <c r="AG8" s="1165">
        <v>4.5739999999999998</v>
      </c>
      <c r="AH8" s="993">
        <v>0.06</v>
      </c>
      <c r="AI8" s="993">
        <v>4.0000000000000001E-3</v>
      </c>
      <c r="AJ8" s="993">
        <v>0</v>
      </c>
      <c r="AK8" s="1156">
        <v>0</v>
      </c>
      <c r="AL8" s="1156">
        <v>31.911000000000001</v>
      </c>
      <c r="AM8" s="993">
        <v>4.1000000000000002E-2</v>
      </c>
      <c r="AN8" s="1156">
        <v>0.4</v>
      </c>
      <c r="AO8" s="744">
        <v>0.41</v>
      </c>
      <c r="AP8" s="1156">
        <v>0.13100000000000001</v>
      </c>
      <c r="AQ8" s="1167">
        <v>0</v>
      </c>
      <c r="AR8" s="1156">
        <v>3</v>
      </c>
      <c r="AS8" s="1156">
        <v>0.30099999999999999</v>
      </c>
      <c r="AT8" s="744">
        <v>5.36</v>
      </c>
      <c r="AU8" s="993">
        <v>0</v>
      </c>
      <c r="AV8" s="1156">
        <v>0.79600000000000004</v>
      </c>
      <c r="AW8" s="1156">
        <v>0.27500000000000002</v>
      </c>
      <c r="AX8" s="1156">
        <v>1</v>
      </c>
      <c r="AY8" s="744">
        <v>-2.6</v>
      </c>
      <c r="AZ8" s="1156">
        <v>4.4610000000000003</v>
      </c>
      <c r="BA8" s="744">
        <v>0</v>
      </c>
      <c r="BB8" s="1156">
        <v>0.2</v>
      </c>
      <c r="BC8" s="1156">
        <v>0</v>
      </c>
      <c r="BD8" s="1156">
        <v>0</v>
      </c>
      <c r="BE8" s="1165">
        <v>1.95</v>
      </c>
      <c r="BF8" s="744">
        <v>0</v>
      </c>
      <c r="BG8" s="744">
        <v>0</v>
      </c>
      <c r="BH8" s="1121">
        <v>-0.875</v>
      </c>
      <c r="BI8" s="1156">
        <v>0.09</v>
      </c>
      <c r="BJ8" s="1146">
        <v>0.87</v>
      </c>
    </row>
    <row r="9" spans="1:62" x14ac:dyDescent="0.25">
      <c r="A9" s="1134">
        <v>2025</v>
      </c>
      <c r="B9" s="1136">
        <f t="shared" si="1"/>
        <v>0</v>
      </c>
      <c r="C9" s="1136">
        <f t="shared" si="2"/>
        <v>0</v>
      </c>
      <c r="D9" s="1136">
        <f t="shared" si="3"/>
        <v>3.3000000000000002E-2</v>
      </c>
      <c r="E9" s="1136">
        <f t="shared" si="4"/>
        <v>1.63</v>
      </c>
      <c r="F9" s="1136">
        <f t="shared" si="11"/>
        <v>2.3719999999999999</v>
      </c>
      <c r="G9" s="1136">
        <f t="shared" si="5"/>
        <v>-0.90100000000000025</v>
      </c>
      <c r="H9" s="1136">
        <f t="shared" si="6"/>
        <v>1.8800000000000001</v>
      </c>
      <c r="I9" s="1136">
        <f t="shared" si="7"/>
        <v>0</v>
      </c>
      <c r="J9" s="1136">
        <f t="shared" si="8"/>
        <v>23.099</v>
      </c>
      <c r="K9" s="1136">
        <f t="shared" si="9"/>
        <v>4.5789999999999997</v>
      </c>
      <c r="L9" s="1140">
        <v>0</v>
      </c>
      <c r="M9" s="1136">
        <f t="shared" si="0"/>
        <v>-0.74299999999999988</v>
      </c>
      <c r="N9" s="1136">
        <f t="shared" si="10"/>
        <v>0</v>
      </c>
      <c r="O9" s="1163">
        <v>0.7</v>
      </c>
      <c r="P9" s="1157">
        <v>1.06</v>
      </c>
      <c r="Q9" s="1156">
        <v>0</v>
      </c>
      <c r="R9" s="1165">
        <v>0.56999999999999995</v>
      </c>
      <c r="S9" s="993">
        <v>0</v>
      </c>
      <c r="T9" s="1125">
        <v>3.3000000000000002E-2</v>
      </c>
      <c r="U9" s="1156">
        <v>2</v>
      </c>
      <c r="V9" s="1125">
        <v>0</v>
      </c>
      <c r="W9" s="744">
        <v>0.21299999999999999</v>
      </c>
      <c r="X9" s="744">
        <v>2E-3</v>
      </c>
      <c r="Y9" s="1156">
        <v>0</v>
      </c>
      <c r="Z9" s="1156">
        <v>0</v>
      </c>
      <c r="AA9" s="1156">
        <v>0</v>
      </c>
      <c r="AB9" s="1156">
        <v>0</v>
      </c>
      <c r="AC9" s="993">
        <v>0</v>
      </c>
      <c r="AD9" s="993">
        <v>0.157</v>
      </c>
      <c r="AE9" s="1165">
        <v>0</v>
      </c>
      <c r="AF9" s="1165">
        <v>0</v>
      </c>
      <c r="AG9" s="993">
        <v>1.81</v>
      </c>
      <c r="AH9" s="993">
        <v>7.0000000000000007E-2</v>
      </c>
      <c r="AI9" s="993">
        <v>0</v>
      </c>
      <c r="AJ9" s="1156">
        <v>0</v>
      </c>
      <c r="AK9" s="1156">
        <v>0</v>
      </c>
      <c r="AL9" s="1156">
        <v>23.099</v>
      </c>
      <c r="AM9" s="993">
        <v>1.2999999999999999E-2</v>
      </c>
      <c r="AN9" s="1156">
        <v>0.3</v>
      </c>
      <c r="AO9" s="1154">
        <v>0.15</v>
      </c>
      <c r="AP9" s="1156">
        <v>0.112</v>
      </c>
      <c r="AQ9" s="1167">
        <v>0</v>
      </c>
      <c r="AR9" s="1156">
        <v>0.2</v>
      </c>
      <c r="AS9" s="1156">
        <v>7.3999999999999996E-2</v>
      </c>
      <c r="AT9" s="744">
        <v>3.73</v>
      </c>
      <c r="AU9" s="993">
        <v>0</v>
      </c>
      <c r="AV9" s="1156">
        <v>5.3999999999999999E-2</v>
      </c>
      <c r="AW9" s="1156">
        <v>0.13100000000000001</v>
      </c>
      <c r="AX9" s="1156">
        <v>0</v>
      </c>
      <c r="AY9" s="744">
        <v>-2.71</v>
      </c>
      <c r="AZ9" s="1156">
        <v>1.782</v>
      </c>
      <c r="BA9" s="744">
        <v>0</v>
      </c>
      <c r="BB9" s="1156">
        <v>0</v>
      </c>
      <c r="BC9" s="1156">
        <v>0</v>
      </c>
      <c r="BD9" s="1156">
        <v>0</v>
      </c>
      <c r="BE9" s="1165">
        <v>1.43</v>
      </c>
      <c r="BF9" s="744">
        <v>0</v>
      </c>
      <c r="BG9" s="744">
        <v>0</v>
      </c>
      <c r="BH9" s="1121">
        <v>-2.3410000000000002</v>
      </c>
      <c r="BI9" s="1156">
        <v>0.01</v>
      </c>
      <c r="BJ9" s="1146">
        <v>0.33</v>
      </c>
    </row>
    <row r="10" spans="1:62" x14ac:dyDescent="0.25">
      <c r="A10" s="1134">
        <v>2026</v>
      </c>
      <c r="B10" s="1136">
        <f t="shared" si="1"/>
        <v>0</v>
      </c>
      <c r="C10" s="1136">
        <f t="shared" si="2"/>
        <v>0</v>
      </c>
      <c r="D10" s="1136">
        <f t="shared" si="3"/>
        <v>3.2000000000000001E-2</v>
      </c>
      <c r="E10" s="1136">
        <f t="shared" si="4"/>
        <v>1.671</v>
      </c>
      <c r="F10" s="1136">
        <f t="shared" si="11"/>
        <v>0.49</v>
      </c>
      <c r="G10" s="1136">
        <f t="shared" si="5"/>
        <v>-2.1500000000000004</v>
      </c>
      <c r="H10" s="1136">
        <f t="shared" si="6"/>
        <v>1.446</v>
      </c>
      <c r="I10" s="1136">
        <f t="shared" si="7"/>
        <v>0</v>
      </c>
      <c r="J10" s="1136">
        <f t="shared" si="8"/>
        <v>10.766999999999999</v>
      </c>
      <c r="K10" s="1136">
        <f t="shared" si="9"/>
        <v>2.9130000000000003</v>
      </c>
      <c r="L10" s="1140"/>
      <c r="M10" s="1136">
        <f t="shared" si="0"/>
        <v>-21.606000000000002</v>
      </c>
      <c r="N10" s="1136">
        <f t="shared" si="10"/>
        <v>0</v>
      </c>
      <c r="O10" s="1163">
        <v>0.7</v>
      </c>
      <c r="P10" s="1157">
        <v>1.07</v>
      </c>
      <c r="Q10" s="1156">
        <v>0</v>
      </c>
      <c r="R10" s="1165">
        <v>0.60099999999999998</v>
      </c>
      <c r="S10" s="993">
        <v>0</v>
      </c>
      <c r="T10" s="1121">
        <v>3.2000000000000001E-2</v>
      </c>
      <c r="U10" s="1156">
        <v>0.3</v>
      </c>
      <c r="V10" s="1165">
        <v>0</v>
      </c>
      <c r="W10" s="744">
        <v>0.188</v>
      </c>
      <c r="X10" s="744">
        <v>2E-3</v>
      </c>
      <c r="Y10" s="1156">
        <v>0</v>
      </c>
      <c r="Z10" s="1156">
        <v>0</v>
      </c>
      <c r="AA10" s="1156">
        <v>0</v>
      </c>
      <c r="AB10" s="1156">
        <v>0</v>
      </c>
      <c r="AC10" s="993">
        <v>0</v>
      </c>
      <c r="AD10" s="993">
        <v>0</v>
      </c>
      <c r="AE10" s="993">
        <v>0</v>
      </c>
      <c r="AF10" s="1165">
        <v>0</v>
      </c>
      <c r="AG10" s="993">
        <v>1.3759999999999999</v>
      </c>
      <c r="AH10" s="993">
        <v>7.0000000000000007E-2</v>
      </c>
      <c r="AI10" s="993">
        <v>0</v>
      </c>
      <c r="AJ10" s="1126">
        <v>0</v>
      </c>
      <c r="AK10" s="1156">
        <v>0</v>
      </c>
      <c r="AL10" s="1156">
        <v>10.766999999999999</v>
      </c>
      <c r="AM10" s="993">
        <v>3.0000000000000001E-3</v>
      </c>
      <c r="AN10" s="1156">
        <v>0.2</v>
      </c>
      <c r="AO10" s="1154">
        <v>0.1</v>
      </c>
      <c r="AP10" s="1156">
        <v>0.05</v>
      </c>
      <c r="AQ10" s="1167">
        <v>0</v>
      </c>
      <c r="AR10" s="1156">
        <v>0</v>
      </c>
      <c r="AS10" s="1156">
        <v>0</v>
      </c>
      <c r="AT10" s="744">
        <v>2.56</v>
      </c>
      <c r="AU10" s="993">
        <v>0</v>
      </c>
      <c r="AV10" s="1156">
        <v>3.7999999999999999E-2</v>
      </c>
      <c r="AW10" s="1156">
        <v>2.5999999999999999E-2</v>
      </c>
      <c r="AX10" s="1156">
        <v>0</v>
      </c>
      <c r="AY10" s="744">
        <v>-2.6700000000000004</v>
      </c>
      <c r="AZ10" s="1156">
        <v>0</v>
      </c>
      <c r="BA10" s="744">
        <v>-19</v>
      </c>
      <c r="BB10" s="1156">
        <v>0</v>
      </c>
      <c r="BC10" s="1156">
        <v>0</v>
      </c>
      <c r="BD10" s="1156">
        <v>0</v>
      </c>
      <c r="BE10" s="744">
        <v>0.88</v>
      </c>
      <c r="BF10" s="744">
        <v>0</v>
      </c>
      <c r="BG10" s="744">
        <v>0</v>
      </c>
      <c r="BH10" s="993">
        <v>-2.8200000000000003</v>
      </c>
      <c r="BI10" s="1156">
        <v>-0.21</v>
      </c>
      <c r="BJ10" s="1146">
        <v>0.17</v>
      </c>
    </row>
    <row r="11" spans="1:62" x14ac:dyDescent="0.25">
      <c r="A11" s="1134">
        <v>2027</v>
      </c>
      <c r="B11" s="1136">
        <f t="shared" si="1"/>
        <v>0</v>
      </c>
      <c r="C11" s="1136">
        <f t="shared" si="2"/>
        <v>0</v>
      </c>
      <c r="D11" s="1136">
        <f t="shared" si="3"/>
        <v>3.2000000000000001E-2</v>
      </c>
      <c r="E11" s="1136">
        <f t="shared" si="4"/>
        <v>1.7130000000000001</v>
      </c>
      <c r="F11" s="1136">
        <f t="shared" si="11"/>
        <v>0</v>
      </c>
      <c r="G11" s="1136">
        <f t="shared" si="5"/>
        <v>-4.8169999999999993</v>
      </c>
      <c r="H11" s="1136">
        <f t="shared" si="6"/>
        <v>0.65699999999999992</v>
      </c>
      <c r="I11" s="1136">
        <f t="shared" si="7"/>
        <v>0</v>
      </c>
      <c r="J11" s="1136">
        <f t="shared" si="8"/>
        <v>4.0789999999999997</v>
      </c>
      <c r="K11" s="1136">
        <f t="shared" si="9"/>
        <v>2.46</v>
      </c>
      <c r="L11" s="1140"/>
      <c r="M11" s="1136">
        <f t="shared" si="0"/>
        <v>-14.713000000000001</v>
      </c>
      <c r="N11" s="1136">
        <f t="shared" si="10"/>
        <v>0</v>
      </c>
      <c r="O11" s="1163">
        <v>0.3</v>
      </c>
      <c r="P11" s="1157">
        <v>1.08</v>
      </c>
      <c r="Q11" s="1156">
        <v>0</v>
      </c>
      <c r="R11" s="1165">
        <v>0.63300000000000001</v>
      </c>
      <c r="S11" s="1124">
        <v>0</v>
      </c>
      <c r="T11" s="1156">
        <v>3.2000000000000001E-2</v>
      </c>
      <c r="U11" s="1156">
        <v>0</v>
      </c>
      <c r="V11" s="993">
        <v>0</v>
      </c>
      <c r="W11" s="744">
        <v>0</v>
      </c>
      <c r="X11" s="744">
        <v>0</v>
      </c>
      <c r="Y11" s="1156">
        <v>0</v>
      </c>
      <c r="Z11" s="1156">
        <v>0</v>
      </c>
      <c r="AA11" s="1156">
        <v>0</v>
      </c>
      <c r="AB11" s="1156">
        <v>0</v>
      </c>
      <c r="AC11" s="993">
        <v>0</v>
      </c>
      <c r="AD11" s="1165">
        <v>0</v>
      </c>
      <c r="AE11" s="993">
        <v>0</v>
      </c>
      <c r="AF11" s="1165">
        <v>0</v>
      </c>
      <c r="AG11" s="993">
        <v>0.57699999999999996</v>
      </c>
      <c r="AH11" s="993">
        <v>0.08</v>
      </c>
      <c r="AI11" s="993">
        <v>0</v>
      </c>
      <c r="AJ11" s="993">
        <v>0</v>
      </c>
      <c r="AK11" s="1156">
        <v>0</v>
      </c>
      <c r="AL11" s="1156">
        <v>4.0789999999999997</v>
      </c>
      <c r="AM11" s="1156">
        <v>0</v>
      </c>
      <c r="AN11" s="1156">
        <v>0.1</v>
      </c>
      <c r="AO11" s="1154">
        <v>0.1</v>
      </c>
      <c r="AP11" s="1156">
        <v>0.03</v>
      </c>
      <c r="AQ11" s="1167">
        <v>0</v>
      </c>
      <c r="AR11" s="1156">
        <v>0</v>
      </c>
      <c r="AS11" s="1156">
        <v>0</v>
      </c>
      <c r="AT11" s="1154">
        <v>2.23</v>
      </c>
      <c r="AU11" s="993">
        <v>0</v>
      </c>
      <c r="AV11" s="1156">
        <v>1.7000000000000001E-2</v>
      </c>
      <c r="AW11" s="1156">
        <v>0</v>
      </c>
      <c r="AX11" s="1156">
        <v>0</v>
      </c>
      <c r="AY11" s="744">
        <v>-2.73</v>
      </c>
      <c r="AZ11" s="1156">
        <v>0</v>
      </c>
      <c r="BA11" s="744">
        <v>-12</v>
      </c>
      <c r="BB11" s="1156">
        <v>0</v>
      </c>
      <c r="BC11" s="1156">
        <v>0</v>
      </c>
      <c r="BD11" s="1156">
        <v>0</v>
      </c>
      <c r="BE11" s="744">
        <v>0.28000000000000003</v>
      </c>
      <c r="BF11" s="744">
        <v>0</v>
      </c>
      <c r="BG11" s="744">
        <v>0</v>
      </c>
      <c r="BH11" s="1125">
        <v>-5.0069999999999997</v>
      </c>
      <c r="BI11" s="1156">
        <v>-0.09</v>
      </c>
      <c r="BJ11" s="1147">
        <v>0.06</v>
      </c>
    </row>
    <row r="12" spans="1:62" x14ac:dyDescent="0.25">
      <c r="A12" s="1134">
        <v>2028</v>
      </c>
      <c r="B12" s="1136">
        <f t="shared" si="1"/>
        <v>0</v>
      </c>
      <c r="C12" s="1136">
        <f t="shared" si="2"/>
        <v>0</v>
      </c>
      <c r="D12" s="1136">
        <f t="shared" si="3"/>
        <v>3.3000000000000002E-2</v>
      </c>
      <c r="E12" s="1136">
        <f t="shared" si="4"/>
        <v>1.7130000000000001</v>
      </c>
      <c r="F12" s="1136">
        <f t="shared" si="11"/>
        <v>0</v>
      </c>
      <c r="G12" s="1136">
        <f t="shared" si="5"/>
        <v>-5.0590000000000002</v>
      </c>
      <c r="H12" s="1136">
        <f t="shared" si="6"/>
        <v>-1.071</v>
      </c>
      <c r="I12" s="1136">
        <f t="shared" si="7"/>
        <v>0</v>
      </c>
      <c r="J12" s="1136">
        <f t="shared" si="8"/>
        <v>1.635</v>
      </c>
      <c r="K12" s="1136">
        <f t="shared" si="9"/>
        <v>1.81</v>
      </c>
      <c r="L12" s="1140"/>
      <c r="M12" s="1136">
        <f t="shared" si="0"/>
        <v>-2.7690000000000001</v>
      </c>
      <c r="N12" s="1136">
        <f t="shared" si="10"/>
        <v>0</v>
      </c>
      <c r="O12" s="1163">
        <v>0.3</v>
      </c>
      <c r="P12" s="1157">
        <v>1.08</v>
      </c>
      <c r="Q12" s="1156">
        <v>0</v>
      </c>
      <c r="R12" s="1165">
        <v>0.63300000000000001</v>
      </c>
      <c r="S12" s="1124">
        <v>0</v>
      </c>
      <c r="T12" s="1127">
        <v>3.3000000000000002E-2</v>
      </c>
      <c r="U12" s="1156">
        <v>0</v>
      </c>
      <c r="V12" s="993">
        <v>0</v>
      </c>
      <c r="W12" s="744">
        <v>0</v>
      </c>
      <c r="X12" s="744">
        <v>0</v>
      </c>
      <c r="Y12" s="1156">
        <v>0</v>
      </c>
      <c r="Z12" s="1156">
        <v>0</v>
      </c>
      <c r="AA12" s="1156">
        <v>0</v>
      </c>
      <c r="AB12" s="1156">
        <v>0</v>
      </c>
      <c r="AC12" s="993">
        <v>0</v>
      </c>
      <c r="AD12" s="993">
        <v>0</v>
      </c>
      <c r="AE12" s="993">
        <v>0</v>
      </c>
      <c r="AF12" s="993">
        <v>0</v>
      </c>
      <c r="AG12" s="993">
        <v>-1.151</v>
      </c>
      <c r="AH12" s="993">
        <v>0.08</v>
      </c>
      <c r="AI12" s="993">
        <v>0</v>
      </c>
      <c r="AJ12" s="993">
        <v>0</v>
      </c>
      <c r="AK12" s="1156">
        <v>0</v>
      </c>
      <c r="AL12" s="1156">
        <v>1.635</v>
      </c>
      <c r="AM12" s="1156">
        <v>0</v>
      </c>
      <c r="AN12" s="1156">
        <v>0.1</v>
      </c>
      <c r="AO12" s="744">
        <v>0</v>
      </c>
      <c r="AP12" s="1156">
        <v>0</v>
      </c>
      <c r="AQ12" s="1167">
        <v>0</v>
      </c>
      <c r="AR12" s="1156">
        <v>0</v>
      </c>
      <c r="AS12" s="1156">
        <v>0</v>
      </c>
      <c r="AT12" s="1154">
        <v>1.71</v>
      </c>
      <c r="AU12" s="993">
        <v>0</v>
      </c>
      <c r="AV12" s="1156">
        <v>1E-3</v>
      </c>
      <c r="AW12" s="1156">
        <v>0</v>
      </c>
      <c r="AX12" s="1156">
        <v>0</v>
      </c>
      <c r="AY12" s="744">
        <v>-2.77</v>
      </c>
      <c r="AZ12" s="1156">
        <v>0</v>
      </c>
      <c r="BA12" s="744">
        <v>0</v>
      </c>
      <c r="BB12" s="1156">
        <v>0</v>
      </c>
      <c r="BC12" s="1156">
        <v>0</v>
      </c>
      <c r="BD12" s="1156">
        <v>0</v>
      </c>
      <c r="BE12" s="744">
        <v>0.1</v>
      </c>
      <c r="BF12" s="744">
        <v>0</v>
      </c>
      <c r="BG12" s="744">
        <v>0</v>
      </c>
      <c r="BH12" s="1125">
        <v>-5.069</v>
      </c>
      <c r="BI12" s="1156">
        <v>-0.09</v>
      </c>
      <c r="BJ12" s="1147">
        <v>0.03</v>
      </c>
    </row>
    <row r="13" spans="1:62" x14ac:dyDescent="0.25">
      <c r="A13" s="1134">
        <v>2029</v>
      </c>
      <c r="B13" s="1136">
        <f t="shared" si="1"/>
        <v>0</v>
      </c>
      <c r="C13" s="1136">
        <f t="shared" si="2"/>
        <v>0</v>
      </c>
      <c r="D13" s="1136">
        <f t="shared" si="3"/>
        <v>3.3000000000000002E-2</v>
      </c>
      <c r="E13" s="1136">
        <f t="shared" si="4"/>
        <v>1.7130000000000001</v>
      </c>
      <c r="F13" s="1136">
        <f t="shared" si="11"/>
        <v>0</v>
      </c>
      <c r="G13" s="1136">
        <f t="shared" si="5"/>
        <v>-5.218</v>
      </c>
      <c r="H13" s="1136">
        <f t="shared" si="6"/>
        <v>-1.964</v>
      </c>
      <c r="I13" s="1136">
        <f t="shared" si="7"/>
        <v>0</v>
      </c>
      <c r="J13" s="1136">
        <f t="shared" si="8"/>
        <v>-1.7000000000000001E-2</v>
      </c>
      <c r="K13" s="1136">
        <f t="shared" si="9"/>
        <v>1</v>
      </c>
      <c r="L13" s="1140"/>
      <c r="M13" s="1136">
        <f t="shared" si="0"/>
        <v>-2.75</v>
      </c>
      <c r="N13" s="1136">
        <f t="shared" si="10"/>
        <v>0</v>
      </c>
      <c r="O13" s="1163">
        <v>0.3</v>
      </c>
      <c r="P13" s="1157">
        <v>1.08</v>
      </c>
      <c r="Q13" s="1156">
        <v>0</v>
      </c>
      <c r="R13" s="1165">
        <v>0.63300000000000001</v>
      </c>
      <c r="S13" s="1124">
        <v>0</v>
      </c>
      <c r="T13" s="993">
        <v>3.3000000000000002E-2</v>
      </c>
      <c r="U13" s="1156">
        <v>0</v>
      </c>
      <c r="V13" s="993">
        <v>0</v>
      </c>
      <c r="W13" s="744">
        <v>0</v>
      </c>
      <c r="X13" s="744">
        <v>0</v>
      </c>
      <c r="Y13" s="1156">
        <v>0</v>
      </c>
      <c r="Z13" s="1156">
        <v>0</v>
      </c>
      <c r="AA13" s="1156">
        <v>0</v>
      </c>
      <c r="AB13" s="1156">
        <v>0</v>
      </c>
      <c r="AC13" s="993">
        <v>0</v>
      </c>
      <c r="AD13" s="993">
        <v>0</v>
      </c>
      <c r="AE13" s="993">
        <v>0</v>
      </c>
      <c r="AF13" s="993">
        <v>0</v>
      </c>
      <c r="AG13" s="1156">
        <v>-2.044</v>
      </c>
      <c r="AH13" s="993">
        <v>0.08</v>
      </c>
      <c r="AI13" s="993">
        <v>0</v>
      </c>
      <c r="AJ13" s="1128">
        <v>0</v>
      </c>
      <c r="AK13" s="1156">
        <v>0</v>
      </c>
      <c r="AL13" s="1156">
        <v>-1.7000000000000001E-2</v>
      </c>
      <c r="AM13" s="1156">
        <v>0</v>
      </c>
      <c r="AN13" s="1156">
        <v>0</v>
      </c>
      <c r="AO13" s="744">
        <v>0</v>
      </c>
      <c r="AP13" s="1156">
        <v>0</v>
      </c>
      <c r="AQ13" s="1167">
        <v>0</v>
      </c>
      <c r="AR13" s="1156">
        <v>0</v>
      </c>
      <c r="AS13" s="1156">
        <v>0</v>
      </c>
      <c r="AT13" s="1154">
        <v>1</v>
      </c>
      <c r="AU13" s="993">
        <v>0</v>
      </c>
      <c r="AV13" s="1156">
        <v>0</v>
      </c>
      <c r="AW13" s="1156">
        <v>0</v>
      </c>
      <c r="AX13" s="1156">
        <v>0</v>
      </c>
      <c r="AY13" s="744">
        <v>-2.75</v>
      </c>
      <c r="AZ13" s="1156">
        <v>0</v>
      </c>
      <c r="BA13" s="744">
        <v>0</v>
      </c>
      <c r="BB13" s="1156">
        <v>0</v>
      </c>
      <c r="BC13" s="1156">
        <v>0</v>
      </c>
      <c r="BD13" s="1156">
        <v>0</v>
      </c>
      <c r="BE13" s="744">
        <v>0</v>
      </c>
      <c r="BF13" s="1129">
        <v>0</v>
      </c>
      <c r="BG13" s="744">
        <v>0</v>
      </c>
      <c r="BH13" s="1125">
        <v>-5.1180000000000003</v>
      </c>
      <c r="BI13" s="1156">
        <v>-0.1</v>
      </c>
      <c r="BJ13" s="1147">
        <v>0.01</v>
      </c>
    </row>
    <row r="14" spans="1:62" x14ac:dyDescent="0.25">
      <c r="A14" s="1134">
        <v>2030</v>
      </c>
      <c r="B14" s="1136">
        <f t="shared" si="1"/>
        <v>0</v>
      </c>
      <c r="C14" s="1136">
        <f t="shared" si="2"/>
        <v>0</v>
      </c>
      <c r="D14" s="1136">
        <f t="shared" si="3"/>
        <v>3.3000000000000002E-2</v>
      </c>
      <c r="E14" s="1136">
        <f t="shared" si="4"/>
        <v>1.8130000000000002</v>
      </c>
      <c r="F14" s="1136">
        <f t="shared" si="11"/>
        <v>0</v>
      </c>
      <c r="G14" s="1136">
        <f t="shared" si="5"/>
        <v>-5.9420000000000002</v>
      </c>
      <c r="H14" s="1136">
        <f t="shared" si="6"/>
        <v>-2.0210000000000004</v>
      </c>
      <c r="I14" s="1136">
        <f t="shared" si="7"/>
        <v>0</v>
      </c>
      <c r="J14" s="1136">
        <f t="shared" si="8"/>
        <v>-1.9E-2</v>
      </c>
      <c r="K14" s="1136">
        <f t="shared" si="9"/>
        <v>0.8</v>
      </c>
      <c r="L14" s="1140"/>
      <c r="M14" s="1136">
        <f t="shared" si="0"/>
        <v>-8.1189999999999998</v>
      </c>
      <c r="N14" s="1136">
        <f t="shared" si="10"/>
        <v>0</v>
      </c>
      <c r="O14" s="1163">
        <v>0.3</v>
      </c>
      <c r="P14" s="1157">
        <v>1.1800000000000002</v>
      </c>
      <c r="Q14" s="1156">
        <v>0</v>
      </c>
      <c r="R14" s="1165">
        <v>0.63300000000000001</v>
      </c>
      <c r="S14" s="1124">
        <v>0</v>
      </c>
      <c r="T14" s="993">
        <v>3.3000000000000002E-2</v>
      </c>
      <c r="U14" s="1156">
        <v>0</v>
      </c>
      <c r="V14" s="993">
        <v>0</v>
      </c>
      <c r="W14" s="744">
        <v>0</v>
      </c>
      <c r="X14" s="744">
        <v>0</v>
      </c>
      <c r="Y14" s="1156">
        <v>0</v>
      </c>
      <c r="Z14" s="1156">
        <v>0</v>
      </c>
      <c r="AA14" s="1156">
        <v>0</v>
      </c>
      <c r="AB14" s="1156">
        <v>0</v>
      </c>
      <c r="AC14" s="993">
        <v>0</v>
      </c>
      <c r="AD14" s="1165">
        <v>0</v>
      </c>
      <c r="AE14" s="1156">
        <v>0</v>
      </c>
      <c r="AF14" s="993">
        <v>0</v>
      </c>
      <c r="AG14" s="993">
        <v>-2.1110000000000002</v>
      </c>
      <c r="AH14" s="993">
        <v>0.09</v>
      </c>
      <c r="AI14" s="993">
        <v>0</v>
      </c>
      <c r="AJ14" s="1130">
        <v>0</v>
      </c>
      <c r="AK14" s="1156">
        <v>0</v>
      </c>
      <c r="AL14" s="1156">
        <v>-1.9E-2</v>
      </c>
      <c r="AM14" s="1156">
        <v>0</v>
      </c>
      <c r="AN14" s="1156">
        <v>0</v>
      </c>
      <c r="AO14" s="744">
        <v>0</v>
      </c>
      <c r="AP14" s="1156">
        <v>0</v>
      </c>
      <c r="AQ14" s="1167">
        <v>0</v>
      </c>
      <c r="AR14" s="1156">
        <v>0</v>
      </c>
      <c r="AS14" s="1156">
        <v>0</v>
      </c>
      <c r="AT14" s="744">
        <v>0.8</v>
      </c>
      <c r="AU14" s="993">
        <v>-5.4089999999999998</v>
      </c>
      <c r="AV14" s="1156">
        <v>0</v>
      </c>
      <c r="AW14" s="1156">
        <v>0</v>
      </c>
      <c r="AX14" s="1156">
        <v>0</v>
      </c>
      <c r="AY14" s="744">
        <v>-2.71</v>
      </c>
      <c r="AZ14" s="1156">
        <v>0</v>
      </c>
      <c r="BA14" s="744">
        <v>0</v>
      </c>
      <c r="BB14" s="1156">
        <v>0</v>
      </c>
      <c r="BC14" s="1156">
        <v>0</v>
      </c>
      <c r="BD14" s="1156">
        <v>0</v>
      </c>
      <c r="BE14" s="1156">
        <v>0</v>
      </c>
      <c r="BF14" s="744">
        <v>0</v>
      </c>
      <c r="BG14" s="744">
        <v>0</v>
      </c>
      <c r="BH14" s="993">
        <v>-5.8319999999999999</v>
      </c>
      <c r="BI14" s="1156">
        <v>-0.11</v>
      </c>
      <c r="BJ14" s="1146">
        <v>0.01</v>
      </c>
    </row>
    <row r="15" spans="1:62" ht="17.25" customHeight="1" x14ac:dyDescent="0.25">
      <c r="A15" s="1134">
        <v>2031</v>
      </c>
      <c r="B15" s="1136">
        <f t="shared" si="1"/>
        <v>0</v>
      </c>
      <c r="C15" s="1136">
        <f t="shared" si="2"/>
        <v>0</v>
      </c>
      <c r="D15" s="1136">
        <f t="shared" si="3"/>
        <v>0</v>
      </c>
      <c r="E15" s="1136">
        <f t="shared" si="4"/>
        <v>1.8230000000000002</v>
      </c>
      <c r="F15" s="1136">
        <f t="shared" si="11"/>
        <v>0</v>
      </c>
      <c r="G15" s="1136">
        <f t="shared" si="5"/>
        <v>-7.7250000000000005</v>
      </c>
      <c r="H15" s="1136">
        <f t="shared" si="6"/>
        <v>-2.4630000000000001</v>
      </c>
      <c r="I15" s="1136">
        <f t="shared" si="7"/>
        <v>0</v>
      </c>
      <c r="J15" s="1136">
        <f t="shared" si="8"/>
        <v>-1.9E-2</v>
      </c>
      <c r="K15" s="1136">
        <f t="shared" si="9"/>
        <v>0</v>
      </c>
      <c r="L15" s="1140"/>
      <c r="M15" s="1136">
        <f t="shared" si="0"/>
        <v>-3.0390000000000001</v>
      </c>
      <c r="N15" s="1136">
        <f t="shared" si="10"/>
        <v>0</v>
      </c>
      <c r="O15" s="1163">
        <v>0.3</v>
      </c>
      <c r="P15" s="1157">
        <v>1.1900000000000002</v>
      </c>
      <c r="Q15" s="1156">
        <v>0</v>
      </c>
      <c r="R15" s="1165">
        <v>0.63300000000000001</v>
      </c>
      <c r="S15" s="1124">
        <v>0</v>
      </c>
      <c r="T15" s="744">
        <v>0</v>
      </c>
      <c r="U15" s="1156">
        <v>0</v>
      </c>
      <c r="V15" s="1156">
        <v>0</v>
      </c>
      <c r="W15" s="744">
        <v>0</v>
      </c>
      <c r="X15" s="744">
        <v>0</v>
      </c>
      <c r="Y15" s="1156">
        <v>0</v>
      </c>
      <c r="Z15" s="1156">
        <v>0</v>
      </c>
      <c r="AA15" s="1156">
        <v>0</v>
      </c>
      <c r="AB15" s="1156">
        <v>0</v>
      </c>
      <c r="AC15" s="993">
        <v>0</v>
      </c>
      <c r="AD15" s="1156">
        <v>0</v>
      </c>
      <c r="AE15" s="993">
        <v>0</v>
      </c>
      <c r="AF15" s="993">
        <v>0</v>
      </c>
      <c r="AG15" s="993">
        <v>-2.5529999999999999</v>
      </c>
      <c r="AH15" s="993">
        <v>0.09</v>
      </c>
      <c r="AI15" s="993">
        <v>0</v>
      </c>
      <c r="AJ15" s="1131">
        <v>0</v>
      </c>
      <c r="AK15" s="1156">
        <v>0</v>
      </c>
      <c r="AL15" s="1156">
        <v>-1.9E-2</v>
      </c>
      <c r="AM15" s="1156">
        <v>0</v>
      </c>
      <c r="AN15" s="1156">
        <v>0</v>
      </c>
      <c r="AO15" s="744">
        <v>0</v>
      </c>
      <c r="AP15" s="1156">
        <v>0</v>
      </c>
      <c r="AQ15" s="1167">
        <v>0</v>
      </c>
      <c r="AR15" s="1156">
        <v>0</v>
      </c>
      <c r="AS15" s="1156">
        <v>0</v>
      </c>
      <c r="AT15" s="744">
        <v>0</v>
      </c>
      <c r="AU15" s="993">
        <v>-0.26900000000000002</v>
      </c>
      <c r="AV15" s="1156">
        <v>0</v>
      </c>
      <c r="AW15" s="1156">
        <v>0</v>
      </c>
      <c r="AX15" s="1156">
        <v>0</v>
      </c>
      <c r="AY15" s="744">
        <v>-2.77</v>
      </c>
      <c r="AZ15" s="1156">
        <v>0</v>
      </c>
      <c r="BA15" s="744">
        <v>0</v>
      </c>
      <c r="BB15" s="1156">
        <v>0</v>
      </c>
      <c r="BC15" s="1156">
        <v>0</v>
      </c>
      <c r="BD15" s="1156">
        <v>0</v>
      </c>
      <c r="BE15" s="1156">
        <v>0</v>
      </c>
      <c r="BF15" s="744">
        <v>0</v>
      </c>
      <c r="BG15" s="744">
        <v>0</v>
      </c>
      <c r="BH15" s="993">
        <v>-5.4350000000000005</v>
      </c>
      <c r="BI15" s="1156">
        <v>-2.29</v>
      </c>
      <c r="BJ15" s="1146">
        <v>0</v>
      </c>
    </row>
    <row r="16" spans="1:62" x14ac:dyDescent="0.25">
      <c r="A16" s="1135" t="s">
        <v>312</v>
      </c>
      <c r="B16" s="1135">
        <f>SUM(B5:B15)</f>
        <v>412.15299999999996</v>
      </c>
      <c r="C16" s="1135">
        <f>SUM(C5:C15)</f>
        <v>205.79999999999998</v>
      </c>
      <c r="D16" s="1135">
        <f>SUM(D5:D15)</f>
        <v>22.711000000000006</v>
      </c>
      <c r="E16" s="1135">
        <f t="shared" ref="E16:H16" si="12">SUM(E5:E15)</f>
        <v>35.466000000000015</v>
      </c>
      <c r="F16" s="1135">
        <f t="shared" si="12"/>
        <v>91.563000000000002</v>
      </c>
      <c r="G16" s="1136">
        <f t="shared" si="5"/>
        <v>174.17</v>
      </c>
      <c r="H16" s="1135">
        <f t="shared" si="12"/>
        <v>21.600999999999996</v>
      </c>
      <c r="I16" s="1140">
        <f t="shared" ref="I16" si="13">SUM(I5:I15)</f>
        <v>362.04999999999995</v>
      </c>
      <c r="J16" s="1140">
        <f t="shared" ref="J16" si="14">SUM(J5:J15)</f>
        <v>169.16899999999998</v>
      </c>
      <c r="K16" s="1136">
        <f t="shared" si="9"/>
        <v>112.72</v>
      </c>
      <c r="L16" s="1140">
        <f>SUM(L5:L15)</f>
        <v>25.75</v>
      </c>
      <c r="M16" s="1136">
        <f t="shared" si="0"/>
        <v>85.197999999999993</v>
      </c>
      <c r="N16" s="1136">
        <f>AK16</f>
        <v>8.5</v>
      </c>
      <c r="O16" s="1164">
        <f t="shared" ref="O16:BI16" si="15">SUM(O5:O15)</f>
        <v>109.3</v>
      </c>
      <c r="P16" s="1156">
        <f t="shared" si="15"/>
        <v>25.819999999999997</v>
      </c>
      <c r="Q16" s="1156">
        <f t="shared" si="15"/>
        <v>412.15299999999996</v>
      </c>
      <c r="R16" s="1156">
        <f t="shared" si="15"/>
        <v>5.774</v>
      </c>
      <c r="S16" s="1156">
        <f t="shared" si="15"/>
        <v>3.8719999999999999</v>
      </c>
      <c r="T16" s="1156">
        <f t="shared" si="15"/>
        <v>22.711000000000006</v>
      </c>
      <c r="U16" s="1156">
        <f t="shared" si="15"/>
        <v>41.599999999999994</v>
      </c>
      <c r="V16" s="1156">
        <f t="shared" si="15"/>
        <v>44.947999999999993</v>
      </c>
      <c r="W16" s="1156">
        <f t="shared" si="15"/>
        <v>5</v>
      </c>
      <c r="X16" s="1156">
        <f t="shared" si="15"/>
        <v>1.4440000000000002</v>
      </c>
      <c r="Y16" s="1156">
        <f t="shared" si="15"/>
        <v>0.2</v>
      </c>
      <c r="Z16" s="1156">
        <f t="shared" si="15"/>
        <v>45.4</v>
      </c>
      <c r="AA16" s="1156">
        <f t="shared" si="15"/>
        <v>35.5</v>
      </c>
      <c r="AB16" s="1156">
        <f t="shared" si="15"/>
        <v>124.7</v>
      </c>
      <c r="AC16" s="1156">
        <f t="shared" si="15"/>
        <v>28</v>
      </c>
      <c r="AD16" s="1156">
        <f t="shared" si="15"/>
        <v>9.100000000000022E-2</v>
      </c>
      <c r="AE16" s="1156">
        <f t="shared" si="15"/>
        <v>22.810000000000002</v>
      </c>
      <c r="AF16" s="1156">
        <f t="shared" si="15"/>
        <v>1.42</v>
      </c>
      <c r="AG16" s="1156">
        <f t="shared" si="15"/>
        <v>20.662999999999997</v>
      </c>
      <c r="AH16" s="1156">
        <f t="shared" si="15"/>
        <v>0.86999999999999988</v>
      </c>
      <c r="AI16" s="1156">
        <f t="shared" si="15"/>
        <v>6.8000000000000005E-2</v>
      </c>
      <c r="AJ16" s="1156">
        <f t="shared" si="15"/>
        <v>362.04999999999995</v>
      </c>
      <c r="AK16" s="1156">
        <f t="shared" ref="AK16:AO16" si="16">SUM(AK5:AK15)</f>
        <v>8.5</v>
      </c>
      <c r="AL16" s="1156">
        <f t="shared" si="16"/>
        <v>169.16899999999998</v>
      </c>
      <c r="AM16" s="1138">
        <f t="shared" si="16"/>
        <v>0.79700000000000004</v>
      </c>
      <c r="AN16" s="1156">
        <f t="shared" si="16"/>
        <v>8.6</v>
      </c>
      <c r="AO16" s="1156">
        <f t="shared" si="16"/>
        <v>3.2000000000000006</v>
      </c>
      <c r="AP16" s="1156">
        <f t="shared" si="15"/>
        <v>2.8000000000000003</v>
      </c>
      <c r="AQ16" s="1141">
        <f>SUM(AQ5:AQ15)</f>
        <v>28</v>
      </c>
      <c r="AR16" s="1156">
        <f>SUM(AR5:AR15)</f>
        <v>14.899999999999999</v>
      </c>
      <c r="AS16" s="1156">
        <f>SUM(AS5:AS15)</f>
        <v>3.8730000000000002</v>
      </c>
      <c r="AT16" s="1156">
        <f t="shared" ref="AT16" si="17">SUM(AT5:AT15)</f>
        <v>50.54999999999999</v>
      </c>
      <c r="AU16" s="1156">
        <f t="shared" si="15"/>
        <v>-5.6779999999999999</v>
      </c>
      <c r="AV16" s="1156">
        <f t="shared" si="15"/>
        <v>8.177999999999999</v>
      </c>
      <c r="AW16" s="1156">
        <f t="shared" si="15"/>
        <v>16.667999999999999</v>
      </c>
      <c r="AX16" s="1156">
        <f t="shared" si="15"/>
        <v>9.9</v>
      </c>
      <c r="AY16" s="1156">
        <f t="shared" si="15"/>
        <v>-25.860000000000003</v>
      </c>
      <c r="AZ16" s="1156">
        <f t="shared" si="15"/>
        <v>81.99</v>
      </c>
      <c r="BA16" s="1156">
        <v>0</v>
      </c>
      <c r="BB16" s="1156">
        <f t="shared" si="15"/>
        <v>24</v>
      </c>
      <c r="BC16" s="1156">
        <f t="shared" si="15"/>
        <v>7.25</v>
      </c>
      <c r="BD16" s="1156">
        <f t="shared" si="15"/>
        <v>49.8</v>
      </c>
      <c r="BE16" s="1156">
        <f t="shared" si="15"/>
        <v>9.02</v>
      </c>
      <c r="BF16" s="1156">
        <f t="shared" si="15"/>
        <v>6.2439999999999998</v>
      </c>
      <c r="BG16" s="1156">
        <f t="shared" si="15"/>
        <v>10.218</v>
      </c>
      <c r="BH16" s="1156">
        <f t="shared" si="15"/>
        <v>50.203999999999979</v>
      </c>
      <c r="BI16" s="1156">
        <f t="shared" si="15"/>
        <v>24.684000000000005</v>
      </c>
      <c r="BJ16" s="1148">
        <f>SUM(BJ5:BJ15)</f>
        <v>9.5399999999999991</v>
      </c>
    </row>
    <row r="17" spans="2:61" x14ac:dyDescent="0.25">
      <c r="R17" s="1165"/>
      <c r="S17" s="1165"/>
      <c r="W17" s="1165"/>
      <c r="X17" s="1165"/>
      <c r="AE17" s="1165"/>
      <c r="AF17" s="1165"/>
      <c r="AV17" s="1165"/>
      <c r="AW17" s="1165"/>
      <c r="AX17" s="1165"/>
      <c r="AY17" s="1165"/>
      <c r="AZ17" s="1165"/>
      <c r="BA17" s="1165"/>
      <c r="BC17" s="1165"/>
      <c r="BE17" s="1165"/>
      <c r="BF17" s="1165"/>
      <c r="BG17" s="1165"/>
    </row>
    <row r="18" spans="2:61" x14ac:dyDescent="0.25">
      <c r="R18" s="1165"/>
      <c r="S18" s="1165"/>
      <c r="W18" s="1165"/>
      <c r="X18" s="1165"/>
      <c r="AE18" s="1165"/>
      <c r="AF18" s="1165"/>
      <c r="AV18" s="1165"/>
      <c r="AW18" s="1165"/>
      <c r="AX18" s="1165"/>
      <c r="AY18" s="1165"/>
      <c r="AZ18" s="1165"/>
      <c r="BA18" s="1165"/>
      <c r="BC18" s="1165" t="s">
        <v>724</v>
      </c>
      <c r="BD18" s="1165" t="s">
        <v>724</v>
      </c>
      <c r="BE18" s="1165"/>
      <c r="BF18" s="1165" t="s">
        <v>724</v>
      </c>
      <c r="BG18" s="1165" t="s">
        <v>724</v>
      </c>
      <c r="BI18" s="1165" t="s">
        <v>724</v>
      </c>
    </row>
    <row r="19" spans="2:61" x14ac:dyDescent="0.25">
      <c r="B19" s="883"/>
      <c r="C19" s="883"/>
      <c r="D19" s="883"/>
      <c r="E19" s="883"/>
      <c r="F19" s="883"/>
      <c r="H19" s="883"/>
      <c r="I19" s="883"/>
      <c r="J19" s="883"/>
      <c r="K19" s="883"/>
      <c r="M19" s="883"/>
      <c r="N19" s="883"/>
      <c r="R19" s="1165"/>
      <c r="S19" s="1165"/>
      <c r="W19" s="1165"/>
      <c r="X19" s="1165"/>
      <c r="AE19" s="1165"/>
      <c r="AF19" s="1165"/>
      <c r="AV19" s="1165"/>
      <c r="AW19" s="1165"/>
      <c r="AX19" s="1165"/>
      <c r="AY19" s="1165"/>
      <c r="AZ19" s="1165"/>
      <c r="BA19" s="1165"/>
      <c r="BC19" s="1165"/>
      <c r="BD19" t="s">
        <v>725</v>
      </c>
      <c r="BE19" s="1165"/>
      <c r="BF19" s="1165"/>
      <c r="BG19" s="1165"/>
    </row>
    <row r="20" spans="2:61" x14ac:dyDescent="0.25">
      <c r="R20" s="1165"/>
      <c r="S20" s="1165"/>
      <c r="W20" s="1165"/>
      <c r="X20" s="1165"/>
      <c r="AE20" s="1165"/>
      <c r="AF20" s="1165"/>
      <c r="AV20" s="1165"/>
      <c r="AW20" s="1165"/>
      <c r="AX20" s="1165"/>
      <c r="AY20" s="1165"/>
      <c r="AZ20" s="1165"/>
      <c r="BA20" s="1165"/>
      <c r="BC20" s="1165"/>
      <c r="BE20" s="1165"/>
      <c r="BF20" s="1165"/>
      <c r="BG20" s="1165"/>
    </row>
    <row r="21" spans="2:61" x14ac:dyDescent="0.25">
      <c r="R21" s="1165"/>
      <c r="S21" s="1165"/>
      <c r="W21" s="1165"/>
      <c r="X21" s="1165"/>
      <c r="AE21" s="1165"/>
      <c r="AF21" s="1165"/>
      <c r="AV21" s="1165"/>
      <c r="AW21" s="1165"/>
      <c r="AX21" s="1165"/>
      <c r="AY21" s="1165"/>
      <c r="AZ21" s="1165"/>
      <c r="BA21" s="1165"/>
      <c r="BC21" s="1165"/>
      <c r="BE21" s="1165"/>
      <c r="BF21" s="1165"/>
      <c r="BG21" s="1165"/>
    </row>
    <row r="22" spans="2:61" x14ac:dyDescent="0.25">
      <c r="B22" s="883"/>
      <c r="R22" s="1165"/>
      <c r="S22" s="1165"/>
      <c r="W22" s="1165"/>
      <c r="X22" s="1165"/>
      <c r="AE22" s="1165"/>
      <c r="AF22" s="1165"/>
      <c r="AV22" s="1165"/>
      <c r="AW22" s="1165"/>
      <c r="AX22" s="1165"/>
      <c r="AY22" s="1165"/>
      <c r="AZ22" s="1165"/>
      <c r="BA22" s="1165"/>
      <c r="BC22" s="1165"/>
      <c r="BE22" s="1165"/>
      <c r="BF22" s="1165"/>
      <c r="BG22" s="1165"/>
    </row>
    <row r="23" spans="2:61" x14ac:dyDescent="0.25">
      <c r="B23" s="883"/>
      <c r="R23" s="1165"/>
      <c r="S23" s="1165"/>
      <c r="W23" s="1165"/>
      <c r="X23" s="1165"/>
      <c r="AE23" s="1165"/>
      <c r="AF23" s="1165"/>
      <c r="AV23" s="1165"/>
      <c r="AW23" s="1165"/>
      <c r="AX23" s="1165"/>
      <c r="AY23" s="1165"/>
      <c r="AZ23" s="1165"/>
      <c r="BA23" s="1165"/>
      <c r="BC23" s="1165"/>
      <c r="BE23" s="1165"/>
      <c r="BF23" s="1165"/>
      <c r="BG23" s="1165"/>
    </row>
    <row r="24" spans="2:61" x14ac:dyDescent="0.25">
      <c r="B24" s="883"/>
      <c r="R24" s="1165"/>
      <c r="S24" s="1165"/>
      <c r="W24" s="1165"/>
      <c r="X24" s="1165"/>
      <c r="AE24" s="1165"/>
      <c r="AF24" s="1165"/>
      <c r="AV24" s="1165"/>
      <c r="AW24" s="1165"/>
      <c r="AX24" s="1165"/>
      <c r="AY24" s="1165"/>
      <c r="AZ24" s="1165"/>
      <c r="BA24" s="1165"/>
      <c r="BC24" s="1165"/>
      <c r="BE24" s="1165"/>
      <c r="BF24" s="1165"/>
      <c r="BG24" s="1165"/>
    </row>
    <row r="25" spans="2:61" x14ac:dyDescent="0.25">
      <c r="B25" s="883"/>
      <c r="R25" s="1165"/>
      <c r="S25" s="1165"/>
      <c r="W25" s="1165"/>
      <c r="X25" s="1165"/>
      <c r="AE25" s="1165"/>
      <c r="AF25" s="1165"/>
      <c r="AV25" s="1165"/>
      <c r="AW25" s="1165"/>
      <c r="AX25" s="1165"/>
      <c r="AY25" s="1165"/>
      <c r="AZ25" s="1165"/>
      <c r="BA25" s="1165"/>
      <c r="BC25" s="1165"/>
      <c r="BE25" s="1165"/>
      <c r="BF25" s="1165"/>
      <c r="BG25" s="1165"/>
    </row>
    <row r="26" spans="2:61" x14ac:dyDescent="0.25">
      <c r="B26" s="883"/>
      <c r="R26" s="1165"/>
      <c r="S26" s="1165"/>
      <c r="W26" s="1165"/>
      <c r="X26" s="1165"/>
      <c r="AE26" s="1165"/>
      <c r="AF26" s="1165"/>
      <c r="AV26" s="1165"/>
      <c r="AW26" s="1165"/>
      <c r="AX26" s="1165"/>
      <c r="AY26" s="1165"/>
      <c r="AZ26" s="1165"/>
      <c r="BA26" s="1165"/>
      <c r="BC26" s="1165"/>
      <c r="BE26" s="1165"/>
      <c r="BF26" s="1165"/>
      <c r="BG26" s="1165"/>
    </row>
    <row r="27" spans="2:61" x14ac:dyDescent="0.25">
      <c r="B27" s="883"/>
      <c r="R27" s="1165"/>
      <c r="S27" s="1165"/>
      <c r="W27" s="1165"/>
      <c r="X27" s="1165"/>
      <c r="AE27" s="1165"/>
      <c r="AF27" s="1165"/>
      <c r="AV27" s="1165"/>
      <c r="AW27" s="1165"/>
      <c r="AX27" s="1165"/>
      <c r="AY27" s="1165"/>
      <c r="AZ27" s="1165"/>
      <c r="BA27" s="1165"/>
      <c r="BC27" s="1165"/>
      <c r="BE27" s="1165"/>
      <c r="BF27" s="1165"/>
      <c r="BG27" s="1165"/>
    </row>
    <row r="28" spans="2:61" x14ac:dyDescent="0.25">
      <c r="B28" s="883"/>
      <c r="R28" s="1165"/>
      <c r="S28" s="1165"/>
      <c r="W28" s="1165"/>
      <c r="X28" s="1165"/>
      <c r="AE28" s="1165"/>
      <c r="AF28" s="1165"/>
      <c r="AV28" s="1165"/>
      <c r="AW28" s="1165"/>
      <c r="AX28" s="1165"/>
      <c r="AY28" s="1165"/>
      <c r="AZ28" s="1165"/>
      <c r="BA28" s="1165"/>
      <c r="BC28" s="1165"/>
      <c r="BE28" s="1165"/>
      <c r="BF28" s="1165"/>
      <c r="BG28" s="1165"/>
    </row>
    <row r="29" spans="2:61" x14ac:dyDescent="0.25">
      <c r="R29" s="1165"/>
      <c r="S29" s="1165"/>
      <c r="W29" s="1165"/>
      <c r="X29" s="1165"/>
      <c r="AE29" s="1165"/>
      <c r="AF29" s="1165"/>
      <c r="AV29" s="1165"/>
      <c r="AW29" s="1165"/>
      <c r="AX29" s="1165"/>
      <c r="AY29" s="1165"/>
      <c r="AZ29" s="1165"/>
      <c r="BA29" s="1165"/>
      <c r="BC29" s="1165"/>
      <c r="BE29" s="1165"/>
      <c r="BF29" s="1165"/>
      <c r="BG29" s="1165"/>
    </row>
    <row r="30" spans="2:61" x14ac:dyDescent="0.25">
      <c r="R30" s="1165"/>
      <c r="S30" s="1165"/>
      <c r="W30" s="1165"/>
      <c r="X30" s="1165"/>
      <c r="AE30" s="1165"/>
      <c r="AF30" s="1165"/>
      <c r="AV30" s="1165"/>
      <c r="AW30" s="1165"/>
      <c r="AX30" s="1165"/>
      <c r="AY30" s="1165"/>
      <c r="AZ30" s="1165"/>
      <c r="BA30" s="1165"/>
      <c r="BC30" s="1165"/>
      <c r="BE30" s="1165"/>
      <c r="BF30" s="1165"/>
      <c r="BG30" s="1165"/>
    </row>
    <row r="31" spans="2:61" x14ac:dyDescent="0.25">
      <c r="R31" s="1165"/>
      <c r="S31" s="1165"/>
      <c r="W31" s="1165"/>
      <c r="X31" s="1165"/>
      <c r="AE31" s="1165"/>
      <c r="AF31" s="1165"/>
      <c r="AV31" s="1165"/>
      <c r="AW31" s="1165"/>
      <c r="AX31" s="1165"/>
      <c r="AY31" s="1165"/>
      <c r="AZ31" s="1165"/>
      <c r="BA31" s="1165"/>
      <c r="BC31" s="1165"/>
      <c r="BE31" s="1165"/>
      <c r="BF31" s="1165"/>
      <c r="BG31" s="1165"/>
    </row>
    <row r="32" spans="2:61" x14ac:dyDescent="0.25">
      <c r="R32" s="1165"/>
      <c r="S32" s="1165"/>
      <c r="W32" s="1165"/>
      <c r="X32" s="1165"/>
      <c r="AE32" s="1165"/>
      <c r="AF32" s="1165"/>
      <c r="AV32" s="1165"/>
      <c r="AW32" s="1165"/>
      <c r="AX32" s="1165"/>
      <c r="AY32" s="1165"/>
      <c r="AZ32" s="1165"/>
      <c r="BA32" s="1165"/>
      <c r="BC32" s="1165"/>
      <c r="BE32" s="1165"/>
      <c r="BF32" s="1165"/>
      <c r="BG32" s="1165"/>
    </row>
    <row r="33" spans="18:59" x14ac:dyDescent="0.25">
      <c r="R33" s="1165"/>
      <c r="S33" s="1165"/>
      <c r="W33" s="1165"/>
      <c r="X33" s="1165"/>
      <c r="AE33" s="1165"/>
      <c r="AF33" s="1165"/>
      <c r="AV33" s="1165"/>
      <c r="AW33" s="1165"/>
      <c r="AX33" s="1165"/>
      <c r="AY33" s="1165"/>
      <c r="AZ33" s="1165"/>
      <c r="BA33" s="1165"/>
      <c r="BC33" s="1165"/>
      <c r="BE33" s="1165"/>
      <c r="BF33" s="1165"/>
      <c r="BG33" s="1165"/>
    </row>
    <row r="34" spans="18:59" x14ac:dyDescent="0.25">
      <c r="R34" s="1165"/>
      <c r="S34" s="1165"/>
      <c r="W34" s="1165"/>
      <c r="X34" s="1165"/>
      <c r="AE34" s="1165"/>
      <c r="AF34" s="1165"/>
      <c r="AV34" s="1165"/>
      <c r="AW34" s="1165"/>
      <c r="AX34" s="1165"/>
      <c r="AY34" s="1165"/>
      <c r="AZ34" s="1165"/>
      <c r="BA34" s="1165"/>
      <c r="BC34" s="1165"/>
      <c r="BE34" s="1165"/>
      <c r="BF34" s="1165"/>
      <c r="BG34" s="1165"/>
    </row>
    <row r="35" spans="18:59" x14ac:dyDescent="0.25">
      <c r="R35" s="1165"/>
      <c r="S35" s="1165"/>
      <c r="W35" s="1165"/>
      <c r="X35" s="1165"/>
      <c r="AE35" s="1165"/>
      <c r="AF35" s="1165"/>
      <c r="AV35" s="1165"/>
      <c r="AW35" s="1165"/>
      <c r="AX35" s="1165"/>
      <c r="AY35" s="1165"/>
      <c r="AZ35" s="1165"/>
      <c r="BA35" s="1165"/>
      <c r="BC35" s="1165"/>
      <c r="BE35" s="1165"/>
      <c r="BF35" s="1165"/>
      <c r="BG35" s="1165"/>
    </row>
    <row r="36" spans="18:59" x14ac:dyDescent="0.25">
      <c r="R36" s="1165"/>
      <c r="S36" s="1165"/>
      <c r="W36" s="1165"/>
      <c r="X36" s="1165"/>
      <c r="AE36" s="1165"/>
      <c r="AF36" s="1165"/>
      <c r="AV36" s="1165"/>
      <c r="AW36" s="1165"/>
      <c r="AX36" s="1165"/>
      <c r="AY36" s="1165"/>
      <c r="AZ36" s="1165"/>
      <c r="BA36" s="1165"/>
      <c r="BC36" s="1165"/>
      <c r="BE36" s="1165"/>
      <c r="BF36" s="1165"/>
      <c r="BG36" s="1165"/>
    </row>
    <row r="37" spans="18:59" x14ac:dyDescent="0.25">
      <c r="R37" s="1165"/>
      <c r="S37" s="1165"/>
      <c r="W37" s="1165"/>
      <c r="X37" s="1165"/>
      <c r="AE37" s="1165"/>
      <c r="AF37" s="1165"/>
      <c r="AV37" s="1165"/>
      <c r="AW37" s="1165"/>
      <c r="AX37" s="1165"/>
      <c r="AY37" s="1165"/>
      <c r="AZ37" s="1165"/>
      <c r="BA37" s="1165"/>
      <c r="BC37" s="1165"/>
      <c r="BE37" s="1165"/>
      <c r="BF37" s="1165"/>
      <c r="BG37" s="1165"/>
    </row>
    <row r="38" spans="18:59" x14ac:dyDescent="0.25">
      <c r="R38" s="1165"/>
      <c r="S38" s="1165"/>
      <c r="W38" s="1165"/>
      <c r="X38" s="1165"/>
      <c r="AE38" s="1165"/>
      <c r="AF38" s="1165"/>
      <c r="AV38" s="1165"/>
      <c r="AW38" s="1165"/>
      <c r="AX38" s="1165"/>
      <c r="AY38" s="1165"/>
      <c r="AZ38" s="1165"/>
      <c r="BA38" s="1165"/>
      <c r="BC38" s="1165"/>
      <c r="BE38" s="1165"/>
      <c r="BF38" s="1165"/>
      <c r="BG38" s="1165"/>
    </row>
    <row r="39" spans="18:59" x14ac:dyDescent="0.25">
      <c r="R39" s="1165"/>
      <c r="S39" s="1165"/>
      <c r="W39" s="1165"/>
      <c r="X39" s="1165"/>
      <c r="AE39" s="1165"/>
      <c r="AF39" s="1165"/>
      <c r="AV39" s="1165"/>
      <c r="AW39" s="1165"/>
      <c r="AX39" s="1165"/>
      <c r="AY39" s="1165"/>
      <c r="AZ39" s="1165"/>
      <c r="BA39" s="1165"/>
      <c r="BC39" s="1165"/>
      <c r="BE39" s="1165"/>
      <c r="BF39" s="1165"/>
      <c r="BG39" s="1165"/>
    </row>
    <row r="40" spans="18:59" x14ac:dyDescent="0.25">
      <c r="R40" s="1165"/>
      <c r="S40" s="1165"/>
      <c r="W40" s="1165"/>
      <c r="X40" s="1165"/>
      <c r="AE40" s="1165"/>
      <c r="AF40" s="1165"/>
      <c r="AV40" s="1165"/>
      <c r="AW40" s="1165"/>
      <c r="AX40" s="1165"/>
      <c r="AY40" s="1165"/>
      <c r="AZ40" s="1165"/>
      <c r="BA40" s="1165"/>
      <c r="BC40" s="1165"/>
      <c r="BE40" s="1165"/>
      <c r="BF40" s="1165"/>
      <c r="BG40" s="1165"/>
    </row>
    <row r="41" spans="18:59" x14ac:dyDescent="0.25">
      <c r="R41" s="1165"/>
      <c r="S41" s="1165"/>
      <c r="W41" s="1165"/>
      <c r="X41" s="1165"/>
      <c r="AE41" s="1165"/>
      <c r="AF41" s="1165"/>
      <c r="AV41" s="1165"/>
      <c r="AW41" s="1165"/>
      <c r="AX41" s="1165"/>
      <c r="AY41" s="1165"/>
      <c r="AZ41" s="1165"/>
      <c r="BA41" s="1165"/>
      <c r="BC41" s="1165"/>
      <c r="BE41" s="1165"/>
      <c r="BF41" s="1165"/>
      <c r="BG41" s="1165"/>
    </row>
    <row r="42" spans="18:59" x14ac:dyDescent="0.25">
      <c r="R42" s="1165"/>
      <c r="S42" s="1165"/>
      <c r="W42" s="1165"/>
      <c r="X42" s="1165"/>
      <c r="AE42" s="1165"/>
      <c r="AF42" s="1165"/>
      <c r="AV42" s="1165"/>
      <c r="AW42" s="1165"/>
      <c r="AX42" s="1165"/>
      <c r="AY42" s="1165"/>
      <c r="AZ42" s="1165"/>
      <c r="BA42" s="1165"/>
      <c r="BC42" s="1165"/>
      <c r="BE42" s="1165"/>
      <c r="BF42" s="1165"/>
      <c r="BG42" s="1165"/>
    </row>
    <row r="43" spans="18:59" x14ac:dyDescent="0.25">
      <c r="R43" s="1165"/>
      <c r="S43" s="1165"/>
      <c r="W43" s="1165"/>
      <c r="X43" s="1165"/>
      <c r="AE43" s="1165"/>
      <c r="AF43" s="1165"/>
      <c r="AV43" s="1165"/>
      <c r="AW43" s="1165"/>
      <c r="AX43" s="1165"/>
      <c r="AY43" s="1165"/>
      <c r="AZ43" s="1165"/>
      <c r="BA43" s="1165"/>
      <c r="BC43" s="1165"/>
      <c r="BE43" s="1165"/>
      <c r="BF43" s="1165"/>
      <c r="BG43" s="1165"/>
    </row>
    <row r="44" spans="18:59" x14ac:dyDescent="0.25">
      <c r="R44" s="1165"/>
      <c r="S44" s="1165"/>
      <c r="W44" s="1165"/>
      <c r="X44" s="1165"/>
      <c r="AE44" s="1165"/>
      <c r="AF44" s="1165"/>
      <c r="AV44" s="1165"/>
      <c r="AW44" s="1165"/>
      <c r="AX44" s="1165"/>
      <c r="AY44" s="1165"/>
      <c r="AZ44" s="1165"/>
      <c r="BA44" s="1165"/>
      <c r="BC44" s="1165"/>
      <c r="BE44" s="1165"/>
      <c r="BF44" s="1165"/>
      <c r="BG44" s="1165"/>
    </row>
    <row r="45" spans="18:59" x14ac:dyDescent="0.25">
      <c r="R45" s="1165"/>
      <c r="S45" s="1165"/>
      <c r="W45" s="1165"/>
      <c r="X45" s="1165"/>
      <c r="AE45" s="1165"/>
      <c r="AF45" s="1165"/>
      <c r="AV45" s="1165"/>
      <c r="AW45" s="1165"/>
      <c r="AX45" s="1165"/>
      <c r="AY45" s="1165"/>
      <c r="AZ45" s="1165"/>
      <c r="BA45" s="1165"/>
      <c r="BC45" s="1165"/>
      <c r="BE45" s="1165"/>
      <c r="BF45" s="1165"/>
      <c r="BG45" s="1165"/>
    </row>
    <row r="46" spans="18:59" x14ac:dyDescent="0.25">
      <c r="R46" s="1165"/>
      <c r="S46" s="1165"/>
      <c r="W46" s="1165"/>
      <c r="X46" s="1165"/>
      <c r="AE46" s="1165"/>
      <c r="AF46" s="1165"/>
      <c r="AV46" s="1165"/>
      <c r="AW46" s="1165"/>
      <c r="AX46" s="1165"/>
      <c r="AY46" s="1165"/>
      <c r="AZ46" s="1165"/>
      <c r="BA46" s="1165"/>
      <c r="BC46" s="1165"/>
      <c r="BE46" s="1165"/>
      <c r="BF46" s="1165"/>
      <c r="BG46" s="1165"/>
    </row>
    <row r="47" spans="18:59" x14ac:dyDescent="0.25">
      <c r="R47" s="1165"/>
      <c r="S47" s="1165"/>
      <c r="W47" s="1165"/>
      <c r="X47" s="1165"/>
      <c r="AE47" s="1165"/>
      <c r="AF47" s="1165"/>
      <c r="AV47" s="1165"/>
      <c r="AW47" s="1165"/>
      <c r="AX47" s="1165"/>
      <c r="AY47" s="1165"/>
      <c r="AZ47" s="1165"/>
      <c r="BA47" s="1165"/>
      <c r="BC47" s="1165"/>
      <c r="BE47" s="1165"/>
      <c r="BF47" s="1165"/>
      <c r="BG47" s="1165"/>
    </row>
    <row r="48" spans="18:59" x14ac:dyDescent="0.25">
      <c r="R48" s="1165"/>
      <c r="S48" s="1165"/>
      <c r="W48" s="1165"/>
      <c r="X48" s="1165"/>
      <c r="AE48" s="1165"/>
      <c r="AF48" s="1165"/>
      <c r="AV48" s="1165"/>
      <c r="AW48" s="1165"/>
      <c r="AX48" s="1165"/>
      <c r="AY48" s="1165"/>
      <c r="AZ48" s="1165"/>
      <c r="BA48" s="1165"/>
      <c r="BC48" s="1165"/>
      <c r="BE48" s="1165"/>
      <c r="BF48" s="1165"/>
      <c r="BG48" s="1165"/>
    </row>
    <row r="49" spans="18:59" x14ac:dyDescent="0.25">
      <c r="R49" s="1165"/>
      <c r="S49" s="1165"/>
      <c r="W49" s="1165"/>
      <c r="X49" s="1165"/>
      <c r="AE49" s="1165"/>
      <c r="AF49" s="1165"/>
      <c r="AV49" s="1165"/>
      <c r="AW49" s="1165"/>
      <c r="AX49" s="1165"/>
      <c r="AY49" s="1165"/>
      <c r="AZ49" s="1165"/>
      <c r="BA49" s="1165"/>
      <c r="BC49" s="1165"/>
      <c r="BE49" s="1165"/>
      <c r="BF49" s="1165"/>
      <c r="BG49" s="1165"/>
    </row>
    <row r="50" spans="18:59" x14ac:dyDescent="0.25">
      <c r="R50" s="1165"/>
      <c r="S50" s="1165"/>
      <c r="W50" s="1165"/>
      <c r="X50" s="1165"/>
      <c r="AE50" s="1165"/>
      <c r="AF50" s="1165"/>
      <c r="AV50" s="1165"/>
      <c r="AW50" s="1165"/>
      <c r="AX50" s="1165"/>
      <c r="AY50" s="1165"/>
      <c r="AZ50" s="1165"/>
      <c r="BA50" s="1165"/>
      <c r="BC50" s="1165"/>
      <c r="BE50" s="1165"/>
      <c r="BF50" s="1165"/>
      <c r="BG50" s="1165"/>
    </row>
    <row r="51" spans="18:59" x14ac:dyDescent="0.25">
      <c r="R51" s="1165"/>
      <c r="S51" s="1165"/>
      <c r="W51" s="1165"/>
      <c r="X51" s="1165"/>
      <c r="AE51" s="1165"/>
      <c r="AF51" s="1165"/>
      <c r="AV51" s="1165"/>
      <c r="AW51" s="1165"/>
      <c r="AX51" s="1165"/>
      <c r="AY51" s="1165"/>
      <c r="AZ51" s="1165"/>
      <c r="BA51" s="1165"/>
      <c r="BC51" s="1165"/>
      <c r="BE51" s="1165"/>
      <c r="BF51" s="1165"/>
      <c r="BG51" s="1165"/>
    </row>
    <row r="52" spans="18:59" x14ac:dyDescent="0.25">
      <c r="R52" s="1165"/>
      <c r="S52" s="1165"/>
      <c r="W52" s="1165"/>
      <c r="X52" s="1165"/>
      <c r="AE52" s="1165"/>
      <c r="AF52" s="1165"/>
      <c r="AV52" s="1165"/>
      <c r="AW52" s="1165"/>
      <c r="AX52" s="1165"/>
      <c r="AY52" s="1165"/>
      <c r="AZ52" s="1165"/>
      <c r="BA52" s="1165"/>
      <c r="BC52" s="1165"/>
      <c r="BE52" s="1165"/>
      <c r="BF52" s="1165"/>
      <c r="BG52" s="1165"/>
    </row>
    <row r="53" spans="18:59" x14ac:dyDescent="0.25">
      <c r="R53" s="1165"/>
      <c r="S53" s="1165"/>
      <c r="W53" s="1165"/>
      <c r="X53" s="1165"/>
      <c r="AE53" s="1165"/>
      <c r="AF53" s="1165"/>
      <c r="AV53" s="1165"/>
      <c r="AW53" s="1165"/>
      <c r="AX53" s="1165"/>
      <c r="AY53" s="1165"/>
      <c r="AZ53" s="1165"/>
      <c r="BA53" s="1165"/>
      <c r="BC53" s="1165"/>
      <c r="BE53" s="1165"/>
      <c r="BF53" s="1165"/>
      <c r="BG53" s="1165"/>
    </row>
    <row r="54" spans="18:59" x14ac:dyDescent="0.25">
      <c r="R54" s="1165"/>
      <c r="S54" s="1165"/>
      <c r="W54" s="1165"/>
      <c r="X54" s="1165"/>
      <c r="AE54" s="1165"/>
      <c r="AF54" s="1165"/>
      <c r="AV54" s="1165"/>
      <c r="AW54" s="1165"/>
      <c r="AX54" s="1165"/>
      <c r="AY54" s="1165"/>
      <c r="AZ54" s="1165"/>
      <c r="BA54" s="1165"/>
      <c r="BC54" s="1165"/>
      <c r="BE54" s="1165"/>
      <c r="BF54" s="1165"/>
      <c r="BG54" s="1165"/>
    </row>
    <row r="55" spans="18:59" x14ac:dyDescent="0.25">
      <c r="R55" s="1165"/>
      <c r="S55" s="1165"/>
      <c r="W55" s="1165"/>
      <c r="X55" s="1165"/>
      <c r="AE55" s="1165"/>
      <c r="AF55" s="1165"/>
      <c r="AV55" s="1165"/>
      <c r="AW55" s="1165"/>
      <c r="AX55" s="1165"/>
      <c r="AY55" s="1165"/>
      <c r="AZ55" s="1165"/>
      <c r="BA55" s="1165"/>
      <c r="BC55" s="1165"/>
      <c r="BE55" s="1165"/>
      <c r="BF55" s="1165"/>
      <c r="BG55" s="1165"/>
    </row>
    <row r="56" spans="18:59" x14ac:dyDescent="0.25">
      <c r="R56" s="1165"/>
      <c r="S56" s="1165"/>
      <c r="W56" s="1165"/>
      <c r="X56" s="1165"/>
      <c r="AE56" s="1165"/>
      <c r="AF56" s="1165"/>
      <c r="AV56" s="1165"/>
      <c r="AW56" s="1165"/>
      <c r="AX56" s="1165"/>
      <c r="AY56" s="1165"/>
      <c r="AZ56" s="1165"/>
      <c r="BA56" s="1165"/>
      <c r="BC56" s="1165"/>
      <c r="BE56" s="1165"/>
      <c r="BF56" s="1165"/>
      <c r="BG56" s="1165"/>
    </row>
    <row r="57" spans="18:59" x14ac:dyDescent="0.25">
      <c r="R57" s="1165"/>
      <c r="S57" s="1165"/>
      <c r="W57" s="1165"/>
      <c r="X57" s="1165"/>
      <c r="AE57" s="1165"/>
      <c r="AF57" s="1165"/>
      <c r="AV57" s="1165"/>
      <c r="AW57" s="1165"/>
      <c r="AX57" s="1165"/>
      <c r="AY57" s="1165"/>
      <c r="AZ57" s="1165"/>
      <c r="BA57" s="1165"/>
      <c r="BC57" s="1165"/>
      <c r="BE57" s="1165"/>
      <c r="BF57" s="1165"/>
      <c r="BG57" s="1165"/>
    </row>
    <row r="58" spans="18:59" x14ac:dyDescent="0.25">
      <c r="R58" s="1165"/>
      <c r="S58" s="1165"/>
      <c r="W58" s="1165"/>
      <c r="X58" s="1165"/>
      <c r="AE58" s="1165"/>
      <c r="AF58" s="1165"/>
      <c r="AV58" s="1165"/>
      <c r="AW58" s="1165"/>
      <c r="AX58" s="1165"/>
      <c r="AY58" s="1165"/>
      <c r="AZ58" s="1165"/>
      <c r="BA58" s="1165"/>
      <c r="BC58" s="1165"/>
      <c r="BE58" s="1165"/>
      <c r="BF58" s="1165"/>
      <c r="BG58" s="1165"/>
    </row>
    <row r="59" spans="18:59" x14ac:dyDescent="0.25">
      <c r="R59" s="1165"/>
      <c r="S59" s="1165"/>
      <c r="W59" s="1165"/>
      <c r="X59" s="1165"/>
      <c r="AE59" s="1165"/>
      <c r="AF59" s="1165"/>
      <c r="AV59" s="1165"/>
      <c r="AW59" s="1165"/>
      <c r="AX59" s="1165"/>
      <c r="AY59" s="1165"/>
      <c r="AZ59" s="1165"/>
      <c r="BA59" s="1165"/>
      <c r="BC59" s="1165"/>
      <c r="BE59" s="1165"/>
      <c r="BF59" s="1165"/>
      <c r="BG59" s="1165"/>
    </row>
    <row r="60" spans="18:59" x14ac:dyDescent="0.25">
      <c r="R60" s="1165"/>
      <c r="S60" s="1165"/>
      <c r="W60" s="1165"/>
      <c r="X60" s="1165"/>
      <c r="AE60" s="1165"/>
      <c r="AF60" s="1165"/>
      <c r="AV60" s="1165"/>
      <c r="AW60" s="1165"/>
      <c r="AX60" s="1165"/>
      <c r="AY60" s="1165"/>
      <c r="AZ60" s="1165"/>
      <c r="BA60" s="1165"/>
      <c r="BC60" s="1165"/>
      <c r="BE60" s="1165"/>
      <c r="BF60" s="1165"/>
      <c r="BG60" s="1165"/>
    </row>
    <row r="61" spans="18:59" x14ac:dyDescent="0.25">
      <c r="R61" s="1165"/>
      <c r="S61" s="1165"/>
      <c r="W61" s="1165"/>
      <c r="X61" s="1165"/>
      <c r="AE61" s="1165"/>
      <c r="AF61" s="1165"/>
      <c r="AV61" s="1165"/>
      <c r="AW61" s="1165"/>
      <c r="AX61" s="1165"/>
      <c r="AY61" s="1165"/>
      <c r="AZ61" s="1165"/>
      <c r="BA61" s="1165"/>
      <c r="BC61" s="1165"/>
      <c r="BE61" s="1165"/>
      <c r="BF61" s="1165"/>
      <c r="BG61" s="1165"/>
    </row>
    <row r="62" spans="18:59" x14ac:dyDescent="0.25">
      <c r="R62" s="1165"/>
      <c r="S62" s="1165"/>
      <c r="W62" s="1165"/>
      <c r="X62" s="1165"/>
      <c r="AE62" s="1165"/>
      <c r="AF62" s="1165"/>
      <c r="AV62" s="1165"/>
      <c r="AW62" s="1165"/>
      <c r="AX62" s="1165"/>
      <c r="AY62" s="1165"/>
      <c r="AZ62" s="1165"/>
      <c r="BA62" s="1165"/>
      <c r="BC62" s="1165"/>
      <c r="BE62" s="1165"/>
      <c r="BF62" s="1165"/>
      <c r="BG62" s="1165"/>
    </row>
    <row r="63" spans="18:59" x14ac:dyDescent="0.25">
      <c r="R63" s="1165"/>
      <c r="S63" s="1165"/>
      <c r="W63" s="1165"/>
      <c r="X63" s="1165"/>
      <c r="AE63" s="1165"/>
      <c r="AF63" s="1165"/>
      <c r="AV63" s="1165"/>
      <c r="AW63" s="1165"/>
      <c r="AX63" s="1165"/>
      <c r="AY63" s="1165"/>
      <c r="AZ63" s="1165"/>
      <c r="BA63" s="1165"/>
      <c r="BC63" s="1165"/>
      <c r="BE63" s="1165"/>
      <c r="BF63" s="1165"/>
      <c r="BG63" s="1165"/>
    </row>
    <row r="64" spans="18:59" x14ac:dyDescent="0.25">
      <c r="R64" s="1165"/>
      <c r="S64" s="1165"/>
      <c r="W64" s="1165"/>
      <c r="X64" s="1165"/>
      <c r="AE64" s="1165"/>
      <c r="AF64" s="1165"/>
      <c r="AV64" s="1165"/>
      <c r="AW64" s="1165"/>
      <c r="AX64" s="1165"/>
      <c r="AY64" s="1165"/>
      <c r="AZ64" s="1165"/>
      <c r="BA64" s="1165"/>
      <c r="BC64" s="1165"/>
      <c r="BE64" s="1165"/>
      <c r="BF64" s="1165"/>
      <c r="BG64" s="1165"/>
    </row>
    <row r="65" spans="18:59" x14ac:dyDescent="0.25">
      <c r="R65" s="1165"/>
      <c r="S65" s="1165"/>
      <c r="W65" s="1165"/>
      <c r="X65" s="1165"/>
      <c r="AE65" s="1165"/>
      <c r="AF65" s="1165"/>
      <c r="AV65" s="1165"/>
      <c r="AW65" s="1165"/>
      <c r="AX65" s="1165"/>
      <c r="AY65" s="1165"/>
      <c r="AZ65" s="1165"/>
      <c r="BA65" s="1165"/>
      <c r="BC65" s="1165"/>
      <c r="BE65" s="1165"/>
      <c r="BF65" s="1165"/>
      <c r="BG65" s="1165"/>
    </row>
    <row r="66" spans="18:59" x14ac:dyDescent="0.25">
      <c r="R66" s="1165"/>
      <c r="S66" s="1165"/>
      <c r="W66" s="1165"/>
      <c r="X66" s="1165"/>
      <c r="AE66" s="1165"/>
      <c r="AF66" s="1165"/>
      <c r="AV66" s="1165"/>
      <c r="AW66" s="1165"/>
      <c r="AX66" s="1165"/>
      <c r="AY66" s="1165"/>
      <c r="AZ66" s="1165"/>
      <c r="BA66" s="1165"/>
      <c r="BC66" s="1165"/>
      <c r="BE66" s="1165"/>
      <c r="BF66" s="1165"/>
      <c r="BG66" s="1165"/>
    </row>
    <row r="67" spans="18:59" x14ac:dyDescent="0.25">
      <c r="R67" s="1165"/>
      <c r="S67" s="1165"/>
      <c r="W67" s="1165"/>
      <c r="X67" s="1165"/>
      <c r="AE67" s="1165"/>
      <c r="AF67" s="1165"/>
      <c r="AV67" s="1165"/>
      <c r="AW67" s="1165"/>
      <c r="AX67" s="1165"/>
      <c r="AY67" s="1165"/>
      <c r="AZ67" s="1165"/>
      <c r="BA67" s="1165"/>
      <c r="BC67" s="1165"/>
      <c r="BE67" s="1165"/>
      <c r="BF67" s="1165"/>
      <c r="BG67" s="1165"/>
    </row>
    <row r="68" spans="18:59" x14ac:dyDescent="0.25">
      <c r="R68" s="1165"/>
      <c r="S68" s="1165"/>
      <c r="W68" s="1165"/>
      <c r="X68" s="1165"/>
      <c r="AE68" s="1165"/>
      <c r="AF68" s="1165"/>
      <c r="AV68" s="1165"/>
      <c r="AW68" s="1165"/>
      <c r="AX68" s="1165"/>
      <c r="AY68" s="1165"/>
      <c r="AZ68" s="1165"/>
      <c r="BA68" s="1165"/>
      <c r="BC68" s="1165"/>
      <c r="BE68" s="1165"/>
      <c r="BF68" s="1165"/>
      <c r="BG68" s="1165"/>
    </row>
    <row r="69" spans="18:59" x14ac:dyDescent="0.25">
      <c r="R69" s="1165"/>
      <c r="S69" s="1165"/>
      <c r="W69" s="1165"/>
      <c r="X69" s="1165"/>
      <c r="AE69" s="1165"/>
      <c r="AF69" s="1165"/>
      <c r="AV69" s="1165"/>
      <c r="AW69" s="1165"/>
      <c r="AX69" s="1165"/>
      <c r="AY69" s="1165"/>
      <c r="AZ69" s="1165"/>
      <c r="BA69" s="1165"/>
      <c r="BC69" s="1165"/>
      <c r="BE69" s="1165"/>
      <c r="BF69" s="1165"/>
      <c r="BG69" s="1165"/>
    </row>
    <row r="70" spans="18:59" x14ac:dyDescent="0.25">
      <c r="R70" s="1165"/>
      <c r="S70" s="1165"/>
      <c r="W70" s="1165"/>
      <c r="X70" s="1165"/>
      <c r="AE70" s="1165"/>
      <c r="AF70" s="1165"/>
      <c r="AV70" s="1165"/>
      <c r="AW70" s="1165"/>
      <c r="AX70" s="1165"/>
      <c r="AY70" s="1165"/>
      <c r="AZ70" s="1165"/>
      <c r="BA70" s="1165"/>
      <c r="BC70" s="1165"/>
      <c r="BE70" s="1165"/>
      <c r="BF70" s="1165"/>
      <c r="BG70" s="1165"/>
    </row>
    <row r="71" spans="18:59" x14ac:dyDescent="0.25">
      <c r="R71" s="1165"/>
      <c r="S71" s="1165"/>
      <c r="W71" s="1165"/>
      <c r="X71" s="1165"/>
      <c r="AE71" s="1165"/>
      <c r="AF71" s="1165"/>
      <c r="AV71" s="1165"/>
      <c r="AW71" s="1165"/>
      <c r="AX71" s="1165"/>
      <c r="AY71" s="1165"/>
      <c r="AZ71" s="1165"/>
      <c r="BA71" s="1165"/>
      <c r="BC71" s="1165"/>
      <c r="BE71" s="1165"/>
      <c r="BF71" s="1165"/>
      <c r="BG71" s="1165"/>
    </row>
    <row r="72" spans="18:59" x14ac:dyDescent="0.25">
      <c r="R72" s="1165"/>
      <c r="S72" s="1165"/>
      <c r="W72" s="1165"/>
      <c r="X72" s="1165"/>
      <c r="AE72" s="1165"/>
      <c r="AF72" s="1165"/>
      <c r="AV72" s="1165"/>
      <c r="AW72" s="1165"/>
      <c r="AX72" s="1165"/>
      <c r="AY72" s="1165"/>
      <c r="AZ72" s="1165"/>
      <c r="BA72" s="1165"/>
      <c r="BC72" s="1165"/>
      <c r="BE72" s="1165"/>
      <c r="BF72" s="1165"/>
      <c r="BG72" s="1165"/>
    </row>
    <row r="73" spans="18:59" x14ac:dyDescent="0.25">
      <c r="R73" s="1165"/>
      <c r="S73" s="1165"/>
      <c r="W73" s="1165"/>
      <c r="X73" s="1165"/>
      <c r="AE73" s="1165"/>
      <c r="AF73" s="1165"/>
      <c r="AV73" s="1165"/>
      <c r="AW73" s="1165"/>
      <c r="AX73" s="1165"/>
      <c r="AY73" s="1165"/>
      <c r="AZ73" s="1165"/>
      <c r="BA73" s="1165"/>
      <c r="BC73" s="1165"/>
      <c r="BE73" s="1165"/>
      <c r="BF73" s="1165"/>
      <c r="BG73" s="1165"/>
    </row>
    <row r="74" spans="18:59" x14ac:dyDescent="0.25">
      <c r="R74" s="1165"/>
      <c r="S74" s="1165"/>
      <c r="W74" s="1165"/>
      <c r="X74" s="1165"/>
      <c r="AE74" s="1165"/>
      <c r="AF74" s="1165"/>
      <c r="AV74" s="1165"/>
      <c r="AW74" s="1165"/>
      <c r="AX74" s="1165"/>
      <c r="AY74" s="1165"/>
      <c r="AZ74" s="1165"/>
      <c r="BA74" s="1165"/>
      <c r="BC74" s="1165"/>
      <c r="BE74" s="1165"/>
      <c r="BF74" s="1165"/>
      <c r="BG74" s="1165"/>
    </row>
    <row r="75" spans="18:59" x14ac:dyDescent="0.25">
      <c r="R75" s="1165"/>
      <c r="S75" s="1165"/>
      <c r="W75" s="1165"/>
      <c r="X75" s="1165"/>
      <c r="AE75" s="1165"/>
      <c r="AF75" s="1165"/>
      <c r="AV75" s="1165"/>
      <c r="AW75" s="1165"/>
      <c r="AX75" s="1165"/>
      <c r="AY75" s="1165"/>
      <c r="AZ75" s="1165"/>
      <c r="BA75" s="1165"/>
      <c r="BC75" s="1165"/>
      <c r="BE75" s="1165"/>
      <c r="BF75" s="1165"/>
      <c r="BG75" s="1165"/>
    </row>
    <row r="76" spans="18:59" x14ac:dyDescent="0.25">
      <c r="R76" s="1165"/>
      <c r="S76" s="1165"/>
      <c r="W76" s="1165"/>
      <c r="X76" s="1165"/>
      <c r="AE76" s="1165"/>
      <c r="AF76" s="1165"/>
      <c r="AV76" s="1165"/>
      <c r="AW76" s="1165"/>
      <c r="AX76" s="1165"/>
      <c r="AY76" s="1165"/>
      <c r="AZ76" s="1165"/>
      <c r="BA76" s="1165"/>
      <c r="BC76" s="1165"/>
      <c r="BE76" s="1165"/>
      <c r="BF76" s="1165"/>
      <c r="BG76" s="1165"/>
    </row>
    <row r="77" spans="18:59" x14ac:dyDescent="0.25">
      <c r="R77" s="1165"/>
      <c r="S77" s="1165"/>
      <c r="W77" s="1165"/>
      <c r="X77" s="1165"/>
      <c r="AE77" s="1165"/>
      <c r="AF77" s="1165"/>
      <c r="AV77" s="1165"/>
      <c r="AW77" s="1165"/>
      <c r="AX77" s="1165"/>
      <c r="AY77" s="1165"/>
      <c r="AZ77" s="1165"/>
      <c r="BA77" s="1165"/>
      <c r="BC77" s="1165"/>
      <c r="BE77" s="1165"/>
      <c r="BF77" s="1165"/>
      <c r="BG77" s="1165"/>
    </row>
    <row r="78" spans="18:59" x14ac:dyDescent="0.25">
      <c r="R78" s="1165"/>
      <c r="S78" s="1165"/>
      <c r="W78" s="1165"/>
      <c r="X78" s="1165"/>
      <c r="AE78" s="1165"/>
      <c r="AF78" s="1165"/>
      <c r="AV78" s="1165"/>
      <c r="AW78" s="1165"/>
      <c r="AX78" s="1165"/>
      <c r="AY78" s="1165"/>
      <c r="AZ78" s="1165"/>
      <c r="BA78" s="1165"/>
      <c r="BC78" s="1165"/>
      <c r="BE78" s="1165"/>
      <c r="BF78" s="1165"/>
      <c r="BG78" s="1165"/>
    </row>
    <row r="79" spans="18:59" x14ac:dyDescent="0.25">
      <c r="R79" s="1165"/>
      <c r="S79" s="1165"/>
      <c r="W79" s="1165"/>
      <c r="X79" s="1165"/>
      <c r="AE79" s="1165"/>
      <c r="AF79" s="1165"/>
      <c r="AV79" s="1165"/>
      <c r="AW79" s="1165"/>
      <c r="AX79" s="1165"/>
      <c r="AY79" s="1165"/>
      <c r="AZ79" s="1165"/>
      <c r="BA79" s="1165"/>
      <c r="BC79" s="1165"/>
      <c r="BE79" s="1165"/>
      <c r="BF79" s="1165"/>
      <c r="BG79" s="1165"/>
    </row>
    <row r="80" spans="18:59" x14ac:dyDescent="0.25">
      <c r="R80" s="1165"/>
      <c r="S80" s="1165"/>
      <c r="W80" s="1165"/>
      <c r="X80" s="1165"/>
      <c r="AE80" s="1165"/>
      <c r="AF80" s="1165"/>
      <c r="AV80" s="1165"/>
      <c r="AW80" s="1165"/>
      <c r="AX80" s="1165"/>
      <c r="AY80" s="1165"/>
      <c r="AZ80" s="1165"/>
      <c r="BA80" s="1165"/>
      <c r="BC80" s="1165"/>
      <c r="BE80" s="1165"/>
      <c r="BF80" s="1165"/>
      <c r="BG80" s="1165"/>
    </row>
    <row r="81" spans="18:59" x14ac:dyDescent="0.25">
      <c r="R81" s="1165"/>
      <c r="S81" s="1165"/>
      <c r="W81" s="1165"/>
      <c r="X81" s="1165"/>
      <c r="AE81" s="1165"/>
      <c r="AF81" s="1165"/>
      <c r="AV81" s="1165"/>
      <c r="AW81" s="1165"/>
      <c r="AX81" s="1165"/>
      <c r="AY81" s="1165"/>
      <c r="AZ81" s="1165"/>
      <c r="BA81" s="1165"/>
      <c r="BC81" s="1165"/>
      <c r="BE81" s="1165"/>
      <c r="BF81" s="1165"/>
      <c r="BG81" s="1165"/>
    </row>
    <row r="82" spans="18:59" x14ac:dyDescent="0.25">
      <c r="R82" s="1165"/>
      <c r="S82" s="1165"/>
      <c r="W82" s="1165"/>
      <c r="X82" s="1165"/>
      <c r="AE82" s="1165"/>
      <c r="AF82" s="1165"/>
      <c r="AV82" s="1165"/>
      <c r="AW82" s="1165"/>
      <c r="AX82" s="1165"/>
      <c r="AY82" s="1165"/>
      <c r="AZ82" s="1165"/>
      <c r="BA82" s="1165"/>
      <c r="BC82" s="1165"/>
      <c r="BE82" s="1165"/>
      <c r="BF82" s="1165"/>
      <c r="BG82" s="1165"/>
    </row>
    <row r="83" spans="18:59" x14ac:dyDescent="0.25">
      <c r="R83" s="1165"/>
      <c r="S83" s="1165"/>
      <c r="W83" s="1165"/>
      <c r="X83" s="1165"/>
      <c r="AE83" s="1165"/>
      <c r="AF83" s="1165"/>
      <c r="AV83" s="1165"/>
      <c r="AW83" s="1165"/>
      <c r="AX83" s="1165"/>
      <c r="AY83" s="1165"/>
      <c r="AZ83" s="1165"/>
      <c r="BA83" s="1165"/>
      <c r="BC83" s="1165"/>
      <c r="BE83" s="1165"/>
      <c r="BF83" s="1165"/>
      <c r="BG83" s="1165"/>
    </row>
    <row r="84" spans="18:59" x14ac:dyDescent="0.25">
      <c r="R84" s="1165"/>
      <c r="S84" s="1165"/>
      <c r="W84" s="1165"/>
      <c r="X84" s="1165"/>
      <c r="AE84" s="1165"/>
      <c r="AF84" s="1165"/>
      <c r="AV84" s="1165"/>
      <c r="AW84" s="1165"/>
      <c r="AX84" s="1165"/>
      <c r="AY84" s="1165"/>
      <c r="AZ84" s="1165"/>
      <c r="BA84" s="1165"/>
      <c r="BC84" s="1165"/>
      <c r="BE84" s="1165"/>
      <c r="BF84" s="1165"/>
      <c r="BG84" s="1165"/>
    </row>
    <row r="85" spans="18:59" x14ac:dyDescent="0.25">
      <c r="R85" s="1165"/>
      <c r="S85" s="1165"/>
      <c r="W85" s="1165"/>
      <c r="X85" s="1165"/>
      <c r="AE85" s="1165"/>
      <c r="AF85" s="1165"/>
      <c r="AV85" s="1165"/>
      <c r="AW85" s="1165"/>
      <c r="AX85" s="1165"/>
      <c r="AY85" s="1165"/>
      <c r="AZ85" s="1165"/>
      <c r="BA85" s="1165"/>
      <c r="BC85" s="1165"/>
      <c r="BE85" s="1165"/>
      <c r="BF85" s="1165"/>
      <c r="BG85" s="1165"/>
    </row>
    <row r="86" spans="18:59" x14ac:dyDescent="0.25">
      <c r="R86" s="1165"/>
      <c r="S86" s="1165"/>
      <c r="W86" s="1165"/>
      <c r="X86" s="1165"/>
      <c r="AE86" s="1165"/>
      <c r="AF86" s="1165"/>
      <c r="AV86" s="1165"/>
      <c r="AW86" s="1165"/>
      <c r="AX86" s="1165"/>
      <c r="AY86" s="1165"/>
      <c r="AZ86" s="1165"/>
      <c r="BA86" s="1165"/>
      <c r="BC86" s="1165"/>
      <c r="BE86" s="1165"/>
      <c r="BF86" s="1165"/>
      <c r="BG86" s="1165"/>
    </row>
    <row r="87" spans="18:59" x14ac:dyDescent="0.25">
      <c r="R87" s="1165"/>
      <c r="S87" s="1165"/>
      <c r="W87" s="1165"/>
      <c r="X87" s="1165"/>
      <c r="AE87" s="1165"/>
      <c r="AF87" s="1165"/>
      <c r="AV87" s="1165"/>
      <c r="AW87" s="1165"/>
      <c r="AX87" s="1165"/>
      <c r="AY87" s="1165"/>
      <c r="AZ87" s="1165"/>
      <c r="BA87" s="1165"/>
      <c r="BC87" s="1165"/>
      <c r="BE87" s="1165"/>
      <c r="BF87" s="1165"/>
      <c r="BG87" s="1165"/>
    </row>
    <row r="88" spans="18:59" x14ac:dyDescent="0.25">
      <c r="R88" s="1165"/>
      <c r="S88" s="1165"/>
      <c r="W88" s="1165"/>
      <c r="X88" s="1165"/>
      <c r="AE88" s="1165"/>
      <c r="AF88" s="1165"/>
      <c r="AV88" s="1165"/>
      <c r="AW88" s="1165"/>
      <c r="AX88" s="1165"/>
      <c r="AY88" s="1165"/>
      <c r="AZ88" s="1165"/>
      <c r="BA88" s="1165"/>
      <c r="BC88" s="1165"/>
      <c r="BE88" s="1165"/>
      <c r="BF88" s="1165"/>
      <c r="BG88" s="1165"/>
    </row>
    <row r="89" spans="18:59" x14ac:dyDescent="0.25">
      <c r="R89" s="1165"/>
      <c r="S89" s="1165"/>
      <c r="W89" s="1165"/>
      <c r="X89" s="1165"/>
      <c r="AE89" s="1165"/>
      <c r="AF89" s="1165"/>
      <c r="AV89" s="1165"/>
      <c r="AW89" s="1165"/>
      <c r="AX89" s="1165"/>
      <c r="AY89" s="1165"/>
      <c r="AZ89" s="1165"/>
      <c r="BA89" s="1165"/>
      <c r="BC89" s="1165"/>
      <c r="BE89" s="1165"/>
      <c r="BF89" s="1165"/>
      <c r="BG89" s="1165"/>
    </row>
    <row r="90" spans="18:59" x14ac:dyDescent="0.25">
      <c r="R90" s="1165"/>
      <c r="S90" s="1165"/>
      <c r="W90" s="1165"/>
      <c r="X90" s="1165"/>
      <c r="AE90" s="1165"/>
      <c r="AF90" s="1165"/>
      <c r="AV90" s="1165"/>
      <c r="AW90" s="1165"/>
      <c r="AX90" s="1165"/>
      <c r="AY90" s="1165"/>
      <c r="AZ90" s="1165"/>
      <c r="BA90" s="1165"/>
      <c r="BC90" s="1165"/>
      <c r="BE90" s="1165"/>
      <c r="BF90" s="1165"/>
      <c r="BG90" s="1165"/>
    </row>
    <row r="91" spans="18:59" x14ac:dyDescent="0.25">
      <c r="R91" s="1165"/>
      <c r="S91" s="1165"/>
      <c r="W91" s="1165"/>
      <c r="X91" s="1165"/>
      <c r="AE91" s="1165"/>
      <c r="AF91" s="1165"/>
      <c r="AV91" s="1165"/>
      <c r="AW91" s="1165"/>
      <c r="AX91" s="1165"/>
      <c r="AY91" s="1165"/>
      <c r="AZ91" s="1165"/>
      <c r="BA91" s="1165"/>
      <c r="BC91" s="1165"/>
      <c r="BE91" s="1165"/>
      <c r="BF91" s="1165"/>
      <c r="BG91" s="1165"/>
    </row>
    <row r="92" spans="18:59" x14ac:dyDescent="0.25">
      <c r="R92" s="1165"/>
      <c r="S92" s="1165"/>
      <c r="W92" s="1165"/>
      <c r="X92" s="1165"/>
      <c r="AE92" s="1165"/>
      <c r="AF92" s="1165"/>
      <c r="AV92" s="1165"/>
      <c r="AW92" s="1165"/>
      <c r="AX92" s="1165"/>
      <c r="AY92" s="1165"/>
      <c r="AZ92" s="1165"/>
      <c r="BA92" s="1165"/>
      <c r="BC92" s="1165"/>
      <c r="BE92" s="1165"/>
      <c r="BF92" s="1165"/>
      <c r="BG92" s="1165"/>
    </row>
    <row r="93" spans="18:59" x14ac:dyDescent="0.25">
      <c r="R93" s="1165"/>
      <c r="S93" s="1165"/>
      <c r="W93" s="1165"/>
      <c r="X93" s="1165"/>
      <c r="AE93" s="1165"/>
      <c r="AF93" s="1165"/>
      <c r="AV93" s="1165"/>
      <c r="AW93" s="1165"/>
      <c r="AX93" s="1165"/>
      <c r="AY93" s="1165"/>
      <c r="AZ93" s="1165"/>
      <c r="BA93" s="1165"/>
      <c r="BC93" s="1165"/>
      <c r="BE93" s="1165"/>
      <c r="BF93" s="1165"/>
      <c r="BG93" s="1165"/>
    </row>
    <row r="94" spans="18:59" x14ac:dyDescent="0.25">
      <c r="R94" s="1165"/>
      <c r="S94" s="1165"/>
      <c r="W94" s="1165"/>
      <c r="X94" s="1165"/>
      <c r="AE94" s="1165"/>
      <c r="AF94" s="1165"/>
      <c r="AV94" s="1165"/>
      <c r="AW94" s="1165"/>
      <c r="AX94" s="1165"/>
      <c r="AY94" s="1165"/>
      <c r="AZ94" s="1165"/>
      <c r="BA94" s="1165"/>
      <c r="BC94" s="1165"/>
      <c r="BE94" s="1165"/>
      <c r="BF94" s="1165"/>
      <c r="BG94" s="1165"/>
    </row>
    <row r="95" spans="18:59" x14ac:dyDescent="0.25">
      <c r="R95" s="1165"/>
      <c r="S95" s="1165"/>
      <c r="W95" s="1165"/>
      <c r="X95" s="1165"/>
      <c r="AE95" s="1165"/>
      <c r="AF95" s="1165"/>
      <c r="AV95" s="1165"/>
      <c r="AW95" s="1165"/>
      <c r="AX95" s="1165"/>
      <c r="AY95" s="1165"/>
      <c r="AZ95" s="1165"/>
      <c r="BA95" s="1165"/>
      <c r="BC95" s="1165"/>
      <c r="BE95" s="1165"/>
      <c r="BF95" s="1165"/>
      <c r="BG95" s="1165"/>
    </row>
    <row r="96" spans="18:59" x14ac:dyDescent="0.25">
      <c r="R96" s="1165"/>
      <c r="S96" s="1165"/>
      <c r="W96" s="1165"/>
      <c r="X96" s="1165"/>
      <c r="AE96" s="1165"/>
      <c r="AF96" s="1165"/>
      <c r="AV96" s="1165"/>
      <c r="AW96" s="1165"/>
      <c r="AX96" s="1165"/>
      <c r="AY96" s="1165"/>
      <c r="AZ96" s="1165"/>
      <c r="BA96" s="1165"/>
      <c r="BC96" s="1165"/>
      <c r="BE96" s="1165"/>
      <c r="BF96" s="1165"/>
      <c r="BG96" s="1165"/>
    </row>
    <row r="97" spans="18:59" x14ac:dyDescent="0.25">
      <c r="R97" s="1165"/>
      <c r="S97" s="1165"/>
      <c r="W97" s="1165"/>
      <c r="X97" s="1165"/>
      <c r="AE97" s="1165"/>
      <c r="AF97" s="1165"/>
      <c r="AV97" s="1165"/>
      <c r="AW97" s="1165"/>
      <c r="AX97" s="1165"/>
      <c r="AY97" s="1165"/>
      <c r="AZ97" s="1165"/>
      <c r="BA97" s="1165"/>
      <c r="BC97" s="1165"/>
      <c r="BE97" s="1165"/>
      <c r="BF97" s="1165"/>
      <c r="BG97" s="1165"/>
    </row>
    <row r="98" spans="18:59" x14ac:dyDescent="0.25">
      <c r="R98" s="1165"/>
      <c r="S98" s="1165"/>
      <c r="W98" s="1165"/>
      <c r="X98" s="1165"/>
      <c r="AE98" s="1165"/>
      <c r="AF98" s="1165"/>
      <c r="AV98" s="1165"/>
      <c r="AW98" s="1165"/>
      <c r="AX98" s="1165"/>
      <c r="AY98" s="1165"/>
      <c r="AZ98" s="1165"/>
      <c r="BA98" s="1165"/>
      <c r="BC98" s="1165"/>
      <c r="BE98" s="1165"/>
      <c r="BF98" s="1165"/>
      <c r="BG98" s="1165"/>
    </row>
    <row r="99" spans="18:59" x14ac:dyDescent="0.25">
      <c r="R99" s="1165"/>
      <c r="S99" s="1165"/>
      <c r="W99" s="1165"/>
      <c r="X99" s="1165"/>
      <c r="AE99" s="1165"/>
      <c r="AF99" s="1165"/>
      <c r="AV99" s="1165"/>
      <c r="AW99" s="1165"/>
      <c r="AX99" s="1165"/>
      <c r="AY99" s="1165"/>
      <c r="AZ99" s="1165"/>
      <c r="BA99" s="1165"/>
      <c r="BC99" s="1165"/>
      <c r="BE99" s="1165"/>
      <c r="BF99" s="1165"/>
      <c r="BG99" s="1165"/>
    </row>
    <row r="100" spans="18:59" x14ac:dyDescent="0.25">
      <c r="R100" s="1165"/>
      <c r="S100" s="1165"/>
      <c r="W100" s="1165"/>
      <c r="X100" s="1165"/>
      <c r="AE100" s="1165"/>
      <c r="AF100" s="1165"/>
      <c r="AV100" s="1165"/>
      <c r="AW100" s="1165"/>
      <c r="AX100" s="1165"/>
      <c r="AY100" s="1165"/>
      <c r="AZ100" s="1165"/>
      <c r="BA100" s="1165"/>
      <c r="BC100" s="1165"/>
      <c r="BE100" s="1165"/>
      <c r="BF100" s="1165"/>
      <c r="BG100" s="1165"/>
    </row>
    <row r="101" spans="18:59" x14ac:dyDescent="0.25">
      <c r="R101" s="1165"/>
      <c r="S101" s="1165"/>
      <c r="W101" s="1165"/>
      <c r="X101" s="1165"/>
      <c r="AE101" s="1165"/>
      <c r="AF101" s="1165"/>
      <c r="AV101" s="1165"/>
      <c r="AW101" s="1165"/>
      <c r="AX101" s="1165"/>
      <c r="AY101" s="1165"/>
      <c r="AZ101" s="1165"/>
      <c r="BA101" s="1165"/>
      <c r="BC101" s="1165"/>
      <c r="BE101" s="1165"/>
      <c r="BF101" s="1165"/>
      <c r="BG101" s="1165"/>
    </row>
    <row r="102" spans="18:59" x14ac:dyDescent="0.25">
      <c r="R102" s="1165"/>
      <c r="S102" s="1165"/>
      <c r="W102" s="1165"/>
      <c r="X102" s="1165"/>
      <c r="AE102" s="1165"/>
      <c r="AF102" s="1165"/>
      <c r="AV102" s="1165"/>
      <c r="AW102" s="1165"/>
      <c r="AX102" s="1165"/>
      <c r="AY102" s="1165"/>
      <c r="AZ102" s="1165"/>
      <c r="BA102" s="1165"/>
      <c r="BC102" s="1165"/>
      <c r="BE102" s="1165"/>
      <c r="BF102" s="1165"/>
      <c r="BG102" s="1165"/>
    </row>
    <row r="103" spans="18:59" x14ac:dyDescent="0.25">
      <c r="R103" s="1165"/>
      <c r="S103" s="1165"/>
      <c r="W103" s="1165"/>
      <c r="X103" s="1165"/>
      <c r="AE103" s="1165"/>
      <c r="AF103" s="1165"/>
      <c r="AV103" s="1165"/>
      <c r="AW103" s="1165"/>
      <c r="AX103" s="1165"/>
      <c r="AY103" s="1165"/>
      <c r="AZ103" s="1165"/>
      <c r="BA103" s="1165"/>
      <c r="BC103" s="1165"/>
      <c r="BE103" s="1165"/>
      <c r="BF103" s="1165"/>
      <c r="BG103" s="1165"/>
    </row>
    <row r="104" spans="18:59" x14ac:dyDescent="0.25">
      <c r="R104" s="1165"/>
      <c r="S104" s="1165"/>
      <c r="W104" s="1165"/>
      <c r="X104" s="1165"/>
      <c r="AE104" s="1165"/>
      <c r="AF104" s="1165"/>
      <c r="AV104" s="1165"/>
      <c r="AW104" s="1165"/>
      <c r="AX104" s="1165"/>
      <c r="AY104" s="1165"/>
      <c r="AZ104" s="1165"/>
      <c r="BA104" s="1165"/>
      <c r="BC104" s="1165"/>
      <c r="BE104" s="1165"/>
      <c r="BF104" s="1165"/>
      <c r="BG104" s="1165"/>
    </row>
    <row r="105" spans="18:59" x14ac:dyDescent="0.25">
      <c r="R105" s="1165"/>
      <c r="S105" s="1165"/>
      <c r="W105" s="1165"/>
      <c r="X105" s="1165"/>
      <c r="AE105" s="1165"/>
      <c r="AF105" s="1165"/>
      <c r="AV105" s="1165"/>
      <c r="AW105" s="1165"/>
      <c r="AX105" s="1165"/>
      <c r="AY105" s="1165"/>
      <c r="AZ105" s="1165"/>
      <c r="BA105" s="1165"/>
      <c r="BC105" s="1165"/>
      <c r="BE105" s="1165"/>
      <c r="BF105" s="1165"/>
      <c r="BG105" s="1165"/>
    </row>
    <row r="106" spans="18:59" x14ac:dyDescent="0.25">
      <c r="R106" s="1165"/>
      <c r="S106" s="1165"/>
      <c r="W106" s="1165"/>
      <c r="X106" s="1165"/>
      <c r="AE106" s="1165"/>
      <c r="AF106" s="1165"/>
      <c r="AV106" s="1165"/>
      <c r="AW106" s="1165"/>
      <c r="AX106" s="1165"/>
      <c r="AY106" s="1165"/>
      <c r="AZ106" s="1165"/>
      <c r="BA106" s="1165"/>
      <c r="BC106" s="1165"/>
      <c r="BE106" s="1165"/>
      <c r="BF106" s="1165"/>
      <c r="BG106" s="1165"/>
    </row>
    <row r="107" spans="18:59" x14ac:dyDescent="0.25">
      <c r="R107" s="1165"/>
      <c r="S107" s="1165"/>
      <c r="W107" s="1165"/>
      <c r="X107" s="1165"/>
      <c r="AE107" s="1165"/>
      <c r="AF107" s="1165"/>
      <c r="AV107" s="1165"/>
      <c r="AW107" s="1165"/>
      <c r="AX107" s="1165"/>
      <c r="AY107" s="1165"/>
      <c r="AZ107" s="1165"/>
      <c r="BA107" s="1165"/>
      <c r="BC107" s="1165"/>
      <c r="BE107" s="1165"/>
      <c r="BF107" s="1165"/>
      <c r="BG107" s="1165"/>
    </row>
    <row r="108" spans="18:59" x14ac:dyDescent="0.25">
      <c r="R108" s="1165"/>
      <c r="S108" s="1165"/>
      <c r="W108" s="1165"/>
      <c r="X108" s="1165"/>
      <c r="AE108" s="1165"/>
      <c r="AF108" s="1165"/>
      <c r="AV108" s="1165"/>
      <c r="AW108" s="1165"/>
      <c r="AX108" s="1165"/>
      <c r="AY108" s="1165"/>
      <c r="AZ108" s="1165"/>
      <c r="BA108" s="1165"/>
      <c r="BC108" s="1165"/>
      <c r="BE108" s="1165"/>
      <c r="BF108" s="1165"/>
      <c r="BG108" s="1165"/>
    </row>
    <row r="109" spans="18:59" x14ac:dyDescent="0.25">
      <c r="R109" s="1165"/>
      <c r="S109" s="1165"/>
      <c r="W109" s="1165"/>
      <c r="X109" s="1165"/>
      <c r="AE109" s="1165"/>
      <c r="AF109" s="1165"/>
      <c r="AV109" s="1165"/>
      <c r="AW109" s="1165"/>
      <c r="AX109" s="1165"/>
      <c r="AY109" s="1165"/>
      <c r="AZ109" s="1165"/>
      <c r="BA109" s="1165"/>
      <c r="BC109" s="1165"/>
      <c r="BE109" s="1165"/>
      <c r="BF109" s="1165"/>
      <c r="BG109" s="1165"/>
    </row>
    <row r="110" spans="18:59" x14ac:dyDescent="0.25">
      <c r="R110" s="1165"/>
      <c r="S110" s="1165"/>
      <c r="W110" s="1165"/>
      <c r="X110" s="1165"/>
      <c r="AE110" s="1165"/>
      <c r="AF110" s="1165"/>
      <c r="AV110" s="1165"/>
      <c r="AW110" s="1165"/>
      <c r="AX110" s="1165"/>
      <c r="AY110" s="1165"/>
      <c r="AZ110" s="1165"/>
      <c r="BA110" s="1165"/>
      <c r="BC110" s="1165"/>
      <c r="BE110" s="1165"/>
      <c r="BF110" s="1165"/>
      <c r="BG110" s="1165"/>
    </row>
    <row r="111" spans="18:59" x14ac:dyDescent="0.25">
      <c r="R111" s="1165"/>
      <c r="S111" s="1165"/>
      <c r="W111" s="1165"/>
      <c r="X111" s="1165"/>
      <c r="AE111" s="1165"/>
      <c r="AF111" s="1165"/>
      <c r="AV111" s="1165"/>
      <c r="AW111" s="1165"/>
      <c r="AX111" s="1165"/>
      <c r="AY111" s="1165"/>
      <c r="AZ111" s="1165"/>
      <c r="BA111" s="1165"/>
      <c r="BC111" s="1165"/>
      <c r="BE111" s="1165"/>
      <c r="BF111" s="1165"/>
      <c r="BG111" s="1165"/>
    </row>
    <row r="112" spans="18:59" x14ac:dyDescent="0.25">
      <c r="R112" s="1165"/>
      <c r="S112" s="1165"/>
      <c r="W112" s="1165"/>
      <c r="X112" s="1165"/>
      <c r="AE112" s="1165"/>
      <c r="AF112" s="1165"/>
      <c r="AV112" s="1165"/>
      <c r="AW112" s="1165"/>
      <c r="AX112" s="1165"/>
      <c r="AY112" s="1165"/>
      <c r="AZ112" s="1165"/>
      <c r="BA112" s="1165"/>
      <c r="BC112" s="1165"/>
      <c r="BE112" s="1165"/>
      <c r="BF112" s="1165"/>
      <c r="BG112" s="1165"/>
    </row>
    <row r="113" spans="18:59" x14ac:dyDescent="0.25">
      <c r="R113" s="1165"/>
      <c r="S113" s="1165"/>
      <c r="W113" s="1165"/>
      <c r="X113" s="1165"/>
      <c r="AE113" s="1165"/>
      <c r="AF113" s="1165"/>
      <c r="AV113" s="1165"/>
      <c r="AW113" s="1165"/>
      <c r="AX113" s="1165"/>
      <c r="AY113" s="1165"/>
      <c r="AZ113" s="1165"/>
      <c r="BA113" s="1165"/>
      <c r="BC113" s="1165"/>
      <c r="BE113" s="1165"/>
      <c r="BF113" s="1165"/>
      <c r="BG113" s="1165"/>
    </row>
    <row r="114" spans="18:59" x14ac:dyDescent="0.25">
      <c r="R114" s="1165"/>
      <c r="S114" s="1165"/>
      <c r="W114" s="1165"/>
      <c r="X114" s="1165"/>
      <c r="AE114" s="1165"/>
      <c r="AF114" s="1165"/>
      <c r="AV114" s="1165"/>
      <c r="AW114" s="1165"/>
      <c r="AX114" s="1165"/>
      <c r="AY114" s="1165"/>
      <c r="AZ114" s="1165"/>
      <c r="BA114" s="1165"/>
      <c r="BC114" s="1165"/>
      <c r="BE114" s="1165"/>
      <c r="BF114" s="1165"/>
      <c r="BG114" s="1165"/>
    </row>
    <row r="115" spans="18:59" x14ac:dyDescent="0.25">
      <c r="R115" s="1165"/>
      <c r="S115" s="1165"/>
      <c r="W115" s="1165"/>
      <c r="X115" s="1165"/>
      <c r="AE115" s="1165"/>
      <c r="AF115" s="1165"/>
      <c r="AV115" s="1165"/>
      <c r="AW115" s="1165"/>
      <c r="AX115" s="1165"/>
      <c r="AY115" s="1165"/>
      <c r="AZ115" s="1165"/>
      <c r="BA115" s="1165"/>
      <c r="BC115" s="1165"/>
      <c r="BE115" s="1165"/>
      <c r="BF115" s="1165"/>
      <c r="BG115" s="1165"/>
    </row>
    <row r="116" spans="18:59" x14ac:dyDescent="0.25">
      <c r="R116" s="1165"/>
      <c r="S116" s="1165"/>
      <c r="W116" s="1165"/>
      <c r="X116" s="1165"/>
      <c r="AE116" s="1165"/>
      <c r="AF116" s="1165"/>
      <c r="AV116" s="1165"/>
      <c r="AW116" s="1165"/>
      <c r="AX116" s="1165"/>
      <c r="AY116" s="1165"/>
      <c r="AZ116" s="1165"/>
      <c r="BA116" s="1165"/>
      <c r="BC116" s="1165"/>
      <c r="BE116" s="1165"/>
      <c r="BF116" s="1165"/>
      <c r="BG116" s="1165"/>
    </row>
    <row r="117" spans="18:59" x14ac:dyDescent="0.25">
      <c r="R117" s="1165"/>
      <c r="S117" s="1165"/>
      <c r="W117" s="1165"/>
      <c r="X117" s="1165"/>
      <c r="AE117" s="1165"/>
      <c r="AF117" s="1165"/>
      <c r="AV117" s="1165"/>
      <c r="AW117" s="1165"/>
      <c r="AX117" s="1165"/>
      <c r="AY117" s="1165"/>
      <c r="AZ117" s="1165"/>
      <c r="BA117" s="1165"/>
      <c r="BC117" s="1165"/>
      <c r="BE117" s="1165"/>
      <c r="BF117" s="1165"/>
      <c r="BG117" s="1165"/>
    </row>
    <row r="118" spans="18:59" x14ac:dyDescent="0.25">
      <c r="R118" s="1165"/>
      <c r="S118" s="1165"/>
      <c r="W118" s="1165"/>
      <c r="X118" s="1165"/>
      <c r="AE118" s="1165"/>
      <c r="AF118" s="1165"/>
      <c r="AV118" s="1165"/>
      <c r="AW118" s="1165"/>
      <c r="AX118" s="1165"/>
      <c r="AY118" s="1165"/>
      <c r="AZ118" s="1165"/>
      <c r="BA118" s="1165"/>
      <c r="BC118" s="1165"/>
      <c r="BE118" s="1165"/>
      <c r="BF118" s="1165"/>
      <c r="BG118" s="1165"/>
    </row>
    <row r="119" spans="18:59" x14ac:dyDescent="0.25">
      <c r="R119" s="1165"/>
      <c r="S119" s="1165"/>
      <c r="W119" s="1165"/>
      <c r="X119" s="1165"/>
      <c r="AE119" s="1165"/>
      <c r="AF119" s="1165"/>
      <c r="AV119" s="1165"/>
      <c r="AW119" s="1165"/>
      <c r="AX119" s="1165"/>
      <c r="AY119" s="1165"/>
      <c r="AZ119" s="1165"/>
      <c r="BA119" s="1165"/>
      <c r="BC119" s="1165"/>
      <c r="BE119" s="1165"/>
      <c r="BF119" s="1165"/>
      <c r="BG119" s="1165"/>
    </row>
    <row r="120" spans="18:59" x14ac:dyDescent="0.25">
      <c r="R120" s="1165"/>
      <c r="S120" s="1165"/>
      <c r="W120" s="1165"/>
      <c r="X120" s="1165"/>
      <c r="AE120" s="1165"/>
      <c r="AF120" s="1165"/>
      <c r="AV120" s="1165"/>
      <c r="AW120" s="1165"/>
      <c r="AX120" s="1165"/>
      <c r="AY120" s="1165"/>
      <c r="AZ120" s="1165"/>
      <c r="BA120" s="1165"/>
      <c r="BC120" s="1165"/>
      <c r="BE120" s="1165"/>
      <c r="BF120" s="1165"/>
      <c r="BG120" s="1165"/>
    </row>
    <row r="121" spans="18:59" x14ac:dyDescent="0.25">
      <c r="R121" s="1165"/>
      <c r="S121" s="1165"/>
      <c r="W121" s="1165"/>
      <c r="X121" s="1165"/>
      <c r="AE121" s="1165"/>
      <c r="AF121" s="1165"/>
      <c r="AV121" s="1165"/>
      <c r="AW121" s="1165"/>
      <c r="AX121" s="1165"/>
      <c r="AY121" s="1165"/>
      <c r="AZ121" s="1165"/>
      <c r="BA121" s="1165"/>
      <c r="BC121" s="1165"/>
      <c r="BE121" s="1165"/>
      <c r="BF121" s="1165"/>
      <c r="BG121" s="1165"/>
    </row>
    <row r="122" spans="18:59" x14ac:dyDescent="0.25">
      <c r="R122" s="1165"/>
      <c r="S122" s="1165"/>
      <c r="W122" s="1165"/>
      <c r="X122" s="1165"/>
      <c r="AE122" s="1165"/>
      <c r="AF122" s="1165"/>
      <c r="AV122" s="1165"/>
      <c r="AW122" s="1165"/>
      <c r="AX122" s="1165"/>
      <c r="AY122" s="1165"/>
      <c r="AZ122" s="1165"/>
      <c r="BA122" s="1165"/>
      <c r="BC122" s="1165"/>
      <c r="BE122" s="1165"/>
      <c r="BF122" s="1165"/>
      <c r="BG122" s="1165"/>
    </row>
    <row r="123" spans="18:59" x14ac:dyDescent="0.25">
      <c r="R123" s="1165"/>
      <c r="S123" s="1165"/>
      <c r="W123" s="1165"/>
      <c r="X123" s="1165"/>
      <c r="AE123" s="1165"/>
      <c r="AF123" s="1165"/>
      <c r="AV123" s="1165"/>
      <c r="AW123" s="1165"/>
      <c r="AX123" s="1165"/>
      <c r="AY123" s="1165"/>
      <c r="AZ123" s="1165"/>
      <c r="BA123" s="1165"/>
      <c r="BC123" s="1165"/>
      <c r="BE123" s="1165"/>
      <c r="BF123" s="1165"/>
      <c r="BG123" s="1165"/>
    </row>
    <row r="124" spans="18:59" x14ac:dyDescent="0.25">
      <c r="R124" s="1165"/>
      <c r="S124" s="1165"/>
      <c r="W124" s="1165"/>
      <c r="X124" s="1165"/>
      <c r="AE124" s="1165"/>
      <c r="AF124" s="1165"/>
      <c r="AV124" s="1165"/>
      <c r="AW124" s="1165"/>
      <c r="AX124" s="1165"/>
      <c r="AY124" s="1165"/>
      <c r="AZ124" s="1165"/>
      <c r="BA124" s="1165"/>
      <c r="BC124" s="1165"/>
      <c r="BE124" s="1165"/>
      <c r="BF124" s="1165"/>
      <c r="BG124" s="1165"/>
    </row>
    <row r="125" spans="18:59" x14ac:dyDescent="0.25">
      <c r="R125" s="1165"/>
      <c r="S125" s="1165"/>
      <c r="W125" s="1165"/>
      <c r="X125" s="1165"/>
      <c r="AE125" s="1165"/>
      <c r="AF125" s="1165"/>
      <c r="AV125" s="1165"/>
      <c r="AW125" s="1165"/>
      <c r="AX125" s="1165"/>
      <c r="AY125" s="1165"/>
      <c r="AZ125" s="1165"/>
      <c r="BA125" s="1165"/>
      <c r="BC125" s="1165"/>
      <c r="BE125" s="1165"/>
      <c r="BF125" s="1165"/>
      <c r="BG125" s="1165"/>
    </row>
    <row r="126" spans="18:59" x14ac:dyDescent="0.25">
      <c r="R126" s="1165"/>
      <c r="S126" s="1165"/>
      <c r="W126" s="1165"/>
      <c r="X126" s="1165"/>
      <c r="AE126" s="1165"/>
      <c r="AF126" s="1165"/>
      <c r="AV126" s="1165"/>
      <c r="AW126" s="1165"/>
      <c r="AX126" s="1165"/>
      <c r="AY126" s="1165"/>
      <c r="AZ126" s="1165"/>
      <c r="BA126" s="1165"/>
      <c r="BC126" s="1165"/>
      <c r="BE126" s="1165"/>
      <c r="BF126" s="1165"/>
      <c r="BG126" s="1165"/>
    </row>
    <row r="127" spans="18:59" x14ac:dyDescent="0.25">
      <c r="R127" s="1165"/>
      <c r="S127" s="1165"/>
      <c r="W127" s="1165"/>
      <c r="X127" s="1165"/>
      <c r="AE127" s="1165"/>
      <c r="AF127" s="1165"/>
      <c r="AV127" s="1165"/>
      <c r="AW127" s="1165"/>
      <c r="AX127" s="1165"/>
      <c r="AY127" s="1165"/>
      <c r="AZ127" s="1165"/>
      <c r="BA127" s="1165"/>
      <c r="BC127" s="1165"/>
      <c r="BE127" s="1165"/>
      <c r="BF127" s="1165"/>
      <c r="BG127" s="1165"/>
    </row>
    <row r="128" spans="18:59" x14ac:dyDescent="0.25">
      <c r="R128" s="1165"/>
      <c r="S128" s="1165"/>
      <c r="W128" s="1165"/>
      <c r="X128" s="1165"/>
      <c r="AE128" s="1165"/>
      <c r="AF128" s="1165"/>
      <c r="AV128" s="1165"/>
      <c r="AW128" s="1165"/>
      <c r="AX128" s="1165"/>
      <c r="AY128" s="1165"/>
      <c r="AZ128" s="1165"/>
      <c r="BA128" s="1165"/>
      <c r="BC128" s="1165"/>
      <c r="BE128" s="1165"/>
      <c r="BF128" s="1165"/>
      <c r="BG128" s="1165"/>
    </row>
    <row r="129" spans="18:59" x14ac:dyDescent="0.25">
      <c r="R129" s="1165"/>
      <c r="S129" s="1165"/>
      <c r="W129" s="1165"/>
      <c r="X129" s="1165"/>
      <c r="AE129" s="1165"/>
      <c r="AF129" s="1165"/>
      <c r="AV129" s="1165"/>
      <c r="AW129" s="1165"/>
      <c r="AX129" s="1165"/>
      <c r="AY129" s="1165"/>
      <c r="AZ129" s="1165"/>
      <c r="BA129" s="1165"/>
      <c r="BC129" s="1165"/>
      <c r="BE129" s="1165"/>
      <c r="BF129" s="1165"/>
      <c r="BG129" s="1165"/>
    </row>
    <row r="130" spans="18:59" x14ac:dyDescent="0.25">
      <c r="R130" s="1165"/>
      <c r="S130" s="1165"/>
      <c r="W130" s="1165"/>
      <c r="X130" s="1165"/>
      <c r="AE130" s="1165"/>
      <c r="AF130" s="1165"/>
      <c r="AV130" s="1165"/>
      <c r="AW130" s="1165"/>
      <c r="AX130" s="1165"/>
      <c r="AY130" s="1165"/>
      <c r="AZ130" s="1165"/>
      <c r="BA130" s="1165"/>
      <c r="BC130" s="1165"/>
      <c r="BE130" s="1165"/>
      <c r="BF130" s="1165"/>
      <c r="BG130" s="1165"/>
    </row>
    <row r="131" spans="18:59" x14ac:dyDescent="0.25">
      <c r="R131" s="1165"/>
      <c r="S131" s="1165"/>
      <c r="W131" s="1165"/>
      <c r="X131" s="1165"/>
      <c r="AE131" s="1165"/>
      <c r="AF131" s="1165"/>
      <c r="AV131" s="1165"/>
      <c r="AW131" s="1165"/>
      <c r="AX131" s="1165"/>
      <c r="AY131" s="1165"/>
      <c r="AZ131" s="1165"/>
      <c r="BA131" s="1165"/>
      <c r="BC131" s="1165"/>
      <c r="BE131" s="1165"/>
      <c r="BF131" s="1165"/>
      <c r="BG131" s="1165"/>
    </row>
    <row r="132" spans="18:59" x14ac:dyDescent="0.25">
      <c r="R132" s="1165"/>
      <c r="S132" s="1165"/>
      <c r="W132" s="1165"/>
      <c r="X132" s="1165"/>
      <c r="AE132" s="1165"/>
      <c r="AF132" s="1165"/>
      <c r="AV132" s="1165"/>
      <c r="AW132" s="1165"/>
      <c r="AX132" s="1165"/>
      <c r="AY132" s="1165"/>
      <c r="AZ132" s="1165"/>
      <c r="BA132" s="1165"/>
      <c r="BC132" s="1165"/>
      <c r="BE132" s="1165"/>
      <c r="BF132" s="1165"/>
      <c r="BG132" s="1165"/>
    </row>
    <row r="133" spans="18:59" x14ac:dyDescent="0.25">
      <c r="R133" s="1165"/>
      <c r="S133" s="1165"/>
      <c r="W133" s="1165"/>
      <c r="X133" s="1165"/>
      <c r="AE133" s="1165"/>
      <c r="AF133" s="1165"/>
      <c r="AV133" s="1165"/>
      <c r="AW133" s="1165"/>
      <c r="AX133" s="1165"/>
      <c r="AY133" s="1165"/>
      <c r="AZ133" s="1165"/>
      <c r="BA133" s="1165"/>
      <c r="BC133" s="1165"/>
      <c r="BE133" s="1165"/>
      <c r="BF133" s="1165"/>
      <c r="BG133" s="1165"/>
    </row>
    <row r="134" spans="18:59" x14ac:dyDescent="0.25">
      <c r="R134" s="1165"/>
      <c r="S134" s="1165"/>
      <c r="W134" s="1165"/>
      <c r="X134" s="1165"/>
      <c r="AE134" s="1165"/>
      <c r="AF134" s="1165"/>
      <c r="AV134" s="1165"/>
      <c r="AW134" s="1165"/>
      <c r="AX134" s="1165"/>
      <c r="AY134" s="1165"/>
      <c r="AZ134" s="1165"/>
      <c r="BA134" s="1165"/>
      <c r="BC134" s="1165"/>
      <c r="BE134" s="1165"/>
      <c r="BF134" s="1165"/>
      <c r="BG134" s="1165"/>
    </row>
    <row r="135" spans="18:59" x14ac:dyDescent="0.25">
      <c r="R135" s="1165"/>
      <c r="S135" s="1165"/>
      <c r="W135" s="1165"/>
      <c r="X135" s="1165"/>
      <c r="AE135" s="1165"/>
      <c r="AF135" s="1165"/>
      <c r="AV135" s="1165"/>
      <c r="AW135" s="1165"/>
      <c r="AX135" s="1165"/>
      <c r="AY135" s="1165"/>
      <c r="AZ135" s="1165"/>
      <c r="BA135" s="1165"/>
      <c r="BC135" s="1165"/>
      <c r="BE135" s="1165"/>
      <c r="BF135" s="1165"/>
      <c r="BG135" s="1165"/>
    </row>
    <row r="136" spans="18:59" x14ac:dyDescent="0.25">
      <c r="R136" s="1165"/>
      <c r="S136" s="1165"/>
      <c r="W136" s="1165"/>
      <c r="X136" s="1165"/>
      <c r="AE136" s="1165"/>
      <c r="AF136" s="1165"/>
      <c r="AV136" s="1165"/>
      <c r="AW136" s="1165"/>
      <c r="AX136" s="1165"/>
      <c r="AY136" s="1165"/>
      <c r="AZ136" s="1165"/>
      <c r="BA136" s="1165"/>
      <c r="BC136" s="1165"/>
      <c r="BE136" s="1165"/>
      <c r="BF136" s="1165"/>
      <c r="BG136" s="1165"/>
    </row>
    <row r="137" spans="18:59" x14ac:dyDescent="0.25">
      <c r="R137" s="1165"/>
      <c r="S137" s="1165"/>
      <c r="W137" s="1165"/>
      <c r="X137" s="1165"/>
      <c r="AE137" s="1165"/>
      <c r="AF137" s="1165"/>
      <c r="AV137" s="1165"/>
      <c r="AW137" s="1165"/>
      <c r="AX137" s="1165"/>
      <c r="AY137" s="1165"/>
      <c r="AZ137" s="1165"/>
      <c r="BA137" s="1165"/>
      <c r="BC137" s="1165"/>
      <c r="BE137" s="1165"/>
      <c r="BF137" s="1165"/>
      <c r="BG137" s="1165"/>
    </row>
    <row r="138" spans="18:59" x14ac:dyDescent="0.25">
      <c r="R138" s="1165"/>
      <c r="S138" s="1165"/>
      <c r="W138" s="1165"/>
      <c r="X138" s="1165"/>
      <c r="AE138" s="1165"/>
      <c r="AF138" s="1165"/>
      <c r="AV138" s="1165"/>
      <c r="AW138" s="1165"/>
      <c r="AX138" s="1165"/>
      <c r="AY138" s="1165"/>
      <c r="AZ138" s="1165"/>
      <c r="BA138" s="1165"/>
      <c r="BC138" s="1165"/>
      <c r="BE138" s="1165"/>
      <c r="BF138" s="1165"/>
      <c r="BG138" s="1165"/>
    </row>
    <row r="139" spans="18:59" x14ac:dyDescent="0.25">
      <c r="R139" s="1165"/>
      <c r="S139" s="1165"/>
      <c r="W139" s="1165"/>
      <c r="X139" s="1165"/>
      <c r="AE139" s="1165"/>
      <c r="AF139" s="1165"/>
      <c r="AV139" s="1165"/>
      <c r="AW139" s="1165"/>
      <c r="AX139" s="1165"/>
      <c r="AY139" s="1165"/>
      <c r="AZ139" s="1165"/>
      <c r="BA139" s="1165"/>
      <c r="BC139" s="1165"/>
      <c r="BE139" s="1165"/>
      <c r="BF139" s="1165"/>
      <c r="BG139" s="1165"/>
    </row>
    <row r="140" spans="18:59" x14ac:dyDescent="0.25">
      <c r="R140" s="1165"/>
      <c r="S140" s="1165"/>
      <c r="W140" s="1165"/>
      <c r="X140" s="1165"/>
      <c r="AE140" s="1165"/>
      <c r="AF140" s="1165"/>
      <c r="AV140" s="1165"/>
      <c r="AW140" s="1165"/>
      <c r="AX140" s="1165"/>
      <c r="AY140" s="1165"/>
      <c r="AZ140" s="1165"/>
      <c r="BA140" s="1165"/>
      <c r="BC140" s="1165"/>
      <c r="BE140" s="1165"/>
      <c r="BF140" s="1165"/>
      <c r="BG140" s="1165"/>
    </row>
    <row r="141" spans="18:59" x14ac:dyDescent="0.25">
      <c r="R141" s="1165"/>
      <c r="S141" s="1165"/>
      <c r="W141" s="1165"/>
      <c r="X141" s="1165"/>
      <c r="AE141" s="1165"/>
      <c r="AF141" s="1165"/>
      <c r="AV141" s="1165"/>
      <c r="AW141" s="1165"/>
      <c r="AX141" s="1165"/>
      <c r="AY141" s="1165"/>
      <c r="AZ141" s="1165"/>
      <c r="BA141" s="1165"/>
      <c r="BC141" s="1165"/>
      <c r="BE141" s="1165"/>
      <c r="BF141" s="1165"/>
      <c r="BG141" s="1165"/>
    </row>
    <row r="142" spans="18:59" x14ac:dyDescent="0.25">
      <c r="R142" s="1165"/>
      <c r="S142" s="1165"/>
      <c r="W142" s="1165"/>
      <c r="X142" s="1165"/>
      <c r="AE142" s="1165"/>
      <c r="AF142" s="1165"/>
      <c r="AV142" s="1165"/>
      <c r="AW142" s="1165"/>
      <c r="AX142" s="1165"/>
      <c r="AY142" s="1165"/>
      <c r="AZ142" s="1165"/>
      <c r="BA142" s="1165"/>
      <c r="BC142" s="1165"/>
      <c r="BE142" s="1165"/>
      <c r="BF142" s="1165"/>
      <c r="BG142" s="1165"/>
    </row>
    <row r="143" spans="18:59" x14ac:dyDescent="0.25">
      <c r="R143" s="1165"/>
      <c r="S143" s="1165"/>
      <c r="W143" s="1165"/>
      <c r="X143" s="1165"/>
      <c r="AE143" s="1165"/>
      <c r="AF143" s="1165"/>
      <c r="AV143" s="1165"/>
      <c r="AW143" s="1165"/>
      <c r="AX143" s="1165"/>
      <c r="AY143" s="1165"/>
      <c r="AZ143" s="1165"/>
      <c r="BA143" s="1165"/>
      <c r="BC143" s="1165"/>
      <c r="BE143" s="1165"/>
      <c r="BF143" s="1165"/>
      <c r="BG143" s="1165"/>
    </row>
    <row r="144" spans="18:59" x14ac:dyDescent="0.25">
      <c r="R144" s="1165"/>
      <c r="S144" s="1165"/>
      <c r="W144" s="1165"/>
      <c r="X144" s="1165"/>
      <c r="AE144" s="1165"/>
      <c r="AF144" s="1165"/>
      <c r="AV144" s="1165"/>
      <c r="AW144" s="1165"/>
      <c r="AX144" s="1165"/>
      <c r="AY144" s="1165"/>
      <c r="AZ144" s="1165"/>
      <c r="BA144" s="1165"/>
      <c r="BC144" s="1165"/>
      <c r="BE144" s="1165"/>
      <c r="BF144" s="1165"/>
      <c r="BG144" s="1165"/>
    </row>
    <row r="145" spans="18:59" x14ac:dyDescent="0.25">
      <c r="R145" s="1165"/>
      <c r="S145" s="1165"/>
      <c r="W145" s="1165"/>
      <c r="X145" s="1165"/>
      <c r="AE145" s="1165"/>
      <c r="AF145" s="1165"/>
      <c r="AV145" s="1165"/>
      <c r="AW145" s="1165"/>
      <c r="AX145" s="1165"/>
      <c r="AY145" s="1165"/>
      <c r="AZ145" s="1165"/>
      <c r="BA145" s="1165"/>
      <c r="BC145" s="1165"/>
      <c r="BE145" s="1165"/>
      <c r="BF145" s="1165"/>
      <c r="BG145" s="1165"/>
    </row>
    <row r="146" spans="18:59" x14ac:dyDescent="0.25">
      <c r="R146" s="1165"/>
      <c r="S146" s="1165"/>
      <c r="W146" s="1165"/>
      <c r="X146" s="1165"/>
      <c r="AE146" s="1165"/>
      <c r="AF146" s="1165"/>
      <c r="AV146" s="1165"/>
      <c r="AW146" s="1165"/>
      <c r="AX146" s="1165"/>
      <c r="AY146" s="1165"/>
      <c r="AZ146" s="1165"/>
      <c r="BA146" s="1165"/>
      <c r="BC146" s="1165"/>
      <c r="BE146" s="1165"/>
      <c r="BF146" s="1165"/>
      <c r="BG146" s="1165"/>
    </row>
    <row r="147" spans="18:59" x14ac:dyDescent="0.25">
      <c r="R147" s="1165"/>
      <c r="S147" s="1165"/>
      <c r="W147" s="1165"/>
      <c r="X147" s="1165"/>
      <c r="AE147" s="1165"/>
      <c r="AF147" s="1165"/>
      <c r="AV147" s="1165"/>
      <c r="AW147" s="1165"/>
      <c r="AX147" s="1165"/>
      <c r="AY147" s="1165"/>
      <c r="AZ147" s="1165"/>
      <c r="BA147" s="1165"/>
      <c r="BC147" s="1165"/>
      <c r="BE147" s="1165"/>
      <c r="BF147" s="1165"/>
      <c r="BG147" s="1165"/>
    </row>
    <row r="148" spans="18:59" x14ac:dyDescent="0.25">
      <c r="R148" s="1165"/>
      <c r="S148" s="1165"/>
      <c r="W148" s="1165"/>
      <c r="X148" s="1165"/>
      <c r="AE148" s="1165"/>
      <c r="AF148" s="1165"/>
      <c r="AV148" s="1165"/>
      <c r="AW148" s="1165"/>
      <c r="AX148" s="1165"/>
      <c r="AY148" s="1165"/>
      <c r="AZ148" s="1165"/>
      <c r="BA148" s="1165"/>
      <c r="BC148" s="1165"/>
      <c r="BE148" s="1165"/>
      <c r="BF148" s="1165"/>
      <c r="BG148" s="1165"/>
    </row>
    <row r="149" spans="18:59" x14ac:dyDescent="0.25">
      <c r="R149" s="1165"/>
      <c r="S149" s="1165"/>
      <c r="W149" s="1165"/>
      <c r="X149" s="1165"/>
      <c r="AE149" s="1165"/>
      <c r="AF149" s="1165"/>
      <c r="AV149" s="1165"/>
      <c r="AW149" s="1165"/>
      <c r="AX149" s="1165"/>
      <c r="AY149" s="1165"/>
      <c r="AZ149" s="1165"/>
      <c r="BA149" s="1165"/>
      <c r="BC149" s="1165"/>
      <c r="BE149" s="1165"/>
      <c r="BF149" s="1165"/>
      <c r="BG149" s="1165"/>
    </row>
    <row r="150" spans="18:59" x14ac:dyDescent="0.25">
      <c r="R150" s="1165"/>
      <c r="S150" s="1165"/>
      <c r="W150" s="1165"/>
      <c r="X150" s="1165"/>
      <c r="AE150" s="1165"/>
      <c r="AF150" s="1165"/>
      <c r="AV150" s="1165"/>
      <c r="AW150" s="1165"/>
      <c r="AX150" s="1165"/>
      <c r="AY150" s="1165"/>
      <c r="AZ150" s="1165"/>
      <c r="BA150" s="1165"/>
      <c r="BC150" s="1165"/>
      <c r="BE150" s="1165"/>
      <c r="BF150" s="1165"/>
      <c r="BG150" s="1165"/>
    </row>
    <row r="151" spans="18:59" x14ac:dyDescent="0.25">
      <c r="R151" s="1165"/>
      <c r="S151" s="1165"/>
      <c r="W151" s="1165"/>
      <c r="X151" s="1165"/>
      <c r="AE151" s="1165"/>
      <c r="AF151" s="1165"/>
      <c r="AV151" s="1165"/>
      <c r="AW151" s="1165"/>
      <c r="AX151" s="1165"/>
      <c r="AY151" s="1165"/>
      <c r="AZ151" s="1165"/>
      <c r="BA151" s="1165"/>
      <c r="BC151" s="1165"/>
      <c r="BE151" s="1165"/>
      <c r="BF151" s="1165"/>
      <c r="BG151" s="1165"/>
    </row>
    <row r="152" spans="18:59" x14ac:dyDescent="0.25">
      <c r="R152" s="1165"/>
      <c r="S152" s="1165"/>
      <c r="W152" s="1165"/>
      <c r="X152" s="1165"/>
      <c r="AE152" s="1165"/>
      <c r="AF152" s="1165"/>
      <c r="AV152" s="1165"/>
      <c r="AW152" s="1165"/>
      <c r="AX152" s="1165"/>
      <c r="AY152" s="1165"/>
      <c r="AZ152" s="1165"/>
      <c r="BA152" s="1165"/>
      <c r="BC152" s="1165"/>
      <c r="BE152" s="1165"/>
      <c r="BF152" s="1165"/>
      <c r="BG152" s="1165"/>
    </row>
    <row r="153" spans="18:59" x14ac:dyDescent="0.25">
      <c r="R153" s="1165"/>
      <c r="S153" s="1165"/>
      <c r="W153" s="1165"/>
      <c r="X153" s="1165"/>
      <c r="AE153" s="1165"/>
      <c r="AF153" s="1165"/>
      <c r="AV153" s="1165"/>
      <c r="AW153" s="1165"/>
      <c r="AX153" s="1165"/>
      <c r="AY153" s="1165"/>
      <c r="AZ153" s="1165"/>
      <c r="BA153" s="1165"/>
      <c r="BC153" s="1165"/>
      <c r="BE153" s="1165"/>
      <c r="BF153" s="1165"/>
      <c r="BG153" s="1165"/>
    </row>
    <row r="154" spans="18:59" x14ac:dyDescent="0.25">
      <c r="R154" s="1165"/>
      <c r="S154" s="1165"/>
      <c r="W154" s="1165"/>
      <c r="X154" s="1165"/>
      <c r="AE154" s="1165"/>
      <c r="AF154" s="1165"/>
      <c r="AV154" s="1165"/>
      <c r="AW154" s="1165"/>
      <c r="AX154" s="1165"/>
      <c r="AY154" s="1165"/>
      <c r="AZ154" s="1165"/>
      <c r="BA154" s="1165"/>
      <c r="BC154" s="1165"/>
      <c r="BE154" s="1165"/>
      <c r="BF154" s="1165"/>
      <c r="BG154" s="1165"/>
    </row>
    <row r="155" spans="18:59" x14ac:dyDescent="0.25">
      <c r="R155" s="1165"/>
      <c r="S155" s="1165"/>
      <c r="W155" s="1165"/>
      <c r="X155" s="1165"/>
      <c r="AE155" s="1165"/>
      <c r="AF155" s="1165"/>
      <c r="AV155" s="1165"/>
      <c r="AW155" s="1165"/>
      <c r="AX155" s="1165"/>
      <c r="AY155" s="1165"/>
      <c r="AZ155" s="1165"/>
      <c r="BA155" s="1165"/>
      <c r="BC155" s="1165"/>
      <c r="BE155" s="1165"/>
      <c r="BF155" s="1165"/>
      <c r="BG155" s="1165"/>
    </row>
    <row r="156" spans="18:59" x14ac:dyDescent="0.25">
      <c r="R156" s="1165"/>
      <c r="S156" s="1165"/>
      <c r="W156" s="1165"/>
      <c r="X156" s="1165"/>
      <c r="AE156" s="1165"/>
      <c r="AF156" s="1165"/>
      <c r="AV156" s="1165"/>
      <c r="AW156" s="1165"/>
      <c r="AX156" s="1165"/>
      <c r="AY156" s="1165"/>
      <c r="AZ156" s="1165"/>
      <c r="BA156" s="1165"/>
      <c r="BC156" s="1165"/>
      <c r="BE156" s="1165"/>
      <c r="BF156" s="1165"/>
      <c r="BG156" s="1165"/>
    </row>
    <row r="157" spans="18:59" x14ac:dyDescent="0.25">
      <c r="R157" s="1165"/>
      <c r="S157" s="1165"/>
      <c r="W157" s="1165"/>
      <c r="X157" s="1165"/>
      <c r="AE157" s="1165"/>
      <c r="AF157" s="1165"/>
      <c r="AV157" s="1165"/>
      <c r="AW157" s="1165"/>
      <c r="AX157" s="1165"/>
      <c r="AY157" s="1165"/>
      <c r="AZ157" s="1165"/>
      <c r="BA157" s="1165"/>
      <c r="BC157" s="1165"/>
      <c r="BE157" s="1165"/>
      <c r="BF157" s="1165"/>
      <c r="BG157" s="1165"/>
    </row>
    <row r="158" spans="18:59" x14ac:dyDescent="0.25">
      <c r="R158" s="1165"/>
      <c r="S158" s="1165"/>
      <c r="W158" s="1165"/>
      <c r="X158" s="1165"/>
      <c r="AE158" s="1165"/>
      <c r="AF158" s="1165"/>
      <c r="AV158" s="1165"/>
      <c r="AW158" s="1165"/>
      <c r="AX158" s="1165"/>
      <c r="AY158" s="1165"/>
      <c r="AZ158" s="1165"/>
      <c r="BA158" s="1165"/>
      <c r="BC158" s="1165"/>
      <c r="BE158" s="1165"/>
      <c r="BF158" s="1165"/>
      <c r="BG158" s="1165"/>
    </row>
    <row r="159" spans="18:59" x14ac:dyDescent="0.25">
      <c r="R159" s="1165"/>
      <c r="S159" s="1165"/>
      <c r="W159" s="1165"/>
      <c r="X159" s="1165"/>
      <c r="AE159" s="1165"/>
      <c r="AF159" s="1165"/>
      <c r="AV159" s="1165"/>
      <c r="AW159" s="1165"/>
      <c r="AX159" s="1165"/>
      <c r="AY159" s="1165"/>
      <c r="AZ159" s="1165"/>
      <c r="BA159" s="1165"/>
      <c r="BC159" s="1165"/>
      <c r="BE159" s="1165"/>
      <c r="BF159" s="1165"/>
      <c r="BG159" s="1165"/>
    </row>
    <row r="160" spans="18:59" x14ac:dyDescent="0.25">
      <c r="R160" s="1165"/>
      <c r="S160" s="1165"/>
      <c r="W160" s="1165"/>
      <c r="X160" s="1165"/>
      <c r="AE160" s="1165"/>
      <c r="AF160" s="1165"/>
      <c r="AV160" s="1165"/>
      <c r="AW160" s="1165"/>
      <c r="AX160" s="1165"/>
      <c r="AY160" s="1165"/>
      <c r="AZ160" s="1165"/>
      <c r="BA160" s="1165"/>
      <c r="BC160" s="1165"/>
      <c r="BE160" s="1165"/>
      <c r="BF160" s="1165"/>
      <c r="BG160" s="1165"/>
    </row>
    <row r="161" spans="18:59" x14ac:dyDescent="0.25">
      <c r="R161" s="1165"/>
      <c r="S161" s="1165"/>
      <c r="W161" s="1165"/>
      <c r="X161" s="1165"/>
      <c r="AE161" s="1165"/>
      <c r="AF161" s="1165"/>
      <c r="AV161" s="1165"/>
      <c r="AW161" s="1165"/>
      <c r="AX161" s="1165"/>
      <c r="AY161" s="1165"/>
      <c r="AZ161" s="1165"/>
      <c r="BA161" s="1165"/>
      <c r="BC161" s="1165"/>
      <c r="BE161" s="1165"/>
      <c r="BF161" s="1165"/>
      <c r="BG161" s="1165"/>
    </row>
    <row r="162" spans="18:59" x14ac:dyDescent="0.25">
      <c r="R162" s="1165"/>
      <c r="S162" s="1165"/>
      <c r="W162" s="1165"/>
      <c r="X162" s="1165"/>
      <c r="AE162" s="1165"/>
      <c r="AF162" s="1165"/>
      <c r="AV162" s="1165"/>
      <c r="AW162" s="1165"/>
      <c r="AX162" s="1165"/>
      <c r="AY162" s="1165"/>
      <c r="AZ162" s="1165"/>
      <c r="BA162" s="1165"/>
      <c r="BC162" s="1165"/>
      <c r="BE162" s="1165"/>
      <c r="BF162" s="1165"/>
      <c r="BG162" s="1165"/>
    </row>
    <row r="163" spans="18:59" x14ac:dyDescent="0.25">
      <c r="R163" s="1165"/>
      <c r="S163" s="1165"/>
      <c r="W163" s="1165"/>
      <c r="X163" s="1165"/>
      <c r="AE163" s="1165"/>
      <c r="AF163" s="1165"/>
      <c r="AV163" s="1165"/>
      <c r="AW163" s="1165"/>
      <c r="AX163" s="1165"/>
      <c r="AY163" s="1165"/>
      <c r="AZ163" s="1165"/>
      <c r="BA163" s="1165"/>
      <c r="BC163" s="1165"/>
      <c r="BE163" s="1165"/>
      <c r="BF163" s="1165"/>
      <c r="BG163" s="1165"/>
    </row>
    <row r="164" spans="18:59" x14ac:dyDescent="0.25">
      <c r="R164" s="1165"/>
      <c r="S164" s="1165"/>
      <c r="W164" s="1165"/>
      <c r="X164" s="1165"/>
      <c r="AE164" s="1165"/>
      <c r="AF164" s="1165"/>
      <c r="AV164" s="1165"/>
      <c r="AW164" s="1165"/>
      <c r="AX164" s="1165"/>
      <c r="AY164" s="1165"/>
      <c r="AZ164" s="1165"/>
      <c r="BA164" s="1165"/>
      <c r="BC164" s="1165"/>
      <c r="BE164" s="1165"/>
      <c r="BF164" s="1165"/>
      <c r="BG164" s="1165"/>
    </row>
    <row r="165" spans="18:59" x14ac:dyDescent="0.25">
      <c r="R165" s="1165"/>
      <c r="S165" s="1165"/>
      <c r="W165" s="1165"/>
      <c r="X165" s="1165"/>
      <c r="AE165" s="1165"/>
      <c r="AF165" s="1165"/>
      <c r="AV165" s="1165"/>
      <c r="AW165" s="1165"/>
      <c r="AX165" s="1165"/>
      <c r="AY165" s="1165"/>
      <c r="AZ165" s="1165"/>
      <c r="BA165" s="1165"/>
      <c r="BC165" s="1165"/>
      <c r="BE165" s="1165"/>
      <c r="BF165" s="1165"/>
      <c r="BG165" s="1165"/>
    </row>
    <row r="166" spans="18:59" x14ac:dyDescent="0.25">
      <c r="R166" s="1165"/>
      <c r="S166" s="1165"/>
      <c r="W166" s="1165"/>
      <c r="X166" s="1165"/>
      <c r="AE166" s="1165"/>
      <c r="AF166" s="1165"/>
      <c r="AV166" s="1165"/>
      <c r="AW166" s="1165"/>
      <c r="AX166" s="1165"/>
      <c r="AY166" s="1165"/>
      <c r="AZ166" s="1165"/>
      <c r="BA166" s="1165"/>
      <c r="BC166" s="1165"/>
      <c r="BE166" s="1165"/>
      <c r="BF166" s="1165"/>
      <c r="BG166" s="1165"/>
    </row>
    <row r="167" spans="18:59" x14ac:dyDescent="0.25">
      <c r="R167" s="1165"/>
      <c r="S167" s="1165"/>
      <c r="W167" s="1165"/>
      <c r="X167" s="1165"/>
      <c r="AE167" s="1165"/>
      <c r="AF167" s="1165"/>
      <c r="AV167" s="1165"/>
      <c r="AW167" s="1165"/>
      <c r="AX167" s="1165"/>
      <c r="AY167" s="1165"/>
      <c r="AZ167" s="1165"/>
      <c r="BA167" s="1165"/>
      <c r="BC167" s="1165"/>
      <c r="BE167" s="1165"/>
      <c r="BF167" s="1165"/>
      <c r="BG167" s="1165"/>
    </row>
    <row r="168" spans="18:59" x14ac:dyDescent="0.25">
      <c r="R168" s="1165"/>
      <c r="S168" s="1165"/>
      <c r="W168" s="1165"/>
      <c r="X168" s="1165"/>
      <c r="AE168" s="1165"/>
      <c r="AF168" s="1165"/>
      <c r="AV168" s="1165"/>
      <c r="AW168" s="1165"/>
      <c r="AX168" s="1165"/>
      <c r="AY168" s="1165"/>
      <c r="AZ168" s="1165"/>
      <c r="BA168" s="1165"/>
      <c r="BC168" s="1165"/>
      <c r="BE168" s="1165"/>
      <c r="BF168" s="1165"/>
      <c r="BG168" s="1165"/>
    </row>
    <row r="169" spans="18:59" x14ac:dyDescent="0.25">
      <c r="R169" s="1165"/>
      <c r="S169" s="1165"/>
      <c r="W169" s="1165"/>
      <c r="X169" s="1165"/>
      <c r="AE169" s="1165"/>
      <c r="AF169" s="1165"/>
      <c r="AV169" s="1165"/>
      <c r="AW169" s="1165"/>
      <c r="AX169" s="1165"/>
      <c r="AY169" s="1165"/>
      <c r="AZ169" s="1165"/>
      <c r="BA169" s="1165"/>
      <c r="BC169" s="1165"/>
      <c r="BE169" s="1165"/>
      <c r="BF169" s="1165"/>
      <c r="BG169" s="1165"/>
    </row>
    <row r="170" spans="18:59" x14ac:dyDescent="0.25">
      <c r="R170" s="1165"/>
      <c r="S170" s="1165"/>
      <c r="W170" s="1165"/>
      <c r="X170" s="1165"/>
      <c r="AE170" s="1165"/>
      <c r="AF170" s="1165"/>
      <c r="AV170" s="1165"/>
      <c r="AW170" s="1165"/>
      <c r="AX170" s="1165"/>
      <c r="AY170" s="1165"/>
      <c r="AZ170" s="1165"/>
      <c r="BA170" s="1165"/>
      <c r="BC170" s="1165"/>
      <c r="BE170" s="1165"/>
      <c r="BF170" s="1165"/>
      <c r="BG170" s="1165"/>
    </row>
    <row r="171" spans="18:59" x14ac:dyDescent="0.25">
      <c r="R171" s="1165"/>
      <c r="S171" s="1165"/>
      <c r="W171" s="1165"/>
      <c r="X171" s="1165"/>
      <c r="AE171" s="1165"/>
      <c r="AF171" s="1165"/>
      <c r="AV171" s="1165"/>
      <c r="AW171" s="1165"/>
      <c r="AX171" s="1165"/>
      <c r="AY171" s="1165"/>
      <c r="AZ171" s="1165"/>
      <c r="BA171" s="1165"/>
      <c r="BC171" s="1165"/>
      <c r="BE171" s="1165"/>
      <c r="BF171" s="1165"/>
      <c r="BG171" s="1165"/>
    </row>
    <row r="172" spans="18:59" x14ac:dyDescent="0.25">
      <c r="R172" s="1165"/>
      <c r="S172" s="1165"/>
      <c r="W172" s="1165"/>
      <c r="X172" s="1165"/>
      <c r="AE172" s="1165"/>
      <c r="AF172" s="1165"/>
      <c r="AV172" s="1165"/>
      <c r="AW172" s="1165"/>
      <c r="AX172" s="1165"/>
      <c r="AY172" s="1165"/>
      <c r="AZ172" s="1165"/>
      <c r="BA172" s="1165"/>
      <c r="BC172" s="1165"/>
      <c r="BE172" s="1165"/>
      <c r="BF172" s="1165"/>
      <c r="BG172" s="1165"/>
    </row>
    <row r="173" spans="18:59" x14ac:dyDescent="0.25">
      <c r="R173" s="1165"/>
      <c r="S173" s="1165"/>
      <c r="W173" s="1165"/>
      <c r="X173" s="1165"/>
      <c r="AE173" s="1165"/>
      <c r="AF173" s="1165"/>
      <c r="AV173" s="1165"/>
      <c r="AW173" s="1165"/>
      <c r="AX173" s="1165"/>
      <c r="AY173" s="1165"/>
      <c r="AZ173" s="1165"/>
      <c r="BA173" s="1165"/>
      <c r="BC173" s="1165"/>
      <c r="BE173" s="1165"/>
      <c r="BF173" s="1165"/>
      <c r="BG173" s="1165"/>
    </row>
    <row r="174" spans="18:59" x14ac:dyDescent="0.25">
      <c r="R174" s="1165"/>
      <c r="S174" s="1165"/>
      <c r="W174" s="1165"/>
      <c r="X174" s="1165"/>
      <c r="AE174" s="1165"/>
      <c r="AF174" s="1165"/>
      <c r="AV174" s="1165"/>
      <c r="AW174" s="1165"/>
      <c r="AX174" s="1165"/>
      <c r="AY174" s="1165"/>
      <c r="AZ174" s="1165"/>
      <c r="BA174" s="1165"/>
      <c r="BC174" s="1165"/>
      <c r="BE174" s="1165"/>
      <c r="BF174" s="1165"/>
      <c r="BG174" s="1165"/>
    </row>
    <row r="175" spans="18:59" x14ac:dyDescent="0.25">
      <c r="R175" s="1165"/>
      <c r="S175" s="1165"/>
      <c r="W175" s="1165"/>
      <c r="X175" s="1165"/>
      <c r="AE175" s="1165"/>
      <c r="AF175" s="1165"/>
      <c r="AV175" s="1165"/>
      <c r="AW175" s="1165"/>
      <c r="AX175" s="1165"/>
      <c r="AY175" s="1165"/>
      <c r="AZ175" s="1165"/>
      <c r="BA175" s="1165"/>
      <c r="BC175" s="1165"/>
      <c r="BE175" s="1165"/>
      <c r="BF175" s="1165"/>
      <c r="BG175" s="1165"/>
    </row>
    <row r="176" spans="18:59" x14ac:dyDescent="0.25">
      <c r="R176" s="1165"/>
      <c r="S176" s="1165"/>
      <c r="W176" s="1165"/>
      <c r="X176" s="1165"/>
      <c r="AE176" s="1165"/>
      <c r="AF176" s="1165"/>
      <c r="AV176" s="1165"/>
      <c r="AW176" s="1165"/>
      <c r="AX176" s="1165"/>
      <c r="AY176" s="1165"/>
      <c r="AZ176" s="1165"/>
      <c r="BA176" s="1165"/>
      <c r="BC176" s="1165"/>
      <c r="BE176" s="1165"/>
      <c r="BF176" s="1165"/>
      <c r="BG176" s="1165"/>
    </row>
    <row r="177" spans="18:59" x14ac:dyDescent="0.25">
      <c r="R177" s="1165"/>
      <c r="S177" s="1165"/>
      <c r="W177" s="1165"/>
      <c r="X177" s="1165"/>
      <c r="AE177" s="1165"/>
      <c r="AF177" s="1165"/>
      <c r="AV177" s="1165"/>
      <c r="AW177" s="1165"/>
      <c r="AX177" s="1165"/>
      <c r="AY177" s="1165"/>
      <c r="AZ177" s="1165"/>
      <c r="BA177" s="1165"/>
      <c r="BC177" s="1165"/>
      <c r="BE177" s="1165"/>
      <c r="BF177" s="1165"/>
      <c r="BG177" s="1165"/>
    </row>
    <row r="178" spans="18:59" x14ac:dyDescent="0.25">
      <c r="R178" s="1165"/>
      <c r="S178" s="1165"/>
      <c r="W178" s="1165"/>
      <c r="X178" s="1165"/>
      <c r="AE178" s="1165"/>
      <c r="AF178" s="1165"/>
      <c r="AV178" s="1165"/>
      <c r="AW178" s="1165"/>
      <c r="AX178" s="1165"/>
      <c r="AY178" s="1165"/>
      <c r="AZ178" s="1165"/>
      <c r="BA178" s="1165"/>
      <c r="BC178" s="1165"/>
      <c r="BE178" s="1165"/>
      <c r="BF178" s="1165"/>
      <c r="BG178" s="1165"/>
    </row>
    <row r="179" spans="18:59" x14ac:dyDescent="0.25">
      <c r="R179" s="1165"/>
      <c r="S179" s="1165"/>
      <c r="W179" s="1165"/>
      <c r="X179" s="1165"/>
      <c r="AE179" s="1165"/>
      <c r="AF179" s="1165"/>
      <c r="AV179" s="1165"/>
      <c r="AW179" s="1165"/>
      <c r="AX179" s="1165"/>
      <c r="AY179" s="1165"/>
      <c r="AZ179" s="1165"/>
      <c r="BA179" s="1165"/>
      <c r="BC179" s="1165"/>
      <c r="BE179" s="1165"/>
      <c r="BF179" s="1165"/>
      <c r="BG179" s="1165"/>
    </row>
    <row r="180" spans="18:59" x14ac:dyDescent="0.25">
      <c r="R180" s="1165"/>
      <c r="S180" s="1165"/>
      <c r="W180" s="1165"/>
      <c r="X180" s="1165"/>
      <c r="AE180" s="1165"/>
      <c r="AF180" s="1165"/>
      <c r="AV180" s="1165"/>
      <c r="AW180" s="1165"/>
      <c r="AX180" s="1165"/>
      <c r="AY180" s="1165"/>
      <c r="AZ180" s="1165"/>
      <c r="BA180" s="1165"/>
      <c r="BC180" s="1165"/>
      <c r="BE180" s="1165"/>
      <c r="BF180" s="1165"/>
      <c r="BG180" s="1165"/>
    </row>
    <row r="181" spans="18:59" x14ac:dyDescent="0.25">
      <c r="R181" s="1165"/>
      <c r="S181" s="1165"/>
      <c r="W181" s="1165"/>
      <c r="X181" s="1165"/>
      <c r="AE181" s="1165"/>
      <c r="AF181" s="1165"/>
      <c r="AV181" s="1165"/>
      <c r="AW181" s="1165"/>
      <c r="AX181" s="1165"/>
      <c r="AY181" s="1165"/>
      <c r="AZ181" s="1165"/>
      <c r="BA181" s="1165"/>
      <c r="BC181" s="1165"/>
      <c r="BE181" s="1165"/>
      <c r="BF181" s="1165"/>
      <c r="BG181" s="1165"/>
    </row>
    <row r="182" spans="18:59" x14ac:dyDescent="0.25">
      <c r="R182" s="1165"/>
      <c r="S182" s="1165"/>
      <c r="W182" s="1165"/>
      <c r="X182" s="1165"/>
      <c r="AE182" s="1165"/>
      <c r="AF182" s="1165"/>
      <c r="AV182" s="1165"/>
      <c r="AW182" s="1165"/>
      <c r="AX182" s="1165"/>
      <c r="AY182" s="1165"/>
      <c r="AZ182" s="1165"/>
      <c r="BA182" s="1165"/>
      <c r="BC182" s="1165"/>
      <c r="BE182" s="1165"/>
      <c r="BF182" s="1165"/>
      <c r="BG182" s="1165"/>
    </row>
    <row r="183" spans="18:59" x14ac:dyDescent="0.25">
      <c r="R183" s="1165"/>
      <c r="S183" s="1165"/>
      <c r="W183" s="1165"/>
      <c r="X183" s="1165"/>
      <c r="AE183" s="1165"/>
      <c r="AF183" s="1165"/>
      <c r="AV183" s="1165"/>
      <c r="AW183" s="1165"/>
      <c r="AX183" s="1165"/>
      <c r="AY183" s="1165"/>
      <c r="AZ183" s="1165"/>
      <c r="BA183" s="1165"/>
      <c r="BC183" s="1165"/>
      <c r="BE183" s="1165"/>
      <c r="BF183" s="1165"/>
      <c r="BG183" s="1165"/>
    </row>
    <row r="184" spans="18:59" x14ac:dyDescent="0.25">
      <c r="R184" s="1165"/>
      <c r="S184" s="1165"/>
      <c r="W184" s="1165"/>
      <c r="X184" s="1165"/>
      <c r="AE184" s="1165"/>
      <c r="AF184" s="1165"/>
      <c r="AV184" s="1165"/>
      <c r="AW184" s="1165"/>
      <c r="AX184" s="1165"/>
      <c r="AY184" s="1165"/>
      <c r="AZ184" s="1165"/>
      <c r="BA184" s="1165"/>
      <c r="BC184" s="1165"/>
      <c r="BE184" s="1165"/>
      <c r="BF184" s="1165"/>
      <c r="BG184" s="1165"/>
    </row>
    <row r="185" spans="18:59" x14ac:dyDescent="0.25">
      <c r="R185" s="1165"/>
      <c r="S185" s="1165"/>
      <c r="W185" s="1165"/>
      <c r="X185" s="1165"/>
      <c r="AE185" s="1165"/>
      <c r="AF185" s="1165"/>
      <c r="AV185" s="1165"/>
      <c r="AW185" s="1165"/>
      <c r="AX185" s="1165"/>
      <c r="AY185" s="1165"/>
      <c r="AZ185" s="1165"/>
      <c r="BA185" s="1165"/>
      <c r="BC185" s="1165"/>
      <c r="BE185" s="1165"/>
      <c r="BF185" s="1165"/>
      <c r="BG185" s="1165"/>
    </row>
    <row r="186" spans="18:59" x14ac:dyDescent="0.25">
      <c r="R186" s="1165"/>
      <c r="S186" s="1165"/>
      <c r="W186" s="1165"/>
      <c r="X186" s="1165"/>
      <c r="AE186" s="1165"/>
      <c r="AF186" s="1165"/>
      <c r="AV186" s="1165"/>
      <c r="AW186" s="1165"/>
      <c r="AX186" s="1165"/>
      <c r="AY186" s="1165"/>
      <c r="AZ186" s="1165"/>
      <c r="BA186" s="1165"/>
      <c r="BC186" s="1165"/>
      <c r="BE186" s="1165"/>
      <c r="BF186" s="1165"/>
      <c r="BG186" s="1165"/>
    </row>
    <row r="187" spans="18:59" x14ac:dyDescent="0.25">
      <c r="R187" s="1165"/>
      <c r="S187" s="1165"/>
      <c r="W187" s="1165"/>
      <c r="X187" s="1165"/>
      <c r="AE187" s="1165"/>
      <c r="AF187" s="1165"/>
      <c r="AV187" s="1165"/>
      <c r="AW187" s="1165"/>
      <c r="AX187" s="1165"/>
      <c r="AY187" s="1165"/>
      <c r="AZ187" s="1165"/>
      <c r="BA187" s="1165"/>
      <c r="BC187" s="1165"/>
      <c r="BE187" s="1165"/>
      <c r="BF187" s="1165"/>
      <c r="BG187" s="1165"/>
    </row>
    <row r="188" spans="18:59" x14ac:dyDescent="0.25">
      <c r="R188" s="1165"/>
      <c r="S188" s="1165"/>
      <c r="W188" s="1165"/>
      <c r="X188" s="1165"/>
      <c r="AE188" s="1165"/>
      <c r="AF188" s="1165"/>
      <c r="AV188" s="1165"/>
      <c r="AW188" s="1165"/>
      <c r="AX188" s="1165"/>
      <c r="AY188" s="1165"/>
      <c r="AZ188" s="1165"/>
      <c r="BA188" s="1165"/>
      <c r="BC188" s="1165"/>
      <c r="BE188" s="1165"/>
      <c r="BF188" s="1165"/>
      <c r="BG188" s="1165"/>
    </row>
    <row r="189" spans="18:59" x14ac:dyDescent="0.25">
      <c r="R189" s="1165"/>
      <c r="S189" s="1165"/>
      <c r="W189" s="1165"/>
      <c r="X189" s="1165"/>
      <c r="AE189" s="1165"/>
      <c r="AF189" s="1165"/>
      <c r="AV189" s="1165"/>
      <c r="AW189" s="1165"/>
      <c r="AX189" s="1165"/>
      <c r="AY189" s="1165"/>
      <c r="AZ189" s="1165"/>
      <c r="BA189" s="1165"/>
      <c r="BC189" s="1165"/>
      <c r="BE189" s="1165"/>
      <c r="BF189" s="1165"/>
      <c r="BG189" s="1165"/>
    </row>
    <row r="190" spans="18:59" x14ac:dyDescent="0.25">
      <c r="R190" s="1165"/>
      <c r="S190" s="1165"/>
      <c r="W190" s="1165"/>
      <c r="X190" s="1165"/>
      <c r="AE190" s="1165"/>
      <c r="AF190" s="1165"/>
      <c r="AV190" s="1165"/>
      <c r="AW190" s="1165"/>
      <c r="AX190" s="1165"/>
      <c r="AY190" s="1165"/>
      <c r="AZ190" s="1165"/>
      <c r="BA190" s="1165"/>
      <c r="BC190" s="1165"/>
      <c r="BE190" s="1165"/>
      <c r="BF190" s="1165"/>
      <c r="BG190" s="1165"/>
    </row>
    <row r="191" spans="18:59" x14ac:dyDescent="0.25">
      <c r="R191" s="1165"/>
      <c r="S191" s="1165"/>
      <c r="W191" s="1165"/>
      <c r="X191" s="1165"/>
      <c r="AE191" s="1165"/>
      <c r="AF191" s="1165"/>
      <c r="AV191" s="1165"/>
      <c r="AW191" s="1165"/>
      <c r="AX191" s="1165"/>
      <c r="AY191" s="1165"/>
      <c r="AZ191" s="1165"/>
      <c r="BA191" s="1165"/>
      <c r="BC191" s="1165"/>
      <c r="BE191" s="1165"/>
      <c r="BF191" s="1165"/>
      <c r="BG191" s="1165"/>
    </row>
    <row r="192" spans="18:59" x14ac:dyDescent="0.25">
      <c r="R192" s="1165"/>
      <c r="S192" s="1165"/>
      <c r="W192" s="1165"/>
      <c r="X192" s="1165"/>
      <c r="AE192" s="1165"/>
      <c r="AF192" s="1165"/>
      <c r="AV192" s="1165"/>
      <c r="AW192" s="1165"/>
      <c r="AX192" s="1165"/>
      <c r="AY192" s="1165"/>
      <c r="AZ192" s="1165"/>
      <c r="BA192" s="1165"/>
      <c r="BC192" s="1165"/>
      <c r="BE192" s="1165"/>
      <c r="BF192" s="1165"/>
      <c r="BG192" s="1165"/>
    </row>
    <row r="193" spans="18:59" x14ac:dyDescent="0.25">
      <c r="R193" s="1165"/>
      <c r="S193" s="1165"/>
      <c r="W193" s="1165"/>
      <c r="X193" s="1165"/>
      <c r="AE193" s="1165"/>
      <c r="AF193" s="1165"/>
      <c r="AV193" s="1165"/>
      <c r="AW193" s="1165"/>
      <c r="AX193" s="1165"/>
      <c r="AY193" s="1165"/>
      <c r="AZ193" s="1165"/>
      <c r="BA193" s="1165"/>
      <c r="BC193" s="1165"/>
      <c r="BE193" s="1165"/>
      <c r="BF193" s="1165"/>
      <c r="BG193" s="1165"/>
    </row>
    <row r="194" spans="18:59" x14ac:dyDescent="0.25">
      <c r="R194" s="1165"/>
      <c r="S194" s="1165"/>
      <c r="W194" s="1165"/>
      <c r="X194" s="1165"/>
      <c r="AE194" s="1165"/>
      <c r="AF194" s="1165"/>
      <c r="AV194" s="1165"/>
      <c r="AW194" s="1165"/>
      <c r="AX194" s="1165"/>
      <c r="AY194" s="1165"/>
      <c r="AZ194" s="1165"/>
      <c r="BA194" s="1165"/>
      <c r="BC194" s="1165"/>
      <c r="BE194" s="1165"/>
      <c r="BF194" s="1165"/>
      <c r="BG194" s="1165"/>
    </row>
    <row r="195" spans="18:59" x14ac:dyDescent="0.25">
      <c r="R195" s="1165"/>
      <c r="S195" s="1165"/>
      <c r="W195" s="1165"/>
      <c r="X195" s="1165"/>
      <c r="AE195" s="1165"/>
      <c r="AF195" s="1165"/>
      <c r="AV195" s="1165"/>
      <c r="AW195" s="1165"/>
      <c r="AX195" s="1165"/>
      <c r="AY195" s="1165"/>
      <c r="AZ195" s="1165"/>
      <c r="BA195" s="1165"/>
      <c r="BC195" s="1165"/>
      <c r="BE195" s="1165"/>
      <c r="BF195" s="1165"/>
      <c r="BG195" s="1165"/>
    </row>
    <row r="196" spans="18:59" x14ac:dyDescent="0.25">
      <c r="R196" s="1165"/>
      <c r="S196" s="1165"/>
      <c r="W196" s="1165"/>
      <c r="X196" s="1165"/>
      <c r="AE196" s="1165"/>
      <c r="AF196" s="1165"/>
      <c r="AV196" s="1165"/>
      <c r="AW196" s="1165"/>
      <c r="AX196" s="1165"/>
      <c r="AY196" s="1165"/>
      <c r="AZ196" s="1165"/>
      <c r="BA196" s="1165"/>
      <c r="BC196" s="1165"/>
      <c r="BE196" s="1165"/>
      <c r="BF196" s="1165"/>
      <c r="BG196" s="1165"/>
    </row>
    <row r="197" spans="18:59" x14ac:dyDescent="0.25">
      <c r="R197" s="1165"/>
      <c r="S197" s="1165"/>
      <c r="W197" s="1165"/>
      <c r="X197" s="1165"/>
      <c r="AE197" s="1165"/>
      <c r="AF197" s="1165"/>
      <c r="AV197" s="1165"/>
      <c r="AW197" s="1165"/>
      <c r="AX197" s="1165"/>
      <c r="AY197" s="1165"/>
      <c r="AZ197" s="1165"/>
      <c r="BA197" s="1165"/>
      <c r="BC197" s="1165"/>
      <c r="BE197" s="1165"/>
      <c r="BF197" s="1165"/>
      <c r="BG197" s="1165"/>
    </row>
    <row r="198" spans="18:59" x14ac:dyDescent="0.25">
      <c r="R198" s="1165"/>
      <c r="S198" s="1165"/>
      <c r="W198" s="1165"/>
      <c r="X198" s="1165"/>
      <c r="AE198" s="1165"/>
      <c r="AF198" s="1165"/>
      <c r="AV198" s="1165"/>
      <c r="AW198" s="1165"/>
      <c r="AX198" s="1165"/>
      <c r="AY198" s="1165"/>
      <c r="AZ198" s="1165"/>
      <c r="BA198" s="1165"/>
      <c r="BC198" s="1165"/>
      <c r="BE198" s="1165"/>
      <c r="BF198" s="1165"/>
      <c r="BG198" s="1165"/>
    </row>
    <row r="199" spans="18:59" x14ac:dyDescent="0.25">
      <c r="R199" s="1165"/>
      <c r="S199" s="1165"/>
      <c r="W199" s="1165"/>
      <c r="X199" s="1165"/>
      <c r="AE199" s="1165"/>
      <c r="AF199" s="1165"/>
      <c r="AV199" s="1165"/>
      <c r="AW199" s="1165"/>
      <c r="AX199" s="1165"/>
      <c r="AY199" s="1165"/>
      <c r="AZ199" s="1165"/>
      <c r="BA199" s="1165"/>
      <c r="BC199" s="1165"/>
      <c r="BE199" s="1165"/>
      <c r="BF199" s="1165"/>
      <c r="BG199" s="1165"/>
    </row>
    <row r="200" spans="18:59" x14ac:dyDescent="0.25">
      <c r="R200" s="1165"/>
      <c r="S200" s="1165"/>
      <c r="W200" s="1165"/>
      <c r="X200" s="1165"/>
      <c r="AE200" s="1165"/>
      <c r="AF200" s="1165"/>
      <c r="AV200" s="1165"/>
      <c r="AW200" s="1165"/>
      <c r="AX200" s="1165"/>
      <c r="AY200" s="1165"/>
      <c r="AZ200" s="1165"/>
      <c r="BA200" s="1165"/>
      <c r="BC200" s="1165"/>
      <c r="BE200" s="1165"/>
      <c r="BF200" s="1165"/>
      <c r="BG200" s="1165"/>
    </row>
    <row r="201" spans="18:59" x14ac:dyDescent="0.25">
      <c r="R201" s="1165"/>
      <c r="S201" s="1165"/>
      <c r="W201" s="1165"/>
      <c r="X201" s="1165"/>
      <c r="AE201" s="1165"/>
      <c r="AF201" s="1165"/>
      <c r="AV201" s="1165"/>
      <c r="AW201" s="1165"/>
      <c r="AX201" s="1165"/>
      <c r="AY201" s="1165"/>
      <c r="AZ201" s="1165"/>
      <c r="BA201" s="1165"/>
      <c r="BC201" s="1165"/>
      <c r="BE201" s="1165"/>
      <c r="BF201" s="1165"/>
      <c r="BG201" s="1165"/>
    </row>
    <row r="202" spans="18:59" x14ac:dyDescent="0.25">
      <c r="R202" s="1165"/>
      <c r="S202" s="1165"/>
      <c r="W202" s="1165"/>
      <c r="X202" s="1165"/>
      <c r="AE202" s="1165"/>
      <c r="AF202" s="1165"/>
      <c r="AV202" s="1165"/>
      <c r="AW202" s="1165"/>
      <c r="AX202" s="1165"/>
      <c r="AY202" s="1165"/>
      <c r="AZ202" s="1165"/>
      <c r="BA202" s="1165"/>
      <c r="BC202" s="1165"/>
      <c r="BE202" s="1165"/>
      <c r="BF202" s="1165"/>
      <c r="BG202" s="1165"/>
    </row>
    <row r="203" spans="18:59" x14ac:dyDescent="0.25">
      <c r="R203" s="1165"/>
      <c r="S203" s="1165"/>
      <c r="W203" s="1165"/>
      <c r="X203" s="1165"/>
      <c r="AE203" s="1165"/>
      <c r="AF203" s="1165"/>
      <c r="AV203" s="1165"/>
      <c r="AW203" s="1165"/>
      <c r="AX203" s="1165"/>
      <c r="AY203" s="1165"/>
      <c r="AZ203" s="1165"/>
      <c r="BA203" s="1165"/>
      <c r="BC203" s="1165"/>
      <c r="BE203" s="1165"/>
      <c r="BF203" s="1165"/>
      <c r="BG203" s="1165"/>
    </row>
    <row r="204" spans="18:59" x14ac:dyDescent="0.25">
      <c r="R204" s="1165"/>
      <c r="S204" s="1165"/>
      <c r="W204" s="1165"/>
      <c r="X204" s="1165"/>
      <c r="AE204" s="1165"/>
      <c r="AF204" s="1165"/>
      <c r="AV204" s="1165"/>
      <c r="AW204" s="1165"/>
      <c r="AX204" s="1165"/>
      <c r="AY204" s="1165"/>
      <c r="AZ204" s="1165"/>
      <c r="BA204" s="1165"/>
      <c r="BC204" s="1165"/>
      <c r="BE204" s="1165"/>
      <c r="BF204" s="1165"/>
      <c r="BG204" s="1165"/>
    </row>
    <row r="205" spans="18:59" x14ac:dyDescent="0.25">
      <c r="R205" s="1165"/>
      <c r="S205" s="1165"/>
      <c r="W205" s="1165"/>
      <c r="X205" s="1165"/>
      <c r="AE205" s="1165"/>
      <c r="AF205" s="1165"/>
      <c r="AV205" s="1165"/>
      <c r="AW205" s="1165"/>
      <c r="AX205" s="1165"/>
      <c r="AY205" s="1165"/>
      <c r="AZ205" s="1165"/>
      <c r="BA205" s="1165"/>
      <c r="BC205" s="1165"/>
      <c r="BE205" s="1165"/>
      <c r="BF205" s="1165"/>
      <c r="BG205" s="1165"/>
    </row>
    <row r="206" spans="18:59" x14ac:dyDescent="0.25">
      <c r="R206" s="1165"/>
      <c r="S206" s="1165"/>
      <c r="W206" s="1165"/>
      <c r="X206" s="1165"/>
      <c r="AE206" s="1165"/>
      <c r="AF206" s="1165"/>
      <c r="AV206" s="1165"/>
      <c r="AW206" s="1165"/>
      <c r="AX206" s="1165"/>
      <c r="AY206" s="1165"/>
      <c r="AZ206" s="1165"/>
      <c r="BA206" s="1165"/>
      <c r="BC206" s="1165"/>
      <c r="BE206" s="1165"/>
      <c r="BF206" s="1165"/>
      <c r="BG206" s="1165"/>
    </row>
    <row r="207" spans="18:59" x14ac:dyDescent="0.25">
      <c r="R207" s="1165"/>
      <c r="S207" s="1165"/>
      <c r="W207" s="1165"/>
      <c r="X207" s="1165"/>
      <c r="AE207" s="1165"/>
      <c r="AF207" s="1165"/>
      <c r="AV207" s="1165"/>
      <c r="AW207" s="1165"/>
      <c r="AX207" s="1165"/>
      <c r="AY207" s="1165"/>
      <c r="AZ207" s="1165"/>
      <c r="BA207" s="1165"/>
      <c r="BC207" s="1165"/>
      <c r="BE207" s="1165"/>
      <c r="BF207" s="1165"/>
      <c r="BG207" s="1165"/>
    </row>
    <row r="208" spans="18:59" x14ac:dyDescent="0.25">
      <c r="R208" s="1165"/>
      <c r="S208" s="1165"/>
      <c r="W208" s="1165"/>
      <c r="X208" s="1165"/>
      <c r="AE208" s="1165"/>
      <c r="AF208" s="1165"/>
      <c r="AV208" s="1165"/>
      <c r="AW208" s="1165"/>
      <c r="AX208" s="1165"/>
      <c r="AY208" s="1165"/>
      <c r="AZ208" s="1165"/>
      <c r="BA208" s="1165"/>
      <c r="BC208" s="1165"/>
      <c r="BE208" s="1165"/>
      <c r="BF208" s="1165"/>
      <c r="BG208" s="1165"/>
    </row>
    <row r="209" spans="18:59" x14ac:dyDescent="0.25">
      <c r="R209" s="1165"/>
      <c r="S209" s="1165"/>
      <c r="W209" s="1165"/>
      <c r="X209" s="1165"/>
      <c r="AE209" s="1165"/>
      <c r="AF209" s="1165"/>
      <c r="AV209" s="1165"/>
      <c r="AW209" s="1165"/>
      <c r="AX209" s="1165"/>
      <c r="AY209" s="1165"/>
      <c r="AZ209" s="1165"/>
      <c r="BA209" s="1165"/>
      <c r="BC209" s="1165"/>
      <c r="BE209" s="1165"/>
      <c r="BF209" s="1165"/>
      <c r="BG209" s="1165"/>
    </row>
    <row r="210" spans="18:59" x14ac:dyDescent="0.25">
      <c r="R210" s="1165"/>
      <c r="S210" s="1165"/>
      <c r="W210" s="1165"/>
      <c r="X210" s="1165"/>
      <c r="AE210" s="1165"/>
      <c r="AF210" s="1165"/>
      <c r="AV210" s="1165"/>
      <c r="AW210" s="1165"/>
      <c r="AX210" s="1165"/>
      <c r="AY210" s="1165"/>
      <c r="AZ210" s="1165"/>
      <c r="BA210" s="1165"/>
      <c r="BC210" s="1165"/>
      <c r="BE210" s="1165"/>
      <c r="BF210" s="1165"/>
      <c r="BG210" s="1165"/>
    </row>
    <row r="211" spans="18:59" x14ac:dyDescent="0.25">
      <c r="R211" s="1165"/>
      <c r="S211" s="1165"/>
      <c r="W211" s="1165"/>
      <c r="X211" s="1165"/>
      <c r="AE211" s="1165"/>
      <c r="AF211" s="1165"/>
      <c r="AV211" s="1165"/>
      <c r="AW211" s="1165"/>
      <c r="AX211" s="1165"/>
      <c r="AY211" s="1165"/>
      <c r="AZ211" s="1165"/>
      <c r="BA211" s="1165"/>
      <c r="BC211" s="1165"/>
      <c r="BE211" s="1165"/>
      <c r="BF211" s="1165"/>
      <c r="BG211" s="1165"/>
    </row>
    <row r="212" spans="18:59" x14ac:dyDescent="0.25">
      <c r="R212" s="1165"/>
      <c r="S212" s="1165"/>
      <c r="W212" s="1165"/>
      <c r="X212" s="1165"/>
      <c r="AE212" s="1165"/>
      <c r="AF212" s="1165"/>
      <c r="AV212" s="1165"/>
      <c r="AW212" s="1165"/>
      <c r="AX212" s="1165"/>
      <c r="AY212" s="1165"/>
      <c r="AZ212" s="1165"/>
      <c r="BA212" s="1165"/>
      <c r="BC212" s="1165"/>
      <c r="BE212" s="1165"/>
      <c r="BF212" s="1165"/>
      <c r="BG212" s="1165"/>
    </row>
    <row r="213" spans="18:59" x14ac:dyDescent="0.25">
      <c r="R213" s="1165"/>
      <c r="S213" s="1165"/>
      <c r="W213" s="1165"/>
      <c r="X213" s="1165"/>
      <c r="AE213" s="1165"/>
      <c r="AF213" s="1165"/>
      <c r="AV213" s="1165"/>
      <c r="AW213" s="1165"/>
      <c r="AX213" s="1165"/>
      <c r="AY213" s="1165"/>
      <c r="AZ213" s="1165"/>
      <c r="BA213" s="1165"/>
      <c r="BC213" s="1165"/>
      <c r="BE213" s="1165"/>
      <c r="BF213" s="1165"/>
      <c r="BG213" s="1165"/>
    </row>
    <row r="214" spans="18:59" x14ac:dyDescent="0.25">
      <c r="R214" s="1165"/>
      <c r="S214" s="1165"/>
      <c r="W214" s="1165"/>
      <c r="X214" s="1165"/>
      <c r="AE214" s="1165"/>
      <c r="AF214" s="1165"/>
      <c r="AV214" s="1165"/>
      <c r="AW214" s="1165"/>
      <c r="AX214" s="1165"/>
      <c r="AY214" s="1165"/>
      <c r="AZ214" s="1165"/>
      <c r="BA214" s="1165"/>
      <c r="BC214" s="1165"/>
      <c r="BE214" s="1165"/>
      <c r="BF214" s="1165"/>
      <c r="BG214" s="1165"/>
    </row>
    <row r="215" spans="18:59" x14ac:dyDescent="0.25">
      <c r="R215" s="1165"/>
      <c r="S215" s="1165"/>
      <c r="W215" s="1165"/>
      <c r="X215" s="1165"/>
      <c r="AE215" s="1165"/>
      <c r="AF215" s="1165"/>
      <c r="AV215" s="1165"/>
      <c r="AW215" s="1165"/>
      <c r="AX215" s="1165"/>
      <c r="AY215" s="1165"/>
      <c r="AZ215" s="1165"/>
      <c r="BA215" s="1165"/>
      <c r="BC215" s="1165"/>
      <c r="BE215" s="1165"/>
      <c r="BF215" s="1165"/>
      <c r="BG215" s="1165"/>
    </row>
    <row r="216" spans="18:59" x14ac:dyDescent="0.25">
      <c r="R216" s="1165"/>
      <c r="S216" s="1165"/>
      <c r="W216" s="1165"/>
      <c r="X216" s="1165"/>
      <c r="AE216" s="1165"/>
      <c r="AF216" s="1165"/>
      <c r="AV216" s="1165"/>
      <c r="AW216" s="1165"/>
      <c r="AX216" s="1165"/>
      <c r="AY216" s="1165"/>
      <c r="AZ216" s="1165"/>
      <c r="BA216" s="1165"/>
      <c r="BC216" s="1165"/>
      <c r="BE216" s="1165"/>
      <c r="BF216" s="1165"/>
      <c r="BG216" s="1165"/>
    </row>
    <row r="217" spans="18:59" x14ac:dyDescent="0.25">
      <c r="R217" s="1165"/>
      <c r="S217" s="1165"/>
      <c r="W217" s="1165"/>
      <c r="X217" s="1165"/>
      <c r="AE217" s="1165"/>
      <c r="AF217" s="1165"/>
      <c r="AV217" s="1165"/>
      <c r="AW217" s="1165"/>
      <c r="AX217" s="1165"/>
      <c r="AY217" s="1165"/>
      <c r="AZ217" s="1165"/>
      <c r="BA217" s="1165"/>
      <c r="BC217" s="1165"/>
      <c r="BE217" s="1165"/>
      <c r="BF217" s="1165"/>
      <c r="BG217" s="1165"/>
    </row>
    <row r="218" spans="18:59" x14ac:dyDescent="0.25">
      <c r="R218" s="1165"/>
      <c r="S218" s="1165"/>
      <c r="W218" s="1165"/>
      <c r="X218" s="1165"/>
      <c r="AE218" s="1165"/>
      <c r="AF218" s="1165"/>
      <c r="AV218" s="1165"/>
      <c r="AW218" s="1165"/>
      <c r="AX218" s="1165"/>
      <c r="AY218" s="1165"/>
      <c r="AZ218" s="1165"/>
      <c r="BA218" s="1165"/>
      <c r="BC218" s="1165"/>
      <c r="BE218" s="1165"/>
      <c r="BF218" s="1165"/>
      <c r="BG218" s="1165"/>
    </row>
    <row r="219" spans="18:59" x14ac:dyDescent="0.25">
      <c r="R219" s="1165"/>
      <c r="S219" s="1165"/>
      <c r="W219" s="1165"/>
      <c r="X219" s="1165"/>
      <c r="AE219" s="1165"/>
      <c r="AF219" s="1165"/>
      <c r="AV219" s="1165"/>
      <c r="AW219" s="1165"/>
      <c r="AX219" s="1165"/>
      <c r="AY219" s="1165"/>
      <c r="AZ219" s="1165"/>
      <c r="BA219" s="1165"/>
      <c r="BC219" s="1165"/>
      <c r="BE219" s="1165"/>
      <c r="BF219" s="1165"/>
      <c r="BG219" s="1165"/>
    </row>
    <row r="220" spans="18:59" x14ac:dyDescent="0.25">
      <c r="R220" s="1165"/>
      <c r="S220" s="1165"/>
      <c r="W220" s="1165"/>
      <c r="X220" s="1165"/>
      <c r="AE220" s="1165"/>
      <c r="AF220" s="1165"/>
      <c r="AV220" s="1165"/>
      <c r="AW220" s="1165"/>
      <c r="AX220" s="1165"/>
      <c r="AY220" s="1165"/>
      <c r="AZ220" s="1165"/>
      <c r="BA220" s="1165"/>
      <c r="BC220" s="1165"/>
      <c r="BE220" s="1165"/>
      <c r="BF220" s="1165"/>
      <c r="BG220" s="1165"/>
    </row>
    <row r="221" spans="18:59" x14ac:dyDescent="0.25">
      <c r="R221" s="1165"/>
      <c r="S221" s="1165"/>
      <c r="W221" s="1165"/>
      <c r="X221" s="1165"/>
      <c r="AE221" s="1165"/>
      <c r="AF221" s="1165"/>
      <c r="AV221" s="1165"/>
      <c r="AW221" s="1165"/>
      <c r="AX221" s="1165"/>
      <c r="AY221" s="1165"/>
      <c r="AZ221" s="1165"/>
      <c r="BA221" s="1165"/>
      <c r="BC221" s="1165"/>
      <c r="BE221" s="1165"/>
      <c r="BF221" s="1165"/>
      <c r="BG221" s="1165"/>
    </row>
    <row r="222" spans="18:59" x14ac:dyDescent="0.25">
      <c r="R222" s="1165"/>
      <c r="S222" s="1165"/>
      <c r="W222" s="1165"/>
      <c r="X222" s="1165"/>
      <c r="AE222" s="1165"/>
      <c r="AF222" s="1165"/>
      <c r="AV222" s="1165"/>
      <c r="AW222" s="1165"/>
      <c r="AX222" s="1165"/>
      <c r="AY222" s="1165"/>
      <c r="AZ222" s="1165"/>
      <c r="BA222" s="1165"/>
      <c r="BC222" s="1165"/>
      <c r="BE222" s="1165"/>
      <c r="BF222" s="1165"/>
      <c r="BG222" s="1165"/>
    </row>
    <row r="223" spans="18:59" x14ac:dyDescent="0.25">
      <c r="R223" s="1165"/>
      <c r="S223" s="1165"/>
      <c r="W223" s="1165"/>
      <c r="X223" s="1165"/>
      <c r="AE223" s="1165"/>
      <c r="AF223" s="1165"/>
      <c r="AV223" s="1165"/>
      <c r="AW223" s="1165"/>
      <c r="AX223" s="1165"/>
      <c r="AY223" s="1165"/>
      <c r="AZ223" s="1165"/>
      <c r="BA223" s="1165"/>
      <c r="BC223" s="1165"/>
      <c r="BE223" s="1165"/>
      <c r="BF223" s="1165"/>
      <c r="BG223" s="1165"/>
    </row>
    <row r="224" spans="18:59" x14ac:dyDescent="0.25">
      <c r="R224" s="1165"/>
      <c r="S224" s="1165"/>
      <c r="W224" s="1165"/>
      <c r="X224" s="1165"/>
      <c r="AE224" s="1165"/>
      <c r="AF224" s="1165"/>
      <c r="AV224" s="1165"/>
      <c r="AW224" s="1165"/>
      <c r="AX224" s="1165"/>
      <c r="AY224" s="1165"/>
      <c r="AZ224" s="1165"/>
      <c r="BA224" s="1165"/>
      <c r="BC224" s="1165"/>
      <c r="BE224" s="1165"/>
      <c r="BF224" s="1165"/>
      <c r="BG224" s="1165"/>
    </row>
    <row r="225" spans="18:59" x14ac:dyDescent="0.25">
      <c r="R225" s="1165"/>
      <c r="S225" s="1165"/>
      <c r="W225" s="1165"/>
      <c r="X225" s="1165"/>
      <c r="AE225" s="1165"/>
      <c r="AF225" s="1165"/>
      <c r="AV225" s="1165"/>
      <c r="AW225" s="1165"/>
      <c r="AX225" s="1165"/>
      <c r="AY225" s="1165"/>
      <c r="AZ225" s="1165"/>
      <c r="BA225" s="1165"/>
      <c r="BC225" s="1165"/>
      <c r="BE225" s="1165"/>
      <c r="BF225" s="1165"/>
      <c r="BG225" s="1165"/>
    </row>
    <row r="226" spans="18:59" x14ac:dyDescent="0.25">
      <c r="R226" s="1165"/>
      <c r="S226" s="1165"/>
      <c r="W226" s="1165"/>
      <c r="X226" s="1165"/>
      <c r="AE226" s="1165"/>
      <c r="AF226" s="1165"/>
      <c r="AV226" s="1165"/>
      <c r="AW226" s="1165"/>
      <c r="AX226" s="1165"/>
      <c r="AY226" s="1165"/>
      <c r="AZ226" s="1165"/>
      <c r="BA226" s="1165"/>
      <c r="BC226" s="1165"/>
      <c r="BE226" s="1165"/>
      <c r="BF226" s="1165"/>
      <c r="BG226" s="1165"/>
    </row>
    <row r="227" spans="18:59" x14ac:dyDescent="0.25">
      <c r="R227" s="1165"/>
      <c r="S227" s="1165"/>
      <c r="W227" s="1165"/>
      <c r="X227" s="1165"/>
      <c r="AE227" s="1165"/>
      <c r="AF227" s="1165"/>
      <c r="AV227" s="1165"/>
      <c r="AW227" s="1165"/>
      <c r="AX227" s="1165"/>
      <c r="AY227" s="1165"/>
      <c r="AZ227" s="1165"/>
      <c r="BA227" s="1165"/>
      <c r="BC227" s="1165"/>
      <c r="BE227" s="1165"/>
      <c r="BF227" s="1165"/>
      <c r="BG227" s="1165"/>
    </row>
    <row r="228" spans="18:59" x14ac:dyDescent="0.25">
      <c r="R228" s="1165"/>
      <c r="S228" s="1165"/>
      <c r="W228" s="1165"/>
      <c r="X228" s="1165"/>
      <c r="AE228" s="1165"/>
      <c r="AF228" s="1165"/>
      <c r="AV228" s="1165"/>
      <c r="AW228" s="1165"/>
      <c r="AX228" s="1165"/>
      <c r="AY228" s="1165"/>
      <c r="AZ228" s="1165"/>
      <c r="BA228" s="1165"/>
      <c r="BC228" s="1165"/>
      <c r="BE228" s="1165"/>
      <c r="BF228" s="1165"/>
      <c r="BG228" s="1165"/>
    </row>
    <row r="229" spans="18:59" x14ac:dyDescent="0.25">
      <c r="R229" s="1165"/>
      <c r="S229" s="1165"/>
      <c r="W229" s="1165"/>
      <c r="X229" s="1165"/>
      <c r="AE229" s="1165"/>
      <c r="AF229" s="1165"/>
      <c r="AV229" s="1165"/>
      <c r="AW229" s="1165"/>
      <c r="AX229" s="1165"/>
      <c r="AY229" s="1165"/>
      <c r="AZ229" s="1165"/>
      <c r="BA229" s="1165"/>
      <c r="BC229" s="1165"/>
      <c r="BE229" s="1165"/>
      <c r="BF229" s="1165"/>
      <c r="BG229" s="1165"/>
    </row>
    <row r="230" spans="18:59" x14ac:dyDescent="0.25">
      <c r="R230" s="1165"/>
      <c r="S230" s="1165"/>
      <c r="W230" s="1165"/>
      <c r="X230" s="1165"/>
      <c r="AE230" s="1165"/>
      <c r="AF230" s="1165"/>
      <c r="AV230" s="1165"/>
      <c r="AW230" s="1165"/>
      <c r="AX230" s="1165"/>
      <c r="AY230" s="1165"/>
      <c r="AZ230" s="1165"/>
      <c r="BA230" s="1165"/>
      <c r="BC230" s="1165"/>
      <c r="BE230" s="1165"/>
      <c r="BF230" s="1165"/>
      <c r="BG230" s="1165"/>
    </row>
    <row r="231" spans="18:59" x14ac:dyDescent="0.25">
      <c r="R231" s="1165"/>
      <c r="S231" s="1165"/>
      <c r="W231" s="1165"/>
      <c r="X231" s="1165"/>
      <c r="AE231" s="1165"/>
      <c r="AF231" s="1165"/>
      <c r="AV231" s="1165"/>
      <c r="AW231" s="1165"/>
      <c r="AX231" s="1165"/>
      <c r="AY231" s="1165"/>
      <c r="AZ231" s="1165"/>
      <c r="BA231" s="1165"/>
      <c r="BC231" s="1165"/>
      <c r="BE231" s="1165"/>
      <c r="BF231" s="1165"/>
      <c r="BG231" s="1165"/>
    </row>
    <row r="232" spans="18:59" x14ac:dyDescent="0.25">
      <c r="R232" s="1165"/>
      <c r="S232" s="1165"/>
      <c r="W232" s="1165"/>
      <c r="X232" s="1165"/>
      <c r="AE232" s="1165"/>
      <c r="AF232" s="1165"/>
      <c r="AV232" s="1165"/>
      <c r="AW232" s="1165"/>
      <c r="AX232" s="1165"/>
      <c r="AY232" s="1165"/>
      <c r="AZ232" s="1165"/>
      <c r="BA232" s="1165"/>
      <c r="BC232" s="1165"/>
      <c r="BE232" s="1165"/>
      <c r="BF232" s="1165"/>
      <c r="BG232" s="1165"/>
    </row>
    <row r="233" spans="18:59" x14ac:dyDescent="0.25">
      <c r="R233" s="1165"/>
      <c r="S233" s="1165"/>
      <c r="W233" s="1165"/>
      <c r="X233" s="1165"/>
      <c r="AE233" s="1165"/>
      <c r="AF233" s="1165"/>
      <c r="AV233" s="1165"/>
      <c r="AW233" s="1165"/>
      <c r="AX233" s="1165"/>
      <c r="AY233" s="1165"/>
      <c r="AZ233" s="1165"/>
      <c r="BA233" s="1165"/>
      <c r="BC233" s="1165"/>
      <c r="BE233" s="1165"/>
      <c r="BF233" s="1165"/>
      <c r="BG233" s="1165"/>
    </row>
    <row r="234" spans="18:59" x14ac:dyDescent="0.25">
      <c r="R234" s="1165"/>
      <c r="S234" s="1165"/>
      <c r="W234" s="1165"/>
      <c r="X234" s="1165"/>
      <c r="AE234" s="1165"/>
      <c r="AF234" s="1165"/>
      <c r="AV234" s="1165"/>
      <c r="AW234" s="1165"/>
      <c r="AX234" s="1165"/>
      <c r="AY234" s="1165"/>
      <c r="AZ234" s="1165"/>
      <c r="BA234" s="1165"/>
      <c r="BC234" s="1165"/>
      <c r="BE234" s="1165"/>
      <c r="BF234" s="1165"/>
      <c r="BG234" s="1165"/>
    </row>
    <row r="235" spans="18:59" x14ac:dyDescent="0.25">
      <c r="R235" s="1165"/>
      <c r="S235" s="1165"/>
      <c r="W235" s="1165"/>
      <c r="X235" s="1165"/>
      <c r="AE235" s="1165"/>
      <c r="AF235" s="1165"/>
      <c r="AV235" s="1165"/>
      <c r="AW235" s="1165"/>
      <c r="AX235" s="1165"/>
      <c r="AY235" s="1165"/>
      <c r="AZ235" s="1165"/>
      <c r="BA235" s="1165"/>
      <c r="BC235" s="1165"/>
      <c r="BE235" s="1165"/>
      <c r="BF235" s="1165"/>
      <c r="BG235" s="1165"/>
    </row>
    <row r="236" spans="18:59" x14ac:dyDescent="0.25">
      <c r="R236" s="1165"/>
      <c r="S236" s="1165"/>
      <c r="W236" s="1165"/>
      <c r="X236" s="1165"/>
      <c r="AE236" s="1165"/>
      <c r="AF236" s="1165"/>
      <c r="AV236" s="1165"/>
      <c r="AW236" s="1165"/>
      <c r="AX236" s="1165"/>
      <c r="AY236" s="1165"/>
      <c r="AZ236" s="1165"/>
      <c r="BA236" s="1165"/>
      <c r="BC236" s="1165"/>
      <c r="BE236" s="1165"/>
      <c r="BF236" s="1165"/>
      <c r="BG236" s="1165"/>
    </row>
    <row r="237" spans="18:59" x14ac:dyDescent="0.25">
      <c r="R237" s="1165"/>
      <c r="S237" s="1165"/>
      <c r="W237" s="1165"/>
      <c r="X237" s="1165"/>
      <c r="AE237" s="1165"/>
      <c r="AF237" s="1165"/>
      <c r="AV237" s="1165"/>
      <c r="AW237" s="1165"/>
      <c r="AX237" s="1165"/>
      <c r="AY237" s="1165"/>
      <c r="AZ237" s="1165"/>
      <c r="BA237" s="1165"/>
      <c r="BC237" s="1165"/>
      <c r="BE237" s="1165"/>
      <c r="BF237" s="1165"/>
      <c r="BG237" s="1165"/>
    </row>
    <row r="238" spans="18:59" x14ac:dyDescent="0.25">
      <c r="R238" s="1165"/>
      <c r="S238" s="1165"/>
      <c r="W238" s="1165"/>
      <c r="X238" s="1165"/>
      <c r="AE238" s="1165"/>
      <c r="AF238" s="1165"/>
      <c r="AV238" s="1165"/>
      <c r="AW238" s="1165"/>
      <c r="AX238" s="1165"/>
      <c r="AY238" s="1165"/>
      <c r="AZ238" s="1165"/>
      <c r="BA238" s="1165"/>
      <c r="BC238" s="1165"/>
      <c r="BE238" s="1165"/>
      <c r="BF238" s="1165"/>
      <c r="BG238" s="1165"/>
    </row>
    <row r="239" spans="18:59" x14ac:dyDescent="0.25">
      <c r="R239" s="1165"/>
      <c r="S239" s="1165"/>
      <c r="W239" s="1165"/>
      <c r="X239" s="1165"/>
      <c r="AE239" s="1165"/>
      <c r="AF239" s="1165"/>
      <c r="AV239" s="1165"/>
      <c r="AW239" s="1165"/>
      <c r="AX239" s="1165"/>
      <c r="AY239" s="1165"/>
      <c r="AZ239" s="1165"/>
      <c r="BA239" s="1165"/>
      <c r="BC239" s="1165"/>
      <c r="BE239" s="1165"/>
      <c r="BF239" s="1165"/>
      <c r="BG239" s="1165"/>
    </row>
    <row r="240" spans="18:59" x14ac:dyDescent="0.25">
      <c r="R240" s="1165"/>
      <c r="S240" s="1165"/>
      <c r="W240" s="1165"/>
      <c r="X240" s="1165"/>
      <c r="AE240" s="1165"/>
      <c r="AF240" s="1165"/>
      <c r="AV240" s="1165"/>
      <c r="AW240" s="1165"/>
      <c r="AX240" s="1165"/>
      <c r="AY240" s="1165"/>
      <c r="AZ240" s="1165"/>
      <c r="BA240" s="1165"/>
      <c r="BC240" s="1165"/>
      <c r="BE240" s="1165"/>
      <c r="BF240" s="1165"/>
      <c r="BG240" s="1165"/>
    </row>
    <row r="241" spans="18:59" x14ac:dyDescent="0.25">
      <c r="R241" s="1165"/>
      <c r="S241" s="1165"/>
      <c r="W241" s="1165"/>
      <c r="X241" s="1165"/>
      <c r="AE241" s="1165"/>
      <c r="AF241" s="1165"/>
      <c r="AV241" s="1165"/>
      <c r="AW241" s="1165"/>
      <c r="AX241" s="1165"/>
      <c r="AY241" s="1165"/>
      <c r="AZ241" s="1165"/>
      <c r="BA241" s="1165"/>
      <c r="BC241" s="1165"/>
      <c r="BE241" s="1165"/>
      <c r="BF241" s="1165"/>
      <c r="BG241" s="1165"/>
    </row>
    <row r="242" spans="18:59" x14ac:dyDescent="0.25">
      <c r="R242" s="1165"/>
      <c r="S242" s="1165"/>
      <c r="W242" s="1165"/>
      <c r="X242" s="1165"/>
      <c r="AE242" s="1165"/>
      <c r="AF242" s="1165"/>
      <c r="AV242" s="1165"/>
      <c r="AW242" s="1165"/>
      <c r="AX242" s="1165"/>
      <c r="AY242" s="1165"/>
      <c r="AZ242" s="1165"/>
      <c r="BA242" s="1165"/>
      <c r="BC242" s="1165"/>
      <c r="BE242" s="1165"/>
      <c r="BF242" s="1165"/>
      <c r="BG242" s="1165"/>
    </row>
    <row r="243" spans="18:59" x14ac:dyDescent="0.25">
      <c r="R243" s="1165"/>
      <c r="S243" s="1165"/>
      <c r="W243" s="1165"/>
      <c r="X243" s="1165"/>
      <c r="AE243" s="1165"/>
      <c r="AF243" s="1165"/>
      <c r="AV243" s="1165"/>
      <c r="AW243" s="1165"/>
      <c r="AX243" s="1165"/>
      <c r="AY243" s="1165"/>
      <c r="AZ243" s="1165"/>
      <c r="BA243" s="1165"/>
      <c r="BC243" s="1165"/>
      <c r="BE243" s="1165"/>
      <c r="BF243" s="1165"/>
      <c r="BG243" s="1165"/>
    </row>
    <row r="244" spans="18:59" x14ac:dyDescent="0.25">
      <c r="R244" s="1165"/>
      <c r="S244" s="1165"/>
      <c r="W244" s="1165"/>
      <c r="X244" s="1165"/>
      <c r="AE244" s="1165"/>
      <c r="AF244" s="1165"/>
      <c r="AV244" s="1165"/>
      <c r="AW244" s="1165"/>
      <c r="AX244" s="1165"/>
      <c r="AY244" s="1165"/>
      <c r="AZ244" s="1165"/>
      <c r="BA244" s="1165"/>
      <c r="BC244" s="1165"/>
      <c r="BE244" s="1165"/>
      <c r="BF244" s="1165"/>
      <c r="BG244" s="1165"/>
    </row>
    <row r="245" spans="18:59" x14ac:dyDescent="0.25">
      <c r="R245" s="1165"/>
      <c r="S245" s="1165"/>
      <c r="W245" s="1165"/>
      <c r="X245" s="1165"/>
      <c r="AE245" s="1165"/>
      <c r="AF245" s="1165"/>
      <c r="AV245" s="1165"/>
      <c r="AW245" s="1165"/>
      <c r="AX245" s="1165"/>
      <c r="AY245" s="1165"/>
      <c r="AZ245" s="1165"/>
      <c r="BA245" s="1165"/>
      <c r="BC245" s="1165"/>
      <c r="BE245" s="1165"/>
      <c r="BF245" s="1165"/>
      <c r="BG245" s="1165"/>
    </row>
    <row r="246" spans="18:59" x14ac:dyDescent="0.25">
      <c r="R246" s="1165"/>
      <c r="S246" s="1165"/>
      <c r="W246" s="1165"/>
      <c r="X246" s="1165"/>
      <c r="AE246" s="1165"/>
      <c r="AF246" s="1165"/>
      <c r="AV246" s="1165"/>
      <c r="AW246" s="1165"/>
      <c r="AX246" s="1165"/>
      <c r="AY246" s="1165"/>
      <c r="AZ246" s="1165"/>
      <c r="BA246" s="1165"/>
      <c r="BC246" s="1165"/>
      <c r="BE246" s="1165"/>
      <c r="BF246" s="1165"/>
      <c r="BG246" s="1165"/>
    </row>
    <row r="247" spans="18:59" x14ac:dyDescent="0.25">
      <c r="R247" s="1165"/>
      <c r="S247" s="1165"/>
      <c r="W247" s="1165"/>
      <c r="X247" s="1165"/>
      <c r="AE247" s="1165"/>
      <c r="AF247" s="1165"/>
      <c r="AV247" s="1165"/>
      <c r="AW247" s="1165"/>
      <c r="AX247" s="1165"/>
      <c r="AY247" s="1165"/>
      <c r="AZ247" s="1165"/>
      <c r="BA247" s="1165"/>
      <c r="BC247" s="1165"/>
      <c r="BE247" s="1165"/>
      <c r="BF247" s="1165"/>
      <c r="BG247" s="1165"/>
    </row>
    <row r="248" spans="18:59" x14ac:dyDescent="0.25">
      <c r="R248" s="1165"/>
      <c r="S248" s="1165"/>
      <c r="W248" s="1165"/>
      <c r="X248" s="1165"/>
      <c r="AE248" s="1165"/>
      <c r="AF248" s="1165"/>
      <c r="AV248" s="1165"/>
      <c r="AW248" s="1165"/>
      <c r="AX248" s="1165"/>
      <c r="AY248" s="1165"/>
      <c r="AZ248" s="1165"/>
      <c r="BA248" s="1165"/>
      <c r="BC248" s="1165"/>
      <c r="BE248" s="1165"/>
      <c r="BF248" s="1165"/>
      <c r="BG248" s="1165"/>
    </row>
    <row r="249" spans="18:59" x14ac:dyDescent="0.25">
      <c r="R249" s="1165"/>
      <c r="S249" s="1165"/>
      <c r="W249" s="1165"/>
      <c r="X249" s="1165"/>
      <c r="AE249" s="1165"/>
      <c r="AF249" s="1165"/>
      <c r="AV249" s="1165"/>
      <c r="AW249" s="1165"/>
      <c r="AX249" s="1165"/>
      <c r="AY249" s="1165"/>
      <c r="AZ249" s="1165"/>
      <c r="BA249" s="1165"/>
      <c r="BC249" s="1165"/>
      <c r="BE249" s="1165"/>
      <c r="BF249" s="1165"/>
      <c r="BG249" s="1165"/>
    </row>
    <row r="250" spans="18:59" x14ac:dyDescent="0.25">
      <c r="R250" s="1165"/>
      <c r="S250" s="1165"/>
      <c r="W250" s="1165"/>
      <c r="X250" s="1165"/>
      <c r="AE250" s="1165"/>
      <c r="AF250" s="1165"/>
      <c r="AV250" s="1165"/>
      <c r="AW250" s="1165"/>
      <c r="AX250" s="1165"/>
      <c r="AY250" s="1165"/>
      <c r="AZ250" s="1165"/>
      <c r="BA250" s="1165"/>
      <c r="BC250" s="1165"/>
      <c r="BE250" s="1165"/>
      <c r="BF250" s="1165"/>
      <c r="BG250" s="1165"/>
    </row>
    <row r="251" spans="18:59" x14ac:dyDescent="0.25">
      <c r="R251" s="1165"/>
      <c r="S251" s="1165"/>
      <c r="W251" s="1165"/>
      <c r="X251" s="1165"/>
      <c r="AE251" s="1165"/>
      <c r="AF251" s="1165"/>
      <c r="AV251" s="1165"/>
      <c r="AW251" s="1165"/>
      <c r="AX251" s="1165"/>
      <c r="AY251" s="1165"/>
      <c r="AZ251" s="1165"/>
      <c r="BA251" s="1165"/>
      <c r="BC251" s="1165"/>
      <c r="BE251" s="1165"/>
      <c r="BF251" s="1165"/>
      <c r="BG251" s="1165"/>
    </row>
    <row r="252" spans="18:59" x14ac:dyDescent="0.25">
      <c r="R252" s="1165"/>
      <c r="S252" s="1165"/>
      <c r="W252" s="1165"/>
      <c r="X252" s="1165"/>
      <c r="AE252" s="1165"/>
      <c r="AF252" s="1165"/>
      <c r="AV252" s="1165"/>
      <c r="AW252" s="1165"/>
      <c r="AX252" s="1165"/>
      <c r="AY252" s="1165"/>
      <c r="AZ252" s="1165"/>
      <c r="BA252" s="1165"/>
      <c r="BC252" s="1165"/>
      <c r="BE252" s="1165"/>
      <c r="BF252" s="1165"/>
      <c r="BG252" s="1165"/>
    </row>
    <row r="253" spans="18:59" x14ac:dyDescent="0.25">
      <c r="R253" s="1165"/>
      <c r="S253" s="1165"/>
      <c r="W253" s="1165"/>
      <c r="X253" s="1165"/>
      <c r="AE253" s="1165"/>
      <c r="AF253" s="1165"/>
      <c r="AV253" s="1165"/>
      <c r="AW253" s="1165"/>
      <c r="AX253" s="1165"/>
      <c r="AY253" s="1165"/>
      <c r="AZ253" s="1165"/>
      <c r="BA253" s="1165"/>
      <c r="BC253" s="1165"/>
      <c r="BE253" s="1165"/>
      <c r="BF253" s="1165"/>
      <c r="BG253" s="1165"/>
    </row>
    <row r="254" spans="18:59" x14ac:dyDescent="0.25">
      <c r="R254" s="1165"/>
      <c r="S254" s="1165"/>
      <c r="W254" s="1165"/>
      <c r="X254" s="1165"/>
      <c r="AE254" s="1165"/>
      <c r="AF254" s="1165"/>
      <c r="AV254" s="1165"/>
      <c r="AW254" s="1165"/>
      <c r="AX254" s="1165"/>
      <c r="AY254" s="1165"/>
      <c r="AZ254" s="1165"/>
      <c r="BA254" s="1165"/>
      <c r="BC254" s="1165"/>
      <c r="BE254" s="1165"/>
      <c r="BF254" s="1165"/>
      <c r="BG254" s="1165"/>
    </row>
    <row r="255" spans="18:59" x14ac:dyDescent="0.25">
      <c r="R255" s="1165"/>
      <c r="S255" s="1165"/>
      <c r="W255" s="1165"/>
      <c r="X255" s="1165"/>
      <c r="AE255" s="1165"/>
      <c r="AF255" s="1165"/>
      <c r="AV255" s="1165"/>
      <c r="AW255" s="1165"/>
      <c r="AX255" s="1165"/>
      <c r="AY255" s="1165"/>
      <c r="AZ255" s="1165"/>
      <c r="BA255" s="1165"/>
      <c r="BC255" s="1165"/>
      <c r="BE255" s="1165"/>
      <c r="BF255" s="1165"/>
      <c r="BG255" s="1165"/>
    </row>
    <row r="256" spans="18:59" x14ac:dyDescent="0.25">
      <c r="R256" s="1165"/>
      <c r="S256" s="1165"/>
      <c r="W256" s="1165"/>
      <c r="X256" s="1165"/>
      <c r="AE256" s="1165"/>
      <c r="AF256" s="1165"/>
      <c r="AV256" s="1165"/>
      <c r="AW256" s="1165"/>
      <c r="AX256" s="1165"/>
      <c r="AY256" s="1165"/>
      <c r="AZ256" s="1165"/>
      <c r="BA256" s="1165"/>
      <c r="BC256" s="1165"/>
      <c r="BE256" s="1165"/>
      <c r="BF256" s="1165"/>
      <c r="BG256" s="1165"/>
    </row>
    <row r="257" spans="18:59" x14ac:dyDescent="0.25">
      <c r="R257" s="1165"/>
      <c r="S257" s="1165"/>
      <c r="W257" s="1165"/>
      <c r="X257" s="1165"/>
      <c r="AE257" s="1165"/>
      <c r="AF257" s="1165"/>
      <c r="AV257" s="1165"/>
      <c r="AW257" s="1165"/>
      <c r="AX257" s="1165"/>
      <c r="AY257" s="1165"/>
      <c r="AZ257" s="1165"/>
      <c r="BA257" s="1165"/>
      <c r="BC257" s="1165"/>
      <c r="BE257" s="1165"/>
      <c r="BF257" s="1165"/>
      <c r="BG257" s="1165"/>
    </row>
    <row r="258" spans="18:59" x14ac:dyDescent="0.25">
      <c r="R258" s="1165"/>
      <c r="S258" s="1165"/>
      <c r="W258" s="1165"/>
      <c r="X258" s="1165"/>
      <c r="AE258" s="1165"/>
      <c r="AF258" s="1165"/>
      <c r="AV258" s="1165"/>
      <c r="AW258" s="1165"/>
      <c r="AX258" s="1165"/>
      <c r="AY258" s="1165"/>
      <c r="AZ258" s="1165"/>
      <c r="BA258" s="1165"/>
      <c r="BC258" s="1165"/>
      <c r="BE258" s="1165"/>
      <c r="BF258" s="1165"/>
      <c r="BG258" s="1165"/>
    </row>
    <row r="259" spans="18:59" x14ac:dyDescent="0.25">
      <c r="R259" s="1165"/>
      <c r="S259" s="1165"/>
      <c r="W259" s="1165"/>
      <c r="X259" s="1165"/>
      <c r="AE259" s="1165"/>
      <c r="AF259" s="1165"/>
      <c r="AV259" s="1165"/>
      <c r="AW259" s="1165"/>
      <c r="AX259" s="1165"/>
      <c r="AY259" s="1165"/>
      <c r="AZ259" s="1165"/>
      <c r="BA259" s="1165"/>
      <c r="BC259" s="1165"/>
      <c r="BE259" s="1165"/>
      <c r="BF259" s="1165"/>
      <c r="BG259" s="1165"/>
    </row>
    <row r="260" spans="18:59" x14ac:dyDescent="0.25">
      <c r="R260" s="1165"/>
      <c r="S260" s="1165"/>
      <c r="W260" s="1165"/>
      <c r="X260" s="1165"/>
      <c r="AE260" s="1165"/>
      <c r="AF260" s="1165"/>
      <c r="AV260" s="1165"/>
      <c r="AW260" s="1165"/>
      <c r="AX260" s="1165"/>
      <c r="AY260" s="1165"/>
      <c r="AZ260" s="1165"/>
      <c r="BA260" s="1165"/>
      <c r="BC260" s="1165"/>
      <c r="BE260" s="1165"/>
      <c r="BF260" s="1165"/>
      <c r="BG260" s="1165"/>
    </row>
    <row r="261" spans="18:59" x14ac:dyDescent="0.25">
      <c r="R261" s="1165"/>
      <c r="S261" s="1165"/>
      <c r="W261" s="1165"/>
      <c r="X261" s="1165"/>
      <c r="AE261" s="1165"/>
      <c r="AF261" s="1165"/>
      <c r="AV261" s="1165"/>
      <c r="AW261" s="1165"/>
      <c r="AX261" s="1165"/>
      <c r="AY261" s="1165"/>
      <c r="AZ261" s="1165"/>
      <c r="BA261" s="1165"/>
      <c r="BC261" s="1165"/>
      <c r="BE261" s="1165"/>
      <c r="BF261" s="1165"/>
      <c r="BG261" s="1165"/>
    </row>
    <row r="262" spans="18:59" x14ac:dyDescent="0.25">
      <c r="R262" s="1165"/>
      <c r="S262" s="1165"/>
      <c r="W262" s="1165"/>
      <c r="X262" s="1165"/>
      <c r="AE262" s="1165"/>
      <c r="AF262" s="1165"/>
      <c r="AV262" s="1165"/>
      <c r="AW262" s="1165"/>
      <c r="AX262" s="1165"/>
      <c r="AY262" s="1165"/>
      <c r="AZ262" s="1165"/>
      <c r="BA262" s="1165"/>
      <c r="BC262" s="1165"/>
      <c r="BE262" s="1165"/>
      <c r="BF262" s="1165"/>
      <c r="BG262" s="1165"/>
    </row>
    <row r="263" spans="18:59" x14ac:dyDescent="0.25">
      <c r="R263" s="1165"/>
      <c r="S263" s="1165"/>
      <c r="W263" s="1165"/>
      <c r="X263" s="1165"/>
      <c r="AE263" s="1165"/>
      <c r="AF263" s="1165"/>
      <c r="AV263" s="1165"/>
      <c r="AW263" s="1165"/>
      <c r="AX263" s="1165"/>
      <c r="AY263" s="1165"/>
      <c r="AZ263" s="1165"/>
      <c r="BA263" s="1165"/>
      <c r="BC263" s="1165"/>
      <c r="BE263" s="1165"/>
      <c r="BF263" s="1165"/>
      <c r="BG263" s="1165"/>
    </row>
    <row r="264" spans="18:59" x14ac:dyDescent="0.25">
      <c r="R264" s="1165"/>
      <c r="S264" s="1165"/>
      <c r="W264" s="1165"/>
      <c r="X264" s="1165"/>
      <c r="AE264" s="1165"/>
      <c r="AF264" s="1165"/>
      <c r="AV264" s="1165"/>
      <c r="AW264" s="1165"/>
      <c r="AX264" s="1165"/>
      <c r="AY264" s="1165"/>
      <c r="AZ264" s="1165"/>
      <c r="BA264" s="1165"/>
      <c r="BC264" s="1165"/>
      <c r="BE264" s="1165"/>
      <c r="BF264" s="1165"/>
      <c r="BG264" s="1165"/>
    </row>
    <row r="265" spans="18:59" x14ac:dyDescent="0.25">
      <c r="R265" s="1165"/>
      <c r="S265" s="1165"/>
      <c r="W265" s="1165"/>
      <c r="X265" s="1165"/>
      <c r="AE265" s="1165"/>
      <c r="AF265" s="1165"/>
      <c r="AV265" s="1165"/>
      <c r="AW265" s="1165"/>
      <c r="AX265" s="1165"/>
      <c r="AY265" s="1165"/>
      <c r="AZ265" s="1165"/>
      <c r="BA265" s="1165"/>
      <c r="BC265" s="1165"/>
      <c r="BE265" s="1165"/>
      <c r="BF265" s="1165"/>
      <c r="BG265" s="1165"/>
    </row>
    <row r="266" spans="18:59" x14ac:dyDescent="0.25">
      <c r="R266" s="1165"/>
      <c r="S266" s="1165"/>
      <c r="W266" s="1165"/>
      <c r="X266" s="1165"/>
      <c r="AE266" s="1165"/>
      <c r="AF266" s="1165"/>
      <c r="AV266" s="1165"/>
      <c r="AW266" s="1165"/>
      <c r="AX266" s="1165"/>
      <c r="AY266" s="1165"/>
      <c r="AZ266" s="1165"/>
      <c r="BA266" s="1165"/>
      <c r="BC266" s="1165"/>
      <c r="BE266" s="1165"/>
      <c r="BF266" s="1165"/>
      <c r="BG266" s="1165"/>
    </row>
    <row r="267" spans="18:59" x14ac:dyDescent="0.25">
      <c r="R267" s="1165"/>
      <c r="S267" s="1165"/>
      <c r="W267" s="1165"/>
      <c r="X267" s="1165"/>
      <c r="AE267" s="1165"/>
      <c r="AF267" s="1165"/>
      <c r="AV267" s="1165"/>
      <c r="AW267" s="1165"/>
      <c r="AX267" s="1165"/>
      <c r="AY267" s="1165"/>
      <c r="AZ267" s="1165"/>
      <c r="BA267" s="1165"/>
      <c r="BC267" s="1165"/>
      <c r="BE267" s="1165"/>
      <c r="BF267" s="1165"/>
      <c r="BG267" s="1165"/>
    </row>
    <row r="268" spans="18:59" x14ac:dyDescent="0.25">
      <c r="R268" s="1165"/>
      <c r="S268" s="1165"/>
      <c r="W268" s="1165"/>
      <c r="X268" s="1165"/>
      <c r="AE268" s="1165"/>
      <c r="AF268" s="1165"/>
      <c r="AV268" s="1165"/>
      <c r="AW268" s="1165"/>
      <c r="AX268" s="1165"/>
      <c r="AY268" s="1165"/>
      <c r="AZ268" s="1165"/>
      <c r="BA268" s="1165"/>
      <c r="BC268" s="1165"/>
      <c r="BE268" s="1165"/>
      <c r="BF268" s="1165"/>
      <c r="BG268" s="1165"/>
    </row>
    <row r="269" spans="18:59" x14ac:dyDescent="0.25">
      <c r="R269" s="1165"/>
      <c r="S269" s="1165"/>
      <c r="W269" s="1165"/>
      <c r="X269" s="1165"/>
      <c r="AE269" s="1165"/>
      <c r="AF269" s="1165"/>
      <c r="AV269" s="1165"/>
      <c r="AW269" s="1165"/>
      <c r="AX269" s="1165"/>
      <c r="AY269" s="1165"/>
      <c r="AZ269" s="1165"/>
      <c r="BA269" s="1165"/>
      <c r="BC269" s="1165"/>
      <c r="BE269" s="1165"/>
      <c r="BF269" s="1165"/>
      <c r="BG269" s="1165"/>
    </row>
    <row r="270" spans="18:59" x14ac:dyDescent="0.25">
      <c r="R270" s="1165"/>
      <c r="S270" s="1165"/>
      <c r="W270" s="1165"/>
      <c r="X270" s="1165"/>
      <c r="AE270" s="1165"/>
      <c r="AF270" s="1165"/>
      <c r="AV270" s="1165"/>
      <c r="AW270" s="1165"/>
      <c r="AX270" s="1165"/>
      <c r="AY270" s="1165"/>
      <c r="AZ270" s="1165"/>
      <c r="BA270" s="1165"/>
      <c r="BC270" s="1165"/>
      <c r="BE270" s="1165"/>
      <c r="BF270" s="1165"/>
      <c r="BG270" s="1165"/>
    </row>
    <row r="271" spans="18:59" x14ac:dyDescent="0.25">
      <c r="R271" s="1165"/>
      <c r="S271" s="1165"/>
      <c r="W271" s="1165"/>
      <c r="X271" s="1165"/>
      <c r="AE271" s="1165"/>
      <c r="AF271" s="1165"/>
      <c r="AV271" s="1165"/>
      <c r="AW271" s="1165"/>
      <c r="AX271" s="1165"/>
      <c r="AY271" s="1165"/>
      <c r="AZ271" s="1165"/>
      <c r="BA271" s="1165"/>
      <c r="BC271" s="1165"/>
      <c r="BE271" s="1165"/>
      <c r="BF271" s="1165"/>
      <c r="BG271" s="1165"/>
    </row>
    <row r="272" spans="18:59" x14ac:dyDescent="0.25">
      <c r="R272" s="1165"/>
      <c r="S272" s="1165"/>
      <c r="W272" s="1165"/>
      <c r="X272" s="1165"/>
      <c r="AE272" s="1165"/>
      <c r="AF272" s="1165"/>
      <c r="AV272" s="1165"/>
      <c r="AW272" s="1165"/>
      <c r="AX272" s="1165"/>
      <c r="AY272" s="1165"/>
      <c r="AZ272" s="1165"/>
      <c r="BA272" s="1165"/>
      <c r="BC272" s="1165"/>
      <c r="BE272" s="1165"/>
      <c r="BF272" s="1165"/>
      <c r="BG272" s="1165"/>
    </row>
    <row r="273" spans="18:59" x14ac:dyDescent="0.25">
      <c r="R273" s="1165"/>
      <c r="S273" s="1165"/>
      <c r="W273" s="1165"/>
      <c r="X273" s="1165"/>
      <c r="AE273" s="1165"/>
      <c r="AF273" s="1165"/>
      <c r="AV273" s="1165"/>
      <c r="AW273" s="1165"/>
      <c r="AX273" s="1165"/>
      <c r="AY273" s="1165"/>
      <c r="AZ273" s="1165"/>
      <c r="BA273" s="1165"/>
      <c r="BC273" s="1165"/>
      <c r="BE273" s="1165"/>
      <c r="BF273" s="1165"/>
      <c r="BG273" s="1165"/>
    </row>
    <row r="274" spans="18:59" x14ac:dyDescent="0.25">
      <c r="R274" s="1165"/>
      <c r="S274" s="1165"/>
      <c r="W274" s="1165"/>
      <c r="X274" s="1165"/>
      <c r="AE274" s="1165"/>
      <c r="AF274" s="1165"/>
      <c r="AV274" s="1165"/>
      <c r="AW274" s="1165"/>
      <c r="AX274" s="1165"/>
      <c r="AY274" s="1165"/>
      <c r="AZ274" s="1165"/>
      <c r="BA274" s="1165"/>
      <c r="BC274" s="1165"/>
      <c r="BE274" s="1165"/>
      <c r="BF274" s="1165"/>
      <c r="BG274" s="1165"/>
    </row>
    <row r="275" spans="18:59" x14ac:dyDescent="0.25">
      <c r="R275" s="1165"/>
      <c r="S275" s="1165"/>
      <c r="W275" s="1165"/>
      <c r="X275" s="1165"/>
      <c r="AE275" s="1165"/>
      <c r="AF275" s="1165"/>
      <c r="AV275" s="1165"/>
      <c r="AW275" s="1165"/>
      <c r="AX275" s="1165"/>
      <c r="AY275" s="1165"/>
      <c r="AZ275" s="1165"/>
      <c r="BA275" s="1165"/>
      <c r="BC275" s="1165"/>
      <c r="BE275" s="1165"/>
      <c r="BF275" s="1165"/>
      <c r="BG275" s="1165"/>
    </row>
    <row r="276" spans="18:59" x14ac:dyDescent="0.25">
      <c r="R276" s="1165"/>
      <c r="S276" s="1165"/>
      <c r="W276" s="1165"/>
      <c r="X276" s="1165"/>
      <c r="AE276" s="1165"/>
      <c r="AF276" s="1165"/>
      <c r="AV276" s="1165"/>
      <c r="AW276" s="1165"/>
      <c r="AX276" s="1165"/>
      <c r="AY276" s="1165"/>
      <c r="AZ276" s="1165"/>
      <c r="BA276" s="1165"/>
      <c r="BC276" s="1165"/>
      <c r="BE276" s="1165"/>
      <c r="BF276" s="1165"/>
      <c r="BG276" s="1165"/>
    </row>
    <row r="277" spans="18:59" x14ac:dyDescent="0.25">
      <c r="R277" s="1165"/>
      <c r="S277" s="1165"/>
      <c r="W277" s="1165"/>
      <c r="X277" s="1165"/>
      <c r="AE277" s="1165"/>
      <c r="AF277" s="1165"/>
      <c r="AV277" s="1165"/>
      <c r="AW277" s="1165"/>
      <c r="AX277" s="1165"/>
      <c r="AY277" s="1165"/>
      <c r="AZ277" s="1165"/>
      <c r="BA277" s="1165"/>
      <c r="BC277" s="1165"/>
      <c r="BE277" s="1165"/>
      <c r="BF277" s="1165"/>
      <c r="BG277" s="1165"/>
    </row>
    <row r="278" spans="18:59" x14ac:dyDescent="0.25">
      <c r="R278" s="1165"/>
      <c r="S278" s="1165"/>
      <c r="W278" s="1165"/>
      <c r="X278" s="1165"/>
      <c r="AE278" s="1165"/>
      <c r="AF278" s="1165"/>
      <c r="AV278" s="1165"/>
      <c r="AW278" s="1165"/>
      <c r="AX278" s="1165"/>
      <c r="AY278" s="1165"/>
      <c r="AZ278" s="1165"/>
      <c r="BA278" s="1165"/>
      <c r="BC278" s="1165"/>
      <c r="BE278" s="1165"/>
      <c r="BF278" s="1165"/>
      <c r="BG278" s="1165"/>
    </row>
    <row r="279" spans="18:59" x14ac:dyDescent="0.25">
      <c r="R279" s="1165"/>
      <c r="S279" s="1165"/>
      <c r="W279" s="1165"/>
      <c r="X279" s="1165"/>
      <c r="AE279" s="1165"/>
      <c r="AF279" s="1165"/>
      <c r="AV279" s="1165"/>
      <c r="AW279" s="1165"/>
      <c r="AX279" s="1165"/>
      <c r="AY279" s="1165"/>
      <c r="AZ279" s="1165"/>
      <c r="BA279" s="1165"/>
      <c r="BC279" s="1165"/>
      <c r="BE279" s="1165"/>
      <c r="BF279" s="1165"/>
      <c r="BG279" s="1165"/>
    </row>
    <row r="280" spans="18:59" x14ac:dyDescent="0.25">
      <c r="R280" s="1165"/>
      <c r="S280" s="1165"/>
      <c r="W280" s="1165"/>
      <c r="X280" s="1165"/>
      <c r="AE280" s="1165"/>
      <c r="AF280" s="1165"/>
      <c r="AV280" s="1165"/>
      <c r="AW280" s="1165"/>
      <c r="AX280" s="1165"/>
      <c r="AY280" s="1165"/>
      <c r="AZ280" s="1165"/>
      <c r="BA280" s="1165"/>
      <c r="BC280" s="1165"/>
      <c r="BE280" s="1165"/>
      <c r="BF280" s="1165"/>
      <c r="BG280" s="1165"/>
    </row>
    <row r="281" spans="18:59" x14ac:dyDescent="0.25">
      <c r="R281" s="1165"/>
      <c r="S281" s="1165"/>
      <c r="W281" s="1165"/>
      <c r="X281" s="1165"/>
      <c r="AE281" s="1165"/>
      <c r="AF281" s="1165"/>
      <c r="AV281" s="1165"/>
      <c r="AW281" s="1165"/>
      <c r="AX281" s="1165"/>
      <c r="AY281" s="1165"/>
      <c r="AZ281" s="1165"/>
      <c r="BA281" s="1165"/>
      <c r="BC281" s="1165"/>
      <c r="BE281" s="1165"/>
      <c r="BF281" s="1165"/>
      <c r="BG281" s="1165"/>
    </row>
    <row r="282" spans="18:59" x14ac:dyDescent="0.25">
      <c r="R282" s="1165"/>
      <c r="S282" s="1165"/>
      <c r="W282" s="1165"/>
      <c r="X282" s="1165"/>
      <c r="AE282" s="1165"/>
      <c r="AF282" s="1165"/>
      <c r="AV282" s="1165"/>
      <c r="AW282" s="1165"/>
      <c r="AX282" s="1165"/>
      <c r="AY282" s="1165"/>
      <c r="AZ282" s="1165"/>
      <c r="BA282" s="1165"/>
      <c r="BC282" s="1165"/>
      <c r="BE282" s="1165"/>
      <c r="BF282" s="1165"/>
      <c r="BG282" s="1165"/>
    </row>
    <row r="283" spans="18:59" x14ac:dyDescent="0.25">
      <c r="R283" s="1165"/>
      <c r="S283" s="1165"/>
      <c r="W283" s="1165"/>
      <c r="X283" s="1165"/>
      <c r="AE283" s="1165"/>
      <c r="AF283" s="1165"/>
      <c r="AV283" s="1165"/>
      <c r="AW283" s="1165"/>
      <c r="AX283" s="1165"/>
      <c r="AY283" s="1165"/>
      <c r="AZ283" s="1165"/>
      <c r="BA283" s="1165"/>
      <c r="BC283" s="1165"/>
      <c r="BE283" s="1165"/>
      <c r="BF283" s="1165"/>
      <c r="BG283" s="1165"/>
    </row>
    <row r="284" spans="18:59" x14ac:dyDescent="0.25">
      <c r="R284" s="1165"/>
      <c r="S284" s="1165"/>
      <c r="W284" s="1165"/>
      <c r="X284" s="1165"/>
      <c r="AE284" s="1165"/>
      <c r="AF284" s="1165"/>
      <c r="AV284" s="1165"/>
      <c r="AW284" s="1165"/>
      <c r="AX284" s="1165"/>
      <c r="AY284" s="1165"/>
      <c r="AZ284" s="1165"/>
      <c r="BA284" s="1165"/>
      <c r="BC284" s="1165"/>
      <c r="BE284" s="1165"/>
      <c r="BF284" s="1165"/>
      <c r="BG284" s="1165"/>
    </row>
    <row r="285" spans="18:59" x14ac:dyDescent="0.25">
      <c r="R285" s="1165"/>
      <c r="S285" s="1165"/>
      <c r="W285" s="1165"/>
      <c r="X285" s="1165"/>
      <c r="AE285" s="1165"/>
      <c r="AF285" s="1165"/>
      <c r="AV285" s="1165"/>
      <c r="AW285" s="1165"/>
      <c r="AX285" s="1165"/>
      <c r="AY285" s="1165"/>
      <c r="AZ285" s="1165"/>
      <c r="BA285" s="1165"/>
      <c r="BC285" s="1165"/>
      <c r="BE285" s="1165"/>
      <c r="BF285" s="1165"/>
      <c r="BG285" s="1165"/>
    </row>
    <row r="286" spans="18:59" x14ac:dyDescent="0.25">
      <c r="R286" s="1165"/>
      <c r="S286" s="1165"/>
      <c r="W286" s="1165"/>
      <c r="X286" s="1165"/>
      <c r="AE286" s="1165"/>
      <c r="AF286" s="1165"/>
      <c r="AV286" s="1165"/>
      <c r="AW286" s="1165"/>
      <c r="AX286" s="1165"/>
      <c r="AY286" s="1165"/>
      <c r="AZ286" s="1165"/>
      <c r="BA286" s="1165"/>
      <c r="BC286" s="1165"/>
      <c r="BE286" s="1165"/>
      <c r="BF286" s="1165"/>
      <c r="BG286" s="1165"/>
    </row>
    <row r="287" spans="18:59" x14ac:dyDescent="0.25">
      <c r="R287" s="1165"/>
      <c r="S287" s="1165"/>
      <c r="W287" s="1165"/>
      <c r="X287" s="1165"/>
      <c r="AE287" s="1165"/>
      <c r="AF287" s="1165"/>
      <c r="AV287" s="1165"/>
      <c r="AW287" s="1165"/>
      <c r="AX287" s="1165"/>
      <c r="AY287" s="1165"/>
      <c r="AZ287" s="1165"/>
      <c r="BA287" s="1165"/>
      <c r="BC287" s="1165"/>
      <c r="BE287" s="1165"/>
      <c r="BF287" s="1165"/>
      <c r="BG287" s="1165"/>
    </row>
    <row r="288" spans="18:59" x14ac:dyDescent="0.25">
      <c r="R288" s="1165"/>
      <c r="S288" s="1165"/>
      <c r="W288" s="1165"/>
      <c r="X288" s="1165"/>
      <c r="AE288" s="1165"/>
      <c r="AF288" s="1165"/>
      <c r="AV288" s="1165"/>
      <c r="AW288" s="1165"/>
      <c r="AX288" s="1165"/>
      <c r="AY288" s="1165"/>
      <c r="AZ288" s="1165"/>
      <c r="BA288" s="1165"/>
      <c r="BC288" s="1165"/>
      <c r="BE288" s="1165"/>
      <c r="BF288" s="1165"/>
      <c r="BG288" s="1165"/>
    </row>
    <row r="289" spans="18:59" x14ac:dyDescent="0.25">
      <c r="R289" s="1165"/>
      <c r="S289" s="1165"/>
      <c r="W289" s="1165"/>
      <c r="X289" s="1165"/>
      <c r="AE289" s="1165"/>
      <c r="AF289" s="1165"/>
      <c r="AV289" s="1165"/>
      <c r="AW289" s="1165"/>
      <c r="AX289" s="1165"/>
      <c r="AY289" s="1165"/>
      <c r="AZ289" s="1165"/>
      <c r="BA289" s="1165"/>
      <c r="BC289" s="1165"/>
      <c r="BE289" s="1165"/>
      <c r="BF289" s="1165"/>
      <c r="BG289" s="1165"/>
    </row>
    <row r="290" spans="18:59" x14ac:dyDescent="0.25">
      <c r="R290" s="1165"/>
      <c r="S290" s="1165"/>
      <c r="W290" s="1165"/>
      <c r="X290" s="1165"/>
      <c r="AE290" s="1165"/>
      <c r="AF290" s="1165"/>
      <c r="AV290" s="1165"/>
      <c r="AW290" s="1165"/>
      <c r="AX290" s="1165"/>
      <c r="AY290" s="1165"/>
      <c r="AZ290" s="1165"/>
      <c r="BA290" s="1165"/>
      <c r="BC290" s="1165"/>
      <c r="BE290" s="1165"/>
      <c r="BF290" s="1165"/>
      <c r="BG290" s="1165"/>
    </row>
    <row r="291" spans="18:59" x14ac:dyDescent="0.25">
      <c r="R291" s="1165"/>
      <c r="S291" s="1165"/>
      <c r="W291" s="1165"/>
      <c r="X291" s="1165"/>
      <c r="AE291" s="1165"/>
      <c r="AF291" s="1165"/>
      <c r="AV291" s="1165"/>
      <c r="AW291" s="1165"/>
      <c r="AX291" s="1165"/>
      <c r="AY291" s="1165"/>
      <c r="AZ291" s="1165"/>
      <c r="BA291" s="1165"/>
      <c r="BC291" s="1165"/>
      <c r="BE291" s="1165"/>
      <c r="BF291" s="1165"/>
      <c r="BG291" s="1165"/>
    </row>
    <row r="292" spans="18:59" x14ac:dyDescent="0.25">
      <c r="R292" s="1165"/>
      <c r="S292" s="1165"/>
      <c r="W292" s="1165"/>
      <c r="X292" s="1165"/>
      <c r="AE292" s="1165"/>
      <c r="AF292" s="1165"/>
      <c r="AV292" s="1165"/>
      <c r="AW292" s="1165"/>
      <c r="AX292" s="1165"/>
      <c r="AY292" s="1165"/>
      <c r="AZ292" s="1165"/>
      <c r="BA292" s="1165"/>
      <c r="BC292" s="1165"/>
      <c r="BE292" s="1165"/>
      <c r="BF292" s="1165"/>
      <c r="BG292" s="1165"/>
    </row>
    <row r="293" spans="18:59" x14ac:dyDescent="0.25">
      <c r="R293" s="1165"/>
      <c r="S293" s="1165"/>
      <c r="W293" s="1165"/>
      <c r="X293" s="1165"/>
      <c r="AE293" s="1165"/>
      <c r="AF293" s="1165"/>
      <c r="AV293" s="1165"/>
      <c r="AW293" s="1165"/>
      <c r="AX293" s="1165"/>
      <c r="AY293" s="1165"/>
      <c r="AZ293" s="1165"/>
      <c r="BA293" s="1165"/>
      <c r="BC293" s="1165"/>
      <c r="BE293" s="1165"/>
      <c r="BF293" s="1165"/>
      <c r="BG293" s="1165"/>
    </row>
    <row r="294" spans="18:59" x14ac:dyDescent="0.25">
      <c r="R294" s="1165"/>
      <c r="S294" s="1165"/>
      <c r="W294" s="1165"/>
      <c r="X294" s="1165"/>
      <c r="AE294" s="1165"/>
      <c r="AF294" s="1165"/>
      <c r="AV294" s="1165"/>
      <c r="AW294" s="1165"/>
      <c r="AX294" s="1165"/>
      <c r="AY294" s="1165"/>
      <c r="AZ294" s="1165"/>
      <c r="BA294" s="1165"/>
      <c r="BC294" s="1165"/>
      <c r="BE294" s="1165"/>
      <c r="BF294" s="1165"/>
      <c r="BG294" s="1165"/>
    </row>
    <row r="295" spans="18:59" x14ac:dyDescent="0.25">
      <c r="R295" s="1165"/>
      <c r="S295" s="1165"/>
      <c r="W295" s="1165"/>
      <c r="X295" s="1165"/>
      <c r="AE295" s="1165"/>
      <c r="AF295" s="1165"/>
      <c r="AV295" s="1165"/>
      <c r="AW295" s="1165"/>
      <c r="AX295" s="1165"/>
      <c r="AY295" s="1165"/>
      <c r="AZ295" s="1165"/>
      <c r="BA295" s="1165"/>
      <c r="BC295" s="1165"/>
      <c r="BE295" s="1165"/>
      <c r="BF295" s="1165"/>
      <c r="BG295" s="1165"/>
    </row>
    <row r="296" spans="18:59" x14ac:dyDescent="0.25">
      <c r="R296" s="1165"/>
      <c r="S296" s="1165"/>
      <c r="W296" s="1165"/>
      <c r="X296" s="1165"/>
      <c r="AE296" s="1165"/>
      <c r="AF296" s="1165"/>
      <c r="AV296" s="1165"/>
      <c r="AW296" s="1165"/>
      <c r="AX296" s="1165"/>
      <c r="AY296" s="1165"/>
      <c r="AZ296" s="1165"/>
      <c r="BA296" s="1165"/>
      <c r="BC296" s="1165"/>
      <c r="BE296" s="1165"/>
      <c r="BF296" s="1165"/>
      <c r="BG296" s="1165"/>
    </row>
    <row r="297" spans="18:59" x14ac:dyDescent="0.25">
      <c r="R297" s="1165"/>
      <c r="S297" s="1165"/>
      <c r="W297" s="1165"/>
      <c r="X297" s="1165"/>
      <c r="AE297" s="1165"/>
      <c r="AF297" s="1165"/>
      <c r="AV297" s="1165"/>
      <c r="AW297" s="1165"/>
      <c r="AX297" s="1165"/>
      <c r="AY297" s="1165"/>
      <c r="AZ297" s="1165"/>
      <c r="BA297" s="1165"/>
      <c r="BC297" s="1165"/>
      <c r="BE297" s="1165"/>
      <c r="BF297" s="1165"/>
      <c r="BG297" s="1165"/>
    </row>
    <row r="298" spans="18:59" x14ac:dyDescent="0.25">
      <c r="R298" s="1165"/>
      <c r="S298" s="1165"/>
      <c r="W298" s="1165"/>
      <c r="X298" s="1165"/>
      <c r="AE298" s="1165"/>
      <c r="AF298" s="1165"/>
      <c r="AV298" s="1165"/>
      <c r="AW298" s="1165"/>
      <c r="AX298" s="1165"/>
      <c r="AY298" s="1165"/>
      <c r="AZ298" s="1165"/>
      <c r="BA298" s="1165"/>
      <c r="BC298" s="1165"/>
      <c r="BE298" s="1165"/>
      <c r="BF298" s="1165"/>
      <c r="BG298" s="1165"/>
    </row>
    <row r="299" spans="18:59" x14ac:dyDescent="0.25">
      <c r="R299" s="1165"/>
      <c r="S299" s="1165"/>
      <c r="W299" s="1165"/>
      <c r="X299" s="1165"/>
      <c r="AE299" s="1165"/>
      <c r="AF299" s="1165"/>
      <c r="AV299" s="1165"/>
      <c r="AW299" s="1165"/>
      <c r="AX299" s="1165"/>
      <c r="AY299" s="1165"/>
      <c r="AZ299" s="1165"/>
      <c r="BA299" s="1165"/>
      <c r="BC299" s="1165"/>
      <c r="BE299" s="1165"/>
      <c r="BF299" s="1165"/>
      <c r="BG299" s="1165"/>
    </row>
    <row r="300" spans="18:59" x14ac:dyDescent="0.25">
      <c r="R300" s="1165"/>
      <c r="S300" s="1165"/>
      <c r="W300" s="1165"/>
      <c r="X300" s="1165"/>
      <c r="AE300" s="1165"/>
      <c r="AF300" s="1165"/>
      <c r="AV300" s="1165"/>
      <c r="AW300" s="1165"/>
      <c r="AX300" s="1165"/>
      <c r="AY300" s="1165"/>
      <c r="AZ300" s="1165"/>
      <c r="BA300" s="1165"/>
      <c r="BC300" s="1165"/>
      <c r="BE300" s="1165"/>
      <c r="BF300" s="1165"/>
      <c r="BG300" s="1165"/>
    </row>
    <row r="301" spans="18:59" x14ac:dyDescent="0.25">
      <c r="R301" s="1165"/>
      <c r="S301" s="1165"/>
      <c r="W301" s="1165"/>
      <c r="X301" s="1165"/>
      <c r="AE301" s="1165"/>
      <c r="AF301" s="1165"/>
      <c r="AV301" s="1165"/>
      <c r="AW301" s="1165"/>
      <c r="AX301" s="1165"/>
      <c r="AY301" s="1165"/>
      <c r="AZ301" s="1165"/>
      <c r="BA301" s="1165"/>
      <c r="BC301" s="1165"/>
      <c r="BE301" s="1165"/>
      <c r="BF301" s="1165"/>
      <c r="BG301" s="1165"/>
    </row>
    <row r="302" spans="18:59" x14ac:dyDescent="0.25">
      <c r="R302" s="1165"/>
      <c r="S302" s="1165"/>
      <c r="W302" s="1165"/>
      <c r="X302" s="1165"/>
      <c r="AE302" s="1165"/>
      <c r="AF302" s="1165"/>
      <c r="AV302" s="1165"/>
      <c r="AW302" s="1165"/>
      <c r="AX302" s="1165"/>
      <c r="AY302" s="1165"/>
      <c r="AZ302" s="1165"/>
      <c r="BA302" s="1165"/>
      <c r="BC302" s="1165"/>
      <c r="BE302" s="1165"/>
      <c r="BF302" s="1165"/>
      <c r="BG302" s="1165"/>
    </row>
    <row r="303" spans="18:59" x14ac:dyDescent="0.25">
      <c r="R303" s="1165"/>
      <c r="S303" s="1165"/>
      <c r="W303" s="1165"/>
      <c r="X303" s="1165"/>
      <c r="AE303" s="1165"/>
      <c r="AF303" s="1165"/>
      <c r="AV303" s="1165"/>
      <c r="AW303" s="1165"/>
      <c r="AX303" s="1165"/>
      <c r="AY303" s="1165"/>
      <c r="AZ303" s="1165"/>
      <c r="BA303" s="1165"/>
      <c r="BC303" s="1165"/>
      <c r="BE303" s="1165"/>
      <c r="BF303" s="1165"/>
      <c r="BG303" s="1165"/>
    </row>
    <row r="304" spans="18:59" x14ac:dyDescent="0.25">
      <c r="R304" s="1165"/>
      <c r="S304" s="1165"/>
      <c r="W304" s="1165"/>
      <c r="X304" s="1165"/>
      <c r="AE304" s="1165"/>
      <c r="AF304" s="1165"/>
      <c r="AV304" s="1165"/>
      <c r="AW304" s="1165"/>
      <c r="AX304" s="1165"/>
      <c r="AY304" s="1165"/>
      <c r="AZ304" s="1165"/>
      <c r="BA304" s="1165"/>
      <c r="BC304" s="1165"/>
      <c r="BE304" s="1165"/>
      <c r="BF304" s="1165"/>
      <c r="BG304" s="1165"/>
    </row>
    <row r="305" spans="18:59" x14ac:dyDescent="0.25">
      <c r="R305" s="1165"/>
      <c r="S305" s="1165"/>
      <c r="W305" s="1165"/>
      <c r="X305" s="1165"/>
      <c r="AE305" s="1165"/>
      <c r="AF305" s="1165"/>
      <c r="AV305" s="1165"/>
      <c r="AW305" s="1165"/>
      <c r="AX305" s="1165"/>
      <c r="AY305" s="1165"/>
      <c r="AZ305" s="1165"/>
      <c r="BA305" s="1165"/>
      <c r="BC305" s="1165"/>
      <c r="BE305" s="1165"/>
      <c r="BF305" s="1165"/>
      <c r="BG305" s="1165"/>
    </row>
    <row r="306" spans="18:59" x14ac:dyDescent="0.25">
      <c r="R306" s="1165"/>
      <c r="S306" s="1165"/>
      <c r="W306" s="1165"/>
      <c r="X306" s="1165"/>
      <c r="AE306" s="1165"/>
      <c r="AF306" s="1165"/>
      <c r="AV306" s="1165"/>
      <c r="AW306" s="1165"/>
      <c r="AX306" s="1165"/>
      <c r="AY306" s="1165"/>
      <c r="AZ306" s="1165"/>
      <c r="BA306" s="1165"/>
      <c r="BC306" s="1165"/>
      <c r="BE306" s="1165"/>
      <c r="BF306" s="1165"/>
      <c r="BG306" s="1165"/>
    </row>
    <row r="307" spans="18:59" x14ac:dyDescent="0.25">
      <c r="R307" s="1165"/>
      <c r="S307" s="1165"/>
      <c r="W307" s="1165"/>
      <c r="X307" s="1165"/>
      <c r="AE307" s="1165"/>
      <c r="AF307" s="1165"/>
      <c r="AV307" s="1165"/>
      <c r="AW307" s="1165"/>
      <c r="AX307" s="1165"/>
      <c r="AY307" s="1165"/>
      <c r="AZ307" s="1165"/>
      <c r="BA307" s="1165"/>
      <c r="BC307" s="1165"/>
      <c r="BE307" s="1165"/>
      <c r="BF307" s="1165"/>
      <c r="BG307" s="1165"/>
    </row>
    <row r="308" spans="18:59" x14ac:dyDescent="0.25">
      <c r="R308" s="1165"/>
      <c r="S308" s="1165"/>
      <c r="W308" s="1165"/>
      <c r="X308" s="1165"/>
      <c r="AE308" s="1165"/>
      <c r="AF308" s="1165"/>
      <c r="AV308" s="1165"/>
      <c r="AW308" s="1165"/>
      <c r="AX308" s="1165"/>
      <c r="AY308" s="1165"/>
      <c r="AZ308" s="1165"/>
      <c r="BA308" s="1165"/>
      <c r="BC308" s="1165"/>
      <c r="BE308" s="1165"/>
      <c r="BF308" s="1165"/>
      <c r="BG308" s="1165"/>
    </row>
    <row r="309" spans="18:59" x14ac:dyDescent="0.25">
      <c r="R309" s="1165"/>
      <c r="S309" s="1165"/>
      <c r="W309" s="1165"/>
      <c r="X309" s="1165"/>
      <c r="AE309" s="1165"/>
      <c r="AF309" s="1165"/>
      <c r="AV309" s="1165"/>
      <c r="AW309" s="1165"/>
      <c r="AX309" s="1165"/>
      <c r="AY309" s="1165"/>
      <c r="AZ309" s="1165"/>
      <c r="BA309" s="1165"/>
      <c r="BC309" s="1165"/>
      <c r="BE309" s="1165"/>
      <c r="BF309" s="1165"/>
      <c r="BG309" s="1165"/>
    </row>
    <row r="310" spans="18:59" x14ac:dyDescent="0.25">
      <c r="R310" s="1165"/>
      <c r="S310" s="1165"/>
      <c r="W310" s="1165"/>
      <c r="X310" s="1165"/>
      <c r="AE310" s="1165"/>
      <c r="AF310" s="1165"/>
      <c r="AV310" s="1165"/>
      <c r="AW310" s="1165"/>
      <c r="AX310" s="1165"/>
      <c r="AY310" s="1165"/>
      <c r="AZ310" s="1165"/>
      <c r="BA310" s="1165"/>
      <c r="BC310" s="1165"/>
      <c r="BE310" s="1165"/>
      <c r="BF310" s="1165"/>
      <c r="BG310" s="1165"/>
    </row>
    <row r="311" spans="18:59" x14ac:dyDescent="0.25">
      <c r="R311" s="1165"/>
      <c r="S311" s="1165"/>
      <c r="W311" s="1165"/>
      <c r="X311" s="1165"/>
      <c r="AE311" s="1165"/>
      <c r="AF311" s="1165"/>
      <c r="AV311" s="1165"/>
      <c r="AW311" s="1165"/>
      <c r="AX311" s="1165"/>
      <c r="AY311" s="1165"/>
      <c r="AZ311" s="1165"/>
      <c r="BA311" s="1165"/>
      <c r="BC311" s="1165"/>
      <c r="BE311" s="1165"/>
      <c r="BF311" s="1165"/>
      <c r="BG311" s="1165"/>
    </row>
    <row r="312" spans="18:59" x14ac:dyDescent="0.25">
      <c r="R312" s="1165"/>
      <c r="S312" s="1165"/>
      <c r="W312" s="1165"/>
      <c r="X312" s="1165"/>
      <c r="AE312" s="1165"/>
      <c r="AF312" s="1165"/>
      <c r="AV312" s="1165"/>
      <c r="AW312" s="1165"/>
      <c r="AX312" s="1165"/>
      <c r="AY312" s="1165"/>
      <c r="AZ312" s="1165"/>
      <c r="BA312" s="1165"/>
      <c r="BC312" s="1165"/>
      <c r="BE312" s="1165"/>
      <c r="BF312" s="1165"/>
      <c r="BG312" s="1165"/>
    </row>
    <row r="313" spans="18:59" x14ac:dyDescent="0.25">
      <c r="R313" s="1165"/>
      <c r="S313" s="1165"/>
      <c r="W313" s="1165"/>
      <c r="X313" s="1165"/>
      <c r="AE313" s="1165"/>
      <c r="AF313" s="1165"/>
      <c r="AV313" s="1165"/>
      <c r="AW313" s="1165"/>
      <c r="AX313" s="1165"/>
      <c r="AY313" s="1165"/>
      <c r="AZ313" s="1165"/>
      <c r="BA313" s="1165"/>
      <c r="BC313" s="1165"/>
      <c r="BE313" s="1165"/>
      <c r="BF313" s="1165"/>
      <c r="BG313" s="1165"/>
    </row>
    <row r="314" spans="18:59" x14ac:dyDescent="0.25">
      <c r="R314" s="1165"/>
      <c r="S314" s="1165"/>
      <c r="W314" s="1165"/>
      <c r="X314" s="1165"/>
      <c r="AE314" s="1165"/>
      <c r="AF314" s="1165"/>
      <c r="AV314" s="1165"/>
      <c r="AW314" s="1165"/>
      <c r="AX314" s="1165"/>
      <c r="AY314" s="1165"/>
      <c r="AZ314" s="1165"/>
      <c r="BA314" s="1165"/>
      <c r="BC314" s="1165"/>
      <c r="BE314" s="1165"/>
      <c r="BF314" s="1165"/>
      <c r="BG314" s="1165"/>
    </row>
    <row r="315" spans="18:59" x14ac:dyDescent="0.25">
      <c r="R315" s="1165"/>
      <c r="S315" s="1165"/>
      <c r="W315" s="1165"/>
      <c r="X315" s="1165"/>
      <c r="AE315" s="1165"/>
      <c r="AF315" s="1165"/>
      <c r="AV315" s="1165"/>
      <c r="AW315" s="1165"/>
      <c r="AX315" s="1165"/>
      <c r="AY315" s="1165"/>
      <c r="AZ315" s="1165"/>
      <c r="BA315" s="1165"/>
      <c r="BC315" s="1165"/>
      <c r="BE315" s="1165"/>
      <c r="BF315" s="1165"/>
      <c r="BG315" s="1165"/>
    </row>
    <row r="316" spans="18:59" x14ac:dyDescent="0.25">
      <c r="R316" s="1165"/>
      <c r="S316" s="1165"/>
      <c r="W316" s="1165"/>
      <c r="X316" s="1165"/>
      <c r="AE316" s="1165"/>
      <c r="AF316" s="1165"/>
      <c r="AV316" s="1165"/>
      <c r="AW316" s="1165"/>
      <c r="AX316" s="1165"/>
      <c r="AY316" s="1165"/>
      <c r="AZ316" s="1165"/>
      <c r="BA316" s="1165"/>
      <c r="BC316" s="1165"/>
      <c r="BE316" s="1165"/>
      <c r="BF316" s="1165"/>
      <c r="BG316" s="1165"/>
    </row>
    <row r="317" spans="18:59" x14ac:dyDescent="0.25">
      <c r="R317" s="1165"/>
      <c r="S317" s="1165"/>
      <c r="W317" s="1165"/>
      <c r="X317" s="1165"/>
      <c r="AE317" s="1165"/>
      <c r="AF317" s="1165"/>
      <c r="AV317" s="1165"/>
      <c r="AW317" s="1165"/>
      <c r="AX317" s="1165"/>
      <c r="AY317" s="1165"/>
      <c r="AZ317" s="1165"/>
      <c r="BA317" s="1165"/>
      <c r="BC317" s="1165"/>
      <c r="BE317" s="1165"/>
      <c r="BF317" s="1165"/>
      <c r="BG317" s="1165"/>
    </row>
    <row r="318" spans="18:59" x14ac:dyDescent="0.25">
      <c r="R318" s="1165"/>
      <c r="S318" s="1165"/>
      <c r="W318" s="1165"/>
      <c r="X318" s="1165"/>
      <c r="AE318" s="1165"/>
      <c r="AF318" s="1165"/>
      <c r="AV318" s="1165"/>
      <c r="AW318" s="1165"/>
      <c r="AX318" s="1165"/>
      <c r="AY318" s="1165"/>
      <c r="AZ318" s="1165"/>
      <c r="BA318" s="1165"/>
      <c r="BC318" s="1165"/>
      <c r="BE318" s="1165"/>
      <c r="BF318" s="1165"/>
      <c r="BG318" s="1165"/>
    </row>
    <row r="319" spans="18:59" x14ac:dyDescent="0.25">
      <c r="R319" s="1165"/>
      <c r="S319" s="1165"/>
      <c r="W319" s="1165"/>
      <c r="X319" s="1165"/>
      <c r="AE319" s="1165"/>
      <c r="AF319" s="1165"/>
      <c r="AV319" s="1165"/>
      <c r="AW319" s="1165"/>
      <c r="AX319" s="1165"/>
      <c r="AY319" s="1165"/>
      <c r="AZ319" s="1165"/>
      <c r="BA319" s="1165"/>
      <c r="BC319" s="1165"/>
      <c r="BE319" s="1165"/>
      <c r="BF319" s="1165"/>
      <c r="BG319" s="1165"/>
    </row>
    <row r="320" spans="18:59" x14ac:dyDescent="0.25">
      <c r="R320" s="1165"/>
      <c r="S320" s="1165"/>
      <c r="W320" s="1165"/>
      <c r="X320" s="1165"/>
      <c r="AE320" s="1165"/>
      <c r="AF320" s="1165"/>
      <c r="AV320" s="1165"/>
      <c r="AW320" s="1165"/>
      <c r="AX320" s="1165"/>
      <c r="AY320" s="1165"/>
      <c r="AZ320" s="1165"/>
      <c r="BA320" s="1165"/>
      <c r="BC320" s="1165"/>
      <c r="BE320" s="1165"/>
      <c r="BF320" s="1165"/>
      <c r="BG320" s="1165"/>
    </row>
    <row r="321" spans="18:59" x14ac:dyDescent="0.25">
      <c r="R321" s="1165"/>
      <c r="S321" s="1165"/>
      <c r="W321" s="1165"/>
      <c r="X321" s="1165"/>
      <c r="AE321" s="1165"/>
      <c r="AF321" s="1165"/>
      <c r="AV321" s="1165"/>
      <c r="AW321" s="1165"/>
      <c r="AX321" s="1165"/>
      <c r="AY321" s="1165"/>
      <c r="AZ321" s="1165"/>
      <c r="BA321" s="1165"/>
      <c r="BC321" s="1165"/>
      <c r="BE321" s="1165"/>
      <c r="BF321" s="1165"/>
      <c r="BG321" s="1165"/>
    </row>
    <row r="322" spans="18:59" x14ac:dyDescent="0.25">
      <c r="R322" s="1165"/>
      <c r="S322" s="1165"/>
      <c r="W322" s="1165"/>
      <c r="X322" s="1165"/>
      <c r="AE322" s="1165"/>
      <c r="AF322" s="1165"/>
      <c r="AV322" s="1165"/>
      <c r="AW322" s="1165"/>
      <c r="AX322" s="1165"/>
      <c r="AY322" s="1165"/>
      <c r="AZ322" s="1165"/>
      <c r="BA322" s="1165"/>
      <c r="BC322" s="1165"/>
      <c r="BE322" s="1165"/>
      <c r="BF322" s="1165"/>
      <c r="BG322" s="1165"/>
    </row>
    <row r="323" spans="18:59" x14ac:dyDescent="0.25">
      <c r="R323" s="1165"/>
      <c r="S323" s="1165"/>
      <c r="W323" s="1165"/>
      <c r="X323" s="1165"/>
      <c r="AE323" s="1165"/>
      <c r="AF323" s="1165"/>
      <c r="AV323" s="1165"/>
      <c r="AW323" s="1165"/>
      <c r="AX323" s="1165"/>
      <c r="AY323" s="1165"/>
      <c r="AZ323" s="1165"/>
      <c r="BA323" s="1165"/>
      <c r="BC323" s="1165"/>
      <c r="BE323" s="1165"/>
      <c r="BF323" s="1165"/>
      <c r="BG323" s="1165"/>
    </row>
    <row r="324" spans="18:59" x14ac:dyDescent="0.25">
      <c r="R324" s="1165"/>
      <c r="S324" s="1165"/>
      <c r="W324" s="1165"/>
      <c r="X324" s="1165"/>
      <c r="AE324" s="1165"/>
      <c r="AF324" s="1165"/>
      <c r="AV324" s="1165"/>
      <c r="AW324" s="1165"/>
      <c r="AX324" s="1165"/>
      <c r="AY324" s="1165"/>
      <c r="AZ324" s="1165"/>
      <c r="BA324" s="1165"/>
      <c r="BC324" s="1165"/>
      <c r="BE324" s="1165"/>
      <c r="BF324" s="1165"/>
      <c r="BG324" s="1165"/>
    </row>
    <row r="325" spans="18:59" x14ac:dyDescent="0.25">
      <c r="R325" s="1165"/>
      <c r="S325" s="1165"/>
      <c r="W325" s="1165"/>
      <c r="X325" s="1165"/>
      <c r="AE325" s="1165"/>
      <c r="AF325" s="1165"/>
      <c r="AV325" s="1165"/>
      <c r="AW325" s="1165"/>
      <c r="AX325" s="1165"/>
      <c r="AY325" s="1165"/>
      <c r="AZ325" s="1165"/>
      <c r="BA325" s="1165"/>
      <c r="BC325" s="1165"/>
      <c r="BE325" s="1165"/>
      <c r="BF325" s="1165"/>
      <c r="BG325" s="1165"/>
    </row>
    <row r="326" spans="18:59" x14ac:dyDescent="0.25">
      <c r="R326" s="1165"/>
      <c r="S326" s="1165"/>
      <c r="W326" s="1165"/>
      <c r="X326" s="1165"/>
      <c r="AE326" s="1165"/>
      <c r="AF326" s="1165"/>
      <c r="AV326" s="1165"/>
      <c r="AW326" s="1165"/>
      <c r="AX326" s="1165"/>
      <c r="AY326" s="1165"/>
      <c r="AZ326" s="1165"/>
      <c r="BA326" s="1165"/>
      <c r="BC326" s="1165"/>
      <c r="BE326" s="1165"/>
      <c r="BF326" s="1165"/>
      <c r="BG326" s="1165"/>
    </row>
    <row r="327" spans="18:59" x14ac:dyDescent="0.25">
      <c r="R327" s="1165"/>
      <c r="S327" s="1165"/>
      <c r="W327" s="1165"/>
      <c r="X327" s="1165"/>
      <c r="AE327" s="1165"/>
      <c r="AF327" s="1165"/>
      <c r="AV327" s="1165"/>
      <c r="AW327" s="1165"/>
      <c r="AX327" s="1165"/>
      <c r="AY327" s="1165"/>
      <c r="AZ327" s="1165"/>
      <c r="BA327" s="1165"/>
      <c r="BC327" s="1165"/>
      <c r="BE327" s="1165"/>
      <c r="BF327" s="1165"/>
      <c r="BG327" s="1165"/>
    </row>
    <row r="328" spans="18:59" x14ac:dyDescent="0.25">
      <c r="R328" s="1165"/>
      <c r="S328" s="1165"/>
      <c r="W328" s="1165"/>
      <c r="X328" s="1165"/>
      <c r="AE328" s="1165"/>
      <c r="AF328" s="1165"/>
      <c r="AV328" s="1165"/>
      <c r="AW328" s="1165"/>
      <c r="AX328" s="1165"/>
      <c r="AY328" s="1165"/>
      <c r="AZ328" s="1165"/>
      <c r="BA328" s="1165"/>
      <c r="BC328" s="1165"/>
      <c r="BE328" s="1165"/>
      <c r="BF328" s="1165"/>
      <c r="BG328" s="1165"/>
    </row>
    <row r="329" spans="18:59" x14ac:dyDescent="0.25">
      <c r="R329" s="1165"/>
      <c r="S329" s="1165"/>
      <c r="W329" s="1165"/>
      <c r="X329" s="1165"/>
      <c r="AE329" s="1165"/>
      <c r="AF329" s="1165"/>
      <c r="AV329" s="1165"/>
      <c r="AW329" s="1165"/>
      <c r="AX329" s="1165"/>
      <c r="AY329" s="1165"/>
      <c r="AZ329" s="1165"/>
      <c r="BA329" s="1165"/>
      <c r="BC329" s="1165"/>
      <c r="BE329" s="1165"/>
      <c r="BF329" s="1165"/>
      <c r="BG329" s="1165"/>
    </row>
    <row r="330" spans="18:59" x14ac:dyDescent="0.25">
      <c r="R330" s="1165"/>
      <c r="S330" s="1165"/>
      <c r="W330" s="1165"/>
      <c r="X330" s="1165"/>
      <c r="AE330" s="1165"/>
      <c r="AF330" s="1165"/>
      <c r="AV330" s="1165"/>
      <c r="AW330" s="1165"/>
      <c r="AX330" s="1165"/>
      <c r="AY330" s="1165"/>
      <c r="AZ330" s="1165"/>
      <c r="BA330" s="1165"/>
      <c r="BC330" s="1165"/>
      <c r="BE330" s="1165"/>
      <c r="BF330" s="1165"/>
      <c r="BG330" s="1165"/>
    </row>
    <row r="331" spans="18:59" x14ac:dyDescent="0.25">
      <c r="R331" s="1165"/>
      <c r="S331" s="1165"/>
      <c r="W331" s="1165"/>
      <c r="X331" s="1165"/>
      <c r="AE331" s="1165"/>
      <c r="AF331" s="1165"/>
      <c r="AV331" s="1165"/>
      <c r="AW331" s="1165"/>
      <c r="AX331" s="1165"/>
      <c r="AY331" s="1165"/>
      <c r="AZ331" s="1165"/>
      <c r="BA331" s="1165"/>
      <c r="BC331" s="1165"/>
      <c r="BE331" s="1165"/>
      <c r="BF331" s="1165"/>
      <c r="BG331" s="1165"/>
    </row>
    <row r="332" spans="18:59" x14ac:dyDescent="0.25">
      <c r="R332" s="1165"/>
      <c r="S332" s="1165"/>
      <c r="W332" s="1165"/>
      <c r="X332" s="1165"/>
      <c r="AE332" s="1165"/>
      <c r="AF332" s="1165"/>
      <c r="AV332" s="1165"/>
      <c r="AW332" s="1165"/>
      <c r="AX332" s="1165"/>
      <c r="AY332" s="1165"/>
      <c r="AZ332" s="1165"/>
      <c r="BA332" s="1165"/>
      <c r="BC332" s="1165"/>
      <c r="BE332" s="1165"/>
      <c r="BF332" s="1165"/>
      <c r="BG332" s="1165"/>
    </row>
    <row r="333" spans="18:59" x14ac:dyDescent="0.25">
      <c r="R333" s="1165"/>
      <c r="S333" s="1165"/>
      <c r="W333" s="1165"/>
      <c r="X333" s="1165"/>
      <c r="AE333" s="1165"/>
      <c r="AF333" s="1165"/>
      <c r="AV333" s="1165"/>
      <c r="AW333" s="1165"/>
      <c r="AX333" s="1165"/>
      <c r="AY333" s="1165"/>
      <c r="AZ333" s="1165"/>
      <c r="BA333" s="1165"/>
      <c r="BC333" s="1165"/>
      <c r="BE333" s="1165"/>
      <c r="BF333" s="1165"/>
      <c r="BG333" s="1165"/>
    </row>
    <row r="334" spans="18:59" x14ac:dyDescent="0.25">
      <c r="R334" s="1165"/>
      <c r="S334" s="1165"/>
      <c r="W334" s="1165"/>
      <c r="X334" s="1165"/>
      <c r="AE334" s="1165"/>
      <c r="AF334" s="1165"/>
      <c r="AV334" s="1165"/>
      <c r="AW334" s="1165"/>
      <c r="AX334" s="1165"/>
      <c r="AY334" s="1165"/>
      <c r="AZ334" s="1165"/>
      <c r="BA334" s="1165"/>
      <c r="BC334" s="1165"/>
      <c r="BE334" s="1165"/>
      <c r="BF334" s="1165"/>
      <c r="BG334" s="1165"/>
    </row>
    <row r="335" spans="18:59" x14ac:dyDescent="0.25">
      <c r="R335" s="1165"/>
      <c r="S335" s="1165"/>
      <c r="W335" s="1165"/>
      <c r="X335" s="1165"/>
      <c r="AE335" s="1165"/>
      <c r="AF335" s="1165"/>
      <c r="AV335" s="1165"/>
      <c r="AW335" s="1165"/>
      <c r="AX335" s="1165"/>
      <c r="AY335" s="1165"/>
      <c r="AZ335" s="1165"/>
      <c r="BA335" s="1165"/>
      <c r="BC335" s="1165"/>
      <c r="BE335" s="1165"/>
      <c r="BF335" s="1165"/>
      <c r="BG335" s="1165"/>
    </row>
    <row r="336" spans="18:59" x14ac:dyDescent="0.25">
      <c r="R336" s="1165"/>
      <c r="S336" s="1165"/>
      <c r="W336" s="1165"/>
      <c r="X336" s="1165"/>
      <c r="AE336" s="1165"/>
      <c r="AF336" s="1165"/>
      <c r="AV336" s="1165"/>
      <c r="AW336" s="1165"/>
      <c r="AX336" s="1165"/>
      <c r="AY336" s="1165"/>
      <c r="AZ336" s="1165"/>
      <c r="BA336" s="1165"/>
      <c r="BC336" s="1165"/>
      <c r="BE336" s="1165"/>
      <c r="BF336" s="1165"/>
      <c r="BG336" s="1165"/>
    </row>
    <row r="337" spans="18:59" x14ac:dyDescent="0.25">
      <c r="R337" s="1165"/>
      <c r="S337" s="1165"/>
      <c r="W337" s="1165"/>
      <c r="X337" s="1165"/>
      <c r="AE337" s="1165"/>
      <c r="AF337" s="1165"/>
      <c r="AV337" s="1165"/>
      <c r="AW337" s="1165"/>
      <c r="AX337" s="1165"/>
      <c r="AY337" s="1165"/>
      <c r="AZ337" s="1165"/>
      <c r="BA337" s="1165"/>
      <c r="BC337" s="1165"/>
      <c r="BE337" s="1165"/>
      <c r="BF337" s="1165"/>
      <c r="BG337" s="1165"/>
    </row>
    <row r="338" spans="18:59" x14ac:dyDescent="0.25">
      <c r="R338" s="1165"/>
      <c r="S338" s="1165"/>
      <c r="W338" s="1165"/>
      <c r="X338" s="1165"/>
      <c r="AE338" s="1165"/>
      <c r="AF338" s="1165"/>
      <c r="AV338" s="1165"/>
      <c r="AW338" s="1165"/>
      <c r="AX338" s="1165"/>
      <c r="AY338" s="1165"/>
      <c r="AZ338" s="1165"/>
      <c r="BA338" s="1165"/>
      <c r="BC338" s="1165"/>
      <c r="BE338" s="1165"/>
      <c r="BF338" s="1165"/>
      <c r="BG338" s="1165"/>
    </row>
    <row r="339" spans="18:59" x14ac:dyDescent="0.25">
      <c r="R339" s="1165"/>
      <c r="S339" s="1165"/>
      <c r="W339" s="1165"/>
      <c r="X339" s="1165"/>
      <c r="AE339" s="1165"/>
      <c r="AF339" s="1165"/>
      <c r="AV339" s="1165"/>
      <c r="AW339" s="1165"/>
      <c r="AX339" s="1165"/>
      <c r="AY339" s="1165"/>
      <c r="AZ339" s="1165"/>
      <c r="BA339" s="1165"/>
      <c r="BC339" s="1165"/>
      <c r="BE339" s="1165"/>
      <c r="BF339" s="1165"/>
      <c r="BG339" s="1165"/>
    </row>
    <row r="340" spans="18:59" x14ac:dyDescent="0.25">
      <c r="R340" s="1165"/>
      <c r="S340" s="1165"/>
      <c r="W340" s="1165"/>
      <c r="X340" s="1165"/>
      <c r="AE340" s="1165"/>
      <c r="AF340" s="1165"/>
      <c r="AV340" s="1165"/>
      <c r="AW340" s="1165"/>
      <c r="AX340" s="1165"/>
      <c r="AY340" s="1165"/>
      <c r="AZ340" s="1165"/>
      <c r="BA340" s="1165"/>
      <c r="BC340" s="1165"/>
      <c r="BE340" s="1165"/>
      <c r="BF340" s="1165"/>
      <c r="BG340" s="1165"/>
    </row>
    <row r="341" spans="18:59" x14ac:dyDescent="0.25">
      <c r="R341" s="1165"/>
      <c r="S341" s="1165"/>
      <c r="W341" s="1165"/>
      <c r="X341" s="1165"/>
      <c r="AE341" s="1165"/>
      <c r="AF341" s="1165"/>
      <c r="AV341" s="1165"/>
      <c r="AW341" s="1165"/>
      <c r="AX341" s="1165"/>
      <c r="AY341" s="1165"/>
      <c r="AZ341" s="1165"/>
      <c r="BA341" s="1165"/>
      <c r="BC341" s="1165"/>
      <c r="BE341" s="1165"/>
      <c r="BF341" s="1165"/>
      <c r="BG341" s="1165"/>
    </row>
    <row r="342" spans="18:59" x14ac:dyDescent="0.25">
      <c r="R342" s="1165"/>
      <c r="S342" s="1165"/>
      <c r="W342" s="1165"/>
      <c r="X342" s="1165"/>
      <c r="AE342" s="1165"/>
      <c r="AF342" s="1165"/>
      <c r="AV342" s="1165"/>
      <c r="AW342" s="1165"/>
      <c r="AX342" s="1165"/>
      <c r="AY342" s="1165"/>
      <c r="AZ342" s="1165"/>
      <c r="BA342" s="1165"/>
      <c r="BC342" s="1165"/>
      <c r="BE342" s="1165"/>
      <c r="BF342" s="1165"/>
      <c r="BG342" s="1165"/>
    </row>
    <row r="343" spans="18:59" x14ac:dyDescent="0.25">
      <c r="R343" s="1165"/>
      <c r="S343" s="1165"/>
      <c r="W343" s="1165"/>
      <c r="X343" s="1165"/>
      <c r="AE343" s="1165"/>
      <c r="AF343" s="1165"/>
      <c r="AV343" s="1165"/>
      <c r="AW343" s="1165"/>
      <c r="AX343" s="1165"/>
      <c r="AY343" s="1165"/>
      <c r="AZ343" s="1165"/>
      <c r="BA343" s="1165"/>
      <c r="BC343" s="1165"/>
      <c r="BE343" s="1165"/>
      <c r="BF343" s="1165"/>
      <c r="BG343" s="1165"/>
    </row>
    <row r="344" spans="18:59" x14ac:dyDescent="0.25">
      <c r="R344" s="1165"/>
      <c r="S344" s="1165"/>
      <c r="W344" s="1165"/>
      <c r="X344" s="1165"/>
      <c r="AE344" s="1165"/>
      <c r="AF344" s="1165"/>
      <c r="AV344" s="1165"/>
      <c r="AW344" s="1165"/>
      <c r="AX344" s="1165"/>
      <c r="AY344" s="1165"/>
      <c r="AZ344" s="1165"/>
      <c r="BA344" s="1165"/>
      <c r="BC344" s="1165"/>
      <c r="BE344" s="1165"/>
      <c r="BF344" s="1165"/>
      <c r="BG344" s="1165"/>
    </row>
    <row r="345" spans="18:59" x14ac:dyDescent="0.25">
      <c r="R345" s="1165"/>
      <c r="S345" s="1165"/>
      <c r="W345" s="1165"/>
      <c r="X345" s="1165"/>
      <c r="AE345" s="1165"/>
      <c r="AF345" s="1165"/>
      <c r="AV345" s="1165"/>
      <c r="AW345" s="1165"/>
      <c r="AX345" s="1165"/>
      <c r="AY345" s="1165"/>
      <c r="AZ345" s="1165"/>
      <c r="BA345" s="1165"/>
      <c r="BC345" s="1165"/>
      <c r="BE345" s="1165"/>
      <c r="BF345" s="1165"/>
      <c r="BG345" s="1165"/>
    </row>
    <row r="346" spans="18:59" x14ac:dyDescent="0.25">
      <c r="R346" s="1165"/>
      <c r="S346" s="1165"/>
      <c r="W346" s="1165"/>
      <c r="X346" s="1165"/>
      <c r="AE346" s="1165"/>
      <c r="AF346" s="1165"/>
      <c r="AV346" s="1165"/>
      <c r="AW346" s="1165"/>
      <c r="AX346" s="1165"/>
      <c r="AY346" s="1165"/>
      <c r="AZ346" s="1165"/>
      <c r="BA346" s="1165"/>
      <c r="BC346" s="1165"/>
      <c r="BE346" s="1165"/>
      <c r="BF346" s="1165"/>
      <c r="BG346" s="1165"/>
    </row>
    <row r="347" spans="18:59" x14ac:dyDescent="0.25">
      <c r="R347" s="1165"/>
      <c r="S347" s="1165"/>
      <c r="W347" s="1165"/>
      <c r="X347" s="1165"/>
      <c r="AE347" s="1165"/>
      <c r="AF347" s="1165"/>
      <c r="AV347" s="1165"/>
      <c r="AW347" s="1165"/>
      <c r="AX347" s="1165"/>
      <c r="AY347" s="1165"/>
      <c r="AZ347" s="1165"/>
      <c r="BA347" s="1165"/>
      <c r="BC347" s="1165"/>
      <c r="BE347" s="1165"/>
      <c r="BF347" s="1165"/>
      <c r="BG347" s="1165"/>
    </row>
    <row r="348" spans="18:59" x14ac:dyDescent="0.25">
      <c r="R348" s="1165"/>
      <c r="S348" s="1165"/>
      <c r="W348" s="1165"/>
      <c r="X348" s="1165"/>
      <c r="AE348" s="1165"/>
      <c r="AF348" s="1165"/>
      <c r="AV348" s="1165"/>
      <c r="AW348" s="1165"/>
      <c r="AX348" s="1165"/>
      <c r="AY348" s="1165"/>
      <c r="AZ348" s="1165"/>
      <c r="BA348" s="1165"/>
      <c r="BC348" s="1165"/>
      <c r="BE348" s="1165"/>
      <c r="BF348" s="1165"/>
      <c r="BG348" s="1165"/>
    </row>
    <row r="349" spans="18:59" x14ac:dyDescent="0.25">
      <c r="R349" s="1165"/>
      <c r="S349" s="1165"/>
      <c r="W349" s="1165"/>
      <c r="X349" s="1165"/>
      <c r="AE349" s="1165"/>
      <c r="AF349" s="1165"/>
      <c r="AV349" s="1165"/>
      <c r="AW349" s="1165"/>
      <c r="AX349" s="1165"/>
      <c r="AY349" s="1165"/>
      <c r="AZ349" s="1165"/>
      <c r="BA349" s="1165"/>
      <c r="BC349" s="1165"/>
      <c r="BE349" s="1165"/>
      <c r="BF349" s="1165"/>
      <c r="BG349" s="1165"/>
    </row>
    <row r="350" spans="18:59" x14ac:dyDescent="0.25">
      <c r="R350" s="1165"/>
      <c r="S350" s="1165"/>
      <c r="W350" s="1165"/>
      <c r="X350" s="1165"/>
      <c r="AE350" s="1165"/>
      <c r="AF350" s="1165"/>
      <c r="AV350" s="1165"/>
      <c r="AW350" s="1165"/>
      <c r="AX350" s="1165"/>
      <c r="AY350" s="1165"/>
      <c r="AZ350" s="1165"/>
      <c r="BA350" s="1165"/>
      <c r="BC350" s="1165"/>
      <c r="BE350" s="1165"/>
      <c r="BF350" s="1165"/>
      <c r="BG350" s="1165"/>
    </row>
    <row r="351" spans="18:59" x14ac:dyDescent="0.25">
      <c r="R351" s="1165"/>
      <c r="S351" s="1165"/>
      <c r="W351" s="1165"/>
      <c r="X351" s="1165"/>
      <c r="AE351" s="1165"/>
      <c r="AF351" s="1165"/>
      <c r="AV351" s="1165"/>
      <c r="AW351" s="1165"/>
      <c r="AX351" s="1165"/>
      <c r="AY351" s="1165"/>
      <c r="AZ351" s="1165"/>
      <c r="BA351" s="1165"/>
      <c r="BC351" s="1165"/>
      <c r="BE351" s="1165"/>
      <c r="BF351" s="1165"/>
      <c r="BG351" s="1165"/>
    </row>
    <row r="352" spans="18:59" x14ac:dyDescent="0.25">
      <c r="R352" s="1165"/>
      <c r="S352" s="1165"/>
      <c r="W352" s="1165"/>
      <c r="X352" s="1165"/>
      <c r="AE352" s="1165"/>
      <c r="AF352" s="1165"/>
      <c r="AV352" s="1165"/>
      <c r="AW352" s="1165"/>
      <c r="AX352" s="1165"/>
      <c r="AY352" s="1165"/>
      <c r="AZ352" s="1165"/>
      <c r="BA352" s="1165"/>
      <c r="BC352" s="1165"/>
      <c r="BE352" s="1165"/>
      <c r="BF352" s="1165"/>
      <c r="BG352" s="1165"/>
    </row>
    <row r="353" spans="18:59" x14ac:dyDescent="0.25">
      <c r="R353" s="1165"/>
      <c r="S353" s="1165"/>
      <c r="W353" s="1165"/>
      <c r="X353" s="1165"/>
      <c r="AE353" s="1165"/>
      <c r="AF353" s="1165"/>
      <c r="AV353" s="1165"/>
      <c r="AW353" s="1165"/>
      <c r="AX353" s="1165"/>
      <c r="AY353" s="1165"/>
      <c r="AZ353" s="1165"/>
      <c r="BA353" s="1165"/>
      <c r="BC353" s="1165"/>
      <c r="BE353" s="1165"/>
      <c r="BF353" s="1165"/>
      <c r="BG353" s="1165"/>
    </row>
    <row r="354" spans="18:59" x14ac:dyDescent="0.25">
      <c r="R354" s="1165"/>
      <c r="S354" s="1165"/>
      <c r="W354" s="1165"/>
      <c r="X354" s="1165"/>
      <c r="AE354" s="1165"/>
      <c r="AF354" s="1165"/>
      <c r="AV354" s="1165"/>
      <c r="AW354" s="1165"/>
      <c r="AX354" s="1165"/>
      <c r="AY354" s="1165"/>
      <c r="AZ354" s="1165"/>
      <c r="BA354" s="1165"/>
      <c r="BC354" s="1165"/>
      <c r="BE354" s="1165"/>
      <c r="BF354" s="1165"/>
      <c r="BG354" s="1165"/>
    </row>
    <row r="355" spans="18:59" x14ac:dyDescent="0.25">
      <c r="R355" s="1165"/>
      <c r="S355" s="1165"/>
      <c r="W355" s="1165"/>
      <c r="X355" s="1165"/>
      <c r="AE355" s="1165"/>
      <c r="AF355" s="1165"/>
      <c r="AV355" s="1165"/>
      <c r="AW355" s="1165"/>
      <c r="AX355" s="1165"/>
      <c r="AY355" s="1165"/>
      <c r="AZ355" s="1165"/>
      <c r="BA355" s="1165"/>
      <c r="BC355" s="1165"/>
      <c r="BE355" s="1165"/>
      <c r="BF355" s="1165"/>
      <c r="BG355" s="1165"/>
    </row>
    <row r="356" spans="18:59" x14ac:dyDescent="0.25">
      <c r="R356" s="1165"/>
      <c r="S356" s="1165"/>
      <c r="W356" s="1165"/>
      <c r="X356" s="1165"/>
      <c r="AE356" s="1165"/>
      <c r="AF356" s="1165"/>
      <c r="AV356" s="1165"/>
      <c r="AW356" s="1165"/>
      <c r="AX356" s="1165"/>
      <c r="AY356" s="1165"/>
      <c r="AZ356" s="1165"/>
      <c r="BA356" s="1165"/>
      <c r="BC356" s="1165"/>
      <c r="BE356" s="1165"/>
      <c r="BF356" s="1165"/>
      <c r="BG356" s="1165"/>
    </row>
    <row r="357" spans="18:59" x14ac:dyDescent="0.25">
      <c r="R357" s="1165"/>
      <c r="S357" s="1165"/>
      <c r="W357" s="1165"/>
      <c r="X357" s="1165"/>
      <c r="AE357" s="1165"/>
      <c r="AF357" s="1165"/>
      <c r="AV357" s="1165"/>
      <c r="AW357" s="1165"/>
      <c r="AX357" s="1165"/>
      <c r="AY357" s="1165"/>
      <c r="AZ357" s="1165"/>
      <c r="BA357" s="1165"/>
      <c r="BC357" s="1165"/>
      <c r="BE357" s="1165"/>
      <c r="BF357" s="1165"/>
      <c r="BG357" s="1165"/>
    </row>
    <row r="358" spans="18:59" x14ac:dyDescent="0.25">
      <c r="R358" s="1165"/>
      <c r="S358" s="1165"/>
      <c r="W358" s="1165"/>
      <c r="X358" s="1165"/>
      <c r="AE358" s="1165"/>
      <c r="AF358" s="1165"/>
      <c r="AV358" s="1165"/>
      <c r="AW358" s="1165"/>
      <c r="AX358" s="1165"/>
      <c r="AY358" s="1165"/>
      <c r="AZ358" s="1165"/>
      <c r="BA358" s="1165"/>
      <c r="BC358" s="1165"/>
      <c r="BE358" s="1165"/>
      <c r="BF358" s="1165"/>
      <c r="BG358" s="1165"/>
    </row>
    <row r="359" spans="18:59" x14ac:dyDescent="0.25">
      <c r="R359" s="1165"/>
      <c r="S359" s="1165"/>
      <c r="W359" s="1165"/>
      <c r="X359" s="1165"/>
      <c r="AE359" s="1165"/>
      <c r="AF359" s="1165"/>
      <c r="AV359" s="1165"/>
      <c r="AW359" s="1165"/>
      <c r="AX359" s="1165"/>
      <c r="AY359" s="1165"/>
      <c r="AZ359" s="1165"/>
      <c r="BA359" s="1165"/>
      <c r="BC359" s="1165"/>
      <c r="BE359" s="1165"/>
      <c r="BF359" s="1165"/>
      <c r="BG359" s="1165"/>
    </row>
    <row r="360" spans="18:59" x14ac:dyDescent="0.25">
      <c r="R360" s="1165"/>
      <c r="S360" s="1165"/>
      <c r="W360" s="1165"/>
      <c r="X360" s="1165"/>
      <c r="AE360" s="1165"/>
      <c r="AF360" s="1165"/>
      <c r="AV360" s="1165"/>
      <c r="AW360" s="1165"/>
      <c r="AX360" s="1165"/>
      <c r="AY360" s="1165"/>
      <c r="AZ360" s="1165"/>
      <c r="BA360" s="1165"/>
      <c r="BC360" s="1165"/>
      <c r="BE360" s="1165"/>
      <c r="BF360" s="1165"/>
      <c r="BG360" s="1165"/>
    </row>
    <row r="361" spans="18:59" x14ac:dyDescent="0.25">
      <c r="R361" s="1165"/>
      <c r="S361" s="1165"/>
      <c r="W361" s="1165"/>
      <c r="X361" s="1165"/>
      <c r="AE361" s="1165"/>
      <c r="AF361" s="1165"/>
      <c r="AV361" s="1165"/>
      <c r="AW361" s="1165"/>
      <c r="AX361" s="1165"/>
      <c r="AY361" s="1165"/>
      <c r="AZ361" s="1165"/>
      <c r="BA361" s="1165"/>
      <c r="BC361" s="1165"/>
      <c r="BE361" s="1165"/>
      <c r="BF361" s="1165"/>
      <c r="BG361" s="1165"/>
    </row>
    <row r="362" spans="18:59" x14ac:dyDescent="0.25">
      <c r="R362" s="1165"/>
      <c r="S362" s="1165"/>
      <c r="W362" s="1165"/>
      <c r="X362" s="1165"/>
      <c r="AE362" s="1165"/>
      <c r="AF362" s="1165"/>
      <c r="AV362" s="1165"/>
      <c r="AW362" s="1165"/>
      <c r="AX362" s="1165"/>
      <c r="AY362" s="1165"/>
      <c r="AZ362" s="1165"/>
      <c r="BA362" s="1165"/>
      <c r="BC362" s="1165"/>
      <c r="BE362" s="1165"/>
      <c r="BF362" s="1165"/>
      <c r="BG362" s="1165"/>
    </row>
    <row r="363" spans="18:59" x14ac:dyDescent="0.25">
      <c r="R363" s="1165"/>
      <c r="S363" s="1165"/>
      <c r="W363" s="1165"/>
      <c r="X363" s="1165"/>
      <c r="AE363" s="1165"/>
      <c r="AF363" s="1165"/>
      <c r="AV363" s="1165"/>
      <c r="AW363" s="1165"/>
      <c r="AX363" s="1165"/>
      <c r="AY363" s="1165"/>
      <c r="AZ363" s="1165"/>
      <c r="BA363" s="1165"/>
      <c r="BC363" s="1165"/>
      <c r="BE363" s="1165"/>
      <c r="BF363" s="1165"/>
      <c r="BG363" s="1165"/>
    </row>
    <row r="364" spans="18:59" x14ac:dyDescent="0.25">
      <c r="R364" s="1165"/>
      <c r="S364" s="1165"/>
      <c r="W364" s="1165"/>
      <c r="X364" s="1165"/>
      <c r="AE364" s="1165"/>
      <c r="AF364" s="1165"/>
      <c r="AV364" s="1165"/>
      <c r="AW364" s="1165"/>
      <c r="AX364" s="1165"/>
      <c r="AY364" s="1165"/>
      <c r="AZ364" s="1165"/>
      <c r="BA364" s="1165"/>
      <c r="BC364" s="1165"/>
      <c r="BE364" s="1165"/>
      <c r="BF364" s="1165"/>
      <c r="BG364" s="1165"/>
    </row>
    <row r="365" spans="18:59" x14ac:dyDescent="0.25">
      <c r="R365" s="1165"/>
      <c r="S365" s="1165"/>
      <c r="W365" s="1165"/>
      <c r="X365" s="1165"/>
      <c r="AE365" s="1165"/>
      <c r="AF365" s="1165"/>
      <c r="AV365" s="1165"/>
      <c r="AW365" s="1165"/>
      <c r="AX365" s="1165"/>
      <c r="AY365" s="1165"/>
      <c r="AZ365" s="1165"/>
      <c r="BA365" s="1165"/>
      <c r="BC365" s="1165"/>
      <c r="BE365" s="1165"/>
      <c r="BF365" s="1165"/>
      <c r="BG365" s="1165"/>
    </row>
    <row r="366" spans="18:59" x14ac:dyDescent="0.25">
      <c r="R366" s="1165"/>
      <c r="S366" s="1165"/>
      <c r="W366" s="1165"/>
      <c r="X366" s="1165"/>
      <c r="AE366" s="1165"/>
      <c r="AF366" s="1165"/>
      <c r="AV366" s="1165"/>
      <c r="AW366" s="1165"/>
      <c r="AX366" s="1165"/>
      <c r="AY366" s="1165"/>
      <c r="AZ366" s="1165"/>
      <c r="BA366" s="1165"/>
      <c r="BC366" s="1165"/>
      <c r="BE366" s="1165"/>
      <c r="BF366" s="1165"/>
      <c r="BG366" s="1165"/>
    </row>
    <row r="367" spans="18:59" x14ac:dyDescent="0.25">
      <c r="R367" s="1165"/>
      <c r="S367" s="1165"/>
      <c r="W367" s="1165"/>
      <c r="X367" s="1165"/>
      <c r="AE367" s="1165"/>
      <c r="AF367" s="1165"/>
      <c r="AV367" s="1165"/>
      <c r="AW367" s="1165"/>
      <c r="AX367" s="1165"/>
      <c r="AY367" s="1165"/>
      <c r="AZ367" s="1165"/>
      <c r="BA367" s="1165"/>
      <c r="BC367" s="1165"/>
      <c r="BE367" s="1165"/>
      <c r="BF367" s="1165"/>
      <c r="BG367" s="1165"/>
    </row>
    <row r="368" spans="18:59" x14ac:dyDescent="0.25">
      <c r="R368" s="1165"/>
      <c r="S368" s="1165"/>
      <c r="W368" s="1165"/>
      <c r="X368" s="1165"/>
      <c r="AE368" s="1165"/>
      <c r="AF368" s="1165"/>
      <c r="AV368" s="1165"/>
      <c r="AW368" s="1165"/>
      <c r="AX368" s="1165"/>
      <c r="AY368" s="1165"/>
      <c r="AZ368" s="1165"/>
      <c r="BA368" s="1165"/>
      <c r="BC368" s="1165"/>
      <c r="BE368" s="1165"/>
      <c r="BF368" s="1165"/>
      <c r="BG368" s="1165"/>
    </row>
    <row r="369" spans="18:59" x14ac:dyDescent="0.25">
      <c r="R369" s="1165"/>
      <c r="S369" s="1165"/>
      <c r="W369" s="1165"/>
      <c r="X369" s="1165"/>
      <c r="AE369" s="1165"/>
      <c r="AF369" s="1165"/>
      <c r="AV369" s="1165"/>
      <c r="AW369" s="1165"/>
      <c r="AX369" s="1165"/>
      <c r="AY369" s="1165"/>
      <c r="AZ369" s="1165"/>
      <c r="BA369" s="1165"/>
      <c r="BC369" s="1165"/>
      <c r="BE369" s="1165"/>
      <c r="BF369" s="1165"/>
      <c r="BG369" s="1165"/>
    </row>
    <row r="370" spans="18:59" x14ac:dyDescent="0.25">
      <c r="R370" s="1165"/>
      <c r="S370" s="1165"/>
      <c r="W370" s="1165"/>
      <c r="X370" s="1165"/>
      <c r="AE370" s="1165"/>
      <c r="AF370" s="1165"/>
      <c r="AV370" s="1165"/>
      <c r="AW370" s="1165"/>
      <c r="AX370" s="1165"/>
      <c r="AY370" s="1165"/>
      <c r="AZ370" s="1165"/>
      <c r="BA370" s="1165"/>
      <c r="BC370" s="1165"/>
      <c r="BE370" s="1165"/>
      <c r="BF370" s="1165"/>
      <c r="BG370" s="1165"/>
    </row>
    <row r="371" spans="18:59" x14ac:dyDescent="0.25">
      <c r="R371" s="1165"/>
      <c r="S371" s="1165"/>
      <c r="W371" s="1165"/>
      <c r="X371" s="1165"/>
      <c r="AE371" s="1165"/>
      <c r="AF371" s="1165"/>
      <c r="AV371" s="1165"/>
      <c r="AW371" s="1165"/>
      <c r="AX371" s="1165"/>
      <c r="AY371" s="1165"/>
      <c r="AZ371" s="1165"/>
      <c r="BA371" s="1165"/>
      <c r="BC371" s="1165"/>
      <c r="BE371" s="1165"/>
      <c r="BF371" s="1165"/>
      <c r="BG371" s="1165"/>
    </row>
    <row r="372" spans="18:59" x14ac:dyDescent="0.25">
      <c r="R372" s="1165"/>
      <c r="S372" s="1165"/>
      <c r="W372" s="1165"/>
      <c r="X372" s="1165"/>
      <c r="AE372" s="1165"/>
      <c r="AF372" s="1165"/>
      <c r="AV372" s="1165"/>
      <c r="AW372" s="1165"/>
      <c r="AX372" s="1165"/>
      <c r="AY372" s="1165"/>
      <c r="AZ372" s="1165"/>
      <c r="BA372" s="1165"/>
      <c r="BC372" s="1165"/>
      <c r="BE372" s="1165"/>
      <c r="BF372" s="1165"/>
      <c r="BG372" s="1165"/>
    </row>
    <row r="373" spans="18:59" x14ac:dyDescent="0.25">
      <c r="R373" s="1165"/>
      <c r="S373" s="1165"/>
      <c r="W373" s="1165"/>
      <c r="X373" s="1165"/>
      <c r="AE373" s="1165"/>
      <c r="AF373" s="1165"/>
      <c r="AV373" s="1165"/>
      <c r="AW373" s="1165"/>
      <c r="AX373" s="1165"/>
      <c r="AY373" s="1165"/>
      <c r="AZ373" s="1165"/>
      <c r="BA373" s="1165"/>
      <c r="BC373" s="1165"/>
      <c r="BE373" s="1165"/>
      <c r="BF373" s="1165"/>
      <c r="BG373" s="1165"/>
    </row>
    <row r="374" spans="18:59" x14ac:dyDescent="0.25">
      <c r="R374" s="1165"/>
      <c r="S374" s="1165"/>
      <c r="W374" s="1165"/>
      <c r="X374" s="1165"/>
      <c r="AE374" s="1165"/>
      <c r="AF374" s="1165"/>
      <c r="AV374" s="1165"/>
      <c r="AW374" s="1165"/>
      <c r="AX374" s="1165"/>
      <c r="AY374" s="1165"/>
      <c r="AZ374" s="1165"/>
      <c r="BA374" s="1165"/>
      <c r="BC374" s="1165"/>
      <c r="BE374" s="1165"/>
      <c r="BF374" s="1165"/>
      <c r="BG374" s="1165"/>
    </row>
    <row r="375" spans="18:59" x14ac:dyDescent="0.25">
      <c r="R375" s="1165"/>
      <c r="S375" s="1165"/>
      <c r="W375" s="1165"/>
      <c r="X375" s="1165"/>
      <c r="AE375" s="1165"/>
      <c r="AF375" s="1165"/>
      <c r="AV375" s="1165"/>
      <c r="AW375" s="1165"/>
      <c r="AX375" s="1165"/>
      <c r="AY375" s="1165"/>
      <c r="AZ375" s="1165"/>
      <c r="BA375" s="1165"/>
      <c r="BC375" s="1165"/>
      <c r="BE375" s="1165"/>
      <c r="BF375" s="1165"/>
      <c r="BG375" s="1165"/>
    </row>
    <row r="376" spans="18:59" x14ac:dyDescent="0.25">
      <c r="R376" s="1165"/>
      <c r="S376" s="1165"/>
      <c r="W376" s="1165"/>
      <c r="X376" s="1165"/>
      <c r="AE376" s="1165"/>
      <c r="AF376" s="1165"/>
      <c r="AV376" s="1165"/>
      <c r="AW376" s="1165"/>
      <c r="AX376" s="1165"/>
      <c r="AY376" s="1165"/>
      <c r="AZ376" s="1165"/>
      <c r="BA376" s="1165"/>
      <c r="BC376" s="1165"/>
      <c r="BE376" s="1165"/>
      <c r="BF376" s="1165"/>
      <c r="BG376" s="1165"/>
    </row>
    <row r="377" spans="18:59" x14ac:dyDescent="0.25">
      <c r="R377" s="1165"/>
      <c r="S377" s="1165"/>
      <c r="W377" s="1165"/>
      <c r="X377" s="1165"/>
      <c r="AE377" s="1165"/>
      <c r="AF377" s="1165"/>
      <c r="AV377" s="1165"/>
      <c r="AW377" s="1165"/>
      <c r="AX377" s="1165"/>
      <c r="AY377" s="1165"/>
      <c r="AZ377" s="1165"/>
      <c r="BA377" s="1165"/>
      <c r="BC377" s="1165"/>
      <c r="BE377" s="1165"/>
      <c r="BF377" s="1165"/>
      <c r="BG377" s="1165"/>
    </row>
    <row r="378" spans="18:59" x14ac:dyDescent="0.25">
      <c r="R378" s="1165"/>
      <c r="S378" s="1165"/>
      <c r="W378" s="1165"/>
      <c r="X378" s="1165"/>
      <c r="AE378" s="1165"/>
      <c r="AF378" s="1165"/>
      <c r="AV378" s="1165"/>
      <c r="AW378" s="1165"/>
      <c r="AX378" s="1165"/>
      <c r="AY378" s="1165"/>
      <c r="AZ378" s="1165"/>
      <c r="BA378" s="1165"/>
      <c r="BC378" s="1165"/>
      <c r="BE378" s="1165"/>
      <c r="BF378" s="1165"/>
      <c r="BG378" s="1165"/>
    </row>
    <row r="379" spans="18:59" x14ac:dyDescent="0.25">
      <c r="R379" s="1165"/>
      <c r="S379" s="1165"/>
      <c r="W379" s="1165"/>
      <c r="X379" s="1165"/>
      <c r="AE379" s="1165"/>
      <c r="AF379" s="1165"/>
      <c r="AV379" s="1165"/>
      <c r="AW379" s="1165"/>
      <c r="AX379" s="1165"/>
      <c r="AY379" s="1165"/>
      <c r="AZ379" s="1165"/>
      <c r="BA379" s="1165"/>
      <c r="BC379" s="1165"/>
      <c r="BE379" s="1165"/>
      <c r="BF379" s="1165"/>
      <c r="BG379" s="1165"/>
    </row>
    <row r="380" spans="18:59" x14ac:dyDescent="0.25">
      <c r="R380" s="1165"/>
      <c r="S380" s="1165"/>
      <c r="W380" s="1165"/>
      <c r="X380" s="1165"/>
      <c r="AE380" s="1165"/>
      <c r="AF380" s="1165"/>
      <c r="AV380" s="1165"/>
      <c r="AW380" s="1165"/>
      <c r="AX380" s="1165"/>
      <c r="AY380" s="1165"/>
      <c r="AZ380" s="1165"/>
      <c r="BA380" s="1165"/>
      <c r="BC380" s="1165"/>
      <c r="BE380" s="1165"/>
      <c r="BF380" s="1165"/>
      <c r="BG380" s="1165"/>
    </row>
    <row r="381" spans="18:59" x14ac:dyDescent="0.25">
      <c r="R381" s="1165"/>
      <c r="S381" s="1165"/>
      <c r="W381" s="1165"/>
      <c r="X381" s="1165"/>
      <c r="AE381" s="1165"/>
      <c r="AF381" s="1165"/>
      <c r="AV381" s="1165"/>
      <c r="AW381" s="1165"/>
      <c r="AX381" s="1165"/>
      <c r="AY381" s="1165"/>
      <c r="AZ381" s="1165"/>
      <c r="BA381" s="1165"/>
      <c r="BC381" s="1165"/>
      <c r="BE381" s="1165"/>
      <c r="BF381" s="1165"/>
      <c r="BG381" s="1165"/>
    </row>
    <row r="382" spans="18:59" x14ac:dyDescent="0.25">
      <c r="R382" s="1165"/>
      <c r="S382" s="1165"/>
      <c r="W382" s="1165"/>
      <c r="X382" s="1165"/>
      <c r="AE382" s="1165"/>
      <c r="AF382" s="1165"/>
      <c r="AV382" s="1165"/>
      <c r="AW382" s="1165"/>
      <c r="AX382" s="1165"/>
      <c r="AY382" s="1165"/>
      <c r="AZ382" s="1165"/>
      <c r="BA382" s="1165"/>
      <c r="BC382" s="1165"/>
      <c r="BE382" s="1165"/>
      <c r="BF382" s="1165"/>
      <c r="BG382" s="1165"/>
    </row>
    <row r="383" spans="18:59" x14ac:dyDescent="0.25">
      <c r="R383" s="1165"/>
      <c r="S383" s="1165"/>
      <c r="W383" s="1165"/>
      <c r="X383" s="1165"/>
      <c r="AE383" s="1165"/>
      <c r="AF383" s="1165"/>
      <c r="AV383" s="1165"/>
      <c r="AW383" s="1165"/>
      <c r="AX383" s="1165"/>
      <c r="AY383" s="1165"/>
      <c r="AZ383" s="1165"/>
      <c r="BA383" s="1165"/>
      <c r="BC383" s="1165"/>
      <c r="BE383" s="1165"/>
      <c r="BF383" s="1165"/>
      <c r="BG383" s="1165"/>
    </row>
    <row r="384" spans="18:59" x14ac:dyDescent="0.25">
      <c r="R384" s="1165"/>
      <c r="S384" s="1165"/>
      <c r="W384" s="1165"/>
      <c r="X384" s="1165"/>
      <c r="AE384" s="1165"/>
      <c r="AF384" s="1165"/>
      <c r="AV384" s="1165"/>
      <c r="AW384" s="1165"/>
      <c r="AX384" s="1165"/>
      <c r="AY384" s="1165"/>
      <c r="AZ384" s="1165"/>
      <c r="BA384" s="1165"/>
      <c r="BC384" s="1165"/>
      <c r="BE384" s="1165"/>
      <c r="BF384" s="1165"/>
      <c r="BG384" s="1165"/>
    </row>
    <row r="385" spans="18:59" x14ac:dyDescent="0.25">
      <c r="R385" s="1165"/>
      <c r="S385" s="1165"/>
      <c r="W385" s="1165"/>
      <c r="X385" s="1165"/>
      <c r="AE385" s="1165"/>
      <c r="AF385" s="1165"/>
      <c r="AV385" s="1165"/>
      <c r="AW385" s="1165"/>
      <c r="AX385" s="1165"/>
      <c r="AY385" s="1165"/>
      <c r="AZ385" s="1165"/>
      <c r="BA385" s="1165"/>
      <c r="BC385" s="1165"/>
      <c r="BE385" s="1165"/>
      <c r="BF385" s="1165"/>
      <c r="BG385" s="1165"/>
    </row>
    <row r="386" spans="18:59" x14ac:dyDescent="0.25">
      <c r="R386" s="1165"/>
      <c r="S386" s="1165"/>
      <c r="W386" s="1165"/>
      <c r="X386" s="1165"/>
      <c r="AE386" s="1165"/>
      <c r="AF386" s="1165"/>
      <c r="AV386" s="1165"/>
      <c r="AW386" s="1165"/>
      <c r="AX386" s="1165"/>
      <c r="AY386" s="1165"/>
      <c r="AZ386" s="1165"/>
      <c r="BA386" s="1165"/>
      <c r="BC386" s="1165"/>
      <c r="BE386" s="1165"/>
      <c r="BF386" s="1165"/>
      <c r="BG386" s="1165"/>
    </row>
    <row r="387" spans="18:59" x14ac:dyDescent="0.25">
      <c r="R387" s="1165"/>
      <c r="S387" s="1165"/>
      <c r="W387" s="1165"/>
      <c r="X387" s="1165"/>
      <c r="AE387" s="1165"/>
      <c r="AF387" s="1165"/>
      <c r="AV387" s="1165"/>
      <c r="AW387" s="1165"/>
      <c r="AX387" s="1165"/>
      <c r="AY387" s="1165"/>
      <c r="AZ387" s="1165"/>
      <c r="BA387" s="1165"/>
      <c r="BC387" s="1165"/>
      <c r="BE387" s="1165"/>
      <c r="BF387" s="1165"/>
      <c r="BG387" s="1165"/>
    </row>
    <row r="388" spans="18:59" x14ac:dyDescent="0.25">
      <c r="R388" s="1165"/>
      <c r="S388" s="1165"/>
      <c r="W388" s="1165"/>
      <c r="X388" s="1165"/>
      <c r="AE388" s="1165"/>
      <c r="AF388" s="1165"/>
      <c r="AV388" s="1165"/>
      <c r="AW388" s="1165"/>
      <c r="AX388" s="1165"/>
      <c r="AY388" s="1165"/>
      <c r="AZ388" s="1165"/>
      <c r="BA388" s="1165"/>
      <c r="BC388" s="1165"/>
      <c r="BE388" s="1165"/>
      <c r="BF388" s="1165"/>
      <c r="BG388" s="1165"/>
    </row>
    <row r="389" spans="18:59" x14ac:dyDescent="0.25">
      <c r="R389" s="1165"/>
      <c r="S389" s="1165"/>
      <c r="W389" s="1165"/>
      <c r="X389" s="1165"/>
      <c r="AE389" s="1165"/>
      <c r="AF389" s="1165"/>
      <c r="AV389" s="1165"/>
      <c r="AW389" s="1165"/>
      <c r="AX389" s="1165"/>
      <c r="AY389" s="1165"/>
      <c r="AZ389" s="1165"/>
      <c r="BA389" s="1165"/>
      <c r="BC389" s="1165"/>
      <c r="BE389" s="1165"/>
      <c r="BF389" s="1165"/>
      <c r="BG389" s="1165"/>
    </row>
    <row r="390" spans="18:59" x14ac:dyDescent="0.25">
      <c r="R390" s="1165"/>
      <c r="S390" s="1165"/>
      <c r="W390" s="1165"/>
      <c r="X390" s="1165"/>
      <c r="AE390" s="1165"/>
      <c r="AF390" s="1165"/>
      <c r="AV390" s="1165"/>
      <c r="AW390" s="1165"/>
      <c r="AX390" s="1165"/>
      <c r="AY390" s="1165"/>
      <c r="AZ390" s="1165"/>
      <c r="BA390" s="1165"/>
      <c r="BC390" s="1165"/>
      <c r="BE390" s="1165"/>
      <c r="BF390" s="1165"/>
      <c r="BG390" s="1165"/>
    </row>
    <row r="391" spans="18:59" x14ac:dyDescent="0.25">
      <c r="R391" s="1165"/>
      <c r="S391" s="1165"/>
      <c r="W391" s="1165"/>
      <c r="X391" s="1165"/>
      <c r="AE391" s="1165"/>
      <c r="AF391" s="1165"/>
      <c r="AV391" s="1165"/>
      <c r="AW391" s="1165"/>
      <c r="AX391" s="1165"/>
      <c r="AY391" s="1165"/>
      <c r="AZ391" s="1165"/>
      <c r="BA391" s="1165"/>
      <c r="BC391" s="1165"/>
      <c r="BE391" s="1165"/>
      <c r="BF391" s="1165"/>
      <c r="BG391" s="1165"/>
    </row>
    <row r="392" spans="18:59" x14ac:dyDescent="0.25">
      <c r="R392" s="1165"/>
      <c r="S392" s="1165"/>
      <c r="W392" s="1165"/>
      <c r="X392" s="1165"/>
      <c r="AE392" s="1165"/>
      <c r="AF392" s="1165"/>
      <c r="AV392" s="1165"/>
      <c r="AW392" s="1165"/>
      <c r="AX392" s="1165"/>
      <c r="AY392" s="1165"/>
      <c r="AZ392" s="1165"/>
      <c r="BA392" s="1165"/>
      <c r="BC392" s="1165"/>
      <c r="BE392" s="1165"/>
      <c r="BF392" s="1165"/>
      <c r="BG392" s="1165"/>
    </row>
    <row r="393" spans="18:59" x14ac:dyDescent="0.25">
      <c r="R393" s="1165"/>
      <c r="S393" s="1165"/>
      <c r="W393" s="1165"/>
      <c r="X393" s="1165"/>
      <c r="AE393" s="1165"/>
      <c r="AF393" s="1165"/>
      <c r="AV393" s="1165"/>
      <c r="AW393" s="1165"/>
      <c r="AX393" s="1165"/>
      <c r="AY393" s="1165"/>
      <c r="AZ393" s="1165"/>
      <c r="BA393" s="1165"/>
      <c r="BC393" s="1165"/>
      <c r="BE393" s="1165"/>
      <c r="BF393" s="1165"/>
      <c r="BG393" s="1165"/>
    </row>
    <row r="394" spans="18:59" x14ac:dyDescent="0.25">
      <c r="R394" s="1165"/>
      <c r="S394" s="1165"/>
      <c r="W394" s="1165"/>
      <c r="X394" s="1165"/>
      <c r="AE394" s="1165"/>
      <c r="AF394" s="1165"/>
      <c r="AV394" s="1165"/>
      <c r="AW394" s="1165"/>
      <c r="AX394" s="1165"/>
      <c r="AY394" s="1165"/>
      <c r="AZ394" s="1165"/>
      <c r="BA394" s="1165"/>
      <c r="BC394" s="1165"/>
      <c r="BE394" s="1165"/>
      <c r="BF394" s="1165"/>
      <c r="BG394" s="1165"/>
    </row>
    <row r="395" spans="18:59" x14ac:dyDescent="0.25">
      <c r="R395" s="1165"/>
      <c r="S395" s="1165"/>
      <c r="W395" s="1165"/>
      <c r="X395" s="1165"/>
      <c r="AE395" s="1165"/>
      <c r="AF395" s="1165"/>
      <c r="AV395" s="1165"/>
      <c r="AW395" s="1165"/>
      <c r="AX395" s="1165"/>
      <c r="AY395" s="1165"/>
      <c r="AZ395" s="1165"/>
      <c r="BA395" s="1165"/>
      <c r="BC395" s="1165"/>
      <c r="BE395" s="1165"/>
      <c r="BF395" s="1165"/>
      <c r="BG395" s="1165"/>
    </row>
    <row r="396" spans="18:59" x14ac:dyDescent="0.25">
      <c r="R396" s="1165"/>
      <c r="S396" s="1165"/>
      <c r="W396" s="1165"/>
      <c r="X396" s="1165"/>
      <c r="AE396" s="1165"/>
      <c r="AF396" s="1165"/>
      <c r="AV396" s="1165"/>
      <c r="AW396" s="1165"/>
      <c r="AX396" s="1165"/>
      <c r="AY396" s="1165"/>
      <c r="AZ396" s="1165"/>
      <c r="BA396" s="1165"/>
      <c r="BC396" s="1165"/>
      <c r="BE396" s="1165"/>
      <c r="BF396" s="1165"/>
      <c r="BG396" s="1165"/>
    </row>
    <row r="397" spans="18:59" x14ac:dyDescent="0.25">
      <c r="R397" s="1165"/>
      <c r="S397" s="1165"/>
      <c r="W397" s="1165"/>
      <c r="X397" s="1165"/>
      <c r="AE397" s="1165"/>
      <c r="AF397" s="1165"/>
      <c r="AV397" s="1165"/>
      <c r="AW397" s="1165"/>
      <c r="AX397" s="1165"/>
      <c r="AY397" s="1165"/>
      <c r="AZ397" s="1165"/>
      <c r="BA397" s="1165"/>
      <c r="BC397" s="1165"/>
      <c r="BE397" s="1165"/>
      <c r="BF397" s="1165"/>
      <c r="BG397" s="1165"/>
    </row>
    <row r="398" spans="18:59" x14ac:dyDescent="0.25">
      <c r="R398" s="1165"/>
      <c r="S398" s="1165"/>
      <c r="W398" s="1165"/>
      <c r="X398" s="1165"/>
      <c r="AE398" s="1165"/>
      <c r="AF398" s="1165"/>
      <c r="AV398" s="1165"/>
      <c r="AW398" s="1165"/>
      <c r="AX398" s="1165"/>
      <c r="AY398" s="1165"/>
      <c r="AZ398" s="1165"/>
      <c r="BA398" s="1165"/>
      <c r="BC398" s="1165"/>
      <c r="BE398" s="1165"/>
      <c r="BF398" s="1165"/>
      <c r="BG398" s="1165"/>
    </row>
    <row r="399" spans="18:59" x14ac:dyDescent="0.25">
      <c r="R399" s="1165"/>
      <c r="S399" s="1165"/>
      <c r="W399" s="1165"/>
      <c r="X399" s="1165"/>
      <c r="AE399" s="1165"/>
      <c r="AF399" s="1165"/>
      <c r="AV399" s="1165"/>
      <c r="AW399" s="1165"/>
      <c r="AX399" s="1165"/>
      <c r="AY399" s="1165"/>
      <c r="AZ399" s="1165"/>
      <c r="BA399" s="1165"/>
      <c r="BC399" s="1165"/>
      <c r="BE399" s="1165"/>
      <c r="BF399" s="1165"/>
      <c r="BG399" s="1165"/>
    </row>
    <row r="400" spans="18:59" x14ac:dyDescent="0.25">
      <c r="R400" s="1165"/>
      <c r="S400" s="1165"/>
      <c r="W400" s="1165"/>
      <c r="X400" s="1165"/>
      <c r="AE400" s="1165"/>
      <c r="AF400" s="1165"/>
      <c r="AV400" s="1165"/>
      <c r="AW400" s="1165"/>
      <c r="AX400" s="1165"/>
      <c r="AY400" s="1165"/>
      <c r="AZ400" s="1165"/>
      <c r="BA400" s="1165"/>
      <c r="BC400" s="1165"/>
      <c r="BE400" s="1165"/>
      <c r="BF400" s="1165"/>
      <c r="BG400" s="1165"/>
    </row>
    <row r="401" spans="18:59" x14ac:dyDescent="0.25">
      <c r="R401" s="1165"/>
      <c r="S401" s="1165"/>
      <c r="W401" s="1165"/>
      <c r="X401" s="1165"/>
      <c r="AE401" s="1165"/>
      <c r="AF401" s="1165"/>
      <c r="AV401" s="1165"/>
      <c r="AW401" s="1165"/>
      <c r="AX401" s="1165"/>
      <c r="AY401" s="1165"/>
      <c r="AZ401" s="1165"/>
      <c r="BA401" s="1165"/>
      <c r="BC401" s="1165"/>
      <c r="BE401" s="1165"/>
      <c r="BF401" s="1165"/>
      <c r="BG401" s="1165"/>
    </row>
    <row r="402" spans="18:59" x14ac:dyDescent="0.25">
      <c r="R402" s="1165"/>
      <c r="S402" s="1165"/>
      <c r="W402" s="1165"/>
      <c r="X402" s="1165"/>
      <c r="AE402" s="1165"/>
      <c r="AF402" s="1165"/>
      <c r="AV402" s="1165"/>
      <c r="AW402" s="1165"/>
      <c r="AX402" s="1165"/>
      <c r="AY402" s="1165"/>
      <c r="AZ402" s="1165"/>
      <c r="BA402" s="1165"/>
      <c r="BC402" s="1165"/>
      <c r="BE402" s="1165"/>
      <c r="BF402" s="1165"/>
      <c r="BG402" s="1165"/>
    </row>
    <row r="403" spans="18:59" x14ac:dyDescent="0.25">
      <c r="R403" s="1165"/>
      <c r="S403" s="1165"/>
      <c r="W403" s="1165"/>
      <c r="X403" s="1165"/>
      <c r="AE403" s="1165"/>
      <c r="AF403" s="1165"/>
      <c r="AV403" s="1165"/>
      <c r="AW403" s="1165"/>
      <c r="AX403" s="1165"/>
      <c r="AY403" s="1165"/>
      <c r="AZ403" s="1165"/>
      <c r="BA403" s="1165"/>
      <c r="BC403" s="1165"/>
      <c r="BE403" s="1165"/>
      <c r="BF403" s="1165"/>
      <c r="BG403" s="1165"/>
    </row>
    <row r="404" spans="18:59" x14ac:dyDescent="0.25">
      <c r="R404" s="1165"/>
      <c r="S404" s="1165"/>
      <c r="W404" s="1165"/>
      <c r="X404" s="1165"/>
      <c r="AE404" s="1165"/>
      <c r="AF404" s="1165"/>
      <c r="AV404" s="1165"/>
      <c r="AW404" s="1165"/>
      <c r="AX404" s="1165"/>
      <c r="AY404" s="1165"/>
      <c r="AZ404" s="1165"/>
      <c r="BA404" s="1165"/>
      <c r="BC404" s="1165"/>
      <c r="BE404" s="1165"/>
      <c r="BF404" s="1165"/>
      <c r="BG404" s="1165"/>
    </row>
    <row r="405" spans="18:59" x14ac:dyDescent="0.25">
      <c r="R405" s="1165"/>
      <c r="S405" s="1165"/>
      <c r="W405" s="1165"/>
      <c r="X405" s="1165"/>
      <c r="AE405" s="1165"/>
      <c r="AF405" s="1165"/>
      <c r="AV405" s="1165"/>
      <c r="AW405" s="1165"/>
      <c r="AX405" s="1165"/>
      <c r="AY405" s="1165"/>
      <c r="AZ405" s="1165"/>
      <c r="BA405" s="1165"/>
      <c r="BC405" s="1165"/>
      <c r="BE405" s="1165"/>
      <c r="BF405" s="1165"/>
      <c r="BG405" s="1165"/>
    </row>
    <row r="406" spans="18:59" x14ac:dyDescent="0.25">
      <c r="R406" s="1165"/>
      <c r="S406" s="1165"/>
      <c r="W406" s="1165"/>
      <c r="X406" s="1165"/>
      <c r="AE406" s="1165"/>
      <c r="AF406" s="1165"/>
      <c r="AV406" s="1165"/>
      <c r="AW406" s="1165"/>
      <c r="AX406" s="1165"/>
      <c r="AY406" s="1165"/>
      <c r="AZ406" s="1165"/>
      <c r="BA406" s="1165"/>
      <c r="BC406" s="1165"/>
      <c r="BE406" s="1165"/>
      <c r="BF406" s="1165"/>
      <c r="BG406" s="1165"/>
    </row>
    <row r="407" spans="18:59" x14ac:dyDescent="0.25">
      <c r="R407" s="1165"/>
      <c r="S407" s="1165"/>
      <c r="W407" s="1165"/>
      <c r="X407" s="1165"/>
      <c r="AE407" s="1165"/>
      <c r="AF407" s="1165"/>
      <c r="AV407" s="1165"/>
      <c r="AW407" s="1165"/>
      <c r="AX407" s="1165"/>
      <c r="AY407" s="1165"/>
      <c r="AZ407" s="1165"/>
      <c r="BA407" s="1165"/>
      <c r="BC407" s="1165"/>
      <c r="BE407" s="1165"/>
      <c r="BF407" s="1165"/>
      <c r="BG407" s="1165"/>
    </row>
    <row r="408" spans="18:59" x14ac:dyDescent="0.25">
      <c r="R408" s="1165"/>
      <c r="S408" s="1165"/>
      <c r="W408" s="1165"/>
      <c r="X408" s="1165"/>
      <c r="AE408" s="1165"/>
      <c r="AF408" s="1165"/>
      <c r="AV408" s="1165"/>
      <c r="AW408" s="1165"/>
      <c r="AX408" s="1165"/>
      <c r="AY408" s="1165"/>
      <c r="AZ408" s="1165"/>
      <c r="BA408" s="1165"/>
      <c r="BC408" s="1165"/>
      <c r="BE408" s="1165"/>
      <c r="BF408" s="1165"/>
      <c r="BG408" s="1165"/>
    </row>
    <row r="409" spans="18:59" x14ac:dyDescent="0.25">
      <c r="R409" s="1165"/>
      <c r="S409" s="1165"/>
      <c r="W409" s="1165"/>
      <c r="X409" s="1165"/>
      <c r="AE409" s="1165"/>
      <c r="AF409" s="1165"/>
      <c r="AV409" s="1165"/>
      <c r="AW409" s="1165"/>
      <c r="AX409" s="1165"/>
      <c r="AY409" s="1165"/>
      <c r="AZ409" s="1165"/>
      <c r="BA409" s="1165"/>
      <c r="BC409" s="1165"/>
      <c r="BE409" s="1165"/>
      <c r="BF409" s="1165"/>
      <c r="BG409" s="1165"/>
    </row>
    <row r="410" spans="18:59" x14ac:dyDescent="0.25">
      <c r="R410" s="1165"/>
      <c r="S410" s="1165"/>
      <c r="W410" s="1165"/>
      <c r="X410" s="1165"/>
      <c r="AE410" s="1165"/>
      <c r="AF410" s="1165"/>
      <c r="AV410" s="1165"/>
      <c r="AW410" s="1165"/>
      <c r="AX410" s="1165"/>
      <c r="AY410" s="1165"/>
      <c r="AZ410" s="1165"/>
      <c r="BA410" s="1165"/>
      <c r="BC410" s="1165"/>
      <c r="BE410" s="1165"/>
      <c r="BF410" s="1165"/>
      <c r="BG410" s="1165"/>
    </row>
    <row r="411" spans="18:59" x14ac:dyDescent="0.25">
      <c r="R411" s="1165"/>
      <c r="S411" s="1165"/>
      <c r="W411" s="1165"/>
      <c r="X411" s="1165"/>
      <c r="AE411" s="1165"/>
      <c r="AF411" s="1165"/>
      <c r="AV411" s="1165"/>
      <c r="AW411" s="1165"/>
      <c r="AX411" s="1165"/>
      <c r="AY411" s="1165"/>
      <c r="AZ411" s="1165"/>
      <c r="BA411" s="1165"/>
      <c r="BC411" s="1165"/>
      <c r="BE411" s="1165"/>
      <c r="BF411" s="1165"/>
      <c r="BG411" s="1165"/>
    </row>
    <row r="412" spans="18:59" x14ac:dyDescent="0.25">
      <c r="R412" s="1165"/>
      <c r="S412" s="1165"/>
      <c r="W412" s="1165"/>
      <c r="X412" s="1165"/>
      <c r="AE412" s="1165"/>
      <c r="AF412" s="1165"/>
      <c r="AV412" s="1165"/>
      <c r="AW412" s="1165"/>
      <c r="AX412" s="1165"/>
      <c r="AY412" s="1165"/>
      <c r="AZ412" s="1165"/>
      <c r="BA412" s="1165"/>
      <c r="BC412" s="1165"/>
      <c r="BE412" s="1165"/>
      <c r="BF412" s="1165"/>
      <c r="BG412" s="1165"/>
    </row>
    <row r="413" spans="18:59" x14ac:dyDescent="0.25">
      <c r="R413" s="1165"/>
      <c r="S413" s="1165"/>
      <c r="W413" s="1165"/>
      <c r="X413" s="1165"/>
      <c r="AE413" s="1165"/>
      <c r="AF413" s="1165"/>
      <c r="AV413" s="1165"/>
      <c r="AW413" s="1165"/>
      <c r="AX413" s="1165"/>
      <c r="AY413" s="1165"/>
      <c r="AZ413" s="1165"/>
      <c r="BA413" s="1165"/>
      <c r="BC413" s="1165"/>
      <c r="BE413" s="1165"/>
      <c r="BF413" s="1165"/>
      <c r="BG413" s="1165"/>
    </row>
    <row r="414" spans="18:59" x14ac:dyDescent="0.25">
      <c r="R414" s="1165"/>
      <c r="S414" s="1165"/>
      <c r="W414" s="1165"/>
      <c r="X414" s="1165"/>
      <c r="AE414" s="1165"/>
      <c r="AF414" s="1165"/>
      <c r="AV414" s="1165"/>
      <c r="AW414" s="1165"/>
      <c r="AX414" s="1165"/>
      <c r="AY414" s="1165"/>
      <c r="AZ414" s="1165"/>
      <c r="BA414" s="1165"/>
      <c r="BC414" s="1165"/>
      <c r="BE414" s="1165"/>
      <c r="BF414" s="1165"/>
      <c r="BG414" s="1165"/>
    </row>
    <row r="415" spans="18:59" x14ac:dyDescent="0.25">
      <c r="R415" s="1165"/>
      <c r="S415" s="1165"/>
      <c r="W415" s="1165"/>
      <c r="X415" s="1165"/>
      <c r="AE415" s="1165"/>
      <c r="AF415" s="1165"/>
      <c r="AV415" s="1165"/>
      <c r="AW415" s="1165"/>
      <c r="AX415" s="1165"/>
      <c r="AY415" s="1165"/>
      <c r="AZ415" s="1165"/>
      <c r="BA415" s="1165"/>
      <c r="BC415" s="1165"/>
      <c r="BE415" s="1165"/>
      <c r="BF415" s="1165"/>
      <c r="BG415" s="1165"/>
    </row>
    <row r="416" spans="18:59" x14ac:dyDescent="0.25">
      <c r="R416" s="1165"/>
      <c r="S416" s="1165"/>
      <c r="W416" s="1165"/>
      <c r="X416" s="1165"/>
      <c r="AE416" s="1165"/>
      <c r="AF416" s="1165"/>
      <c r="AV416" s="1165"/>
      <c r="AW416" s="1165"/>
      <c r="AX416" s="1165"/>
      <c r="AY416" s="1165"/>
      <c r="AZ416" s="1165"/>
      <c r="BA416" s="1165"/>
      <c r="BC416" s="1165"/>
      <c r="BE416" s="1165"/>
      <c r="BF416" s="1165"/>
      <c r="BG416" s="1165"/>
    </row>
    <row r="417" spans="18:59" x14ac:dyDescent="0.25">
      <c r="R417" s="1165"/>
      <c r="S417" s="1165"/>
      <c r="W417" s="1165"/>
      <c r="X417" s="1165"/>
      <c r="AE417" s="1165"/>
      <c r="AF417" s="1165"/>
      <c r="AV417" s="1165"/>
      <c r="AW417" s="1165"/>
      <c r="AX417" s="1165"/>
      <c r="AY417" s="1165"/>
      <c r="AZ417" s="1165"/>
      <c r="BA417" s="1165"/>
      <c r="BC417" s="1165"/>
      <c r="BE417" s="1165"/>
      <c r="BF417" s="1165"/>
      <c r="BG417" s="1165"/>
    </row>
    <row r="418" spans="18:59" x14ac:dyDescent="0.25">
      <c r="R418" s="1165"/>
      <c r="S418" s="1165"/>
      <c r="W418" s="1165"/>
      <c r="X418" s="1165"/>
      <c r="AE418" s="1165"/>
      <c r="AF418" s="1165"/>
      <c r="AV418" s="1165"/>
      <c r="AW418" s="1165"/>
      <c r="AX418" s="1165"/>
      <c r="AY418" s="1165"/>
      <c r="AZ418" s="1165"/>
      <c r="BA418" s="1165"/>
      <c r="BC418" s="1165"/>
      <c r="BE418" s="1165"/>
      <c r="BF418" s="1165"/>
      <c r="BG418" s="1165"/>
    </row>
    <row r="419" spans="18:59" x14ac:dyDescent="0.25">
      <c r="R419" s="1165"/>
      <c r="S419" s="1165"/>
      <c r="W419" s="1165"/>
      <c r="X419" s="1165"/>
      <c r="AE419" s="1165"/>
      <c r="AF419" s="1165"/>
      <c r="AV419" s="1165"/>
      <c r="AW419" s="1165"/>
      <c r="AX419" s="1165"/>
      <c r="AY419" s="1165"/>
      <c r="AZ419" s="1165"/>
      <c r="BA419" s="1165"/>
      <c r="BC419" s="1165"/>
      <c r="BE419" s="1165"/>
      <c r="BF419" s="1165"/>
      <c r="BG419" s="1165"/>
    </row>
    <row r="420" spans="18:59" x14ac:dyDescent="0.25">
      <c r="R420" s="1165"/>
      <c r="S420" s="1165"/>
      <c r="W420" s="1165"/>
      <c r="X420" s="1165"/>
      <c r="AE420" s="1165"/>
      <c r="AF420" s="1165"/>
      <c r="AV420" s="1165"/>
      <c r="AW420" s="1165"/>
      <c r="AX420" s="1165"/>
      <c r="AY420" s="1165"/>
      <c r="AZ420" s="1165"/>
      <c r="BA420" s="1165"/>
      <c r="BC420" s="1165"/>
      <c r="BE420" s="1165"/>
      <c r="BF420" s="1165"/>
      <c r="BG420" s="1165"/>
    </row>
    <row r="421" spans="18:59" x14ac:dyDescent="0.25">
      <c r="R421" s="1165"/>
      <c r="S421" s="1165"/>
      <c r="W421" s="1165"/>
      <c r="X421" s="1165"/>
      <c r="AE421" s="1165"/>
      <c r="AF421" s="1165"/>
      <c r="AV421" s="1165"/>
      <c r="AW421" s="1165"/>
      <c r="AX421" s="1165"/>
      <c r="AY421" s="1165"/>
      <c r="AZ421" s="1165"/>
      <c r="BA421" s="1165"/>
      <c r="BC421" s="1165"/>
      <c r="BE421" s="1165"/>
      <c r="BF421" s="1165"/>
      <c r="BG421" s="1165"/>
    </row>
    <row r="422" spans="18:59" x14ac:dyDescent="0.25">
      <c r="R422" s="1165"/>
      <c r="S422" s="1165"/>
      <c r="W422" s="1165"/>
      <c r="X422" s="1165"/>
      <c r="AE422" s="1165"/>
      <c r="AF422" s="1165"/>
      <c r="AV422" s="1165"/>
      <c r="AW422" s="1165"/>
      <c r="AX422" s="1165"/>
      <c r="AY422" s="1165"/>
      <c r="AZ422" s="1165"/>
      <c r="BA422" s="1165"/>
      <c r="BC422" s="1165"/>
      <c r="BE422" s="1165"/>
      <c r="BF422" s="1165"/>
      <c r="BG422" s="1165"/>
    </row>
    <row r="423" spans="18:59" x14ac:dyDescent="0.25">
      <c r="R423" s="1165"/>
      <c r="S423" s="1165"/>
      <c r="W423" s="1165"/>
      <c r="X423" s="1165"/>
      <c r="AE423" s="1165"/>
      <c r="AF423" s="1165"/>
      <c r="AV423" s="1165"/>
      <c r="AW423" s="1165"/>
      <c r="AX423" s="1165"/>
      <c r="AY423" s="1165"/>
      <c r="AZ423" s="1165"/>
      <c r="BA423" s="1165"/>
      <c r="BC423" s="1165"/>
      <c r="BE423" s="1165"/>
      <c r="BF423" s="1165"/>
      <c r="BG423" s="1165"/>
    </row>
    <row r="424" spans="18:59" x14ac:dyDescent="0.25">
      <c r="R424" s="1165"/>
      <c r="S424" s="1165"/>
      <c r="W424" s="1165"/>
      <c r="X424" s="1165"/>
      <c r="AE424" s="1165"/>
      <c r="AF424" s="1165"/>
      <c r="AV424" s="1165"/>
      <c r="AW424" s="1165"/>
      <c r="AX424" s="1165"/>
      <c r="AY424" s="1165"/>
      <c r="AZ424" s="1165"/>
      <c r="BA424" s="1165"/>
      <c r="BC424" s="1165"/>
      <c r="BE424" s="1165"/>
      <c r="BF424" s="1165"/>
      <c r="BG424" s="1165"/>
    </row>
    <row r="425" spans="18:59" x14ac:dyDescent="0.25">
      <c r="R425" s="1165"/>
      <c r="S425" s="1165"/>
      <c r="W425" s="1165"/>
      <c r="X425" s="1165"/>
      <c r="AE425" s="1165"/>
      <c r="AF425" s="1165"/>
      <c r="AV425" s="1165"/>
      <c r="AW425" s="1165"/>
      <c r="AX425" s="1165"/>
      <c r="AY425" s="1165"/>
      <c r="AZ425" s="1165"/>
      <c r="BA425" s="1165"/>
      <c r="BC425" s="1165"/>
      <c r="BE425" s="1165"/>
      <c r="BF425" s="1165"/>
      <c r="BG425" s="1165"/>
    </row>
    <row r="426" spans="18:59" x14ac:dyDescent="0.25">
      <c r="R426" s="1165"/>
      <c r="S426" s="1165"/>
      <c r="W426" s="1165"/>
      <c r="X426" s="1165"/>
      <c r="AE426" s="1165"/>
      <c r="AF426" s="1165"/>
      <c r="AV426" s="1165"/>
      <c r="AW426" s="1165"/>
      <c r="AX426" s="1165"/>
      <c r="AY426" s="1165"/>
      <c r="AZ426" s="1165"/>
      <c r="BA426" s="1165"/>
      <c r="BC426" s="1165"/>
      <c r="BE426" s="1165"/>
      <c r="BF426" s="1165"/>
      <c r="BG426" s="1165"/>
    </row>
    <row r="427" spans="18:59" x14ac:dyDescent="0.25">
      <c r="R427" s="1165"/>
      <c r="S427" s="1165"/>
      <c r="W427" s="1165"/>
      <c r="X427" s="1165"/>
      <c r="AE427" s="1165"/>
      <c r="AF427" s="1165"/>
      <c r="AV427" s="1165"/>
      <c r="AW427" s="1165"/>
      <c r="AX427" s="1165"/>
      <c r="AY427" s="1165"/>
      <c r="AZ427" s="1165"/>
      <c r="BA427" s="1165"/>
      <c r="BC427" s="1165"/>
      <c r="BE427" s="1165"/>
      <c r="BF427" s="1165"/>
      <c r="BG427" s="1165"/>
    </row>
    <row r="428" spans="18:59" x14ac:dyDescent="0.25">
      <c r="R428" s="1165"/>
      <c r="S428" s="1165"/>
      <c r="W428" s="1165"/>
      <c r="X428" s="1165"/>
      <c r="AE428" s="1165"/>
      <c r="AF428" s="1165"/>
      <c r="AV428" s="1165"/>
      <c r="AW428" s="1165"/>
      <c r="AX428" s="1165"/>
      <c r="AY428" s="1165"/>
      <c r="AZ428" s="1165"/>
      <c r="BA428" s="1165"/>
      <c r="BC428" s="1165"/>
      <c r="BE428" s="1165"/>
      <c r="BF428" s="1165"/>
      <c r="BG428" s="1165"/>
    </row>
    <row r="429" spans="18:59" x14ac:dyDescent="0.25">
      <c r="R429" s="1165"/>
      <c r="S429" s="1165"/>
      <c r="W429" s="1165"/>
      <c r="X429" s="1165"/>
      <c r="AE429" s="1165"/>
      <c r="AF429" s="1165"/>
      <c r="AV429" s="1165"/>
      <c r="AW429" s="1165"/>
      <c r="AX429" s="1165"/>
      <c r="AY429" s="1165"/>
      <c r="AZ429" s="1165"/>
      <c r="BA429" s="1165"/>
      <c r="BC429" s="1165"/>
      <c r="BE429" s="1165"/>
      <c r="BF429" s="1165"/>
      <c r="BG429" s="1165"/>
    </row>
    <row r="430" spans="18:59" x14ac:dyDescent="0.25">
      <c r="R430" s="1165"/>
      <c r="S430" s="1165"/>
      <c r="W430" s="1165"/>
      <c r="X430" s="1165"/>
      <c r="AE430" s="1165"/>
      <c r="AF430" s="1165"/>
      <c r="AV430" s="1165"/>
      <c r="AW430" s="1165"/>
      <c r="AX430" s="1165"/>
      <c r="AY430" s="1165"/>
      <c r="AZ430" s="1165"/>
      <c r="BA430" s="1165"/>
      <c r="BC430" s="1165"/>
      <c r="BE430" s="1165"/>
      <c r="BF430" s="1165"/>
      <c r="BG430" s="1165"/>
    </row>
    <row r="431" spans="18:59" x14ac:dyDescent="0.25">
      <c r="R431" s="1165"/>
      <c r="S431" s="1165"/>
      <c r="W431" s="1165"/>
      <c r="X431" s="1165"/>
      <c r="AE431" s="1165"/>
      <c r="AF431" s="1165"/>
      <c r="AV431" s="1165"/>
      <c r="AW431" s="1165"/>
      <c r="AX431" s="1165"/>
      <c r="AY431" s="1165"/>
      <c r="AZ431" s="1165"/>
      <c r="BA431" s="1165"/>
      <c r="BC431" s="1165"/>
      <c r="BE431" s="1165"/>
      <c r="BF431" s="1165"/>
      <c r="BG431" s="1165"/>
    </row>
    <row r="432" spans="18:59" x14ac:dyDescent="0.25">
      <c r="R432" s="1165"/>
      <c r="S432" s="1165"/>
      <c r="W432" s="1165"/>
      <c r="X432" s="1165"/>
      <c r="AE432" s="1165"/>
      <c r="AF432" s="1165"/>
      <c r="AV432" s="1165"/>
      <c r="AW432" s="1165"/>
      <c r="AX432" s="1165"/>
      <c r="AY432" s="1165"/>
      <c r="AZ432" s="1165"/>
      <c r="BA432" s="1165"/>
      <c r="BC432" s="1165"/>
      <c r="BE432" s="1165"/>
      <c r="BF432" s="1165"/>
      <c r="BG432" s="1165"/>
    </row>
    <row r="433" spans="18:59" x14ac:dyDescent="0.25">
      <c r="R433" s="1165"/>
      <c r="S433" s="1165"/>
      <c r="W433" s="1165"/>
      <c r="X433" s="1165"/>
      <c r="AE433" s="1165"/>
      <c r="AF433" s="1165"/>
      <c r="AV433" s="1165"/>
      <c r="AW433" s="1165"/>
      <c r="AX433" s="1165"/>
      <c r="AY433" s="1165"/>
      <c r="AZ433" s="1165"/>
      <c r="BA433" s="1165"/>
      <c r="BC433" s="1165"/>
      <c r="BE433" s="1165"/>
      <c r="BF433" s="1165"/>
      <c r="BG433" s="1165"/>
    </row>
    <row r="434" spans="18:59" x14ac:dyDescent="0.25">
      <c r="R434" s="1165"/>
      <c r="S434" s="1165"/>
      <c r="W434" s="1165"/>
      <c r="X434" s="1165"/>
      <c r="AE434" s="1165"/>
      <c r="AF434" s="1165"/>
      <c r="AV434" s="1165"/>
      <c r="AW434" s="1165"/>
      <c r="AX434" s="1165"/>
      <c r="AY434" s="1165"/>
      <c r="AZ434" s="1165"/>
      <c r="BA434" s="1165"/>
      <c r="BC434" s="1165"/>
      <c r="BE434" s="1165"/>
      <c r="BF434" s="1165"/>
      <c r="BG434" s="1165"/>
    </row>
    <row r="435" spans="18:59" x14ac:dyDescent="0.25">
      <c r="R435" s="1165"/>
      <c r="S435" s="1165"/>
      <c r="W435" s="1165"/>
      <c r="X435" s="1165"/>
      <c r="AE435" s="1165"/>
      <c r="AF435" s="1165"/>
      <c r="AV435" s="1165"/>
      <c r="AW435" s="1165"/>
      <c r="AX435" s="1165"/>
      <c r="AY435" s="1165"/>
      <c r="AZ435" s="1165"/>
      <c r="BA435" s="1165"/>
      <c r="BC435" s="1165"/>
      <c r="BE435" s="1165"/>
      <c r="BF435" s="1165"/>
      <c r="BG435" s="1165"/>
    </row>
    <row r="436" spans="18:59" x14ac:dyDescent="0.25">
      <c r="R436" s="1165"/>
      <c r="S436" s="1165"/>
      <c r="W436" s="1165"/>
      <c r="X436" s="1165"/>
      <c r="AE436" s="1165"/>
      <c r="AF436" s="1165"/>
      <c r="AV436" s="1165"/>
      <c r="AW436" s="1165"/>
      <c r="AX436" s="1165"/>
      <c r="AY436" s="1165"/>
      <c r="AZ436" s="1165"/>
      <c r="BA436" s="1165"/>
      <c r="BC436" s="1165"/>
      <c r="BE436" s="1165"/>
      <c r="BF436" s="1165"/>
      <c r="BG436" s="1165"/>
    </row>
    <row r="437" spans="18:59" x14ac:dyDescent="0.25">
      <c r="R437" s="1165"/>
      <c r="S437" s="1165"/>
      <c r="W437" s="1165"/>
      <c r="X437" s="1165"/>
      <c r="AE437" s="1165"/>
      <c r="AF437" s="1165"/>
      <c r="AV437" s="1165"/>
      <c r="AW437" s="1165"/>
      <c r="AX437" s="1165"/>
      <c r="AY437" s="1165"/>
      <c r="AZ437" s="1165"/>
      <c r="BA437" s="1165"/>
      <c r="BC437" s="1165"/>
      <c r="BE437" s="1165"/>
      <c r="BF437" s="1165"/>
      <c r="BG437" s="1165"/>
    </row>
    <row r="438" spans="18:59" x14ac:dyDescent="0.25">
      <c r="R438" s="1165"/>
      <c r="S438" s="1165"/>
      <c r="W438" s="1165"/>
      <c r="X438" s="1165"/>
      <c r="AE438" s="1165"/>
      <c r="AF438" s="1165"/>
      <c r="AV438" s="1165"/>
      <c r="AW438" s="1165"/>
      <c r="AX438" s="1165"/>
      <c r="AY438" s="1165"/>
      <c r="AZ438" s="1165"/>
      <c r="BA438" s="1165"/>
      <c r="BC438" s="1165"/>
      <c r="BE438" s="1165"/>
      <c r="BF438" s="1165"/>
      <c r="BG438" s="1165"/>
    </row>
    <row r="439" spans="18:59" x14ac:dyDescent="0.25">
      <c r="R439" s="1165"/>
      <c r="S439" s="1165"/>
      <c r="W439" s="1165"/>
      <c r="X439" s="1165"/>
      <c r="AE439" s="1165"/>
      <c r="AF439" s="1165"/>
      <c r="AV439" s="1165"/>
      <c r="AW439" s="1165"/>
      <c r="AX439" s="1165"/>
      <c r="AY439" s="1165"/>
      <c r="AZ439" s="1165"/>
      <c r="BA439" s="1165"/>
      <c r="BC439" s="1165"/>
      <c r="BE439" s="1165"/>
      <c r="BF439" s="1165"/>
      <c r="BG439" s="1165"/>
    </row>
    <row r="440" spans="18:59" x14ac:dyDescent="0.25">
      <c r="R440" s="1165"/>
      <c r="S440" s="1165"/>
      <c r="W440" s="1165"/>
      <c r="X440" s="1165"/>
      <c r="AE440" s="1165"/>
      <c r="AF440" s="1165"/>
      <c r="AV440" s="1165"/>
      <c r="AW440" s="1165"/>
      <c r="AX440" s="1165"/>
      <c r="AY440" s="1165"/>
      <c r="AZ440" s="1165"/>
      <c r="BA440" s="1165"/>
      <c r="BC440" s="1165"/>
      <c r="BE440" s="1165"/>
      <c r="BF440" s="1165"/>
      <c r="BG440" s="1165"/>
    </row>
    <row r="441" spans="18:59" x14ac:dyDescent="0.25">
      <c r="R441" s="1165"/>
      <c r="S441" s="1165"/>
      <c r="W441" s="1165"/>
      <c r="X441" s="1165"/>
      <c r="AE441" s="1165"/>
      <c r="AF441" s="1165"/>
      <c r="AV441" s="1165"/>
      <c r="AW441" s="1165"/>
      <c r="AX441" s="1165"/>
      <c r="AY441" s="1165"/>
      <c r="AZ441" s="1165"/>
      <c r="BA441" s="1165"/>
      <c r="BC441" s="1165"/>
      <c r="BE441" s="1165"/>
      <c r="BF441" s="1165"/>
      <c r="BG441" s="1165"/>
    </row>
    <row r="442" spans="18:59" x14ac:dyDescent="0.25">
      <c r="R442" s="1165"/>
      <c r="S442" s="1165"/>
      <c r="W442" s="1165"/>
      <c r="X442" s="1165"/>
      <c r="AE442" s="1165"/>
      <c r="AF442" s="1165"/>
      <c r="AV442" s="1165"/>
      <c r="AW442" s="1165"/>
      <c r="AX442" s="1165"/>
      <c r="AY442" s="1165"/>
      <c r="AZ442" s="1165"/>
      <c r="BA442" s="1165"/>
      <c r="BC442" s="1165"/>
      <c r="BE442" s="1165"/>
      <c r="BF442" s="1165"/>
      <c r="BG442" s="1165"/>
    </row>
    <row r="443" spans="18:59" x14ac:dyDescent="0.25">
      <c r="R443" s="1165"/>
      <c r="S443" s="1165"/>
      <c r="W443" s="1165"/>
      <c r="X443" s="1165"/>
      <c r="AE443" s="1165"/>
      <c r="AF443" s="1165"/>
      <c r="AV443" s="1165"/>
      <c r="AW443" s="1165"/>
      <c r="AX443" s="1165"/>
      <c r="AY443" s="1165"/>
      <c r="AZ443" s="1165"/>
      <c r="BA443" s="1165"/>
      <c r="BC443" s="1165"/>
      <c r="BE443" s="1165"/>
      <c r="BF443" s="1165"/>
      <c r="BG443" s="1165"/>
    </row>
    <row r="444" spans="18:59" x14ac:dyDescent="0.25">
      <c r="R444" s="1165"/>
      <c r="S444" s="1165"/>
      <c r="W444" s="1165"/>
      <c r="X444" s="1165"/>
      <c r="AE444" s="1165"/>
      <c r="AF444" s="1165"/>
      <c r="AV444" s="1165"/>
      <c r="AW444" s="1165"/>
      <c r="AX444" s="1165"/>
      <c r="AY444" s="1165"/>
      <c r="AZ444" s="1165"/>
      <c r="BA444" s="1165"/>
      <c r="BC444" s="1165"/>
      <c r="BE444" s="1165"/>
      <c r="BF444" s="1165"/>
      <c r="BG444" s="1165"/>
    </row>
    <row r="445" spans="18:59" x14ac:dyDescent="0.25">
      <c r="R445" s="1165"/>
      <c r="S445" s="1165"/>
      <c r="W445" s="1165"/>
      <c r="X445" s="1165"/>
      <c r="AE445" s="1165"/>
      <c r="AF445" s="1165"/>
      <c r="AV445" s="1165"/>
      <c r="AW445" s="1165"/>
      <c r="AX445" s="1165"/>
      <c r="AY445" s="1165"/>
      <c r="AZ445" s="1165"/>
      <c r="BA445" s="1165"/>
      <c r="BC445" s="1165"/>
      <c r="BE445" s="1165"/>
      <c r="BF445" s="1165"/>
      <c r="BG445" s="1165"/>
    </row>
    <row r="446" spans="18:59" x14ac:dyDescent="0.25">
      <c r="R446" s="1165"/>
      <c r="S446" s="1165"/>
      <c r="W446" s="1165"/>
      <c r="X446" s="1165"/>
      <c r="AE446" s="1165"/>
      <c r="AF446" s="1165"/>
      <c r="AV446" s="1165"/>
      <c r="AW446" s="1165"/>
      <c r="AX446" s="1165"/>
      <c r="AY446" s="1165"/>
      <c r="AZ446" s="1165"/>
      <c r="BA446" s="1165"/>
      <c r="BC446" s="1165"/>
      <c r="BE446" s="1165"/>
      <c r="BF446" s="1165"/>
      <c r="BG446" s="1165"/>
    </row>
    <row r="447" spans="18:59" x14ac:dyDescent="0.25">
      <c r="R447" s="1165"/>
      <c r="S447" s="1165"/>
      <c r="W447" s="1165"/>
      <c r="X447" s="1165"/>
      <c r="AE447" s="1165"/>
      <c r="AF447" s="1165"/>
      <c r="AV447" s="1165"/>
      <c r="AW447" s="1165"/>
      <c r="AX447" s="1165"/>
      <c r="AY447" s="1165"/>
      <c r="AZ447" s="1165"/>
      <c r="BA447" s="1165"/>
      <c r="BC447" s="1165"/>
      <c r="BE447" s="1165"/>
      <c r="BF447" s="1165"/>
      <c r="BG447" s="1165"/>
    </row>
    <row r="448" spans="18:59" x14ac:dyDescent="0.25">
      <c r="R448" s="1165"/>
      <c r="S448" s="1165"/>
      <c r="W448" s="1165"/>
      <c r="X448" s="1165"/>
      <c r="AE448" s="1165"/>
      <c r="AF448" s="1165"/>
      <c r="AV448" s="1165"/>
      <c r="AW448" s="1165"/>
      <c r="AX448" s="1165"/>
      <c r="AY448" s="1165"/>
      <c r="AZ448" s="1165"/>
      <c r="BA448" s="1165"/>
      <c r="BC448" s="1165"/>
      <c r="BE448" s="1165"/>
      <c r="BF448" s="1165"/>
      <c r="BG448" s="1165"/>
    </row>
    <row r="449" spans="18:59" x14ac:dyDescent="0.25">
      <c r="R449" s="1165"/>
      <c r="S449" s="1165"/>
      <c r="W449" s="1165"/>
      <c r="X449" s="1165"/>
      <c r="AE449" s="1165"/>
      <c r="AF449" s="1165"/>
      <c r="AV449" s="1165"/>
      <c r="AW449" s="1165"/>
      <c r="AX449" s="1165"/>
      <c r="AY449" s="1165"/>
      <c r="AZ449" s="1165"/>
      <c r="BA449" s="1165"/>
      <c r="BC449" s="1165"/>
      <c r="BE449" s="1165"/>
      <c r="BF449" s="1165"/>
      <c r="BG449" s="1165"/>
    </row>
    <row r="450" spans="18:59" x14ac:dyDescent="0.25">
      <c r="R450" s="1165"/>
      <c r="S450" s="1165"/>
      <c r="W450" s="1165"/>
      <c r="X450" s="1165"/>
      <c r="AE450" s="1165"/>
      <c r="AF450" s="1165"/>
      <c r="AV450" s="1165"/>
      <c r="AW450" s="1165"/>
      <c r="AX450" s="1165"/>
      <c r="AY450" s="1165"/>
      <c r="AZ450" s="1165"/>
      <c r="BA450" s="1165"/>
      <c r="BC450" s="1165"/>
      <c r="BE450" s="1165"/>
      <c r="BF450" s="1165"/>
      <c r="BG450" s="1165"/>
    </row>
    <row r="451" spans="18:59" x14ac:dyDescent="0.25">
      <c r="R451" s="1165"/>
      <c r="S451" s="1165"/>
      <c r="W451" s="1165"/>
      <c r="X451" s="1165"/>
      <c r="AE451" s="1165"/>
      <c r="AF451" s="1165"/>
      <c r="AV451" s="1165"/>
      <c r="AW451" s="1165"/>
      <c r="AX451" s="1165"/>
      <c r="AY451" s="1165"/>
      <c r="AZ451" s="1165"/>
      <c r="BA451" s="1165"/>
      <c r="BC451" s="1165"/>
      <c r="BE451" s="1165"/>
      <c r="BF451" s="1165"/>
      <c r="BG451" s="1165"/>
    </row>
    <row r="452" spans="18:59" x14ac:dyDescent="0.25">
      <c r="R452" s="1165"/>
      <c r="S452" s="1165"/>
      <c r="W452" s="1165"/>
      <c r="X452" s="1165"/>
      <c r="AE452" s="1165"/>
      <c r="AF452" s="1165"/>
      <c r="AV452" s="1165"/>
      <c r="AW452" s="1165"/>
      <c r="AX452" s="1165"/>
      <c r="AY452" s="1165"/>
      <c r="AZ452" s="1165"/>
      <c r="BA452" s="1165"/>
      <c r="BC452" s="1165"/>
      <c r="BE452" s="1165"/>
      <c r="BF452" s="1165"/>
      <c r="BG452" s="1165"/>
    </row>
    <row r="453" spans="18:59" x14ac:dyDescent="0.25">
      <c r="R453" s="1165"/>
      <c r="S453" s="1165"/>
      <c r="W453" s="1165"/>
      <c r="X453" s="1165"/>
      <c r="AE453" s="1165"/>
      <c r="AF453" s="1165"/>
      <c r="AV453" s="1165"/>
      <c r="AW453" s="1165"/>
      <c r="AX453" s="1165"/>
      <c r="AY453" s="1165"/>
      <c r="AZ453" s="1165"/>
      <c r="BA453" s="1165"/>
      <c r="BC453" s="1165"/>
      <c r="BE453" s="1165"/>
      <c r="BF453" s="1165"/>
      <c r="BG453" s="1165"/>
    </row>
    <row r="454" spans="18:59" x14ac:dyDescent="0.25">
      <c r="R454" s="1165"/>
      <c r="S454" s="1165"/>
      <c r="W454" s="1165"/>
      <c r="X454" s="1165"/>
      <c r="AE454" s="1165"/>
      <c r="AF454" s="1165"/>
      <c r="AV454" s="1165"/>
      <c r="AW454" s="1165"/>
      <c r="AX454" s="1165"/>
      <c r="AY454" s="1165"/>
      <c r="AZ454" s="1165"/>
      <c r="BA454" s="1165"/>
      <c r="BC454" s="1165"/>
      <c r="BE454" s="1165"/>
      <c r="BF454" s="1165"/>
      <c r="BG454" s="1165"/>
    </row>
    <row r="455" spans="18:59" x14ac:dyDescent="0.25">
      <c r="R455" s="1165"/>
      <c r="S455" s="1165"/>
      <c r="W455" s="1165"/>
      <c r="X455" s="1165"/>
      <c r="AE455" s="1165"/>
      <c r="AF455" s="1165"/>
      <c r="AV455" s="1165"/>
      <c r="AW455" s="1165"/>
      <c r="AX455" s="1165"/>
      <c r="AY455" s="1165"/>
      <c r="AZ455" s="1165"/>
      <c r="BA455" s="1165"/>
      <c r="BC455" s="1165"/>
      <c r="BE455" s="1165"/>
      <c r="BF455" s="1165"/>
      <c r="BG455" s="1165"/>
    </row>
    <row r="456" spans="18:59" x14ac:dyDescent="0.25">
      <c r="R456" s="1165"/>
      <c r="S456" s="1165"/>
      <c r="W456" s="1165"/>
      <c r="X456" s="1165"/>
      <c r="AE456" s="1165"/>
      <c r="AF456" s="1165"/>
      <c r="AV456" s="1165"/>
      <c r="AW456" s="1165"/>
      <c r="AX456" s="1165"/>
      <c r="AY456" s="1165"/>
      <c r="AZ456" s="1165"/>
      <c r="BA456" s="1165"/>
      <c r="BC456" s="1165"/>
      <c r="BE456" s="1165"/>
      <c r="BF456" s="1165"/>
      <c r="BG456" s="1165"/>
    </row>
    <row r="457" spans="18:59" x14ac:dyDescent="0.25">
      <c r="R457" s="1165"/>
      <c r="S457" s="1165"/>
      <c r="W457" s="1165"/>
      <c r="X457" s="1165"/>
      <c r="AE457" s="1165"/>
      <c r="AF457" s="1165"/>
      <c r="AV457" s="1165"/>
      <c r="AW457" s="1165"/>
      <c r="AX457" s="1165"/>
      <c r="AY457" s="1165"/>
      <c r="AZ457" s="1165"/>
      <c r="BA457" s="1165"/>
      <c r="BC457" s="1165"/>
      <c r="BE457" s="1165"/>
      <c r="BF457" s="1165"/>
      <c r="BG457" s="1165"/>
    </row>
    <row r="458" spans="18:59" x14ac:dyDescent="0.25">
      <c r="R458" s="1165"/>
      <c r="S458" s="1165"/>
      <c r="W458" s="1165"/>
      <c r="X458" s="1165"/>
      <c r="AE458" s="1165"/>
      <c r="AF458" s="1165"/>
      <c r="AV458" s="1165"/>
      <c r="AW458" s="1165"/>
      <c r="AX458" s="1165"/>
      <c r="AY458" s="1165"/>
      <c r="AZ458" s="1165"/>
      <c r="BA458" s="1165"/>
      <c r="BC458" s="1165"/>
      <c r="BE458" s="1165"/>
      <c r="BF458" s="1165"/>
      <c r="BG458" s="1165"/>
    </row>
    <row r="459" spans="18:59" x14ac:dyDescent="0.25">
      <c r="R459" s="1165"/>
      <c r="S459" s="1165"/>
      <c r="W459" s="1165"/>
      <c r="X459" s="1165"/>
      <c r="AE459" s="1165"/>
      <c r="AF459" s="1165"/>
      <c r="AV459" s="1165"/>
      <c r="AW459" s="1165"/>
      <c r="AX459" s="1165"/>
      <c r="AY459" s="1165"/>
      <c r="AZ459" s="1165"/>
      <c r="BA459" s="1165"/>
      <c r="BC459" s="1165"/>
      <c r="BE459" s="1165"/>
      <c r="BF459" s="1165"/>
      <c r="BG459" s="1165"/>
    </row>
    <row r="460" spans="18:59" x14ac:dyDescent="0.25">
      <c r="R460" s="1165"/>
      <c r="S460" s="1165"/>
      <c r="W460" s="1165"/>
      <c r="X460" s="1165"/>
      <c r="AE460" s="1165"/>
      <c r="AF460" s="1165"/>
      <c r="AV460" s="1165"/>
      <c r="AW460" s="1165"/>
      <c r="AX460" s="1165"/>
      <c r="AY460" s="1165"/>
      <c r="AZ460" s="1165"/>
      <c r="BA460" s="1165"/>
      <c r="BC460" s="1165"/>
      <c r="BE460" s="1165"/>
      <c r="BF460" s="1165"/>
      <c r="BG460" s="1165"/>
    </row>
    <row r="461" spans="18:59" x14ac:dyDescent="0.25">
      <c r="R461" s="1165"/>
      <c r="S461" s="1165"/>
      <c r="W461" s="1165"/>
      <c r="X461" s="1165"/>
      <c r="AE461" s="1165"/>
      <c r="AF461" s="1165"/>
      <c r="AV461" s="1165"/>
      <c r="AW461" s="1165"/>
      <c r="AX461" s="1165"/>
      <c r="AY461" s="1165"/>
      <c r="AZ461" s="1165"/>
      <c r="BA461" s="1165"/>
      <c r="BC461" s="1165"/>
      <c r="BE461" s="1165"/>
      <c r="BF461" s="1165"/>
      <c r="BG461" s="1165"/>
    </row>
    <row r="462" spans="18:59" x14ac:dyDescent="0.25">
      <c r="R462" s="1165"/>
      <c r="S462" s="1165"/>
      <c r="W462" s="1165"/>
      <c r="X462" s="1165"/>
      <c r="AE462" s="1165"/>
      <c r="AF462" s="1165"/>
      <c r="AV462" s="1165"/>
      <c r="AW462" s="1165"/>
      <c r="AX462" s="1165"/>
      <c r="AY462" s="1165"/>
      <c r="AZ462" s="1165"/>
      <c r="BA462" s="1165"/>
      <c r="BC462" s="1165"/>
      <c r="BE462" s="1165"/>
      <c r="BF462" s="1165"/>
      <c r="BG462" s="1165"/>
    </row>
    <row r="463" spans="18:59" x14ac:dyDescent="0.25">
      <c r="R463" s="1165"/>
      <c r="S463" s="1165"/>
      <c r="W463" s="1165"/>
      <c r="X463" s="1165"/>
      <c r="AE463" s="1165"/>
      <c r="AF463" s="1165"/>
      <c r="AV463" s="1165"/>
      <c r="AW463" s="1165"/>
      <c r="AX463" s="1165"/>
      <c r="AY463" s="1165"/>
      <c r="AZ463" s="1165"/>
      <c r="BA463" s="1165"/>
      <c r="BC463" s="1165"/>
      <c r="BE463" s="1165"/>
      <c r="BF463" s="1165"/>
      <c r="BG463" s="1165"/>
    </row>
    <row r="464" spans="18:59" x14ac:dyDescent="0.25">
      <c r="R464" s="1165"/>
      <c r="S464" s="1165"/>
      <c r="W464" s="1165"/>
      <c r="X464" s="1165"/>
      <c r="AE464" s="1165"/>
      <c r="AF464" s="1165"/>
      <c r="AV464" s="1165"/>
      <c r="AW464" s="1165"/>
      <c r="AX464" s="1165"/>
      <c r="AY464" s="1165"/>
      <c r="AZ464" s="1165"/>
      <c r="BA464" s="1165"/>
      <c r="BC464" s="1165"/>
      <c r="BE464" s="1165"/>
      <c r="BF464" s="1165"/>
      <c r="BG464" s="1165"/>
    </row>
    <row r="465" spans="18:59" x14ac:dyDescent="0.25">
      <c r="R465" s="1165"/>
      <c r="S465" s="1165"/>
      <c r="W465" s="1165"/>
      <c r="X465" s="1165"/>
      <c r="AE465" s="1165"/>
      <c r="AF465" s="1165"/>
      <c r="AV465" s="1165"/>
      <c r="AW465" s="1165"/>
      <c r="AX465" s="1165"/>
      <c r="AY465" s="1165"/>
      <c r="AZ465" s="1165"/>
      <c r="BA465" s="1165"/>
      <c r="BC465" s="1165"/>
      <c r="BE465" s="1165"/>
      <c r="BF465" s="1165"/>
      <c r="BG465" s="1165"/>
    </row>
    <row r="466" spans="18:59" x14ac:dyDescent="0.25">
      <c r="R466" s="1165"/>
      <c r="S466" s="1165"/>
      <c r="W466" s="1165"/>
      <c r="X466" s="1165"/>
      <c r="AE466" s="1165"/>
      <c r="AF466" s="1165"/>
      <c r="AV466" s="1165"/>
      <c r="AW466" s="1165"/>
      <c r="AX466" s="1165"/>
      <c r="AY466" s="1165"/>
      <c r="AZ466" s="1165"/>
      <c r="BA466" s="1165"/>
      <c r="BC466" s="1165"/>
      <c r="BE466" s="1165"/>
      <c r="BF466" s="1165"/>
      <c r="BG466" s="1165"/>
    </row>
    <row r="467" spans="18:59" x14ac:dyDescent="0.25">
      <c r="R467" s="1165"/>
      <c r="S467" s="1165"/>
      <c r="W467" s="1165"/>
      <c r="X467" s="1165"/>
      <c r="AE467" s="1165"/>
      <c r="AF467" s="1165"/>
      <c r="AV467" s="1165"/>
      <c r="AW467" s="1165"/>
      <c r="AX467" s="1165"/>
      <c r="AY467" s="1165"/>
      <c r="AZ467" s="1165"/>
      <c r="BA467" s="1165"/>
      <c r="BC467" s="1165"/>
      <c r="BE467" s="1165"/>
      <c r="BF467" s="1165"/>
      <c r="BG467" s="1165"/>
    </row>
    <row r="468" spans="18:59" x14ac:dyDescent="0.25">
      <c r="R468" s="1165"/>
      <c r="S468" s="1165"/>
      <c r="W468" s="1165"/>
      <c r="X468" s="1165"/>
      <c r="AE468" s="1165"/>
      <c r="AF468" s="1165"/>
      <c r="AV468" s="1165"/>
      <c r="AW468" s="1165"/>
      <c r="AX468" s="1165"/>
      <c r="AY468" s="1165"/>
      <c r="AZ468" s="1165"/>
      <c r="BA468" s="1165"/>
      <c r="BC468" s="1165"/>
      <c r="BE468" s="1165"/>
      <c r="BF468" s="1165"/>
      <c r="BG468" s="1165"/>
    </row>
    <row r="469" spans="18:59" x14ac:dyDescent="0.25">
      <c r="R469" s="1165"/>
      <c r="S469" s="1165"/>
      <c r="W469" s="1165"/>
      <c r="X469" s="1165"/>
      <c r="AE469" s="1165"/>
      <c r="AF469" s="1165"/>
      <c r="AV469" s="1165"/>
      <c r="AW469" s="1165"/>
      <c r="AX469" s="1165"/>
      <c r="AY469" s="1165"/>
      <c r="AZ469" s="1165"/>
      <c r="BA469" s="1165"/>
      <c r="BC469" s="1165"/>
      <c r="BE469" s="1165"/>
      <c r="BF469" s="1165"/>
      <c r="BG469" s="1165"/>
    </row>
    <row r="470" spans="18:59" x14ac:dyDescent="0.25">
      <c r="R470" s="1165"/>
      <c r="S470" s="1165"/>
      <c r="W470" s="1165"/>
      <c r="X470" s="1165"/>
      <c r="AE470" s="1165"/>
      <c r="AF470" s="1165"/>
      <c r="AV470" s="1165"/>
      <c r="AW470" s="1165"/>
      <c r="AX470" s="1165"/>
      <c r="AY470" s="1165"/>
      <c r="AZ470" s="1165"/>
      <c r="BA470" s="1165"/>
      <c r="BC470" s="1165"/>
      <c r="BE470" s="1165"/>
      <c r="BF470" s="1165"/>
      <c r="BG470" s="1165"/>
    </row>
    <row r="471" spans="18:59" x14ac:dyDescent="0.25">
      <c r="R471" s="1165"/>
      <c r="S471" s="1165"/>
      <c r="W471" s="1165"/>
      <c r="X471" s="1165"/>
      <c r="AE471" s="1165"/>
      <c r="AF471" s="1165"/>
      <c r="AV471" s="1165"/>
      <c r="AW471" s="1165"/>
      <c r="AX471" s="1165"/>
      <c r="AY471" s="1165"/>
      <c r="AZ471" s="1165"/>
      <c r="BA471" s="1165"/>
      <c r="BC471" s="1165"/>
      <c r="BE471" s="1165"/>
      <c r="BF471" s="1165"/>
      <c r="BG471" s="1165"/>
    </row>
    <row r="472" spans="18:59" x14ac:dyDescent="0.25">
      <c r="R472" s="1165"/>
      <c r="S472" s="1165"/>
      <c r="W472" s="1165"/>
      <c r="X472" s="1165"/>
      <c r="AE472" s="1165"/>
      <c r="AF472" s="1165"/>
      <c r="AV472" s="1165"/>
      <c r="AW472" s="1165"/>
      <c r="AX472" s="1165"/>
      <c r="AY472" s="1165"/>
      <c r="AZ472" s="1165"/>
      <c r="BA472" s="1165"/>
      <c r="BC472" s="1165"/>
      <c r="BE472" s="1165"/>
      <c r="BF472" s="1165"/>
      <c r="BG472" s="1165"/>
    </row>
    <row r="473" spans="18:59" x14ac:dyDescent="0.25">
      <c r="R473" s="1165"/>
      <c r="S473" s="1165"/>
      <c r="W473" s="1165"/>
      <c r="X473" s="1165"/>
      <c r="AE473" s="1165"/>
      <c r="AF473" s="1165"/>
      <c r="AV473" s="1165"/>
      <c r="AW473" s="1165"/>
      <c r="AX473" s="1165"/>
      <c r="AY473" s="1165"/>
      <c r="AZ473" s="1165"/>
      <c r="BA473" s="1165"/>
      <c r="BC473" s="1165"/>
      <c r="BE473" s="1165"/>
      <c r="BF473" s="1165"/>
      <c r="BG473" s="1165"/>
    </row>
    <row r="474" spans="18:59" x14ac:dyDescent="0.25">
      <c r="R474" s="1165"/>
      <c r="S474" s="1165"/>
      <c r="W474" s="1165"/>
      <c r="X474" s="1165"/>
      <c r="AE474" s="1165"/>
      <c r="AF474" s="1165"/>
      <c r="AV474" s="1165"/>
      <c r="AW474" s="1165"/>
      <c r="AX474" s="1165"/>
      <c r="AY474" s="1165"/>
      <c r="AZ474" s="1165"/>
      <c r="BA474" s="1165"/>
      <c r="BC474" s="1165"/>
      <c r="BE474" s="1165"/>
      <c r="BF474" s="1165"/>
      <c r="BG474" s="1165"/>
    </row>
    <row r="475" spans="18:59" x14ac:dyDescent="0.25">
      <c r="R475" s="1165"/>
      <c r="S475" s="1165"/>
      <c r="W475" s="1165"/>
      <c r="X475" s="1165"/>
      <c r="AE475" s="1165"/>
      <c r="AF475" s="1165"/>
      <c r="AV475" s="1165"/>
      <c r="AW475" s="1165"/>
      <c r="AX475" s="1165"/>
      <c r="AY475" s="1165"/>
      <c r="AZ475" s="1165"/>
      <c r="BA475" s="1165"/>
      <c r="BC475" s="1165"/>
      <c r="BE475" s="1165"/>
      <c r="BF475" s="1165"/>
      <c r="BG475" s="1165"/>
    </row>
    <row r="476" spans="18:59" x14ac:dyDescent="0.25">
      <c r="R476" s="1165"/>
      <c r="S476" s="1165"/>
      <c r="W476" s="1165"/>
      <c r="X476" s="1165"/>
      <c r="AE476" s="1165"/>
      <c r="AF476" s="1165"/>
      <c r="AV476" s="1165"/>
      <c r="AW476" s="1165"/>
      <c r="AX476" s="1165"/>
      <c r="AY476" s="1165"/>
      <c r="AZ476" s="1165"/>
      <c r="BA476" s="1165"/>
      <c r="BC476" s="1165"/>
      <c r="BE476" s="1165"/>
      <c r="BF476" s="1165"/>
      <c r="BG476" s="1165"/>
    </row>
    <row r="477" spans="18:59" x14ac:dyDescent="0.25">
      <c r="R477" s="1165"/>
      <c r="S477" s="1165"/>
      <c r="W477" s="1165"/>
      <c r="X477" s="1165"/>
      <c r="AE477" s="1165"/>
      <c r="AF477" s="1165"/>
      <c r="AV477" s="1165"/>
      <c r="AW477" s="1165"/>
      <c r="AX477" s="1165"/>
      <c r="AY477" s="1165"/>
      <c r="AZ477" s="1165"/>
      <c r="BA477" s="1165"/>
      <c r="BC477" s="1165"/>
      <c r="BE477" s="1165"/>
      <c r="BF477" s="1165"/>
      <c r="BG477" s="1165"/>
    </row>
    <row r="478" spans="18:59" x14ac:dyDescent="0.25">
      <c r="R478" s="1165"/>
      <c r="S478" s="1165"/>
      <c r="W478" s="1165"/>
      <c r="X478" s="1165"/>
      <c r="AE478" s="1165"/>
      <c r="AF478" s="1165"/>
      <c r="AV478" s="1165"/>
      <c r="AW478" s="1165"/>
      <c r="AX478" s="1165"/>
      <c r="AY478" s="1165"/>
      <c r="AZ478" s="1165"/>
      <c r="BA478" s="1165"/>
      <c r="BC478" s="1165"/>
      <c r="BE478" s="1165"/>
      <c r="BF478" s="1165"/>
      <c r="BG478" s="1165"/>
    </row>
    <row r="479" spans="18:59" x14ac:dyDescent="0.25">
      <c r="R479" s="1165"/>
      <c r="S479" s="1165"/>
      <c r="W479" s="1165"/>
      <c r="X479" s="1165"/>
      <c r="AE479" s="1165"/>
      <c r="AF479" s="1165"/>
      <c r="AV479" s="1165"/>
      <c r="AW479" s="1165"/>
      <c r="AX479" s="1165"/>
      <c r="AY479" s="1165"/>
      <c r="AZ479" s="1165"/>
      <c r="BA479" s="1165"/>
      <c r="BC479" s="1165"/>
      <c r="BE479" s="1165"/>
      <c r="BF479" s="1165"/>
      <c r="BG479" s="1165"/>
    </row>
    <row r="480" spans="18:59" x14ac:dyDescent="0.25">
      <c r="R480" s="1165"/>
      <c r="S480" s="1165"/>
      <c r="W480" s="1165"/>
      <c r="X480" s="1165"/>
      <c r="AE480" s="1165"/>
      <c r="AF480" s="1165"/>
      <c r="AV480" s="1165"/>
      <c r="AW480" s="1165"/>
      <c r="AX480" s="1165"/>
      <c r="AY480" s="1165"/>
      <c r="AZ480" s="1165"/>
      <c r="BA480" s="1165"/>
      <c r="BC480" s="1165"/>
      <c r="BE480" s="1165"/>
      <c r="BF480" s="1165"/>
      <c r="BG480" s="1165"/>
    </row>
    <row r="481" spans="18:59" x14ac:dyDescent="0.25">
      <c r="R481" s="1165"/>
      <c r="S481" s="1165"/>
      <c r="W481" s="1165"/>
      <c r="X481" s="1165"/>
      <c r="AE481" s="1165"/>
      <c r="AF481" s="1165"/>
      <c r="AV481" s="1165"/>
      <c r="AW481" s="1165"/>
      <c r="AX481" s="1165"/>
      <c r="AY481" s="1165"/>
      <c r="AZ481" s="1165"/>
      <c r="BA481" s="1165"/>
      <c r="BC481" s="1165"/>
      <c r="BE481" s="1165"/>
      <c r="BF481" s="1165"/>
      <c r="BG481" s="1165"/>
    </row>
    <row r="482" spans="18:59" x14ac:dyDescent="0.25">
      <c r="R482" s="1165"/>
      <c r="S482" s="1165"/>
      <c r="W482" s="1165"/>
      <c r="X482" s="1165"/>
      <c r="AE482" s="1165"/>
      <c r="AF482" s="1165"/>
      <c r="AV482" s="1165"/>
      <c r="AW482" s="1165"/>
      <c r="AX482" s="1165"/>
      <c r="AY482" s="1165"/>
      <c r="AZ482" s="1165"/>
      <c r="BA482" s="1165"/>
      <c r="BC482" s="1165"/>
      <c r="BE482" s="1165"/>
      <c r="BF482" s="1165"/>
      <c r="BG482" s="1165"/>
    </row>
    <row r="483" spans="18:59" x14ac:dyDescent="0.25">
      <c r="R483" s="1165"/>
      <c r="S483" s="1165"/>
      <c r="W483" s="1165"/>
      <c r="X483" s="1165"/>
      <c r="AE483" s="1165"/>
      <c r="AF483" s="1165"/>
      <c r="AV483" s="1165"/>
      <c r="AW483" s="1165"/>
      <c r="AX483" s="1165"/>
      <c r="AY483" s="1165"/>
      <c r="AZ483" s="1165"/>
      <c r="BA483" s="1165"/>
      <c r="BC483" s="1165"/>
      <c r="BE483" s="1165"/>
      <c r="BF483" s="1165"/>
      <c r="BG483" s="1165"/>
    </row>
    <row r="484" spans="18:59" x14ac:dyDescent="0.25">
      <c r="R484" s="1165"/>
      <c r="S484" s="1165"/>
      <c r="W484" s="1165"/>
      <c r="X484" s="1165"/>
      <c r="AE484" s="1165"/>
      <c r="AF484" s="1165"/>
      <c r="AV484" s="1165"/>
      <c r="AW484" s="1165"/>
      <c r="AX484" s="1165"/>
      <c r="AY484" s="1165"/>
      <c r="AZ484" s="1165"/>
      <c r="BA484" s="1165"/>
      <c r="BC484" s="1165"/>
      <c r="BE484" s="1165"/>
      <c r="BF484" s="1165"/>
      <c r="BG484" s="1165"/>
    </row>
    <row r="485" spans="18:59" x14ac:dyDescent="0.25">
      <c r="R485" s="1165"/>
      <c r="S485" s="1165"/>
      <c r="W485" s="1165"/>
      <c r="X485" s="1165"/>
      <c r="AE485" s="1165"/>
      <c r="AF485" s="1165"/>
      <c r="AV485" s="1165"/>
      <c r="AW485" s="1165"/>
      <c r="AX485" s="1165"/>
      <c r="AY485" s="1165"/>
      <c r="AZ485" s="1165"/>
      <c r="BA485" s="1165"/>
      <c r="BC485" s="1165"/>
      <c r="BE485" s="1165"/>
      <c r="BF485" s="1165"/>
      <c r="BG485" s="1165"/>
    </row>
    <row r="486" spans="18:59" x14ac:dyDescent="0.25">
      <c r="R486" s="1165"/>
      <c r="S486" s="1165"/>
      <c r="W486" s="1165"/>
      <c r="X486" s="1165"/>
      <c r="AE486" s="1165"/>
      <c r="AF486" s="1165"/>
      <c r="AV486" s="1165"/>
      <c r="AW486" s="1165"/>
      <c r="AX486" s="1165"/>
      <c r="AY486" s="1165"/>
      <c r="AZ486" s="1165"/>
      <c r="BA486" s="1165"/>
      <c r="BC486" s="1165"/>
      <c r="BE486" s="1165"/>
      <c r="BF486" s="1165"/>
      <c r="BG486" s="1165"/>
    </row>
    <row r="487" spans="18:59" x14ac:dyDescent="0.25">
      <c r="R487" s="1165"/>
      <c r="S487" s="1165"/>
      <c r="W487" s="1165"/>
      <c r="X487" s="1165"/>
      <c r="AE487" s="1165"/>
      <c r="AF487" s="1165"/>
      <c r="AV487" s="1165"/>
      <c r="AW487" s="1165"/>
      <c r="AX487" s="1165"/>
      <c r="AY487" s="1165"/>
      <c r="AZ487" s="1165"/>
      <c r="BA487" s="1165"/>
      <c r="BC487" s="1165"/>
      <c r="BE487" s="1165"/>
      <c r="BF487" s="1165"/>
      <c r="BG487" s="1165"/>
    </row>
    <row r="488" spans="18:59" x14ac:dyDescent="0.25">
      <c r="R488" s="1165"/>
      <c r="S488" s="1165"/>
      <c r="W488" s="1165"/>
      <c r="X488" s="1165"/>
      <c r="AE488" s="1165"/>
      <c r="AF488" s="1165"/>
      <c r="AV488" s="1165"/>
      <c r="AW488" s="1165"/>
      <c r="AX488" s="1165"/>
      <c r="AY488" s="1165"/>
      <c r="AZ488" s="1165"/>
      <c r="BA488" s="1165"/>
      <c r="BC488" s="1165"/>
      <c r="BE488" s="1165"/>
      <c r="BF488" s="1165"/>
      <c r="BG488" s="1165"/>
    </row>
    <row r="489" spans="18:59" x14ac:dyDescent="0.25">
      <c r="R489" s="1165"/>
      <c r="S489" s="1165"/>
      <c r="W489" s="1165"/>
      <c r="X489" s="1165"/>
      <c r="AE489" s="1165"/>
      <c r="AF489" s="1165"/>
      <c r="AV489" s="1165"/>
      <c r="AW489" s="1165"/>
      <c r="AX489" s="1165"/>
      <c r="AY489" s="1165"/>
      <c r="AZ489" s="1165"/>
      <c r="BA489" s="1165"/>
      <c r="BC489" s="1165"/>
      <c r="BE489" s="1165"/>
      <c r="BF489" s="1165"/>
      <c r="BG489" s="1165"/>
    </row>
    <row r="490" spans="18:59" x14ac:dyDescent="0.25">
      <c r="R490" s="1165"/>
      <c r="S490" s="1165"/>
      <c r="W490" s="1165"/>
      <c r="X490" s="1165"/>
      <c r="AE490" s="1165"/>
      <c r="AF490" s="1165"/>
      <c r="AV490" s="1165"/>
      <c r="AW490" s="1165"/>
      <c r="AX490" s="1165"/>
      <c r="AY490" s="1165"/>
      <c r="AZ490" s="1165"/>
      <c r="BA490" s="1165"/>
      <c r="BC490" s="1165"/>
      <c r="BE490" s="1165"/>
      <c r="BF490" s="1165"/>
      <c r="BG490" s="1165"/>
    </row>
    <row r="491" spans="18:59" x14ac:dyDescent="0.25">
      <c r="R491" s="1165"/>
      <c r="S491" s="1165"/>
      <c r="W491" s="1165"/>
      <c r="X491" s="1165"/>
      <c r="AE491" s="1165"/>
      <c r="AF491" s="1165"/>
      <c r="AV491" s="1165"/>
      <c r="AW491" s="1165"/>
      <c r="AX491" s="1165"/>
      <c r="AY491" s="1165"/>
      <c r="AZ491" s="1165"/>
      <c r="BA491" s="1165"/>
      <c r="BC491" s="1165"/>
      <c r="BE491" s="1165"/>
      <c r="BF491" s="1165"/>
      <c r="BG491" s="1165"/>
    </row>
    <row r="492" spans="18:59" x14ac:dyDescent="0.25">
      <c r="R492" s="1165"/>
      <c r="S492" s="1165"/>
      <c r="W492" s="1165"/>
      <c r="X492" s="1165"/>
      <c r="AE492" s="1165"/>
      <c r="AF492" s="1165"/>
      <c r="AV492" s="1165"/>
      <c r="AW492" s="1165"/>
      <c r="AX492" s="1165"/>
      <c r="AY492" s="1165"/>
      <c r="AZ492" s="1165"/>
      <c r="BA492" s="1165"/>
      <c r="BC492" s="1165"/>
      <c r="BE492" s="1165"/>
      <c r="BF492" s="1165"/>
      <c r="BG492" s="1165"/>
    </row>
    <row r="493" spans="18:59" x14ac:dyDescent="0.25">
      <c r="R493" s="1165"/>
      <c r="S493" s="1165"/>
      <c r="W493" s="1165"/>
      <c r="X493" s="1165"/>
      <c r="AE493" s="1165"/>
      <c r="AF493" s="1165"/>
      <c r="AV493" s="1165"/>
      <c r="AW493" s="1165"/>
      <c r="AX493" s="1165"/>
      <c r="AY493" s="1165"/>
      <c r="AZ493" s="1165"/>
      <c r="BA493" s="1165"/>
      <c r="BC493" s="1165"/>
      <c r="BE493" s="1165"/>
      <c r="BF493" s="1165"/>
      <c r="BG493" s="1165"/>
    </row>
    <row r="494" spans="18:59" x14ac:dyDescent="0.25">
      <c r="R494" s="1165"/>
      <c r="S494" s="1165"/>
      <c r="W494" s="1165"/>
      <c r="X494" s="1165"/>
      <c r="AE494" s="1165"/>
      <c r="AF494" s="1165"/>
      <c r="AV494" s="1165"/>
      <c r="AW494" s="1165"/>
      <c r="AX494" s="1165"/>
      <c r="AY494" s="1165"/>
      <c r="AZ494" s="1165"/>
      <c r="BA494" s="1165"/>
      <c r="BC494" s="1165"/>
      <c r="BE494" s="1165"/>
      <c r="BF494" s="1165"/>
      <c r="BG494" s="1165"/>
    </row>
    <row r="495" spans="18:59" x14ac:dyDescent="0.25">
      <c r="R495" s="1165"/>
      <c r="S495" s="1165"/>
      <c r="W495" s="1165"/>
      <c r="X495" s="1165"/>
      <c r="AE495" s="1165"/>
      <c r="AF495" s="1165"/>
      <c r="AV495" s="1165"/>
      <c r="AW495" s="1165"/>
      <c r="AX495" s="1165"/>
      <c r="AY495" s="1165"/>
      <c r="AZ495" s="1165"/>
      <c r="BA495" s="1165"/>
      <c r="BC495" s="1165"/>
      <c r="BE495" s="1165"/>
      <c r="BF495" s="1165"/>
      <c r="BG495" s="1165"/>
    </row>
    <row r="496" spans="18:59" x14ac:dyDescent="0.25">
      <c r="R496" s="1165"/>
      <c r="S496" s="1165"/>
      <c r="W496" s="1165"/>
      <c r="X496" s="1165"/>
      <c r="AE496" s="1165"/>
      <c r="AF496" s="1165"/>
      <c r="AV496" s="1165"/>
      <c r="AW496" s="1165"/>
      <c r="AX496" s="1165"/>
      <c r="AY496" s="1165"/>
      <c r="AZ496" s="1165"/>
      <c r="BA496" s="1165"/>
      <c r="BC496" s="1165"/>
      <c r="BE496" s="1165"/>
      <c r="BF496" s="1165"/>
      <c r="BG496" s="1165"/>
    </row>
    <row r="497" spans="18:59" x14ac:dyDescent="0.25">
      <c r="R497" s="1165"/>
      <c r="S497" s="1165"/>
      <c r="W497" s="1165"/>
      <c r="X497" s="1165"/>
      <c r="AE497" s="1165"/>
      <c r="AF497" s="1165"/>
      <c r="AV497" s="1165"/>
      <c r="AW497" s="1165"/>
      <c r="AX497" s="1165"/>
      <c r="AY497" s="1165"/>
      <c r="AZ497" s="1165"/>
      <c r="BA497" s="1165"/>
      <c r="BC497" s="1165"/>
      <c r="BE497" s="1165"/>
      <c r="BF497" s="1165"/>
      <c r="BG497" s="1165"/>
    </row>
    <row r="498" spans="18:59" x14ac:dyDescent="0.25">
      <c r="R498" s="1165"/>
      <c r="S498" s="1165"/>
      <c r="W498" s="1165"/>
      <c r="X498" s="1165"/>
      <c r="AE498" s="1165"/>
      <c r="AF498" s="1165"/>
      <c r="AV498" s="1165"/>
      <c r="AW498" s="1165"/>
      <c r="AX498" s="1165"/>
      <c r="AY498" s="1165"/>
      <c r="AZ498" s="1165"/>
      <c r="BA498" s="1165"/>
      <c r="BC498" s="1165"/>
      <c r="BE498" s="1165"/>
      <c r="BF498" s="1165"/>
      <c r="BG498" s="1165"/>
    </row>
    <row r="499" spans="18:59" x14ac:dyDescent="0.25">
      <c r="R499" s="1165"/>
      <c r="S499" s="1165"/>
      <c r="W499" s="1165"/>
      <c r="X499" s="1165"/>
      <c r="AE499" s="1165"/>
      <c r="AF499" s="1165"/>
      <c r="AV499" s="1165"/>
      <c r="AW499" s="1165"/>
      <c r="AX499" s="1165"/>
      <c r="AY499" s="1165"/>
      <c r="AZ499" s="1165"/>
      <c r="BA499" s="1165"/>
      <c r="BC499" s="1165"/>
      <c r="BE499" s="1165"/>
      <c r="BF499" s="1165"/>
      <c r="BG499" s="1165"/>
    </row>
    <row r="500" spans="18:59" x14ac:dyDescent="0.25">
      <c r="R500" s="1165"/>
      <c r="S500" s="1165"/>
      <c r="W500" s="1165"/>
      <c r="X500" s="1165"/>
      <c r="AE500" s="1165"/>
      <c r="AF500" s="1165"/>
      <c r="AV500" s="1165"/>
      <c r="AW500" s="1165"/>
      <c r="AX500" s="1165"/>
      <c r="AY500" s="1165"/>
      <c r="AZ500" s="1165"/>
      <c r="BA500" s="1165"/>
      <c r="BC500" s="1165"/>
      <c r="BE500" s="1165"/>
      <c r="BF500" s="1165"/>
      <c r="BG500" s="1165"/>
    </row>
    <row r="501" spans="18:59" x14ac:dyDescent="0.25">
      <c r="R501" s="1165"/>
      <c r="S501" s="1165"/>
      <c r="W501" s="1165"/>
      <c r="X501" s="1165"/>
      <c r="AE501" s="1165"/>
      <c r="AF501" s="1165"/>
      <c r="AV501" s="1165"/>
      <c r="AW501" s="1165"/>
      <c r="AX501" s="1165"/>
      <c r="AY501" s="1165"/>
      <c r="AZ501" s="1165"/>
      <c r="BA501" s="1165"/>
      <c r="BC501" s="1165"/>
      <c r="BE501" s="1165"/>
      <c r="BF501" s="1165"/>
      <c r="BG501" s="1165"/>
    </row>
    <row r="502" spans="18:59" x14ac:dyDescent="0.25">
      <c r="R502" s="1165"/>
      <c r="S502" s="1165"/>
      <c r="W502" s="1165"/>
      <c r="X502" s="1165"/>
      <c r="AE502" s="1165"/>
      <c r="AF502" s="1165"/>
      <c r="AV502" s="1165"/>
      <c r="AW502" s="1165"/>
      <c r="AX502" s="1165"/>
      <c r="AY502" s="1165"/>
      <c r="AZ502" s="1165"/>
      <c r="BA502" s="1165"/>
      <c r="BC502" s="1165"/>
      <c r="BE502" s="1165"/>
      <c r="BF502" s="1165"/>
      <c r="BG502" s="1165"/>
    </row>
  </sheetData>
  <mergeCells count="6">
    <mergeCell ref="I1:K1"/>
    <mergeCell ref="Y2:AD2"/>
    <mergeCell ref="AG2:AI2"/>
    <mergeCell ref="AU2:BA2"/>
    <mergeCell ref="AJ2:AS2"/>
    <mergeCell ref="P2:S2"/>
  </mergeCells>
  <pageMargins left="0.7" right="0.7" top="0.75" bottom="0.75" header="0.3" footer="0.3"/>
  <pageSetup orientation="portrait"/>
  <drawing r:id="rId1"/>
  <legacy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W19"/>
  <sheetViews>
    <sheetView zoomScale="94" workbookViewId="0">
      <selection activeCell="V2" sqref="V2"/>
    </sheetView>
  </sheetViews>
  <sheetFormatPr defaultColWidth="10.85546875" defaultRowHeight="15" x14ac:dyDescent="0.25"/>
  <cols>
    <col min="1" max="1" width="23.140625" customWidth="1"/>
  </cols>
  <sheetData>
    <row r="1" spans="1:22" x14ac:dyDescent="0.25">
      <c r="A1" s="1169" t="s">
        <v>726</v>
      </c>
      <c r="B1" s="1169"/>
      <c r="C1" s="1169"/>
      <c r="D1" s="1169"/>
    </row>
    <row r="2" spans="1:22" x14ac:dyDescent="0.25">
      <c r="A2" t="s">
        <v>727</v>
      </c>
      <c r="B2" s="621">
        <v>2021</v>
      </c>
      <c r="C2" s="621">
        <v>2021</v>
      </c>
      <c r="D2" s="621">
        <v>2021</v>
      </c>
      <c r="E2" s="621">
        <v>2022</v>
      </c>
      <c r="F2" s="621">
        <v>2022</v>
      </c>
      <c r="G2" s="621">
        <v>2022</v>
      </c>
      <c r="H2" s="621">
        <v>2022</v>
      </c>
      <c r="I2" s="621">
        <v>2023</v>
      </c>
      <c r="J2" s="621">
        <v>2023</v>
      </c>
      <c r="K2" s="621">
        <v>2023</v>
      </c>
      <c r="L2" s="621">
        <v>2023</v>
      </c>
      <c r="M2" s="621">
        <v>2024</v>
      </c>
      <c r="N2" s="621">
        <v>2024</v>
      </c>
      <c r="O2" s="621">
        <v>2024</v>
      </c>
      <c r="P2" s="621">
        <v>2024</v>
      </c>
      <c r="Q2" s="621">
        <v>2025</v>
      </c>
      <c r="R2" s="621">
        <v>2025</v>
      </c>
      <c r="S2" s="621">
        <v>2025</v>
      </c>
      <c r="T2" s="621">
        <v>2025</v>
      </c>
      <c r="U2" s="621">
        <v>2026</v>
      </c>
    </row>
    <row r="3" spans="1:22" x14ac:dyDescent="0.25">
      <c r="A3" s="883" t="s">
        <v>728</v>
      </c>
      <c r="B3" s="1170" t="s">
        <v>729</v>
      </c>
      <c r="C3" s="1170" t="s">
        <v>730</v>
      </c>
      <c r="D3" s="1170" t="s">
        <v>731</v>
      </c>
      <c r="E3" s="1170" t="s">
        <v>732</v>
      </c>
      <c r="F3" s="1170" t="s">
        <v>733</v>
      </c>
      <c r="G3" s="1170" t="s">
        <v>734</v>
      </c>
      <c r="H3" s="1170" t="s">
        <v>735</v>
      </c>
      <c r="I3" s="1170" t="s">
        <v>736</v>
      </c>
      <c r="J3" s="1170" t="s">
        <v>737</v>
      </c>
      <c r="K3" s="1170" t="s">
        <v>738</v>
      </c>
      <c r="L3" s="1170" t="s">
        <v>739</v>
      </c>
      <c r="M3" s="1170" t="s">
        <v>740</v>
      </c>
      <c r="N3" s="1170" t="s">
        <v>741</v>
      </c>
      <c r="O3" s="1170" t="s">
        <v>742</v>
      </c>
      <c r="P3" s="1170" t="s">
        <v>743</v>
      </c>
      <c r="Q3" s="1170" t="s">
        <v>744</v>
      </c>
      <c r="R3" s="1170" t="s">
        <v>745</v>
      </c>
      <c r="S3" s="1170" t="s">
        <v>746</v>
      </c>
      <c r="T3" s="1170" t="s">
        <v>747</v>
      </c>
      <c r="U3" s="1170" t="s">
        <v>748</v>
      </c>
    </row>
    <row r="4" spans="1:22" x14ac:dyDescent="0.25">
      <c r="A4" s="883" t="s">
        <v>749</v>
      </c>
      <c r="B4" s="1170"/>
      <c r="C4" s="1170"/>
      <c r="D4" s="1170">
        <v>0</v>
      </c>
      <c r="E4" s="1170">
        <v>0</v>
      </c>
      <c r="F4" s="1170">
        <v>0.5</v>
      </c>
      <c r="G4" s="1170">
        <v>0.5</v>
      </c>
      <c r="H4" s="1170">
        <v>0</v>
      </c>
      <c r="I4" s="1170">
        <v>0</v>
      </c>
      <c r="J4" s="1170">
        <v>0</v>
      </c>
      <c r="K4" s="1170">
        <v>0</v>
      </c>
      <c r="L4" s="1170">
        <v>0</v>
      </c>
      <c r="M4" s="1170">
        <v>0</v>
      </c>
      <c r="N4" s="1170">
        <v>0</v>
      </c>
      <c r="O4" s="1170">
        <v>0</v>
      </c>
      <c r="P4" s="1170">
        <v>0</v>
      </c>
      <c r="Q4" s="1170">
        <v>0</v>
      </c>
      <c r="R4" s="1170">
        <v>0</v>
      </c>
      <c r="S4" s="1170">
        <v>0</v>
      </c>
      <c r="T4" s="1170">
        <v>0</v>
      </c>
      <c r="U4" s="1170">
        <v>0</v>
      </c>
    </row>
    <row r="5" spans="1:22" x14ac:dyDescent="0.25">
      <c r="A5" s="883" t="s">
        <v>750</v>
      </c>
      <c r="B5" s="1170">
        <v>0.04</v>
      </c>
      <c r="C5" s="1170">
        <v>0.48</v>
      </c>
      <c r="D5" s="1170">
        <v>0.48</v>
      </c>
      <c r="E5" s="1170">
        <v>0</v>
      </c>
      <c r="F5" s="1170">
        <v>0</v>
      </c>
      <c r="G5" s="1170">
        <v>0</v>
      </c>
      <c r="H5" s="1170">
        <v>0</v>
      </c>
      <c r="I5" s="1170">
        <v>0</v>
      </c>
      <c r="J5" s="1170">
        <v>0</v>
      </c>
      <c r="K5" s="1170">
        <v>0</v>
      </c>
      <c r="L5" s="1170">
        <v>0</v>
      </c>
      <c r="M5" s="1170">
        <v>0</v>
      </c>
      <c r="N5" s="1170">
        <v>0</v>
      </c>
      <c r="O5" s="1170">
        <v>0</v>
      </c>
      <c r="P5" s="1170">
        <v>0</v>
      </c>
      <c r="Q5" s="1170">
        <v>0</v>
      </c>
      <c r="R5" s="1170">
        <v>0</v>
      </c>
      <c r="S5" s="1170">
        <v>0</v>
      </c>
      <c r="T5" s="1170">
        <v>0</v>
      </c>
      <c r="U5" s="1170">
        <v>0</v>
      </c>
    </row>
    <row r="6" spans="1:22" x14ac:dyDescent="0.25">
      <c r="A6" s="883" t="s">
        <v>751</v>
      </c>
      <c r="B6" s="1170">
        <f>B8</f>
        <v>0</v>
      </c>
      <c r="C6" s="1170">
        <f>C8</f>
        <v>0.43</v>
      </c>
      <c r="D6" s="1170">
        <f t="shared" ref="D6:U6" si="0">D8</f>
        <v>0.56999999999999995</v>
      </c>
      <c r="E6" s="1170">
        <f t="shared" si="0"/>
        <v>0.25</v>
      </c>
      <c r="F6" s="1170">
        <f t="shared" si="0"/>
        <v>0.25</v>
      </c>
      <c r="G6" s="1170">
        <f t="shared" si="0"/>
        <v>0.25</v>
      </c>
      <c r="H6" s="1170">
        <f t="shared" si="0"/>
        <v>0.25</v>
      </c>
      <c r="I6" s="1170">
        <f t="shared" si="0"/>
        <v>0.25</v>
      </c>
      <c r="J6" s="1170">
        <f t="shared" si="0"/>
        <v>0.25</v>
      </c>
      <c r="K6" s="1170">
        <f t="shared" si="0"/>
        <v>0.25</v>
      </c>
      <c r="L6" s="1170">
        <f t="shared" si="0"/>
        <v>0.25</v>
      </c>
      <c r="M6" s="1170">
        <f t="shared" si="0"/>
        <v>0.25</v>
      </c>
      <c r="N6" s="1170">
        <f t="shared" si="0"/>
        <v>0.25</v>
      </c>
      <c r="O6" s="1170">
        <f t="shared" si="0"/>
        <v>0.25</v>
      </c>
      <c r="P6" s="1170">
        <f t="shared" si="0"/>
        <v>0.25</v>
      </c>
      <c r="Q6" s="1170">
        <f t="shared" si="0"/>
        <v>0.25</v>
      </c>
      <c r="R6" s="1170">
        <f t="shared" si="0"/>
        <v>0.25</v>
      </c>
      <c r="S6" s="1170">
        <f t="shared" si="0"/>
        <v>0.25</v>
      </c>
      <c r="T6" s="1170">
        <f t="shared" si="0"/>
        <v>0.25</v>
      </c>
      <c r="U6" s="1170">
        <f t="shared" si="0"/>
        <v>0.25</v>
      </c>
    </row>
    <row r="7" spans="1:22" x14ac:dyDescent="0.25">
      <c r="A7" s="883" t="s">
        <v>752</v>
      </c>
      <c r="B7" s="1170">
        <v>0</v>
      </c>
      <c r="C7" s="1170">
        <v>0</v>
      </c>
      <c r="D7" s="1170">
        <v>1</v>
      </c>
      <c r="E7" s="1170">
        <v>0.25</v>
      </c>
      <c r="F7" s="1170">
        <v>0.25</v>
      </c>
      <c r="G7" s="1170">
        <v>0.25</v>
      </c>
      <c r="H7" s="1170">
        <v>0.25</v>
      </c>
      <c r="I7" s="1170">
        <v>0.25</v>
      </c>
      <c r="J7" s="1170">
        <v>0.25</v>
      </c>
      <c r="K7" s="1170">
        <v>0.25</v>
      </c>
      <c r="L7" s="1170">
        <v>0.25</v>
      </c>
      <c r="M7" s="1170">
        <v>0.25</v>
      </c>
      <c r="N7" s="1170">
        <v>0.25</v>
      </c>
      <c r="O7" s="1170">
        <v>0.25</v>
      </c>
      <c r="P7" s="1170">
        <v>0.25</v>
      </c>
      <c r="Q7" s="1170">
        <v>0.25</v>
      </c>
      <c r="R7" s="1170">
        <v>0.25</v>
      </c>
      <c r="S7" s="1170">
        <v>0.25</v>
      </c>
      <c r="T7" s="1170">
        <v>0.25</v>
      </c>
      <c r="U7" s="1170">
        <v>0.25</v>
      </c>
    </row>
    <row r="8" spans="1:22" x14ac:dyDescent="0.25">
      <c r="A8" s="883" t="s">
        <v>753</v>
      </c>
      <c r="B8" s="1170">
        <v>0</v>
      </c>
      <c r="C8" s="1170">
        <v>0.43</v>
      </c>
      <c r="D8" s="1170">
        <v>0.56999999999999995</v>
      </c>
      <c r="E8" s="1170">
        <v>0.25</v>
      </c>
      <c r="F8" s="1170">
        <v>0.25</v>
      </c>
      <c r="G8" s="1170">
        <v>0.25</v>
      </c>
      <c r="H8" s="1170">
        <v>0.25</v>
      </c>
      <c r="I8" s="1170">
        <v>0.25</v>
      </c>
      <c r="J8" s="1170">
        <v>0.25</v>
      </c>
      <c r="K8" s="1170">
        <v>0.25</v>
      </c>
      <c r="L8" s="1170">
        <v>0.25</v>
      </c>
      <c r="M8" s="1170">
        <v>0.25</v>
      </c>
      <c r="N8" s="1170">
        <v>0.25</v>
      </c>
      <c r="O8" s="1170">
        <v>0.25</v>
      </c>
      <c r="P8" s="1170">
        <v>0.25</v>
      </c>
      <c r="Q8" s="1170">
        <v>0.25</v>
      </c>
      <c r="R8" s="1170">
        <v>0.25</v>
      </c>
      <c r="S8" s="1170">
        <v>0.25</v>
      </c>
      <c r="T8" s="1170">
        <v>0.25</v>
      </c>
      <c r="U8" s="1170">
        <v>0.25</v>
      </c>
    </row>
    <row r="9" spans="1:22" ht="27" customHeight="1" x14ac:dyDescent="0.25">
      <c r="A9" s="883" t="s">
        <v>754</v>
      </c>
      <c r="B9" s="1170">
        <v>0</v>
      </c>
      <c r="C9" s="1170">
        <f>0.18</f>
        <v>0.18</v>
      </c>
      <c r="D9" s="1170">
        <f>1-C9</f>
        <v>0.82000000000000006</v>
      </c>
      <c r="E9" s="1170">
        <v>0.25</v>
      </c>
      <c r="F9" s="1170">
        <v>0.25</v>
      </c>
      <c r="G9" s="1170">
        <v>0.25</v>
      </c>
      <c r="H9" s="1170">
        <v>0.25</v>
      </c>
      <c r="I9" s="1170">
        <v>0.25</v>
      </c>
      <c r="J9" s="1170">
        <v>0.25</v>
      </c>
      <c r="K9" s="1170">
        <v>0.25</v>
      </c>
      <c r="L9" s="1170">
        <v>0.25</v>
      </c>
      <c r="M9" s="1170">
        <v>0.25</v>
      </c>
      <c r="N9" s="1170">
        <v>0.25</v>
      </c>
      <c r="O9" s="1170">
        <v>0.25</v>
      </c>
      <c r="P9" s="1170">
        <v>0.25</v>
      </c>
      <c r="Q9" s="1170">
        <v>0.25</v>
      </c>
      <c r="R9" s="1170">
        <v>0.25</v>
      </c>
      <c r="S9" s="1170">
        <v>0.25</v>
      </c>
      <c r="T9" s="1170">
        <v>0.25</v>
      </c>
      <c r="U9" s="1170">
        <v>0.25</v>
      </c>
    </row>
    <row r="10" spans="1:22" x14ac:dyDescent="0.25">
      <c r="A10" s="883" t="s">
        <v>755</v>
      </c>
      <c r="B10" s="1170">
        <v>0</v>
      </c>
      <c r="C10" s="1170">
        <v>0.5</v>
      </c>
      <c r="D10" s="1170">
        <v>0.5</v>
      </c>
      <c r="E10" s="1170">
        <v>0.25</v>
      </c>
      <c r="F10" s="1170">
        <v>0.25</v>
      </c>
      <c r="G10" s="1170">
        <v>0.25</v>
      </c>
      <c r="H10" s="1170">
        <v>0.25</v>
      </c>
      <c r="I10" s="1170">
        <v>0.25</v>
      </c>
      <c r="J10" s="1170">
        <v>0.25</v>
      </c>
      <c r="K10" s="1170">
        <v>0.25</v>
      </c>
      <c r="L10" s="1170">
        <v>0.25</v>
      </c>
      <c r="M10" s="1170">
        <v>0.25</v>
      </c>
      <c r="N10" s="1170">
        <v>0.25</v>
      </c>
      <c r="O10" s="1170">
        <v>0.25</v>
      </c>
      <c r="P10" s="1170">
        <v>0.25</v>
      </c>
      <c r="Q10" s="1170">
        <v>0.25</v>
      </c>
      <c r="R10" s="1170">
        <v>0.25</v>
      </c>
      <c r="S10" s="1170">
        <v>0.25</v>
      </c>
      <c r="T10" s="1170">
        <v>0.25</v>
      </c>
      <c r="U10" s="1170">
        <v>0.25</v>
      </c>
    </row>
    <row r="11" spans="1:22" x14ac:dyDescent="0.25">
      <c r="A11" s="883" t="s">
        <v>756</v>
      </c>
      <c r="B11" s="1170">
        <v>0</v>
      </c>
      <c r="C11" s="1170">
        <v>0.5</v>
      </c>
      <c r="D11" s="1170">
        <v>0.5</v>
      </c>
      <c r="E11" s="1170">
        <v>0.25</v>
      </c>
      <c r="F11" s="1170">
        <v>0.25</v>
      </c>
      <c r="G11" s="1170">
        <v>0.25</v>
      </c>
      <c r="H11" s="1170">
        <v>0.25</v>
      </c>
      <c r="I11" s="1170">
        <v>0.25</v>
      </c>
      <c r="J11" s="1170">
        <v>0.25</v>
      </c>
      <c r="K11" s="1170">
        <v>0.25</v>
      </c>
      <c r="L11" s="1170">
        <v>0.25</v>
      </c>
      <c r="M11" s="1170">
        <v>0.25</v>
      </c>
      <c r="N11" s="1170">
        <v>0.25</v>
      </c>
      <c r="O11" s="1170">
        <v>0.25</v>
      </c>
      <c r="P11" s="1170">
        <v>0.25</v>
      </c>
      <c r="Q11" s="1170">
        <v>0.25</v>
      </c>
      <c r="R11" s="1170">
        <v>0.25</v>
      </c>
      <c r="S11" s="1170">
        <v>0.25</v>
      </c>
      <c r="T11" s="1170">
        <v>0.25</v>
      </c>
      <c r="U11" s="1170">
        <v>0.25</v>
      </c>
    </row>
    <row r="12" spans="1:22" ht="14.25" customHeight="1" x14ac:dyDescent="0.25">
      <c r="A12" s="883" t="s">
        <v>757</v>
      </c>
      <c r="B12" s="1170">
        <v>1</v>
      </c>
      <c r="C12" s="1170"/>
      <c r="D12" s="1170"/>
      <c r="E12" s="1170"/>
      <c r="F12" s="1170"/>
      <c r="G12" s="1170"/>
      <c r="H12" s="1170"/>
      <c r="I12" s="1170"/>
      <c r="J12" s="1170"/>
      <c r="K12" s="1170"/>
      <c r="L12" s="1170"/>
      <c r="M12" s="1170"/>
      <c r="N12" s="1170"/>
      <c r="O12" s="1170"/>
      <c r="P12" s="1170"/>
      <c r="Q12" s="1170"/>
      <c r="R12" s="1170"/>
      <c r="S12" s="1170"/>
      <c r="T12" s="1170"/>
      <c r="U12" s="1170"/>
    </row>
    <row r="13" spans="1:22" x14ac:dyDescent="0.25">
      <c r="A13" s="883" t="s">
        <v>758</v>
      </c>
      <c r="B13" s="1170">
        <v>0</v>
      </c>
      <c r="C13" s="1170">
        <v>0.4</v>
      </c>
      <c r="D13" s="1170">
        <v>0.6</v>
      </c>
      <c r="E13" s="1170">
        <v>0.4</v>
      </c>
      <c r="F13" s="1170">
        <v>0.3</v>
      </c>
      <c r="G13" s="1170">
        <v>0.2</v>
      </c>
      <c r="H13" s="1170">
        <v>0.1</v>
      </c>
      <c r="I13" s="1170">
        <v>0.25</v>
      </c>
      <c r="J13" s="1170">
        <v>0.25</v>
      </c>
      <c r="K13" s="1170">
        <v>0.25</v>
      </c>
      <c r="L13" s="1170">
        <v>0.25</v>
      </c>
      <c r="M13" s="1170">
        <v>0.25</v>
      </c>
      <c r="N13" s="1170">
        <v>0.25</v>
      </c>
      <c r="O13" s="1170">
        <v>0.25</v>
      </c>
      <c r="P13" s="1170">
        <v>0.25</v>
      </c>
      <c r="Q13" s="1170">
        <v>0.25</v>
      </c>
      <c r="R13" s="1170">
        <v>0.25</v>
      </c>
      <c r="S13" s="1170">
        <v>0.25</v>
      </c>
      <c r="T13" s="1170">
        <v>0.25</v>
      </c>
      <c r="U13" s="1170">
        <v>0.25</v>
      </c>
    </row>
    <row r="14" spans="1:22" x14ac:dyDescent="0.25">
      <c r="A14" s="883"/>
      <c r="B14" s="1170"/>
      <c r="C14" s="1170"/>
      <c r="D14" s="1170"/>
      <c r="E14" s="1170"/>
      <c r="F14" s="1170"/>
      <c r="G14" s="1170"/>
      <c r="H14" s="1170"/>
      <c r="I14" s="1170"/>
      <c r="J14" s="1170"/>
      <c r="K14" s="1170"/>
      <c r="L14" s="1170"/>
      <c r="M14" s="1170"/>
      <c r="N14" s="1170"/>
      <c r="O14" s="1170"/>
      <c r="P14" s="1170"/>
      <c r="Q14" s="1170"/>
      <c r="R14" s="1170"/>
      <c r="S14" s="1170"/>
      <c r="T14" s="1170"/>
      <c r="U14" s="1170"/>
    </row>
    <row r="15" spans="1:22" ht="27" customHeight="1" x14ac:dyDescent="0.25">
      <c r="A15" s="1168" t="s">
        <v>759</v>
      </c>
      <c r="B15" s="1170">
        <v>1</v>
      </c>
      <c r="C15" s="1170">
        <v>2</v>
      </c>
      <c r="D15" s="1170">
        <v>3</v>
      </c>
      <c r="E15" s="1170">
        <v>4</v>
      </c>
      <c r="F15" s="1170">
        <v>5</v>
      </c>
      <c r="G15" s="1170">
        <v>6</v>
      </c>
      <c r="H15" s="1170">
        <v>7</v>
      </c>
      <c r="I15" s="1170">
        <v>8</v>
      </c>
      <c r="J15" s="1170">
        <v>9</v>
      </c>
      <c r="K15" s="1170">
        <v>10</v>
      </c>
      <c r="L15" s="1170">
        <v>11</v>
      </c>
      <c r="M15" s="1170">
        <v>12</v>
      </c>
      <c r="N15" s="1170">
        <v>13</v>
      </c>
      <c r="O15" s="1170">
        <v>14</v>
      </c>
      <c r="P15" s="1170">
        <v>15</v>
      </c>
      <c r="Q15" s="1170">
        <v>16</v>
      </c>
      <c r="R15" s="1170">
        <v>17</v>
      </c>
      <c r="S15" s="1170">
        <v>18</v>
      </c>
      <c r="T15" s="1170">
        <v>19</v>
      </c>
      <c r="U15" s="1170">
        <v>20</v>
      </c>
    </row>
    <row r="16" spans="1:22" x14ac:dyDescent="0.25">
      <c r="A16" s="883" t="s">
        <v>760</v>
      </c>
      <c r="B16" s="1170">
        <v>7.0000000000000007E-2</v>
      </c>
      <c r="C16" s="1170">
        <v>7.0000000000000007E-2</v>
      </c>
      <c r="D16" s="1170">
        <v>4.9000000000000002E-2</v>
      </c>
      <c r="E16" s="1170">
        <v>4.9000000000000002E-2</v>
      </c>
      <c r="F16" s="1170">
        <v>4.9000000000000002E-2</v>
      </c>
      <c r="G16" s="1170">
        <v>4.9000000000000002E-2</v>
      </c>
      <c r="H16" s="1170">
        <v>4.9000000000000002E-2</v>
      </c>
      <c r="I16" s="1170">
        <v>4.9000000000000002E-2</v>
      </c>
      <c r="J16" s="1170">
        <v>4.9000000000000002E-2</v>
      </c>
      <c r="K16" s="1170">
        <v>4.9000000000000002E-2</v>
      </c>
      <c r="L16" s="1170">
        <v>4.9000000000000002E-2</v>
      </c>
      <c r="M16" s="1170">
        <v>4.9000000000000002E-2</v>
      </c>
      <c r="N16" s="1170">
        <f t="shared" ref="N16:T16" si="1">0.0475</f>
        <v>4.7500000000000001E-2</v>
      </c>
      <c r="O16" s="1170">
        <f t="shared" si="1"/>
        <v>4.7500000000000001E-2</v>
      </c>
      <c r="P16" s="1170">
        <f t="shared" si="1"/>
        <v>4.7500000000000001E-2</v>
      </c>
      <c r="Q16" s="1170">
        <f t="shared" si="1"/>
        <v>4.7500000000000001E-2</v>
      </c>
      <c r="R16" s="1170">
        <f t="shared" si="1"/>
        <v>4.7500000000000001E-2</v>
      </c>
      <c r="S16" s="1170">
        <f t="shared" si="1"/>
        <v>4.7500000000000001E-2</v>
      </c>
      <c r="T16" s="1170">
        <f t="shared" si="1"/>
        <v>4.7500000000000001E-2</v>
      </c>
      <c r="U16" s="1170">
        <f>0.0375</f>
        <v>3.7499999999999999E-2</v>
      </c>
      <c r="V16" s="1170">
        <f>SUM(B16:U16)</f>
        <v>0.99999999999999989</v>
      </c>
    </row>
    <row r="17" spans="1:23" ht="27" customHeight="1" x14ac:dyDescent="0.25">
      <c r="A17" s="883" t="s">
        <v>761</v>
      </c>
      <c r="B17">
        <v>0</v>
      </c>
      <c r="C17">
        <v>0</v>
      </c>
      <c r="D17">
        <v>3.5000000000000003E-2</v>
      </c>
      <c r="E17">
        <v>4.65E-2</v>
      </c>
      <c r="F17">
        <v>0.06</v>
      </c>
      <c r="G17">
        <v>6.5000000000000002E-2</v>
      </c>
      <c r="H17">
        <v>0.05</v>
      </c>
      <c r="I17">
        <v>0.05</v>
      </c>
      <c r="J17">
        <v>0.06</v>
      </c>
      <c r="K17">
        <v>0.06</v>
      </c>
      <c r="L17">
        <v>7.0000000000000007E-2</v>
      </c>
      <c r="M17">
        <v>7.0000000000000007E-2</v>
      </c>
      <c r="N17">
        <v>0.06</v>
      </c>
      <c r="O17">
        <v>0.06</v>
      </c>
      <c r="P17">
        <v>5.3499999999999999E-2</v>
      </c>
      <c r="Q17">
        <f t="shared" ref="Q17:T17" si="2">Q16</f>
        <v>4.7500000000000001E-2</v>
      </c>
      <c r="R17">
        <f t="shared" si="2"/>
        <v>4.7500000000000001E-2</v>
      </c>
      <c r="S17">
        <f t="shared" si="2"/>
        <v>4.7500000000000001E-2</v>
      </c>
      <c r="T17">
        <f t="shared" si="2"/>
        <v>4.7500000000000001E-2</v>
      </c>
      <c r="U17">
        <v>0.01</v>
      </c>
      <c r="V17" s="1170">
        <f>SUM(B17:U17)</f>
        <v>0.94000000000000006</v>
      </c>
      <c r="W17" t="s">
        <v>762</v>
      </c>
    </row>
    <row r="19" spans="1:23" x14ac:dyDescent="0.25">
      <c r="B19" s="811" t="e">
        <f>'Federal and State Purchases'!#REF!</f>
        <v>#REF!</v>
      </c>
      <c r="C19" s="811" t="e">
        <f>'Federal and State Purchases'!#REF!</f>
        <v>#REF!</v>
      </c>
    </row>
  </sheetData>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X99"/>
  <sheetViews>
    <sheetView tabSelected="1" topLeftCell="C1" zoomScale="98" zoomScaleNormal="80" workbookViewId="0">
      <selection activeCell="R35" sqref="R35"/>
    </sheetView>
  </sheetViews>
  <sheetFormatPr defaultColWidth="10.85546875" defaultRowHeight="15" x14ac:dyDescent="0.25"/>
  <cols>
    <col min="1" max="1" width="15.42578125" customWidth="1"/>
    <col min="2" max="2" width="32.42578125" customWidth="1"/>
  </cols>
  <sheetData>
    <row r="1" spans="1:23" x14ac:dyDescent="0.25">
      <c r="A1" s="744" t="s">
        <v>763</v>
      </c>
      <c r="B1" s="744" t="s">
        <v>673</v>
      </c>
      <c r="C1" s="1171">
        <v>2021</v>
      </c>
      <c r="D1" s="1171">
        <f>C1</f>
        <v>2021</v>
      </c>
      <c r="E1" s="1171">
        <f>D1</f>
        <v>2021</v>
      </c>
      <c r="F1" s="1171">
        <v>2022</v>
      </c>
      <c r="G1" s="1171">
        <v>2022</v>
      </c>
      <c r="H1" s="1171">
        <v>2022</v>
      </c>
      <c r="I1" s="1171">
        <v>2022</v>
      </c>
      <c r="J1" s="1171">
        <v>2023</v>
      </c>
      <c r="K1" s="1171">
        <v>2023</v>
      </c>
      <c r="L1" s="1171">
        <v>2023</v>
      </c>
      <c r="M1" s="1171">
        <v>2023</v>
      </c>
      <c r="N1" s="1171">
        <v>2024</v>
      </c>
      <c r="O1" s="1171">
        <v>2024</v>
      </c>
      <c r="P1" s="1171">
        <v>2024</v>
      </c>
      <c r="Q1" s="1171">
        <v>2024</v>
      </c>
      <c r="R1" s="1171">
        <v>2025</v>
      </c>
      <c r="S1" s="1171">
        <v>2025</v>
      </c>
      <c r="T1" s="1171">
        <v>2025</v>
      </c>
      <c r="U1" s="1171">
        <v>2025</v>
      </c>
      <c r="V1" s="1171">
        <v>2026</v>
      </c>
    </row>
    <row r="2" spans="1:23" x14ac:dyDescent="0.25">
      <c r="B2" s="744" t="s">
        <v>764</v>
      </c>
      <c r="C2" s="621" t="s">
        <v>250</v>
      </c>
      <c r="D2" s="621" t="s">
        <v>251</v>
      </c>
      <c r="E2" s="621" t="s">
        <v>180</v>
      </c>
      <c r="F2" s="621" t="s">
        <v>181</v>
      </c>
      <c r="G2" s="621" t="s">
        <v>182</v>
      </c>
      <c r="H2" s="621" t="s">
        <v>183</v>
      </c>
      <c r="I2" s="621" t="s">
        <v>184</v>
      </c>
      <c r="J2" s="621" t="s">
        <v>185</v>
      </c>
      <c r="K2" s="621" t="s">
        <v>186</v>
      </c>
      <c r="L2" s="621" t="s">
        <v>187</v>
      </c>
      <c r="M2" s="621" t="s">
        <v>188</v>
      </c>
      <c r="N2" s="621" t="s">
        <v>189</v>
      </c>
      <c r="O2" s="621" t="s">
        <v>190</v>
      </c>
      <c r="P2" s="621" t="s">
        <v>191</v>
      </c>
      <c r="Q2" s="621" t="s">
        <v>175</v>
      </c>
      <c r="R2" s="621" t="s">
        <v>176</v>
      </c>
      <c r="S2" s="621" t="s">
        <v>177</v>
      </c>
      <c r="T2" s="621" t="s">
        <v>765</v>
      </c>
      <c r="U2" s="621" t="s">
        <v>766</v>
      </c>
      <c r="V2" s="621" t="s">
        <v>767</v>
      </c>
    </row>
    <row r="3" spans="1:23" x14ac:dyDescent="0.25">
      <c r="A3" s="744">
        <v>3</v>
      </c>
      <c r="B3" s="744" t="s">
        <v>528</v>
      </c>
      <c r="C3" s="1172">
        <f>4*'ARP Timing'!B6*VLOOKUP(C$1,'ARP Score'!$A$5:$M14,$A3)</f>
        <v>0</v>
      </c>
      <c r="D3" s="1172">
        <f>4*'ARP Timing'!C6*VLOOKUP(D$1,'ARP Score'!$A$5:$M14,$A3)</f>
        <v>336.60399999999998</v>
      </c>
      <c r="E3" s="1172">
        <f>4*'ARP Timing'!D6*VLOOKUP(E$1,'ARP Score'!$A$5:$M14,$A3)</f>
        <v>446.19599999999991</v>
      </c>
      <c r="F3" s="1172">
        <f>4*'ARP Timing'!E6*VLOOKUP(F$1,'ARP Score'!$A$5:$M14,$A3)</f>
        <v>10.1</v>
      </c>
      <c r="G3" s="1172">
        <f>4*'ARP Timing'!F6*VLOOKUP(G$1,'ARP Score'!$A$5:$M14,$A3)</f>
        <v>10.1</v>
      </c>
      <c r="H3" s="1172">
        <f>4*'ARP Timing'!G6*VLOOKUP(H$1,'ARP Score'!$A$5:$M14,$A3)</f>
        <v>10.1</v>
      </c>
      <c r="I3" s="1172">
        <f>4*'ARP Timing'!H6*VLOOKUP(I$1,'ARP Score'!$A$5:$M14,$A3)</f>
        <v>10.1</v>
      </c>
      <c r="J3" s="1172">
        <f>4*'ARP Timing'!I6*VLOOKUP(J$1,'ARP Score'!$A$5:$M14,$A3)</f>
        <v>0</v>
      </c>
      <c r="K3" s="1172">
        <f>4*'ARP Timing'!J6*VLOOKUP(K$1,'ARP Score'!$A$5:$M14,$A3)</f>
        <v>0</v>
      </c>
      <c r="L3" s="1172">
        <f>4*'ARP Timing'!K6*VLOOKUP(L$1,'ARP Score'!$A$5:$M14,$A3)</f>
        <v>0</v>
      </c>
      <c r="M3" s="1172">
        <f>4*'ARP Timing'!L6*VLOOKUP(M$1,'ARP Score'!$A$5:$M14,$A3)</f>
        <v>0</v>
      </c>
      <c r="N3" s="1172">
        <f>4*'ARP Timing'!M6*VLOOKUP(N$1,'ARP Score'!$A$5:$M14,$A3)</f>
        <v>0</v>
      </c>
      <c r="O3" s="1172">
        <f>4*'ARP Timing'!N6*VLOOKUP(O$1,'ARP Score'!$A$5:$M14,$A3)</f>
        <v>0</v>
      </c>
      <c r="P3" s="1172">
        <f>4*'ARP Timing'!O6*VLOOKUP(P$1,'ARP Score'!$A$5:$M14,$A3)</f>
        <v>0</v>
      </c>
      <c r="Q3" s="1172">
        <f>4*'ARP Timing'!P6*VLOOKUP(Q$1,'ARP Score'!$A$5:$M14,$A3)</f>
        <v>0</v>
      </c>
      <c r="R3" s="1172">
        <f>4*'ARP Timing'!Q6*VLOOKUP(R$1,'ARP Score'!$A$5:$M14,$A3)</f>
        <v>0</v>
      </c>
      <c r="S3" s="1172">
        <f>4*'ARP Timing'!R6*VLOOKUP(S$1,'ARP Score'!$A$5:$M14,$A3)</f>
        <v>0</v>
      </c>
      <c r="T3" s="1172">
        <f>4*'ARP Timing'!S6*VLOOKUP(T$1,'ARP Score'!$A$5:$M14,$A3)</f>
        <v>0</v>
      </c>
      <c r="U3" s="1172">
        <f>4*'ARP Timing'!T6*VLOOKUP(U$1,'ARP Score'!$A$5:$M14,$A3)</f>
        <v>0</v>
      </c>
      <c r="V3" s="1172">
        <f>4*'ARP Timing'!U6*VLOOKUP(V$1,'ARP Score'!$A$5:$M14,$A3)</f>
        <v>0</v>
      </c>
      <c r="W3" s="1172">
        <f>SUM(C3:U3)/4</f>
        <v>205.8</v>
      </c>
    </row>
    <row r="4" spans="1:23" x14ac:dyDescent="0.25">
      <c r="A4" s="744">
        <v>5</v>
      </c>
      <c r="B4" s="33" t="s">
        <v>675</v>
      </c>
      <c r="C4" s="1172">
        <f>4*'ARP Timing'!B7*VLOOKUP(C$1,'ARP Score'!$A$5:$M15,$A4)</f>
        <v>0</v>
      </c>
      <c r="D4" s="1172">
        <f>4*'ARP Timing'!C7*VLOOKUP(D$1,'ARP Score'!$A$5:$M15,$A4)</f>
        <v>0</v>
      </c>
      <c r="E4" s="1172">
        <f>4*'ARP Timing'!D7*VLOOKUP(E$1,'ARP Score'!$A$5:$M15,$A4)</f>
        <v>3.1040000000000418</v>
      </c>
      <c r="F4" s="1172">
        <f>4*'ARP Timing'!E7*VLOOKUP(F$1,'ARP Score'!$A$5:$M15,$A4)</f>
        <v>19.719000000000005</v>
      </c>
      <c r="G4" s="1172">
        <f>4*'ARP Timing'!F7*VLOOKUP(G$1,'ARP Score'!$A$5:$M15,$A4)</f>
        <v>19.719000000000005</v>
      </c>
      <c r="H4" s="1172">
        <f>4*'ARP Timing'!G7*VLOOKUP(H$1,'ARP Score'!$A$5:$M15,$A4)</f>
        <v>19.719000000000005</v>
      </c>
      <c r="I4" s="1172">
        <f>4*'ARP Timing'!H7*VLOOKUP(I$1,'ARP Score'!$A$5:$M15,$A4)</f>
        <v>19.719000000000005</v>
      </c>
      <c r="J4" s="1172">
        <f>4*'ARP Timing'!I7*VLOOKUP(J$1,'ARP Score'!$A$5:$M15,$A4)</f>
        <v>1.4159999999999999</v>
      </c>
      <c r="K4" s="1172">
        <f>4*'ARP Timing'!J7*VLOOKUP(K$1,'ARP Score'!$A$5:$M15,$A4)</f>
        <v>1.4159999999999999</v>
      </c>
      <c r="L4" s="1172">
        <f>4*'ARP Timing'!K7*VLOOKUP(L$1,'ARP Score'!$A$5:$M15,$A4)</f>
        <v>1.4159999999999999</v>
      </c>
      <c r="M4" s="1172">
        <f>4*'ARP Timing'!L7*VLOOKUP(M$1,'ARP Score'!$A$5:$M15,$A4)</f>
        <v>1.4159999999999999</v>
      </c>
      <c r="N4" s="1172">
        <f>4*'ARP Timing'!M7*VLOOKUP(N$1,'ARP Score'!$A$5:$M15,$A4)</f>
        <v>1.4790000000000001</v>
      </c>
      <c r="O4" s="1172">
        <f>4*'ARP Timing'!N7*VLOOKUP(O$1,'ARP Score'!$A$5:$M15,$A4)</f>
        <v>1.4790000000000001</v>
      </c>
      <c r="P4" s="1172">
        <f>4*'ARP Timing'!O7*VLOOKUP(P$1,'ARP Score'!$A$5:$M15,$A4)</f>
        <v>1.4790000000000001</v>
      </c>
      <c r="Q4" s="1172">
        <f>4*'ARP Timing'!P7*VLOOKUP(Q$1,'ARP Score'!$A$5:$M15,$A4)</f>
        <v>1.4790000000000001</v>
      </c>
      <c r="R4" s="1172">
        <f>4*'ARP Timing'!Q7*VLOOKUP(R$1,'ARP Score'!$A$5:$M15,$A4)</f>
        <v>1.63</v>
      </c>
      <c r="S4" s="1172">
        <f>4*'ARP Timing'!R7*VLOOKUP(S$1,'ARP Score'!$A$5:$M15,$A4)</f>
        <v>1.63</v>
      </c>
      <c r="T4" s="1172">
        <f>4*'ARP Timing'!S7*VLOOKUP(T$1,'ARP Score'!$A$5:$M15,$A4)</f>
        <v>1.63</v>
      </c>
      <c r="U4" s="1172">
        <f>4*'ARP Timing'!T7*VLOOKUP(U$1,'ARP Score'!$A$5:$M15,$A4)</f>
        <v>1.63</v>
      </c>
      <c r="V4" s="1172">
        <f>4*'ARP Timing'!U7*VLOOKUP(V$1,'ARP Score'!$A$5:$M15,$A4)</f>
        <v>1.671</v>
      </c>
      <c r="W4" s="1172">
        <f>SUM(C4:U4)/4</f>
        <v>25.020000000000007</v>
      </c>
    </row>
    <row r="5" spans="1:23" x14ac:dyDescent="0.25">
      <c r="A5" s="744">
        <v>6</v>
      </c>
      <c r="B5" s="33" t="s">
        <v>676</v>
      </c>
      <c r="C5" s="1172">
        <f>4*'ARP Timing'!B8*VLOOKUP(C$1,'ARP Score'!$A$5:$M16,$A5)</f>
        <v>0</v>
      </c>
      <c r="D5" s="1172">
        <f>4*'ARP Timing'!C8*VLOOKUP(D$1,'ARP Score'!$A$5:$M16,$A5)</f>
        <v>33.921840000000024</v>
      </c>
      <c r="E5" s="1172">
        <f>4*'ARP Timing'!D8*VLOOKUP(E$1,'ARP Score'!$A$5:$M16,$A5)</f>
        <v>44.966160000000031</v>
      </c>
      <c r="F5" s="1172">
        <f>4*'ARP Timing'!E8*VLOOKUP(F$1,'ARP Score'!$A$5:$M16,$A5)</f>
        <v>52.756999999999998</v>
      </c>
      <c r="G5" s="1172">
        <f>4*'ARP Timing'!F8*VLOOKUP(G$1,'ARP Score'!$A$5:$M16,$A5)</f>
        <v>52.756999999999998</v>
      </c>
      <c r="H5" s="1172">
        <f>4*'ARP Timing'!G8*VLOOKUP(H$1,'ARP Score'!$A$5:$M16,$A5)</f>
        <v>52.756999999999998</v>
      </c>
      <c r="I5" s="1172">
        <f>4*'ARP Timing'!H8*VLOOKUP(I$1,'ARP Score'!$A$5:$M16,$A5)</f>
        <v>52.756999999999998</v>
      </c>
      <c r="J5" s="1172">
        <f>4*'ARP Timing'!I8*VLOOKUP(J$1,'ARP Score'!$A$5:$M16,$A5)</f>
        <v>12</v>
      </c>
      <c r="K5" s="1172">
        <f>4*'ARP Timing'!J8*VLOOKUP(K$1,'ARP Score'!$A$5:$M16,$A5)</f>
        <v>12</v>
      </c>
      <c r="L5" s="1172">
        <f>4*'ARP Timing'!K8*VLOOKUP(L$1,'ARP Score'!$A$5:$M16,$A5)</f>
        <v>12</v>
      </c>
      <c r="M5" s="1172">
        <f>4*'ARP Timing'!L8*VLOOKUP(M$1,'ARP Score'!$A$5:$M16,$A5)</f>
        <v>12</v>
      </c>
      <c r="N5" s="1172">
        <f>4*'ARP Timing'!M8*VLOOKUP(N$1,'ARP Score'!$A$5:$M16,$A5)</f>
        <v>4.2219999999999995</v>
      </c>
      <c r="O5" s="1172">
        <f>4*'ARP Timing'!N8*VLOOKUP(O$1,'ARP Score'!$A$5:$M16,$A5)</f>
        <v>4.2219999999999995</v>
      </c>
      <c r="P5" s="1172">
        <f>4*'ARP Timing'!O8*VLOOKUP(P$1,'ARP Score'!$A$5:$M16,$A5)</f>
        <v>4.2219999999999995</v>
      </c>
      <c r="Q5" s="1172">
        <f>4*'ARP Timing'!P8*VLOOKUP(Q$1,'ARP Score'!$A$5:$M16,$A5)</f>
        <v>4.2219999999999995</v>
      </c>
      <c r="R5" s="1172">
        <f>4*'ARP Timing'!Q8*VLOOKUP(R$1,'ARP Score'!$A$5:$M16,$A5)</f>
        <v>2.3719999999999999</v>
      </c>
      <c r="S5" s="1172">
        <f>4*'ARP Timing'!R8*VLOOKUP(S$1,'ARP Score'!$A$5:$M16,$A5)</f>
        <v>2.3719999999999999</v>
      </c>
      <c r="T5" s="1172">
        <f>4*'ARP Timing'!S8*VLOOKUP(T$1,'ARP Score'!$A$5:$M16,$A5)</f>
        <v>2.3719999999999999</v>
      </c>
      <c r="U5" s="1172">
        <f>4*'ARP Timing'!T8*VLOOKUP(U$1,'ARP Score'!$A$5:$M16,$A5)</f>
        <v>2.3719999999999999</v>
      </c>
      <c r="V5" s="1172">
        <f>4*'ARP Timing'!U8*VLOOKUP(V$1,'ARP Score'!$A$5:$M16,$A5)</f>
        <v>0.49</v>
      </c>
      <c r="W5" s="1172">
        <f t="shared" ref="W5:W15" si="0">SUM(C5:U5)/4</f>
        <v>91.073000000000008</v>
      </c>
    </row>
    <row r="6" spans="1:23" x14ac:dyDescent="0.25">
      <c r="A6" s="744">
        <v>7</v>
      </c>
      <c r="B6" s="33" t="s">
        <v>768</v>
      </c>
      <c r="C6" s="1172">
        <f>4*'ARP Timing'!B9*VLOOKUP(C$1,'ARP Score'!$A$5:$M17,$A6)</f>
        <v>0</v>
      </c>
      <c r="D6" s="1172">
        <f>4*'ARP Timing'!C9*VLOOKUP(D$1,'ARP Score'!$A$5:$M17,$A6)</f>
        <v>58.782959999999989</v>
      </c>
      <c r="E6" s="1172">
        <f>4*'ARP Timing'!D9*VLOOKUP(E$1,'ARP Score'!$A$5:$M17,$A6)</f>
        <v>267.78904</v>
      </c>
      <c r="F6" s="1172">
        <f>4*'ARP Timing'!E9*VLOOKUP(F$1,'ARP Score'!$A$5:$M17,$A6)</f>
        <v>110.24799999999999</v>
      </c>
      <c r="G6" s="1172">
        <f>4*'ARP Timing'!F9*VLOOKUP(G$1,'ARP Score'!$A$5:$M17,$A6)</f>
        <v>110.24799999999999</v>
      </c>
      <c r="H6" s="1172">
        <f>4*'ARP Timing'!G9*VLOOKUP(H$1,'ARP Score'!$A$5:$M17,$A6)</f>
        <v>110.24799999999999</v>
      </c>
      <c r="I6" s="1172">
        <f>4*'ARP Timing'!H9*VLOOKUP(I$1,'ARP Score'!$A$5:$M17,$A6)</f>
        <v>110.24799999999999</v>
      </c>
      <c r="J6" s="1172">
        <f>4*'ARP Timing'!I9*VLOOKUP(J$1,'ARP Score'!$A$5:$M17,$A6)</f>
        <v>12.726000000000001</v>
      </c>
      <c r="K6" s="1172">
        <f>4*'ARP Timing'!J9*VLOOKUP(K$1,'ARP Score'!$A$5:$M17,$A6)</f>
        <v>12.726000000000001</v>
      </c>
      <c r="L6" s="1172">
        <f>4*'ARP Timing'!K9*VLOOKUP(L$1,'ARP Score'!$A$5:$M17,$A6)</f>
        <v>12.726000000000001</v>
      </c>
      <c r="M6" s="1172">
        <f>4*'ARP Timing'!L9*VLOOKUP(M$1,'ARP Score'!$A$5:$M17,$A6)</f>
        <v>12.726000000000001</v>
      </c>
      <c r="N6" s="1172">
        <f>4*'ARP Timing'!M9*VLOOKUP(N$1,'ARP Score'!$A$5:$M17,$A6)</f>
        <v>1.365</v>
      </c>
      <c r="O6" s="1172">
        <f>4*'ARP Timing'!N9*VLOOKUP(O$1,'ARP Score'!$A$5:$M17,$A6)</f>
        <v>1.365</v>
      </c>
      <c r="P6" s="1172">
        <f>4*'ARP Timing'!O9*VLOOKUP(P$1,'ARP Score'!$A$5:$M17,$A6)</f>
        <v>1.365</v>
      </c>
      <c r="Q6" s="1172">
        <f>4*'ARP Timing'!P9*VLOOKUP(Q$1,'ARP Score'!$A$5:$M17,$A6)</f>
        <v>1.365</v>
      </c>
      <c r="R6" s="1172">
        <f>4*'ARP Timing'!Q9*VLOOKUP(R$1,'ARP Score'!$A$5:$M17,$A6)</f>
        <v>-0.90100000000000025</v>
      </c>
      <c r="S6" s="1172">
        <f>4*'ARP Timing'!R9*VLOOKUP(S$1,'ARP Score'!$A$5:$M17,$A6)</f>
        <v>-0.90100000000000025</v>
      </c>
      <c r="T6" s="1172">
        <f>4*'ARP Timing'!S9*VLOOKUP(T$1,'ARP Score'!$A$5:$M17,$A6)</f>
        <v>-0.90100000000000025</v>
      </c>
      <c r="U6" s="1172">
        <f>4*'ARP Timing'!T9*VLOOKUP(U$1,'ARP Score'!$A$5:$M17,$A6)</f>
        <v>-0.90100000000000025</v>
      </c>
      <c r="V6" s="1172">
        <f>4*'ARP Timing'!U9*VLOOKUP(V$1,'ARP Score'!$A$5:$M17,$A6)</f>
        <v>-2.1500000000000004</v>
      </c>
      <c r="W6" s="1172">
        <f t="shared" si="0"/>
        <v>205.08100000000007</v>
      </c>
    </row>
    <row r="7" spans="1:23" x14ac:dyDescent="0.25">
      <c r="A7" s="744">
        <v>8</v>
      </c>
      <c r="B7" s="33" t="s">
        <v>131</v>
      </c>
      <c r="C7" s="1172">
        <f>4*'ARP Timing'!B10*VLOOKUP(C$1,'ARP Score'!$A$5:$M18,$A7)</f>
        <v>0</v>
      </c>
      <c r="D7" s="1172">
        <f>4*'ARP Timing'!C10*VLOOKUP(D$1,'ARP Score'!$A$5:$M18,$A7)</f>
        <v>15.596</v>
      </c>
      <c r="E7" s="1172">
        <f>4*'ARP Timing'!D10*VLOOKUP(E$1,'ARP Score'!$A$5:$M18,$A7)</f>
        <v>15.596</v>
      </c>
      <c r="F7" s="1172">
        <f>4*'ARP Timing'!E10*VLOOKUP(F$1,'ARP Score'!$A$5:$M18,$A7)</f>
        <v>7.9489999999999998</v>
      </c>
      <c r="G7" s="1172">
        <f>4*'ARP Timing'!F10*VLOOKUP(G$1,'ARP Score'!$A$5:$M18,$A7)</f>
        <v>7.9489999999999998</v>
      </c>
      <c r="H7" s="1172">
        <f>4*'ARP Timing'!G10*VLOOKUP(H$1,'ARP Score'!$A$5:$M18,$A7)</f>
        <v>7.9489999999999998</v>
      </c>
      <c r="I7" s="1172">
        <f>4*'ARP Timing'!H10*VLOOKUP(I$1,'ARP Score'!$A$5:$M18,$A7)</f>
        <v>7.9489999999999998</v>
      </c>
      <c r="J7" s="1172">
        <f>4*'ARP Timing'!I10*VLOOKUP(J$1,'ARP Score'!$A$5:$M18,$A7)</f>
        <v>4.7519999999999998</v>
      </c>
      <c r="K7" s="1172">
        <f>4*'ARP Timing'!J10*VLOOKUP(K$1,'ARP Score'!$A$5:$M18,$A7)</f>
        <v>4.7519999999999998</v>
      </c>
      <c r="L7" s="1172">
        <f>4*'ARP Timing'!K10*VLOOKUP(L$1,'ARP Score'!$A$5:$M18,$A7)</f>
        <v>4.7519999999999998</v>
      </c>
      <c r="M7" s="1172">
        <f>4*'ARP Timing'!L10*VLOOKUP(M$1,'ARP Score'!$A$5:$M18,$A7)</f>
        <v>4.7519999999999998</v>
      </c>
      <c r="N7" s="1172">
        <f>4*'ARP Timing'!M10*VLOOKUP(N$1,'ARP Score'!$A$5:$M18,$A7)</f>
        <v>4.637999999999999</v>
      </c>
      <c r="O7" s="1172">
        <f>4*'ARP Timing'!N10*VLOOKUP(O$1,'ARP Score'!$A$5:$M18,$A7)</f>
        <v>4.637999999999999</v>
      </c>
      <c r="P7" s="1172">
        <f>4*'ARP Timing'!O10*VLOOKUP(P$1,'ARP Score'!$A$5:$M18,$A7)</f>
        <v>4.637999999999999</v>
      </c>
      <c r="Q7" s="1172">
        <f>4*'ARP Timing'!P10*VLOOKUP(Q$1,'ARP Score'!$A$5:$M18,$A7)</f>
        <v>4.637999999999999</v>
      </c>
      <c r="R7" s="1172">
        <f>4*'ARP Timing'!Q10*VLOOKUP(R$1,'ARP Score'!$A$5:$M18,$A7)</f>
        <v>1.8800000000000001</v>
      </c>
      <c r="S7" s="1172">
        <f>4*'ARP Timing'!R10*VLOOKUP(S$1,'ARP Score'!$A$5:$M18,$A7)</f>
        <v>1.8800000000000001</v>
      </c>
      <c r="T7" s="1172">
        <f>4*'ARP Timing'!S10*VLOOKUP(T$1,'ARP Score'!$A$5:$M18,$A7)</f>
        <v>1.8800000000000001</v>
      </c>
      <c r="U7" s="1172">
        <f>4*'ARP Timing'!T10*VLOOKUP(U$1,'ARP Score'!$A$5:$M18,$A7)</f>
        <v>1.8800000000000001</v>
      </c>
      <c r="V7" s="1172">
        <f>4*'ARP Timing'!U10*VLOOKUP(V$1,'ARP Score'!$A$5:$M18,$A7)</f>
        <v>1.446</v>
      </c>
      <c r="W7" s="1172">
        <f t="shared" si="0"/>
        <v>27.016999999999996</v>
      </c>
    </row>
    <row r="8" spans="1:23" x14ac:dyDescent="0.25">
      <c r="A8" s="744">
        <v>9</v>
      </c>
      <c r="B8" s="1173" t="s">
        <v>348</v>
      </c>
      <c r="C8" s="1172">
        <f>4*'ARP Timing'!B$11*VLOOKUP(C$1,'ARP Score'!$A$5:$M19,$A8)</f>
        <v>0</v>
      </c>
      <c r="D8" s="1172">
        <f>0.6*SUM('ARP Score'!B5:B7)*4</f>
        <v>989.16719999999987</v>
      </c>
      <c r="E8" s="1171">
        <v>0</v>
      </c>
      <c r="F8" s="1172">
        <v>0</v>
      </c>
      <c r="G8" s="1172">
        <v>0</v>
      </c>
      <c r="H8" s="1172">
        <f>D8*0.4/0.6</f>
        <v>659.44479999999999</v>
      </c>
      <c r="I8" s="1172">
        <v>0</v>
      </c>
      <c r="J8" s="744">
        <v>0</v>
      </c>
      <c r="K8" s="1172">
        <v>0</v>
      </c>
      <c r="L8" s="1172">
        <v>0</v>
      </c>
      <c r="M8" s="1172">
        <v>0</v>
      </c>
      <c r="N8" s="1172">
        <v>0</v>
      </c>
      <c r="O8" s="1172">
        <v>0</v>
      </c>
      <c r="P8" s="1172">
        <v>0</v>
      </c>
      <c r="Q8" s="1172">
        <v>0</v>
      </c>
      <c r="R8" s="1172">
        <v>0</v>
      </c>
      <c r="S8" s="1172">
        <v>0</v>
      </c>
      <c r="T8" s="1172">
        <v>0</v>
      </c>
      <c r="U8" s="1172">
        <v>0</v>
      </c>
      <c r="V8" s="1172">
        <v>0</v>
      </c>
      <c r="W8" s="1172">
        <f t="shared" si="0"/>
        <v>412.15299999999996</v>
      </c>
    </row>
    <row r="9" spans="1:23" x14ac:dyDescent="0.25">
      <c r="A9" s="744">
        <v>10</v>
      </c>
      <c r="B9" s="1173" t="s">
        <v>150</v>
      </c>
      <c r="C9" s="1172">
        <f>4*'ARP Timing'!B$11*VLOOKUP(C$1,'ARP Score'!$A$5:$M20,$A9)</f>
        <v>0</v>
      </c>
      <c r="D9" s="1172">
        <f>4*'ARP Timing'!C$11*VLOOKUP(D$1,'ARP Score'!$A$5:$M20,$A9)</f>
        <v>24.693999999999999</v>
      </c>
      <c r="E9" s="1172">
        <f>4*'ARP Timing'!D$11*VLOOKUP(E$1,'ARP Score'!$A$5:$M20,$A9)</f>
        <v>24.693999999999999</v>
      </c>
      <c r="F9" s="1172">
        <f>4*'ARP Timing'!E$11*VLOOKUP(F$1,'ARP Score'!$A$5:$M20,$A9)</f>
        <v>46.79</v>
      </c>
      <c r="G9" s="1172">
        <f>4*'ARP Timing'!F$11*VLOOKUP(G$1,'ARP Score'!$A$5:$M20,$A9)</f>
        <v>46.79</v>
      </c>
      <c r="H9" s="1172">
        <f>4*'ARP Timing'!G$11*VLOOKUP(H$1,'ARP Score'!$A$5:$M20,$A9)</f>
        <v>46.79</v>
      </c>
      <c r="I9" s="1172">
        <f>4*'ARP Timing'!H$11*VLOOKUP(I$1,'ARP Score'!$A$5:$M20,$A9)</f>
        <v>46.79</v>
      </c>
      <c r="J9" s="1172">
        <f>4*'ARP Timing'!I$11*VLOOKUP(J$1,'ARP Score'!$A$5:$M20,$A9)</f>
        <v>38.595999999999997</v>
      </c>
      <c r="K9" s="1172">
        <f>4*'ARP Timing'!J$11*VLOOKUP(K$1,'ARP Score'!$A$5:$M20,$A9)</f>
        <v>38.595999999999997</v>
      </c>
      <c r="L9" s="1172">
        <f>4*'ARP Timing'!K$11*VLOOKUP(L$1,'ARP Score'!$A$5:$M20,$A9)</f>
        <v>38.595999999999997</v>
      </c>
      <c r="M9" s="1172">
        <f>4*'ARP Timing'!L$11*VLOOKUP(M$1,'ARP Score'!$A$5:$M20,$A9)</f>
        <v>38.595999999999997</v>
      </c>
      <c r="N9" s="1172">
        <f>4*'ARP Timing'!M$11*VLOOKUP(N$1,'ARP Score'!$A$5:$M20,$A9)</f>
        <v>31.911000000000001</v>
      </c>
      <c r="O9" s="1172">
        <f>4*'ARP Timing'!N$11*VLOOKUP(O$1,'ARP Score'!$A$5:$M20,$A9)</f>
        <v>31.911000000000001</v>
      </c>
      <c r="P9" s="1172">
        <f>4*'ARP Timing'!O$11*VLOOKUP(P$1,'ARP Score'!$A$5:$M20,$A9)</f>
        <v>31.911000000000001</v>
      </c>
      <c r="Q9" s="1172">
        <f>4*'ARP Timing'!P$11*VLOOKUP(Q$1,'ARP Score'!$A$5:$M20,$A9)</f>
        <v>31.911000000000001</v>
      </c>
      <c r="R9" s="1172">
        <f>4*'ARP Timing'!Q$11*VLOOKUP(R$1,'ARP Score'!$A$5:$M20,$A9)</f>
        <v>23.099</v>
      </c>
      <c r="S9" s="1172">
        <f>4*'ARP Timing'!R$11*VLOOKUP(S$1,'ARP Score'!$A$5:$M20,$A9)</f>
        <v>23.099</v>
      </c>
      <c r="T9" s="1172">
        <f>4*'ARP Timing'!S$11*VLOOKUP(T$1,'ARP Score'!$A$5:$M20,$A9)</f>
        <v>23.099</v>
      </c>
      <c r="U9" s="1172">
        <f>4*'ARP Timing'!T$11*VLOOKUP(U$1,'ARP Score'!$A$5:$M20,$A9)</f>
        <v>23.099</v>
      </c>
      <c r="V9" s="1172">
        <f>4*'ARP Timing'!U$11*VLOOKUP(V$1,'ARP Score'!$A$5:$M20,$A9)</f>
        <v>10.766999999999999</v>
      </c>
      <c r="W9" s="1172">
        <f t="shared" si="0"/>
        <v>152.74300000000005</v>
      </c>
    </row>
    <row r="10" spans="1:23" x14ac:dyDescent="0.25">
      <c r="A10" s="1177">
        <v>11</v>
      </c>
      <c r="B10" s="1173" t="s">
        <v>364</v>
      </c>
      <c r="C10" s="1172">
        <f>4*'ARP Timing'!B$11*VLOOKUP(C$1,'ARP Score'!$A$5:$M22,$A10)</f>
        <v>0</v>
      </c>
      <c r="D10" s="1172">
        <f>4*'ARP Timing'!C$11*VLOOKUP(D$1,'ARP Score'!$A$5:$M22,$A10)</f>
        <v>59.256</v>
      </c>
      <c r="E10" s="1172">
        <f>4*'ARP Timing'!D$11*VLOOKUP(E$1,'ARP Score'!$A$5:$M22,$A10)</f>
        <v>59.256</v>
      </c>
      <c r="F10" s="1172">
        <f>4*'ARP Timing'!E$11*VLOOKUP(F$1,'ARP Score'!$A$5:$M22,$A10)</f>
        <v>35.671000000000006</v>
      </c>
      <c r="G10" s="1172">
        <f>4*'ARP Timing'!F$11*VLOOKUP(G$1,'ARP Score'!$A$5:$M22,$A10)</f>
        <v>35.671000000000006</v>
      </c>
      <c r="H10" s="1172">
        <f>4*'ARP Timing'!G$11*VLOOKUP(H$1,'ARP Score'!$A$5:$M22,$A10)</f>
        <v>35.671000000000006</v>
      </c>
      <c r="I10" s="1172">
        <f>4*'ARP Timing'!H$11*VLOOKUP(I$1,'ARP Score'!$A$5:$M22,$A10)</f>
        <v>35.671000000000006</v>
      </c>
      <c r="J10" s="1172">
        <f>4*'ARP Timing'!I$11*VLOOKUP(J$1,'ARP Score'!$A$5:$M22,$A10)</f>
        <v>24.216000000000001</v>
      </c>
      <c r="K10" s="1172">
        <f>4*'ARP Timing'!J$11*VLOOKUP(K$1,'ARP Score'!$A$5:$M22,$A10)</f>
        <v>24.216000000000001</v>
      </c>
      <c r="L10" s="1172">
        <f>4*'ARP Timing'!K$11*VLOOKUP(L$1,'ARP Score'!$A$5:$M22,$A10)</f>
        <v>24.216000000000001</v>
      </c>
      <c r="M10" s="1172">
        <f>4*'ARP Timing'!L$11*VLOOKUP(M$1,'ARP Score'!$A$5:$M22,$A10)</f>
        <v>24.216000000000001</v>
      </c>
      <c r="N10" s="1172">
        <f>4*'ARP Timing'!M$11*VLOOKUP(N$1,'ARP Score'!$A$5:$M22,$A10)</f>
        <v>9.6430000000000007</v>
      </c>
      <c r="O10" s="1172">
        <f>4*'ARP Timing'!N$11*VLOOKUP(O$1,'ARP Score'!$A$5:$M22,$A10)</f>
        <v>9.6430000000000007</v>
      </c>
      <c r="P10" s="1172">
        <f>4*'ARP Timing'!O$11*VLOOKUP(P$1,'ARP Score'!$A$5:$M22,$A10)</f>
        <v>9.6430000000000007</v>
      </c>
      <c r="Q10" s="1172">
        <f>4*'ARP Timing'!P$11*VLOOKUP(Q$1,'ARP Score'!$A$5:$M22,$A10)</f>
        <v>9.6430000000000007</v>
      </c>
      <c r="R10" s="1172">
        <f>4*'ARP Timing'!Q$11*VLOOKUP(R$1,'ARP Score'!$A$5:$M22,$A10)</f>
        <v>4.5789999999999997</v>
      </c>
      <c r="S10" s="1172">
        <f>4*'ARP Timing'!R$11*VLOOKUP(S$1,'ARP Score'!$A$5:$M22,$A10)</f>
        <v>4.5789999999999997</v>
      </c>
      <c r="T10" s="1172">
        <f>4*'ARP Timing'!S$11*VLOOKUP(T$1,'ARP Score'!$A$5:$M22,$A10)</f>
        <v>4.5789999999999997</v>
      </c>
      <c r="U10" s="1172">
        <f>4*'ARP Timing'!T$11*VLOOKUP(U$1,'ARP Score'!$A$5:$M22,$A10)</f>
        <v>4.5789999999999997</v>
      </c>
      <c r="V10" s="1172">
        <f>4*'ARP Timing'!U$11*VLOOKUP(V$1,'ARP Score'!$A$5:$M22,$A10)</f>
        <v>2.9130000000000003</v>
      </c>
      <c r="W10" s="1172">
        <f t="shared" si="0"/>
        <v>103.73700000000002</v>
      </c>
    </row>
    <row r="11" spans="1:23" x14ac:dyDescent="0.25">
      <c r="A11" s="744">
        <v>12</v>
      </c>
      <c r="B11" s="14" t="s">
        <v>159</v>
      </c>
      <c r="C11" s="1172">
        <f>4*'ARP Timing'!B12*VLOOKUP(C$1,'ARP Score'!$A$5:$M20,$A11)</f>
        <v>103</v>
      </c>
      <c r="D11" s="1172">
        <f>4*'ARP Timing'!C12*VLOOKUP(D$1,'ARP Score'!$A$5:$M20,$A11)</f>
        <v>0</v>
      </c>
      <c r="E11" s="1172">
        <f>4*'ARP Timing'!D12*VLOOKUP(E$1,'ARP Score'!$A$5:$M20,$A11)</f>
        <v>0</v>
      </c>
      <c r="F11" s="1172">
        <f>4*'ARP Timing'!E12*VLOOKUP(F$1,'ARP Score'!$A$5:$M20,$A11)</f>
        <v>0</v>
      </c>
      <c r="G11" s="1172">
        <f>4*'ARP Timing'!F12*VLOOKUP(G$1,'ARP Score'!$A$5:$M20,$A11)</f>
        <v>0</v>
      </c>
      <c r="H11" s="1172">
        <f>4*'ARP Timing'!G12*VLOOKUP(H$1,'ARP Score'!$A$5:$M20,$A11)</f>
        <v>0</v>
      </c>
      <c r="I11" s="1172">
        <f>4*'ARP Timing'!H12*VLOOKUP(I$1,'ARP Score'!$A$5:$M20,$A11)</f>
        <v>0</v>
      </c>
      <c r="J11" s="1172">
        <f>4*'ARP Timing'!I12*VLOOKUP(J$1,'ARP Score'!$A$5:$M20,$A11)</f>
        <v>0</v>
      </c>
      <c r="K11" s="1172">
        <f>4*'ARP Timing'!J12*VLOOKUP(K$1,'ARP Score'!$A$5:$M20,$A11)</f>
        <v>0</v>
      </c>
      <c r="L11" s="1172">
        <f>4*'ARP Timing'!K12*VLOOKUP(L$1,'ARP Score'!$A$5:$M20,$A11)</f>
        <v>0</v>
      </c>
      <c r="M11" s="1172">
        <f>4*'ARP Timing'!L12*VLOOKUP(M$1,'ARP Score'!$A$5:$M20,$A11)</f>
        <v>0</v>
      </c>
      <c r="N11" s="1172">
        <f>4*'ARP Timing'!M12*VLOOKUP(N$1,'ARP Score'!$A$5:$M20,$A11)</f>
        <v>0</v>
      </c>
      <c r="O11" s="1172">
        <f>4*'ARP Timing'!N12*VLOOKUP(O$1,'ARP Score'!$A$5:$M20,$A11)</f>
        <v>0</v>
      </c>
      <c r="P11" s="1172">
        <f>4*'ARP Timing'!O12*VLOOKUP(P$1,'ARP Score'!$A$5:$M20,$A11)</f>
        <v>0</v>
      </c>
      <c r="Q11" s="1172">
        <f>4*'ARP Timing'!P12*VLOOKUP(Q$1,'ARP Score'!$A$5:$M20,$A11)</f>
        <v>0</v>
      </c>
      <c r="R11" s="1172">
        <f>4*'ARP Timing'!Q12*VLOOKUP(R$1,'ARP Score'!$A$5:$M20,$A11)</f>
        <v>0</v>
      </c>
      <c r="S11" s="1172">
        <f>4*'ARP Timing'!R12*VLOOKUP(S$1,'ARP Score'!$A$5:$M20,$A11)</f>
        <v>0</v>
      </c>
      <c r="T11" s="1172">
        <f>4*'ARP Timing'!S12*VLOOKUP(T$1,'ARP Score'!$A$5:$M20,$A11)</f>
        <v>0</v>
      </c>
      <c r="U11" s="1172">
        <f>4*'ARP Timing'!T12*VLOOKUP(U$1,'ARP Score'!$A$5:$M20,$A11)</f>
        <v>0</v>
      </c>
      <c r="V11" s="1172">
        <f>4*'ARP Timing'!U12*VLOOKUP(V$1,'ARP Score'!$A$5:$M20,$A11)</f>
        <v>0</v>
      </c>
      <c r="W11" s="1172">
        <f t="shared" si="0"/>
        <v>25.75</v>
      </c>
    </row>
    <row r="12" spans="1:23" x14ac:dyDescent="0.25">
      <c r="A12" s="744">
        <v>13</v>
      </c>
      <c r="B12" s="33" t="s">
        <v>109</v>
      </c>
      <c r="C12" s="1172">
        <f>4*'ARP Timing'!B13*VLOOKUP(C$1,'ARP Score'!$A$5:$M21,$A12)</f>
        <v>0</v>
      </c>
      <c r="D12" s="1172">
        <f>4*'ARP Timing'!C13*VLOOKUP(D$1,'ARP Score'!$A$5:$M21,$A12)</f>
        <v>51.102400000000003</v>
      </c>
      <c r="E12" s="1172">
        <f>4*'ARP Timing'!D13*VLOOKUP(E$1,'ARP Score'!$A$5:$M21,$A12)</f>
        <v>76.653599999999997</v>
      </c>
      <c r="F12" s="1172">
        <f>4*'ARP Timing'!E13*VLOOKUP(F$1,'ARP Score'!$A$5:$M21,$A12)</f>
        <v>90.260800000000003</v>
      </c>
      <c r="G12" s="1172">
        <f>4*'ARP Timing'!F13*VLOOKUP(G$1,'ARP Score'!$A$5:$M21,$A12)</f>
        <v>67.695599999999999</v>
      </c>
      <c r="H12" s="1172">
        <f>4*'ARP Timing'!G13*VLOOKUP(H$1,'ARP Score'!$A$5:$M21,$A12)</f>
        <v>45.130400000000002</v>
      </c>
      <c r="I12" s="1172">
        <f>4*'ARP Timing'!H13*VLOOKUP(I$1,'ARP Score'!$A$5:$M21,$A12)</f>
        <v>22.565200000000001</v>
      </c>
      <c r="J12" s="1172">
        <f>4*'ARP Timing'!I13*VLOOKUP(J$1,'ARP Score'!$A$5:$M21,$A12)</f>
        <v>15.652999999999999</v>
      </c>
      <c r="K12" s="1172">
        <f>4*'ARP Timing'!J13*VLOOKUP(K$1,'ARP Score'!$A$5:$M21,$A12)</f>
        <v>15.652999999999999</v>
      </c>
      <c r="L12" s="1172">
        <f>4*'ARP Timing'!K13*VLOOKUP(L$1,'ARP Score'!$A$5:$M21,$A12)</f>
        <v>15.652999999999999</v>
      </c>
      <c r="M12" s="1172">
        <f>4*'ARP Timing'!L13*VLOOKUP(M$1,'ARP Score'!$A$5:$M21,$A12)</f>
        <v>15.652999999999999</v>
      </c>
      <c r="N12" s="1172">
        <f>4*'ARP Timing'!M13*VLOOKUP(N$1,'ARP Score'!$A$5:$M21,$A12)</f>
        <v>3.9320000000000004</v>
      </c>
      <c r="O12" s="1172">
        <f>4*'ARP Timing'!N13*VLOOKUP(O$1,'ARP Score'!$A$5:$M21,$A12)</f>
        <v>3.9320000000000004</v>
      </c>
      <c r="P12" s="1172">
        <f>4*'ARP Timing'!O13*VLOOKUP(P$1,'ARP Score'!$A$5:$M21,$A12)</f>
        <v>3.9320000000000004</v>
      </c>
      <c r="Q12" s="1172">
        <f>4*'ARP Timing'!P13*VLOOKUP(Q$1,'ARP Score'!$A$5:$M21,$A12)</f>
        <v>3.9320000000000004</v>
      </c>
      <c r="R12" s="1172">
        <f>4*'ARP Timing'!Q13*VLOOKUP(R$1,'ARP Score'!$A$5:$M21,$A12)</f>
        <v>-0.74299999999999988</v>
      </c>
      <c r="S12" s="1172">
        <f>4*'ARP Timing'!R13*VLOOKUP(S$1,'ARP Score'!$A$5:$M21,$A12)</f>
        <v>-0.74299999999999988</v>
      </c>
      <c r="T12" s="1172">
        <f>4*'ARP Timing'!S13*VLOOKUP(T$1,'ARP Score'!$A$5:$M21,$A12)</f>
        <v>-0.74299999999999988</v>
      </c>
      <c r="U12" s="1172">
        <f>4*'ARP Timing'!T13*VLOOKUP(U$1,'ARP Score'!$A$5:$M21,$A12)</f>
        <v>-0.74299999999999988</v>
      </c>
      <c r="V12" s="1172">
        <f>4*'ARP Timing'!U13*VLOOKUP(V$1,'ARP Score'!$A$5:$M21,$A12)</f>
        <v>-21.606000000000002</v>
      </c>
      <c r="W12" s="1172">
        <f t="shared" si="0"/>
        <v>107.19400000000005</v>
      </c>
    </row>
    <row r="13" spans="1:23" x14ac:dyDescent="0.25">
      <c r="A13" s="744">
        <v>15</v>
      </c>
      <c r="B13" s="744" t="s">
        <v>769</v>
      </c>
      <c r="C13" s="1172">
        <f>0.3*'ARP Score'!$N5*4*'ARP Timing'!B6</f>
        <v>0</v>
      </c>
      <c r="D13" s="1172">
        <f>0.3*'ARP Score'!$N5*4*'ARP Timing'!C6</f>
        <v>1.7544</v>
      </c>
      <c r="E13" s="1172">
        <f>0.3*'ARP Score'!$N5*4*'ARP Timing'!D6</f>
        <v>2.3255999999999997</v>
      </c>
      <c r="F13" s="1172">
        <f>0.3*'ARP Score'!$N6*4*'ARP Timing'!E6</f>
        <v>1.5299999999999998</v>
      </c>
      <c r="G13" s="1172">
        <f>0.3*'ARP Score'!$N6*4*'ARP Timing'!F6</f>
        <v>1.5299999999999998</v>
      </c>
      <c r="H13" s="1172">
        <f>0.3*'ARP Score'!$N6*4*'ARP Timing'!G6</f>
        <v>1.5299999999999998</v>
      </c>
      <c r="I13" s="1172">
        <f>0.3*'ARP Score'!$N6*4*'ARP Timing'!H6</f>
        <v>1.5299999999999998</v>
      </c>
      <c r="J13" s="1172">
        <f>0.3*'ARP Score'!$N7*4*'ARP Timing'!I6</f>
        <v>0</v>
      </c>
      <c r="K13" s="1172">
        <f>0.3*'ARP Score'!$N7*4*'ARP Timing'!J6</f>
        <v>0</v>
      </c>
      <c r="L13" s="1172">
        <f>0.3*'ARP Score'!$N7*4*'ARP Timing'!K6</f>
        <v>0</v>
      </c>
      <c r="M13" s="1172">
        <f>0.3*'ARP Score'!$N7*4*'ARP Timing'!L6</f>
        <v>0</v>
      </c>
      <c r="N13" s="1172">
        <f>0.3*'ARP Score'!$N7*4*'ARP Timing'!M6</f>
        <v>0</v>
      </c>
      <c r="O13" s="1172">
        <f>0.3*'ARP Score'!$N7*4*'ARP Timing'!N6</f>
        <v>0</v>
      </c>
      <c r="P13" s="1172">
        <f>0.3*'ARP Score'!$N7*4*'ARP Timing'!O6</f>
        <v>0</v>
      </c>
      <c r="Q13" s="1172">
        <f>0.3*'ARP Score'!$N7*4*'ARP Timing'!P6</f>
        <v>0</v>
      </c>
      <c r="R13" s="1172">
        <f>0.3*'ARP Score'!$N7*4*'ARP Timing'!Q6</f>
        <v>0</v>
      </c>
      <c r="S13" s="1172">
        <f>0.3*'ARP Score'!$N7*4*'ARP Timing'!R6</f>
        <v>0</v>
      </c>
      <c r="T13" s="1172">
        <f>0.3*'ARP Score'!$N7*4*'ARP Timing'!S6</f>
        <v>0</v>
      </c>
      <c r="U13" s="1172">
        <f>0.3*'ARP Score'!$N7*4*'ARP Timing'!T6</f>
        <v>0</v>
      </c>
      <c r="V13" s="1172">
        <f>0.3*'ARP Score'!$N7*4*'ARP Timing'!U6</f>
        <v>0</v>
      </c>
      <c r="W13" s="1172">
        <f t="shared" si="0"/>
        <v>2.5499999999999994</v>
      </c>
    </row>
    <row r="14" spans="1:23" x14ac:dyDescent="0.25">
      <c r="A14" s="744">
        <v>14</v>
      </c>
      <c r="B14" s="744" t="s">
        <v>770</v>
      </c>
      <c r="C14" s="1172">
        <f>C13/0.3*0.2</f>
        <v>0</v>
      </c>
      <c r="D14" s="1172">
        <f t="shared" ref="D14:F14" si="1">D13/0.3*0.2</f>
        <v>1.1696</v>
      </c>
      <c r="E14" s="1172">
        <f t="shared" si="1"/>
        <v>1.5503999999999998</v>
      </c>
      <c r="F14" s="1172">
        <f t="shared" si="1"/>
        <v>1.02</v>
      </c>
      <c r="G14" s="1172">
        <f t="shared" ref="G14" si="2">G13/0.3*0.2</f>
        <v>1.02</v>
      </c>
      <c r="H14" s="1172">
        <f t="shared" ref="H14" si="3">H13/0.3*0.2</f>
        <v>1.02</v>
      </c>
      <c r="I14" s="1172">
        <f t="shared" ref="I14" si="4">I13/0.3*0.2</f>
        <v>1.02</v>
      </c>
      <c r="J14" s="1172">
        <f t="shared" ref="J14" si="5">J13/0.3*0.2</f>
        <v>0</v>
      </c>
      <c r="K14" s="1172">
        <f t="shared" ref="K14" si="6">K13/0.3*0.2</f>
        <v>0</v>
      </c>
      <c r="L14" s="1172">
        <f t="shared" ref="L14" si="7">L13/0.3*0.2</f>
        <v>0</v>
      </c>
      <c r="M14" s="1172">
        <f t="shared" ref="M14" si="8">M13/0.3*0.2</f>
        <v>0</v>
      </c>
      <c r="N14" s="1172">
        <f t="shared" ref="N14" si="9">N13/0.3*0.2</f>
        <v>0</v>
      </c>
      <c r="O14" s="1172">
        <f t="shared" ref="O14" si="10">O13/0.3*0.2</f>
        <v>0</v>
      </c>
      <c r="P14" s="1172">
        <f t="shared" ref="P14" si="11">P13/0.3*0.2</f>
        <v>0</v>
      </c>
      <c r="Q14" s="1172">
        <f t="shared" ref="Q14" si="12">Q13/0.3*0.2</f>
        <v>0</v>
      </c>
      <c r="R14" s="1172">
        <f t="shared" ref="R14" si="13">R13/0.3*0.2</f>
        <v>0</v>
      </c>
      <c r="S14" s="1172">
        <f t="shared" ref="S14" si="14">S13/0.3*0.2</f>
        <v>0</v>
      </c>
      <c r="T14" s="1172">
        <f t="shared" ref="T14" si="15">T13/0.3*0.2</f>
        <v>0</v>
      </c>
      <c r="U14" s="1172">
        <f t="shared" ref="U14" si="16">U13/0.3*0.2</f>
        <v>0</v>
      </c>
      <c r="V14" s="1172">
        <f t="shared" ref="V14" si="17">V13/0.3*0.2</f>
        <v>0</v>
      </c>
      <c r="W14" s="1172">
        <f t="shared" si="0"/>
        <v>1.6999999999999997</v>
      </c>
    </row>
    <row r="15" spans="1:23" x14ac:dyDescent="0.25">
      <c r="A15" s="744">
        <v>14</v>
      </c>
      <c r="B15" s="744" t="s">
        <v>471</v>
      </c>
      <c r="C15" s="1172">
        <f>C14/0.2*0.5</f>
        <v>0</v>
      </c>
      <c r="D15" s="1172">
        <f t="shared" ref="D15:F15" si="18">D14/0.2*0.5</f>
        <v>2.9239999999999999</v>
      </c>
      <c r="E15" s="1172">
        <f t="shared" si="18"/>
        <v>3.8759999999999994</v>
      </c>
      <c r="F15" s="1172">
        <f t="shared" si="18"/>
        <v>2.5499999999999998</v>
      </c>
      <c r="G15" s="1172">
        <f t="shared" ref="G15" si="19">G14/0.2*0.5</f>
        <v>2.5499999999999998</v>
      </c>
      <c r="H15" s="1172">
        <f t="shared" ref="H15" si="20">H14/0.2*0.5</f>
        <v>2.5499999999999998</v>
      </c>
      <c r="I15" s="1172">
        <f t="shared" ref="I15" si="21">I14/0.2*0.5</f>
        <v>2.5499999999999998</v>
      </c>
      <c r="J15" s="1172">
        <f t="shared" ref="J15" si="22">J14/0.2*0.5</f>
        <v>0</v>
      </c>
      <c r="K15" s="1172">
        <f t="shared" ref="K15" si="23">K14/0.2*0.5</f>
        <v>0</v>
      </c>
      <c r="L15" s="1172">
        <f t="shared" ref="L15" si="24">L14/0.2*0.5</f>
        <v>0</v>
      </c>
      <c r="M15" s="1172">
        <f t="shared" ref="M15" si="25">M14/0.2*0.5</f>
        <v>0</v>
      </c>
      <c r="N15" s="1172">
        <f t="shared" ref="N15" si="26">N14/0.2*0.5</f>
        <v>0</v>
      </c>
      <c r="O15" s="1172">
        <f t="shared" ref="O15" si="27">O14/0.2*0.5</f>
        <v>0</v>
      </c>
      <c r="P15" s="1172">
        <f t="shared" ref="P15" si="28">P14/0.2*0.5</f>
        <v>0</v>
      </c>
      <c r="Q15" s="1172">
        <f t="shared" ref="Q15" si="29">Q14/0.2*0.5</f>
        <v>0</v>
      </c>
      <c r="R15" s="1172">
        <f t="shared" ref="R15" si="30">R14/0.2*0.5</f>
        <v>0</v>
      </c>
      <c r="S15" s="1172">
        <f t="shared" ref="S15" si="31">S14/0.2*0.5</f>
        <v>0</v>
      </c>
      <c r="T15" s="1172">
        <f t="shared" ref="T15" si="32">T14/0.2*0.5</f>
        <v>0</v>
      </c>
      <c r="U15" s="1172">
        <f t="shared" ref="U15" si="33">U14/0.2*0.5</f>
        <v>0</v>
      </c>
      <c r="V15" s="1172">
        <f t="shared" ref="V15" si="34">V14/0.2*0.5</f>
        <v>0</v>
      </c>
      <c r="W15" s="1172">
        <f t="shared" si="0"/>
        <v>4.25</v>
      </c>
    </row>
    <row r="16" spans="1:23" x14ac:dyDescent="0.25">
      <c r="C16" s="1172"/>
      <c r="D16" s="1172"/>
      <c r="E16" s="1172"/>
      <c r="F16" s="1172"/>
      <c r="G16" s="1172"/>
      <c r="H16" s="1172"/>
      <c r="I16" s="1172"/>
      <c r="J16" s="1172"/>
      <c r="K16" s="1172"/>
      <c r="L16" s="1172"/>
      <c r="M16" s="1172"/>
      <c r="N16" s="1172"/>
      <c r="O16" s="1172"/>
      <c r="P16" s="1172"/>
      <c r="Q16" s="1172"/>
      <c r="R16" s="1172"/>
      <c r="S16" s="1172"/>
      <c r="T16" s="1172"/>
      <c r="U16" s="1172"/>
      <c r="V16" s="1172"/>
      <c r="W16" s="1172"/>
    </row>
    <row r="17" spans="1:23" x14ac:dyDescent="0.25">
      <c r="A17" s="744" t="s">
        <v>771</v>
      </c>
      <c r="C17" s="1172"/>
      <c r="D17" s="1172"/>
      <c r="E17" s="1172"/>
      <c r="F17" s="1172"/>
      <c r="G17" s="1172"/>
      <c r="H17" s="1172"/>
      <c r="I17" s="1172"/>
      <c r="J17" s="1172"/>
      <c r="K17" s="1172"/>
      <c r="L17" s="1172"/>
      <c r="M17" s="1172"/>
      <c r="N17" s="1172"/>
      <c r="O17" s="1172"/>
      <c r="P17" s="1172"/>
      <c r="Q17" s="1172"/>
      <c r="R17" s="1172"/>
      <c r="S17" s="1172"/>
      <c r="T17" s="1172"/>
      <c r="U17" s="1172"/>
      <c r="V17" s="1172"/>
      <c r="W17" s="1172"/>
    </row>
    <row r="18" spans="1:23" x14ac:dyDescent="0.25">
      <c r="B18" s="511" t="s">
        <v>143</v>
      </c>
      <c r="C18" s="1172">
        <f>'ARP Score'!$BG5/'ARP Score'!$G5*C6</f>
        <v>0</v>
      </c>
      <c r="D18" s="1172">
        <f>'ARP Score'!$BG5/'ARP Score'!$G5*D6</f>
        <v>2.2132800000000001</v>
      </c>
      <c r="E18" s="1172">
        <f>'ARP Score'!$BG5/'ARP Score'!$G5*E6</f>
        <v>10.082720000000002</v>
      </c>
      <c r="F18" s="1172">
        <f>'ARP Score'!$BG6/'ARP Score'!$G6*F6</f>
        <v>7.1439999999999992</v>
      </c>
      <c r="G18" s="1172">
        <f>'ARP Score'!$BG6/'ARP Score'!$G6*G6</f>
        <v>7.1439999999999992</v>
      </c>
      <c r="H18" s="1172">
        <f>'ARP Score'!$BG6/'ARP Score'!$G6*H6</f>
        <v>7.1439999999999992</v>
      </c>
      <c r="I18" s="1172">
        <f>'ARP Score'!$BG6/'ARP Score'!$G6*I6</f>
        <v>7.1439999999999992</v>
      </c>
      <c r="J18" s="1172">
        <f>'ARP Score'!$BG7/'ARP Score'!$G7*J6</f>
        <v>0</v>
      </c>
      <c r="K18" s="1172">
        <f>'ARP Score'!$BG7/'ARP Score'!$G7*K6</f>
        <v>0</v>
      </c>
      <c r="L18" s="1172">
        <f>'ARP Score'!$BG7/'ARP Score'!$G7*L6</f>
        <v>0</v>
      </c>
      <c r="M18" s="1172">
        <f>'ARP Score'!$BG7/'ARP Score'!$G7*M6</f>
        <v>0</v>
      </c>
      <c r="N18" s="1172"/>
      <c r="O18" s="1172"/>
      <c r="P18" s="1172"/>
      <c r="Q18" s="1172"/>
      <c r="R18" s="1172"/>
      <c r="S18" s="1172"/>
      <c r="T18" s="1172"/>
      <c r="U18" s="1172"/>
      <c r="V18" s="1172"/>
      <c r="W18" s="1172"/>
    </row>
    <row r="19" spans="1:23" x14ac:dyDescent="0.25">
      <c r="B19" s="511" t="s">
        <v>772</v>
      </c>
      <c r="C19" s="1172">
        <f>'ARP Score'!$BI5/'ARP Score'!$G5*C6</f>
        <v>0</v>
      </c>
      <c r="D19" s="1172">
        <f>'ARP Score'!$BI5/'ARP Score'!$G5*D6</f>
        <v>15.128640000000001</v>
      </c>
      <c r="E19" s="1172">
        <f>'ARP Score'!$BI5/'ARP Score'!$G5*E6</f>
        <v>68.919360000000012</v>
      </c>
      <c r="F19" s="1172">
        <f>'ARP Score'!$BI6/'ARP Score'!$G6*F6</f>
        <v>5.6120000000000001</v>
      </c>
      <c r="G19" s="1172">
        <f>'ARP Score'!$BI6/'ARP Score'!$G6*G6</f>
        <v>5.6120000000000001</v>
      </c>
      <c r="H19" s="1172">
        <f>'ARP Score'!$BI6/'ARP Score'!$G6*H6</f>
        <v>5.6120000000000001</v>
      </c>
      <c r="I19" s="1172">
        <f>'ARP Score'!$BI6/'ARP Score'!$G6*I6</f>
        <v>5.6120000000000001</v>
      </c>
      <c r="J19" s="1172">
        <f>'ARP Score'!$B7/'ARP Score'!$G7*J6</f>
        <v>0.48599999999999993</v>
      </c>
      <c r="K19" s="1172">
        <f>'ARP Score'!$B7/'ARP Score'!$G7*K6</f>
        <v>0.48599999999999993</v>
      </c>
      <c r="L19" s="1172">
        <f>'ARP Score'!$B7/'ARP Score'!$G7*L6</f>
        <v>0.48599999999999993</v>
      </c>
      <c r="M19" s="1172">
        <f>'ARP Score'!$B7/'ARP Score'!$G7*M6</f>
        <v>0.48599999999999993</v>
      </c>
      <c r="N19" s="1172">
        <f>'ARP Score'!$B8/'ARP Score'!$G8*N6</f>
        <v>0</v>
      </c>
      <c r="O19" s="1172"/>
      <c r="P19" s="1172"/>
      <c r="Q19" s="1172"/>
      <c r="R19" s="1172"/>
      <c r="S19" s="1172"/>
      <c r="T19" s="1172"/>
      <c r="U19" s="1172"/>
      <c r="V19" s="1172"/>
      <c r="W19" s="1172"/>
    </row>
    <row r="20" spans="1:23" x14ac:dyDescent="0.25">
      <c r="B20" s="511" t="s">
        <v>148</v>
      </c>
      <c r="C20" s="1172">
        <f>'ARP Score'!$BF5/'ARP Score'!$G5*C6</f>
        <v>0</v>
      </c>
      <c r="D20" s="1172">
        <f>'ARP Score'!$BF5/'ARP Score'!$G5*D6</f>
        <v>3.2479199999999997</v>
      </c>
      <c r="E20" s="1172">
        <f>'ARP Score'!$BF5/'ARP Score'!$G5*E6</f>
        <v>14.796080000000002</v>
      </c>
      <c r="F20" s="1172">
        <f>'ARP Score'!$BF6/'ARP Score'!$G6*F6</f>
        <v>1.7329999999999999</v>
      </c>
      <c r="G20" s="1172">
        <f>'ARP Score'!$BF6/'ARP Score'!$G6*G6</f>
        <v>1.7329999999999999</v>
      </c>
      <c r="H20" s="1172">
        <f>'ARP Score'!$BF6/'ARP Score'!$G6*H6</f>
        <v>1.7329999999999999</v>
      </c>
      <c r="I20" s="1172">
        <f>'ARP Score'!$BF6/'ARP Score'!$G6*I6</f>
        <v>1.7329999999999999</v>
      </c>
      <c r="J20" s="1172">
        <f>'ARP Score'!$BF7/'ARP Score'!$G7*J6</f>
        <v>0</v>
      </c>
      <c r="K20" s="1172">
        <f>'ARP Score'!$BF7/'ARP Score'!$G7*K6</f>
        <v>0</v>
      </c>
      <c r="L20" s="1172">
        <f>'ARP Score'!$BF7/'ARP Score'!$G7*L6</f>
        <v>0</v>
      </c>
      <c r="M20" s="1172">
        <f>'ARP Score'!$BF7/'ARP Score'!$G7*M6</f>
        <v>0</v>
      </c>
      <c r="N20" s="1172"/>
      <c r="O20" s="1172"/>
      <c r="P20" s="1172"/>
      <c r="Q20" s="1172"/>
      <c r="R20" s="1172"/>
      <c r="S20" s="1172"/>
      <c r="T20" s="1172"/>
      <c r="U20" s="1172"/>
      <c r="V20" s="1172"/>
      <c r="W20" s="1172"/>
    </row>
    <row r="21" spans="1:23" x14ac:dyDescent="0.25">
      <c r="B21" s="1178" t="s">
        <v>414</v>
      </c>
      <c r="C21" s="1172">
        <f>15/40*(C6*'ARP Score'!$BD5/'ARP Score'!$G5)</f>
        <v>0</v>
      </c>
      <c r="D21" s="1172">
        <f>15/40*(D6*('ARP Score'!$BD5+'ARP Score'!$BE5)/'ARP Score'!$G5)</f>
        <v>13.2921</v>
      </c>
      <c r="E21" s="1172">
        <f>15/40*(E6*('ARP Score'!$BD5+'ARP Score'!$BE5)/'ARP Score'!$G5)</f>
        <v>60.552900000000008</v>
      </c>
      <c r="F21" s="1172">
        <f>15/40*(F6*('ARP Score'!$BD6+'ARP Score'!$BE6)/'ARP Score'!$G6)</f>
        <v>1.0687500000000001</v>
      </c>
      <c r="G21" s="1172">
        <f>15/40*(G6*('ARP Score'!$BD6+'ARP Score'!$BE6)/'ARP Score'!$G6)</f>
        <v>1.0687500000000001</v>
      </c>
      <c r="H21" s="1172">
        <f>15/40*(H6*('ARP Score'!$BD6+'ARP Score'!$BE6)/'ARP Score'!$G6)</f>
        <v>1.0687500000000001</v>
      </c>
      <c r="I21" s="1172">
        <f>15/40*(I6*('ARP Score'!$BD6+'ARP Score'!$BE6)/'ARP Score'!$G6)</f>
        <v>1.0687500000000001</v>
      </c>
      <c r="J21" s="1172">
        <f>15/40*(J6*('ARP Score'!$BD7+'ARP Score'!$BE7)/'ARP Score'!$G7)</f>
        <v>0.78750000000000009</v>
      </c>
      <c r="K21" s="1172">
        <f>15/40*(K6*('ARP Score'!$BD7+'ARP Score'!$BE7)/'ARP Score'!$G7)</f>
        <v>0.78750000000000009</v>
      </c>
      <c r="L21" s="1172">
        <f>15/40*(L6*('ARP Score'!$BD7+'ARP Score'!$BE7)/'ARP Score'!$G7)</f>
        <v>0.78750000000000009</v>
      </c>
      <c r="M21" s="1172">
        <f>15/40*(M6*('ARP Score'!$BD7+'ARP Score'!$BE7)/'ARP Score'!$G7)</f>
        <v>0.78750000000000009</v>
      </c>
      <c r="N21" s="1172"/>
      <c r="O21" s="1172"/>
      <c r="P21" s="1172"/>
      <c r="Q21" s="1172"/>
      <c r="R21" s="1172"/>
      <c r="S21" s="1172"/>
      <c r="T21" s="1172"/>
      <c r="U21" s="1172"/>
      <c r="V21" s="1172"/>
      <c r="W21" s="1172"/>
    </row>
    <row r="22" spans="1:23" x14ac:dyDescent="0.25">
      <c r="B22" s="1178" t="s">
        <v>773</v>
      </c>
      <c r="C22" s="1172"/>
      <c r="D22" s="1172">
        <f>D21/15*25</f>
        <v>22.153499999999998</v>
      </c>
      <c r="E22" s="1172">
        <f>E21/15*25</f>
        <v>100.92150000000002</v>
      </c>
      <c r="F22" s="1172">
        <f>F21/15*25</f>
        <v>1.7812500000000002</v>
      </c>
      <c r="G22" s="1172">
        <f>G21/15*25</f>
        <v>1.7812500000000002</v>
      </c>
      <c r="H22" s="1172">
        <f t="shared" ref="H22:J22" si="35">H21/15*25</f>
        <v>1.7812500000000002</v>
      </c>
      <c r="I22" s="1172">
        <f t="shared" si="35"/>
        <v>1.7812500000000002</v>
      </c>
      <c r="J22" s="1172">
        <f t="shared" si="35"/>
        <v>1.3125000000000002</v>
      </c>
      <c r="K22" s="1172">
        <f t="shared" ref="K22" si="36">K21/15*25</f>
        <v>1.3125000000000002</v>
      </c>
      <c r="L22" s="1172">
        <f t="shared" ref="L22" si="37">L21/15*25</f>
        <v>1.3125000000000002</v>
      </c>
      <c r="M22" s="1172">
        <f t="shared" ref="M22" si="38">M21/15*25</f>
        <v>1.3125000000000002</v>
      </c>
      <c r="N22" s="1172"/>
      <c r="O22" s="1172"/>
      <c r="P22" s="1172"/>
      <c r="Q22" s="1172"/>
      <c r="R22" s="1172"/>
      <c r="S22" s="1172"/>
      <c r="T22" s="1172"/>
      <c r="U22" s="1172"/>
      <c r="V22" s="1172"/>
      <c r="W22" s="1172"/>
    </row>
    <row r="23" spans="1:23" x14ac:dyDescent="0.25">
      <c r="B23" s="511" t="s">
        <v>426</v>
      </c>
      <c r="C23" s="1172">
        <f>'ARP Score'!$BB5/'ARP Score'!$G5*C6</f>
        <v>0</v>
      </c>
      <c r="D23" s="1172">
        <f>'ARP Score'!$BB5/'ARP Score'!$G5*D6</f>
        <v>2.9519999999999995</v>
      </c>
      <c r="E23" s="1172">
        <f>'ARP Score'!$BB5/'ARP Score'!$G5*E6</f>
        <v>13.448</v>
      </c>
      <c r="F23" s="1172">
        <f>'ARP Score'!$BB6/'ARP Score'!$G6*F6</f>
        <v>11.3</v>
      </c>
      <c r="G23" s="1172">
        <f>'ARP Score'!$BB6/'ARP Score'!$G6*G6</f>
        <v>11.3</v>
      </c>
      <c r="H23" s="1172">
        <f>'ARP Score'!$BB6/'ARP Score'!$G6*H6</f>
        <v>11.3</v>
      </c>
      <c r="I23" s="1172">
        <f>'ARP Score'!$BB6/'ARP Score'!$G6*I6</f>
        <v>11.3</v>
      </c>
      <c r="J23" s="1172">
        <f>'ARP Score'!$BB7/'ARP Score'!$G7*J6</f>
        <v>8.4</v>
      </c>
      <c r="K23" s="1172">
        <f>'ARP Score'!$BB7/'ARP Score'!$G7*K6</f>
        <v>8.4</v>
      </c>
      <c r="L23" s="1172">
        <f>'ARP Score'!$BB7/'ARP Score'!$G7*L6</f>
        <v>8.4</v>
      </c>
      <c r="M23" s="1172">
        <f>'ARP Score'!$BB7/'ARP Score'!$G7*M6</f>
        <v>8.4</v>
      </c>
      <c r="N23" s="1172">
        <f>'ARP Score'!$BB8/'ARP Score'!$G8*N6</f>
        <v>0.2</v>
      </c>
      <c r="O23" s="1172">
        <f>'ARP Score'!$BB8/'ARP Score'!$G8*O6</f>
        <v>0.2</v>
      </c>
      <c r="P23" s="1172">
        <f>'ARP Score'!$BB8/'ARP Score'!$G8*P6</f>
        <v>0.2</v>
      </c>
      <c r="Q23" s="1172">
        <f>'ARP Score'!$BB8/'ARP Score'!$G8*Q6</f>
        <v>0.2</v>
      </c>
      <c r="R23" s="1172"/>
      <c r="S23" s="1172"/>
      <c r="T23" s="1172"/>
      <c r="U23" s="1172"/>
      <c r="V23" s="1172"/>
      <c r="W23" s="1172"/>
    </row>
    <row r="24" spans="1:23" x14ac:dyDescent="0.25">
      <c r="B24" s="511" t="s">
        <v>427</v>
      </c>
      <c r="C24" s="1172">
        <f>'ARP Score'!$BH5/'ARP Score'!$G5*C6</f>
        <v>0</v>
      </c>
      <c r="D24" s="1172">
        <f>'ARP Score'!$BH5/'ARP Score'!$G5*D6</f>
        <v>-0.20447999999999997</v>
      </c>
      <c r="E24" s="1172">
        <f>'ARP Score'!$BH5/'ARP Score'!$G5*E6</f>
        <v>-0.93152000000000001</v>
      </c>
      <c r="F24" s="1172">
        <f>'ARP Score'!$BH6/'ARP Score'!$G6*F6</f>
        <v>81.608999999999995</v>
      </c>
      <c r="G24" s="1172">
        <f>'ARP Score'!$BH6/'ARP Score'!$G6*G6</f>
        <v>81.608999999999995</v>
      </c>
      <c r="H24" s="1172">
        <f>'ARP Score'!$BH6/'ARP Score'!$G6*H6</f>
        <v>81.608999999999995</v>
      </c>
      <c r="I24" s="1172">
        <f>'ARP Score'!$BH6/'ARP Score'!$G6*I6</f>
        <v>81.608999999999995</v>
      </c>
      <c r="J24" s="1172">
        <f>'ARP Score'!$BH7/'ARP Score'!$G7*J6</f>
        <v>1.3759999999999999</v>
      </c>
      <c r="K24" s="1172">
        <f>'ARP Score'!$BH7/'ARP Score'!$G7*K6</f>
        <v>1.3759999999999999</v>
      </c>
      <c r="L24" s="1172">
        <f>'ARP Score'!$BH7/'ARP Score'!$G7*L6</f>
        <v>1.3759999999999999</v>
      </c>
      <c r="M24" s="1172">
        <f>'ARP Score'!$BH7/'ARP Score'!$G7*M6</f>
        <v>1.3759999999999999</v>
      </c>
      <c r="N24" s="1172">
        <f>'ARP Score'!$BH8/'ARP Score'!$G8*N6</f>
        <v>-0.87500000000000011</v>
      </c>
      <c r="O24" s="1172">
        <f>'ARP Score'!$BH8/'ARP Score'!$G8*O6</f>
        <v>-0.87500000000000011</v>
      </c>
      <c r="P24" s="1172">
        <f>'ARP Score'!$BH8/'ARP Score'!$G8*P6</f>
        <v>-0.87500000000000011</v>
      </c>
      <c r="Q24" s="1172">
        <f>'ARP Score'!$BH8/'ARP Score'!$G8*Q6</f>
        <v>-0.87500000000000011</v>
      </c>
      <c r="R24" s="1172"/>
      <c r="S24" s="1172"/>
      <c r="T24" s="1172"/>
      <c r="U24" s="1172"/>
      <c r="V24" s="1172"/>
      <c r="W24" s="1172"/>
    </row>
    <row r="25" spans="1:23" x14ac:dyDescent="0.25">
      <c r="B25" s="511" t="s">
        <v>312</v>
      </c>
      <c r="C25" s="1172">
        <f>SUM(C18:C24)</f>
        <v>0</v>
      </c>
      <c r="D25" s="1172">
        <f t="shared" ref="D25:Q25" si="39">SUM(D18:D24)</f>
        <v>58.782959999999996</v>
      </c>
      <c r="E25" s="1172">
        <f t="shared" si="39"/>
        <v>267.78904000000006</v>
      </c>
      <c r="F25" s="1172">
        <f t="shared" si="39"/>
        <v>110.24799999999999</v>
      </c>
      <c r="G25" s="1172">
        <f t="shared" si="39"/>
        <v>110.24799999999999</v>
      </c>
      <c r="H25" s="1172">
        <f t="shared" si="39"/>
        <v>110.24799999999999</v>
      </c>
      <c r="I25" s="1172">
        <f t="shared" si="39"/>
        <v>110.24799999999999</v>
      </c>
      <c r="J25" s="1172">
        <f t="shared" si="39"/>
        <v>12.362</v>
      </c>
      <c r="K25" s="1172">
        <f t="shared" si="39"/>
        <v>12.362</v>
      </c>
      <c r="L25" s="1172">
        <f t="shared" si="39"/>
        <v>12.362</v>
      </c>
      <c r="M25" s="1172">
        <f t="shared" si="39"/>
        <v>12.362</v>
      </c>
      <c r="N25" s="1172">
        <f t="shared" si="39"/>
        <v>-0.67500000000000004</v>
      </c>
      <c r="O25" s="1172">
        <f t="shared" si="39"/>
        <v>-0.67500000000000004</v>
      </c>
      <c r="P25" s="1172">
        <f t="shared" si="39"/>
        <v>-0.67500000000000004</v>
      </c>
      <c r="Q25" s="1172">
        <f t="shared" si="39"/>
        <v>-0.67500000000000004</v>
      </c>
      <c r="R25" s="1172"/>
      <c r="S25" s="1172"/>
      <c r="T25" s="1172"/>
      <c r="U25" s="1172"/>
      <c r="V25" s="1172"/>
      <c r="W25" s="1172"/>
    </row>
    <row r="26" spans="1:23" x14ac:dyDescent="0.25">
      <c r="D26" s="996">
        <f>D6-D25</f>
        <v>0</v>
      </c>
      <c r="E26" s="996">
        <f t="shared" ref="E26:M26" si="40">E6-E25</f>
        <v>0</v>
      </c>
      <c r="F26" s="996">
        <f t="shared" si="40"/>
        <v>0</v>
      </c>
      <c r="G26" s="996">
        <f t="shared" si="40"/>
        <v>0</v>
      </c>
      <c r="H26" s="996">
        <f t="shared" si="40"/>
        <v>0</v>
      </c>
      <c r="I26" s="996">
        <f t="shared" si="40"/>
        <v>0</v>
      </c>
      <c r="J26" s="996">
        <f t="shared" si="40"/>
        <v>0.36400000000000077</v>
      </c>
      <c r="K26" s="996">
        <f t="shared" si="40"/>
        <v>0.36400000000000077</v>
      </c>
      <c r="L26" s="996">
        <f t="shared" si="40"/>
        <v>0.36400000000000077</v>
      </c>
      <c r="M26" s="996">
        <f t="shared" si="40"/>
        <v>0.36400000000000077</v>
      </c>
    </row>
    <row r="27" spans="1:23" x14ac:dyDescent="0.25">
      <c r="B27" s="744" t="s">
        <v>774</v>
      </c>
      <c r="D27" s="621" t="s">
        <v>251</v>
      </c>
      <c r="E27" s="621" t="s">
        <v>180</v>
      </c>
      <c r="F27" s="621" t="s">
        <v>181</v>
      </c>
      <c r="G27" s="621" t="s">
        <v>182</v>
      </c>
      <c r="H27" s="621" t="s">
        <v>183</v>
      </c>
      <c r="I27" s="621" t="s">
        <v>184</v>
      </c>
      <c r="J27" s="621" t="s">
        <v>185</v>
      </c>
      <c r="K27" s="621" t="s">
        <v>186</v>
      </c>
      <c r="L27" s="621" t="s">
        <v>187</v>
      </c>
      <c r="M27" s="621" t="s">
        <v>188</v>
      </c>
      <c r="N27" s="621" t="s">
        <v>189</v>
      </c>
      <c r="O27" s="621" t="s">
        <v>190</v>
      </c>
      <c r="P27" s="621" t="s">
        <v>191</v>
      </c>
      <c r="Q27" s="621" t="s">
        <v>175</v>
      </c>
      <c r="R27" s="621" t="s">
        <v>176</v>
      </c>
      <c r="S27" s="621" t="s">
        <v>177</v>
      </c>
      <c r="T27" s="621" t="s">
        <v>765</v>
      </c>
      <c r="U27" s="621" t="s">
        <v>766</v>
      </c>
      <c r="V27" s="621" t="s">
        <v>767</v>
      </c>
    </row>
    <row r="28" spans="1:23" x14ac:dyDescent="0.25">
      <c r="B28" s="33"/>
      <c r="C28" s="996" t="s">
        <v>312</v>
      </c>
      <c r="D28" s="1174">
        <f>SUM(D29:D43)</f>
        <v>5.8765000000000009</v>
      </c>
      <c r="E28" s="1174">
        <f t="shared" ref="E28:V28" si="41">SUM(E29:E43)</f>
        <v>11.753000000000002</v>
      </c>
      <c r="F28" s="1174">
        <f t="shared" si="41"/>
        <v>15.762320000000003</v>
      </c>
      <c r="G28" s="1174">
        <f t="shared" si="41"/>
        <v>19.771640000000005</v>
      </c>
      <c r="H28" s="1174">
        <f t="shared" si="41"/>
        <v>23.812229000000006</v>
      </c>
      <c r="I28" s="1174">
        <f t="shared" si="41"/>
        <v>27.852818000000006</v>
      </c>
      <c r="J28" s="1174">
        <f t="shared" si="41"/>
        <v>30.517977000000005</v>
      </c>
      <c r="K28" s="1174">
        <f t="shared" si="41"/>
        <v>33.183136000000005</v>
      </c>
      <c r="L28" s="1174">
        <f t="shared" si="41"/>
        <v>36.260924000000003</v>
      </c>
      <c r="M28" s="1174">
        <f t="shared" si="41"/>
        <v>39.338711999999994</v>
      </c>
      <c r="N28" s="1174">
        <f t="shared" si="41"/>
        <v>40.928439999999995</v>
      </c>
      <c r="O28" s="1174">
        <f t="shared" si="41"/>
        <v>42.518167999999996</v>
      </c>
      <c r="P28" s="1174">
        <f t="shared" si="41"/>
        <v>44.428388999999996</v>
      </c>
      <c r="Q28" s="1174">
        <f t="shared" si="41"/>
        <v>46.338610000000003</v>
      </c>
      <c r="R28" s="1174">
        <f t="shared" si="41"/>
        <v>47.279744500000007</v>
      </c>
      <c r="S28" s="1174">
        <f t="shared" si="41"/>
        <v>46.283419000000009</v>
      </c>
      <c r="T28" s="1174">
        <f t="shared" si="41"/>
        <v>45.578489500000011</v>
      </c>
      <c r="U28" s="1174">
        <f t="shared" si="41"/>
        <v>45.454798000000011</v>
      </c>
      <c r="V28" s="1174">
        <f t="shared" si="41"/>
        <v>45.360580000000013</v>
      </c>
    </row>
    <row r="29" spans="1:23" x14ac:dyDescent="0.25">
      <c r="A29" s="744">
        <v>2021</v>
      </c>
      <c r="B29" s="33" t="s">
        <v>775</v>
      </c>
      <c r="C29" s="996"/>
      <c r="D29" s="744">
        <f>($D$9+$D$10)*'ARP Timing'!B$16</f>
        <v>5.8765000000000009</v>
      </c>
      <c r="E29" s="744">
        <f>($D$9+$D$10)*'ARP Timing'!C$16</f>
        <v>5.8765000000000009</v>
      </c>
      <c r="F29" s="744">
        <f>($D$9+$D$10)*'ARP Timing'!D$16</f>
        <v>4.11355</v>
      </c>
      <c r="G29" s="744">
        <f>($D$9+$D$10)*'ARP Timing'!E$16</f>
        <v>4.11355</v>
      </c>
      <c r="H29" s="744">
        <f>($D$9+$D$10)*'ARP Timing'!F$16</f>
        <v>4.11355</v>
      </c>
      <c r="I29" s="744">
        <f>($D$9+$D$10)*'ARP Timing'!G$16</f>
        <v>4.11355</v>
      </c>
      <c r="J29" s="744">
        <f>($D$9+$D$10)*'ARP Timing'!H$16</f>
        <v>4.11355</v>
      </c>
      <c r="K29" s="744">
        <f>($D$9+$D$10)*'ARP Timing'!I$16</f>
        <v>4.11355</v>
      </c>
      <c r="L29" s="744">
        <f>($D$9+$D$10)*'ARP Timing'!J$16</f>
        <v>4.11355</v>
      </c>
      <c r="M29" s="744">
        <f>($D$9+$D$10)*'ARP Timing'!K$16</f>
        <v>4.11355</v>
      </c>
      <c r="N29" s="744">
        <f>($D$9+$D$10)*'ARP Timing'!L$16</f>
        <v>4.11355</v>
      </c>
      <c r="O29" s="744">
        <f>($D$9+$D$10)*'ARP Timing'!M$16</f>
        <v>4.11355</v>
      </c>
      <c r="P29" s="744">
        <f>($D$9+$D$10)*'ARP Timing'!N$16</f>
        <v>3.987625</v>
      </c>
      <c r="Q29" s="744">
        <f>($D$9+$D$10)*'ARP Timing'!O$16</f>
        <v>3.987625</v>
      </c>
      <c r="R29" s="744">
        <f>($D$9+$D$10)*'ARP Timing'!P$16</f>
        <v>3.987625</v>
      </c>
      <c r="S29" s="744">
        <f>($D$9+$D$10)*'ARP Timing'!Q$16</f>
        <v>3.987625</v>
      </c>
      <c r="T29" s="744">
        <f>($D$9+$D$10)*'ARP Timing'!R$16</f>
        <v>3.987625</v>
      </c>
      <c r="U29" s="744">
        <f>($D$9+$D$10)*'ARP Timing'!S$16</f>
        <v>3.987625</v>
      </c>
      <c r="V29" s="744">
        <f>($D$9+$D$10)*'ARP Timing'!T$16</f>
        <v>3.987625</v>
      </c>
    </row>
    <row r="30" spans="1:23" x14ac:dyDescent="0.25">
      <c r="B30" s="33" t="s">
        <v>331</v>
      </c>
      <c r="C30" s="996"/>
      <c r="E30" s="744">
        <f>($E$9+$E$10)*'ARP Timing'!B$16</f>
        <v>5.8765000000000009</v>
      </c>
      <c r="F30" s="744">
        <f>($E$9+$E$10)*'ARP Timing'!C$16</f>
        <v>5.8765000000000009</v>
      </c>
      <c r="G30" s="744">
        <f>($E$9+$E$10)*'ARP Timing'!D$16</f>
        <v>4.11355</v>
      </c>
      <c r="H30" s="744">
        <f>($E$9+$E$10)*'ARP Timing'!E$16</f>
        <v>4.11355</v>
      </c>
      <c r="I30" s="744">
        <f>($E$9+$E$10)*'ARP Timing'!F$16</f>
        <v>4.11355</v>
      </c>
      <c r="J30" s="744">
        <f>($E$9+$E$10)*'ARP Timing'!G$16</f>
        <v>4.11355</v>
      </c>
      <c r="K30" s="744">
        <f>($E$9+$E$10)*'ARP Timing'!H$16</f>
        <v>4.11355</v>
      </c>
      <c r="L30" s="744">
        <f>($E$9+$E$10)*'ARP Timing'!I$16</f>
        <v>4.11355</v>
      </c>
      <c r="M30" s="744">
        <f>($E$9+$E$10)*'ARP Timing'!J$16</f>
        <v>4.11355</v>
      </c>
      <c r="N30" s="744">
        <f>($E$9+$E$10)*'ARP Timing'!K$16</f>
        <v>4.11355</v>
      </c>
      <c r="O30" s="744">
        <f>($E$9+$E$10)*'ARP Timing'!L$16</f>
        <v>4.11355</v>
      </c>
      <c r="P30" s="744">
        <f>($E$9+$E$10)*'ARP Timing'!M$16</f>
        <v>4.11355</v>
      </c>
      <c r="Q30" s="744">
        <f>($E$9+$E$10)*'ARP Timing'!N$16</f>
        <v>3.987625</v>
      </c>
      <c r="R30" s="744">
        <f>($E$9+$E$10)*'ARP Timing'!O$16</f>
        <v>3.987625</v>
      </c>
      <c r="S30" s="744">
        <f>($E$9+$E$10)*'ARP Timing'!P$16</f>
        <v>3.987625</v>
      </c>
      <c r="T30" s="744">
        <f>($E$9+$E$10)*'ARP Timing'!Q$16</f>
        <v>3.987625</v>
      </c>
      <c r="U30" s="744">
        <f>($E$9+$E$10)*'ARP Timing'!R$16</f>
        <v>3.987625</v>
      </c>
      <c r="V30" s="744">
        <f>($E$9+$E$10)*'ARP Timing'!S$16</f>
        <v>3.987625</v>
      </c>
    </row>
    <row r="31" spans="1:23" x14ac:dyDescent="0.25">
      <c r="B31" s="33" t="s">
        <v>776</v>
      </c>
      <c r="C31" s="996"/>
      <c r="F31" s="744">
        <f>($F$9+$F$10)*'ARP Timing'!B$16</f>
        <v>5.7722700000000016</v>
      </c>
      <c r="G31" s="744">
        <f>($F$9+$F$10)*'ARP Timing'!C$16</f>
        <v>5.7722700000000016</v>
      </c>
      <c r="H31" s="744">
        <f>($F$9+$F$10)*'ARP Timing'!D$16</f>
        <v>4.0405890000000007</v>
      </c>
      <c r="I31" s="744">
        <f>($F$9+$F$10)*'ARP Timing'!E$16</f>
        <v>4.0405890000000007</v>
      </c>
      <c r="J31" s="744">
        <f>($F$9+$F$10)*'ARP Timing'!F$16</f>
        <v>4.0405890000000007</v>
      </c>
      <c r="K31" s="744">
        <f>($F$9+$F$10)*'ARP Timing'!G$16</f>
        <v>4.0405890000000007</v>
      </c>
      <c r="L31" s="744">
        <f>($F$9+$F$10)*'ARP Timing'!H$16</f>
        <v>4.0405890000000007</v>
      </c>
      <c r="M31" s="744">
        <f>($F$9+$F$10)*'ARP Timing'!I$16</f>
        <v>4.0405890000000007</v>
      </c>
      <c r="N31" s="744">
        <f>($F$9+$F$10)*'ARP Timing'!J$16</f>
        <v>4.0405890000000007</v>
      </c>
      <c r="O31" s="744">
        <f>($F$9+$F$10)*'ARP Timing'!K$16</f>
        <v>4.0405890000000007</v>
      </c>
      <c r="P31" s="744">
        <f>($F$9+$F$10)*'ARP Timing'!L$16</f>
        <v>4.0405890000000007</v>
      </c>
      <c r="Q31" s="744">
        <f>($F$9+$F$10)*'ARP Timing'!M$16</f>
        <v>4.0405890000000007</v>
      </c>
      <c r="R31" s="744">
        <f>($F$9+$F$10)*'ARP Timing'!N$16</f>
        <v>3.9168975000000006</v>
      </c>
      <c r="S31" s="744">
        <f>($F$9+$F$10)*'ARP Timing'!O$16</f>
        <v>3.9168975000000006</v>
      </c>
      <c r="T31" s="744">
        <f>($F$9+$F$10)*'ARP Timing'!P$16</f>
        <v>3.9168975000000006</v>
      </c>
      <c r="U31" s="744">
        <f>($F$9+$F$10)*'ARP Timing'!Q$16</f>
        <v>3.9168975000000006</v>
      </c>
      <c r="V31" s="744">
        <f>($F$9+$F$10)*'ARP Timing'!R$16</f>
        <v>3.9168975000000006</v>
      </c>
    </row>
    <row r="32" spans="1:23" x14ac:dyDescent="0.25">
      <c r="A32" s="744">
        <v>2022</v>
      </c>
      <c r="B32" s="33" t="s">
        <v>240</v>
      </c>
      <c r="C32" s="996"/>
      <c r="G32" s="744">
        <f>($G$9+$G$10)*'ARP Timing'!B$16</f>
        <v>5.7722700000000016</v>
      </c>
      <c r="H32" s="744">
        <f>($G$9+$G$10)*'ARP Timing'!C$16</f>
        <v>5.7722700000000016</v>
      </c>
      <c r="I32" s="744">
        <f>($G$9+$G$10)*'ARP Timing'!D$16</f>
        <v>4.0405890000000007</v>
      </c>
      <c r="J32" s="744">
        <f>($G$9+$G$10)*'ARP Timing'!E$16</f>
        <v>4.0405890000000007</v>
      </c>
      <c r="K32" s="744">
        <f>($G$9+$G$10)*'ARP Timing'!F$16</f>
        <v>4.0405890000000007</v>
      </c>
      <c r="L32" s="744">
        <f>($G$9+$G$10)*'ARP Timing'!G$16</f>
        <v>4.0405890000000007</v>
      </c>
      <c r="M32" s="744">
        <f>($G$9+$G$10)*'ARP Timing'!H$16</f>
        <v>4.0405890000000007</v>
      </c>
      <c r="N32" s="744">
        <f>($G$9+$G$10)*'ARP Timing'!I$16</f>
        <v>4.0405890000000007</v>
      </c>
      <c r="O32" s="744">
        <f>($G$9+$G$10)*'ARP Timing'!J$16</f>
        <v>4.0405890000000007</v>
      </c>
      <c r="P32" s="744">
        <f>($G$9+$G$10)*'ARP Timing'!K$16</f>
        <v>4.0405890000000007</v>
      </c>
      <c r="Q32" s="744">
        <f>($G$9+$G$10)*'ARP Timing'!L$16</f>
        <v>4.0405890000000007</v>
      </c>
      <c r="R32" s="744">
        <f>($G$9+$G$10)*'ARP Timing'!M$16</f>
        <v>4.0405890000000007</v>
      </c>
      <c r="S32" s="744">
        <f>($G$9+$G$10)*'ARP Timing'!N$16</f>
        <v>3.9168975000000006</v>
      </c>
      <c r="T32" s="744">
        <f>($G$9+$G$10)*'ARP Timing'!O$16</f>
        <v>3.9168975000000006</v>
      </c>
      <c r="U32" s="744">
        <f>($G$9+$G$10)*'ARP Timing'!P$16</f>
        <v>3.9168975000000006</v>
      </c>
      <c r="V32" s="744">
        <f>($G$9+$G$10)*'ARP Timing'!Q$16</f>
        <v>3.9168975000000006</v>
      </c>
    </row>
    <row r="33" spans="1:23" x14ac:dyDescent="0.25">
      <c r="B33" s="33" t="s">
        <v>241</v>
      </c>
      <c r="C33" s="996"/>
      <c r="H33" s="744">
        <f>($H$9+$H$10)*'ARP Timing'!B$16</f>
        <v>5.7722700000000016</v>
      </c>
      <c r="I33" s="744">
        <f>($H$9+$H$10)*'ARP Timing'!C$16</f>
        <v>5.7722700000000016</v>
      </c>
      <c r="J33" s="744">
        <f>($H$9+$H$10)*'ARP Timing'!D$16</f>
        <v>4.0405890000000007</v>
      </c>
      <c r="K33" s="744">
        <f>($H$9+$H$10)*'ARP Timing'!E$16</f>
        <v>4.0405890000000007</v>
      </c>
      <c r="L33" s="744">
        <f>($H$9+$H$10)*'ARP Timing'!F$16</f>
        <v>4.0405890000000007</v>
      </c>
      <c r="M33" s="744">
        <f>($H$9+$H$10)*'ARP Timing'!G$16</f>
        <v>4.0405890000000007</v>
      </c>
      <c r="N33" s="744">
        <f>($H$9+$H$10)*'ARP Timing'!H$16</f>
        <v>4.0405890000000007</v>
      </c>
      <c r="O33" s="744">
        <f>($H$9+$H$10)*'ARP Timing'!I$16</f>
        <v>4.0405890000000007</v>
      </c>
      <c r="P33" s="744">
        <f>($H$9+$H$10)*'ARP Timing'!J$16</f>
        <v>4.0405890000000007</v>
      </c>
      <c r="Q33" s="744">
        <f>($H$9+$H$10)*'ARP Timing'!K$16</f>
        <v>4.0405890000000007</v>
      </c>
      <c r="R33" s="744">
        <f>($H$9+$H$10)*'ARP Timing'!L$16</f>
        <v>4.0405890000000007</v>
      </c>
      <c r="S33" s="744">
        <f>($H$9+$H$10)*'ARP Timing'!M$16</f>
        <v>4.0405890000000007</v>
      </c>
      <c r="T33" s="744">
        <f>($H$9+$H$10)*'ARP Timing'!N$16</f>
        <v>3.9168975000000006</v>
      </c>
      <c r="U33" s="744">
        <f>($H$9+$H$10)*'ARP Timing'!O$16</f>
        <v>3.9168975000000006</v>
      </c>
      <c r="V33" s="744">
        <f>($H$9+$H$10)*'ARP Timing'!P$16</f>
        <v>3.9168975000000006</v>
      </c>
    </row>
    <row r="34" spans="1:23" x14ac:dyDescent="0.25">
      <c r="B34" s="33" t="s">
        <v>331</v>
      </c>
      <c r="C34" s="996"/>
      <c r="H34" s="996"/>
      <c r="I34" s="744">
        <f>($I$9+$I10)*'ARP Timing'!B$16</f>
        <v>5.7722700000000016</v>
      </c>
      <c r="J34" s="744">
        <f>($I$9+$I10)*'ARP Timing'!C$16</f>
        <v>5.7722700000000016</v>
      </c>
      <c r="K34" s="744">
        <f>($I$9+$I10)*'ARP Timing'!D$16</f>
        <v>4.0405890000000007</v>
      </c>
      <c r="L34" s="744">
        <f>($I$9+$I10)*'ARP Timing'!E$16</f>
        <v>4.0405890000000007</v>
      </c>
      <c r="M34" s="744">
        <f>($I$9+$I10)*'ARP Timing'!F$16</f>
        <v>4.0405890000000007</v>
      </c>
      <c r="N34" s="744">
        <f>($I$9+$I10)*'ARP Timing'!G$16</f>
        <v>4.0405890000000007</v>
      </c>
      <c r="O34" s="744">
        <f>($I$9+$I10)*'ARP Timing'!H$16</f>
        <v>4.0405890000000007</v>
      </c>
      <c r="P34" s="744">
        <f>($I$9+$I10)*'ARP Timing'!I$16</f>
        <v>4.0405890000000007</v>
      </c>
      <c r="Q34" s="744">
        <f>($I$9+$I10)*'ARP Timing'!J$16</f>
        <v>4.0405890000000007</v>
      </c>
      <c r="R34" s="744">
        <f>($I$9+$I10)*'ARP Timing'!K$16</f>
        <v>4.0405890000000007</v>
      </c>
      <c r="S34" s="744">
        <f>($I$9+$I10)*'ARP Timing'!L$16</f>
        <v>4.0405890000000007</v>
      </c>
      <c r="T34" s="744">
        <f>($I$9+$I10)*'ARP Timing'!M$16</f>
        <v>4.0405890000000007</v>
      </c>
      <c r="U34" s="744">
        <f>($I$9+$I10)*'ARP Timing'!N$16</f>
        <v>3.9168975000000006</v>
      </c>
      <c r="V34" s="744">
        <f>($I$9+$I10)*'ARP Timing'!O$16</f>
        <v>3.9168975000000006</v>
      </c>
    </row>
    <row r="35" spans="1:23" x14ac:dyDescent="0.25">
      <c r="B35" s="33" t="s">
        <v>776</v>
      </c>
      <c r="C35" s="996"/>
      <c r="H35" s="996"/>
      <c r="J35" s="744">
        <f>($J$9+$J$10)*'ARP Timing'!B$16</f>
        <v>4.3968400000000001</v>
      </c>
      <c r="K35" s="744">
        <f>($J$9+$J$10)*'ARP Timing'!C$16</f>
        <v>4.3968400000000001</v>
      </c>
      <c r="L35" s="744">
        <f>($J$9+$J$10)*'ARP Timing'!D$16</f>
        <v>3.077788</v>
      </c>
      <c r="M35" s="744">
        <f>($J$9+$J$10)*'ARP Timing'!E$16</f>
        <v>3.077788</v>
      </c>
      <c r="N35" s="744">
        <f>($J$9+$J$10)*'ARP Timing'!F$16</f>
        <v>3.077788</v>
      </c>
      <c r="O35" s="744">
        <f>($J$9+$J$10)*'ARP Timing'!G$16</f>
        <v>3.077788</v>
      </c>
      <c r="P35" s="744">
        <f>($J$9+$J$10)*'ARP Timing'!H$16</f>
        <v>3.077788</v>
      </c>
      <c r="Q35" s="744">
        <f>($J$9+$J$10)*'ARP Timing'!I$16</f>
        <v>3.077788</v>
      </c>
      <c r="R35" s="744">
        <f>($J$9+$J$10)*'ARP Timing'!J$16</f>
        <v>3.077788</v>
      </c>
      <c r="S35" s="744">
        <f>($J$9+$J$10)*'ARP Timing'!K$16</f>
        <v>3.077788</v>
      </c>
      <c r="T35" s="744">
        <f>($J$9+$J$10)*'ARP Timing'!L$16</f>
        <v>3.077788</v>
      </c>
      <c r="U35" s="744">
        <f>($J$9+$J$10)*'ARP Timing'!M$16</f>
        <v>3.077788</v>
      </c>
      <c r="V35" s="744">
        <f>($J$9+$J$10)*'ARP Timing'!N$16</f>
        <v>2.9835699999999998</v>
      </c>
    </row>
    <row r="36" spans="1:23" x14ac:dyDescent="0.25">
      <c r="A36" s="744">
        <v>2023</v>
      </c>
      <c r="B36" s="33" t="s">
        <v>240</v>
      </c>
      <c r="C36" s="996"/>
      <c r="H36" s="996"/>
      <c r="K36" s="744">
        <f>($K$9+$K$10)*'ARP Timing'!B$16</f>
        <v>4.3968400000000001</v>
      </c>
      <c r="L36" s="744">
        <f>($K$9+$K$10)*'ARP Timing'!C$16</f>
        <v>4.3968400000000001</v>
      </c>
      <c r="M36" s="744">
        <f>($K$9+$K$10)*'ARP Timing'!D$16</f>
        <v>3.077788</v>
      </c>
      <c r="N36" s="744">
        <f>($K$9+$K$10)*'ARP Timing'!E$16</f>
        <v>3.077788</v>
      </c>
      <c r="O36" s="744">
        <f>($K$9+$K$10)*'ARP Timing'!F$16</f>
        <v>3.077788</v>
      </c>
      <c r="P36" s="744">
        <f>($K$9+$K$10)*'ARP Timing'!G$16</f>
        <v>3.077788</v>
      </c>
      <c r="Q36" s="744">
        <f>($K$9+$K$10)*'ARP Timing'!H$16</f>
        <v>3.077788</v>
      </c>
      <c r="R36" s="744">
        <f>($K$9+$K$10)*'ARP Timing'!I$16</f>
        <v>3.077788</v>
      </c>
      <c r="S36" s="744">
        <f>($K$9+$K$10)*'ARP Timing'!J$16</f>
        <v>3.077788</v>
      </c>
      <c r="T36" s="744">
        <f>($K$9+$K$10)*'ARP Timing'!K$16</f>
        <v>3.077788</v>
      </c>
      <c r="U36" s="744">
        <f>($K$9+$K$10)*'ARP Timing'!L$16</f>
        <v>3.077788</v>
      </c>
      <c r="V36" s="744">
        <f>($K$9+$K$10)*'ARP Timing'!M$16</f>
        <v>3.077788</v>
      </c>
    </row>
    <row r="37" spans="1:23" x14ac:dyDescent="0.25">
      <c r="B37" s="33" t="s">
        <v>241</v>
      </c>
      <c r="C37" s="996"/>
      <c r="H37" s="996"/>
      <c r="L37" s="744">
        <f>($L$9+$L$10)*'ARP Timing'!B$16</f>
        <v>4.3968400000000001</v>
      </c>
      <c r="M37" s="744">
        <f>($L$9+$L$10)*'ARP Timing'!C$16</f>
        <v>4.3968400000000001</v>
      </c>
      <c r="N37" s="744">
        <f>($L$9+$L$10)*'ARP Timing'!D$16</f>
        <v>3.077788</v>
      </c>
      <c r="O37" s="744">
        <f>($L$9+$L$10)*'ARP Timing'!E$16</f>
        <v>3.077788</v>
      </c>
      <c r="P37" s="744">
        <f>($L$9+$L$10)*'ARP Timing'!F$16</f>
        <v>3.077788</v>
      </c>
      <c r="Q37" s="744">
        <f>($L$9+$L$10)*'ARP Timing'!G$16</f>
        <v>3.077788</v>
      </c>
      <c r="R37" s="744">
        <f>($L$9+$L$10)*'ARP Timing'!H$16</f>
        <v>3.077788</v>
      </c>
      <c r="S37" s="744">
        <f>($L$9+$L$10)*'ARP Timing'!I$16</f>
        <v>3.077788</v>
      </c>
      <c r="T37" s="744">
        <f>($L$9+$L$10)*'ARP Timing'!J$16</f>
        <v>3.077788</v>
      </c>
      <c r="U37" s="744">
        <f>($L$9+$L$10)*'ARP Timing'!K$16</f>
        <v>3.077788</v>
      </c>
      <c r="V37" s="744">
        <f>($L$9+$L$10)*'ARP Timing'!L$16</f>
        <v>3.077788</v>
      </c>
    </row>
    <row r="38" spans="1:23" x14ac:dyDescent="0.25">
      <c r="B38" s="33" t="s">
        <v>331</v>
      </c>
      <c r="C38" s="996"/>
      <c r="H38" s="996"/>
      <c r="M38" s="744">
        <f>($M$9+$M$10)*'ARP Timing'!B$16</f>
        <v>4.3968400000000001</v>
      </c>
      <c r="N38" s="744">
        <f>($M$9+$M$10)*'ARP Timing'!C$16</f>
        <v>4.3968400000000001</v>
      </c>
      <c r="O38" s="744">
        <f>($M$9+$M$10)*'ARP Timing'!D$16</f>
        <v>3.077788</v>
      </c>
      <c r="P38" s="744">
        <f>($M$9+$M$10)*'ARP Timing'!E$16</f>
        <v>3.077788</v>
      </c>
      <c r="Q38" s="744">
        <f>($M$9+$M$10)*'ARP Timing'!F$16</f>
        <v>3.077788</v>
      </c>
      <c r="R38" s="744">
        <f>($M$9+$M$10)*'ARP Timing'!G$16</f>
        <v>3.077788</v>
      </c>
      <c r="S38" s="744">
        <f>($M$9+$M$10)*'ARP Timing'!H$16</f>
        <v>3.077788</v>
      </c>
      <c r="T38" s="744">
        <f>($M$9+$M$10)*'ARP Timing'!I$16</f>
        <v>3.077788</v>
      </c>
      <c r="U38" s="744">
        <f>($M$9+$M$10)*'ARP Timing'!J$16</f>
        <v>3.077788</v>
      </c>
      <c r="V38" s="744">
        <f>($M$9+$M$10)*'ARP Timing'!K$16</f>
        <v>3.077788</v>
      </c>
    </row>
    <row r="39" spans="1:23" x14ac:dyDescent="0.25">
      <c r="B39" s="33" t="s">
        <v>776</v>
      </c>
      <c r="C39" s="996"/>
      <c r="H39" s="996"/>
      <c r="N39" s="744">
        <f>($N$9+$N$10)*'ARP Timing'!B$16</f>
        <v>2.9087800000000006</v>
      </c>
      <c r="O39" s="744">
        <f>($N$9+$N$10)*'ARP Timing'!C$16</f>
        <v>2.9087800000000006</v>
      </c>
      <c r="P39" s="744">
        <f>($N$9+$N$10)*'ARP Timing'!D$16</f>
        <v>2.036146</v>
      </c>
      <c r="Q39" s="744">
        <f>($N$9+$N$10)*'ARP Timing'!E$16</f>
        <v>2.036146</v>
      </c>
      <c r="R39" s="744">
        <f>($N$9+$N$10)*'ARP Timing'!F$16</f>
        <v>2.036146</v>
      </c>
      <c r="S39" s="744">
        <f>($N$9+$N$10)*'ARP Timing'!G$16</f>
        <v>2.036146</v>
      </c>
      <c r="T39" s="744">
        <f>($N$9+$N$10)*'ARP Timing'!H$16</f>
        <v>2.036146</v>
      </c>
      <c r="U39" s="744">
        <f>($N$9+$N$10)*'ARP Timing'!I$16</f>
        <v>2.036146</v>
      </c>
      <c r="V39" s="744">
        <f>($N$9+$N$10)*'ARP Timing'!J$16</f>
        <v>2.036146</v>
      </c>
    </row>
    <row r="40" spans="1:23" x14ac:dyDescent="0.25">
      <c r="A40" s="744">
        <v>2024</v>
      </c>
      <c r="B40" s="33" t="s">
        <v>240</v>
      </c>
      <c r="C40" s="996"/>
      <c r="H40" s="996"/>
      <c r="O40" s="744">
        <f>($O$9+$O$10)*'ARP Timing'!B$16</f>
        <v>2.9087800000000006</v>
      </c>
      <c r="P40" s="744">
        <f>($O$9+$O$10)*'ARP Timing'!C$16</f>
        <v>2.9087800000000006</v>
      </c>
      <c r="Q40" s="744">
        <f>($O$9+$O$10)*'ARP Timing'!D$16</f>
        <v>2.036146</v>
      </c>
      <c r="R40" s="744">
        <f>($O$9+$O$10)*'ARP Timing'!E$16</f>
        <v>2.036146</v>
      </c>
      <c r="S40" s="744">
        <f>($O$9+$O$10)*'ARP Timing'!F$16</f>
        <v>2.036146</v>
      </c>
      <c r="T40" s="744">
        <f>($O$9+$O$10)*'ARP Timing'!G$16</f>
        <v>2.036146</v>
      </c>
      <c r="U40" s="744">
        <f>($O$9+$O$10)*'ARP Timing'!H$16</f>
        <v>2.036146</v>
      </c>
      <c r="V40" s="744">
        <f>($O$9+$O$10)*'ARP Timing'!I$16</f>
        <v>2.036146</v>
      </c>
    </row>
    <row r="41" spans="1:23" x14ac:dyDescent="0.25">
      <c r="B41" s="33" t="s">
        <v>241</v>
      </c>
      <c r="C41" s="996"/>
      <c r="H41" s="996"/>
      <c r="P41" s="744">
        <f>($P$9+$P$10)*'ARP Timing'!B$16</f>
        <v>2.9087800000000006</v>
      </c>
      <c r="Q41" s="744">
        <f>($P$9+$P$10)*'ARP Timing'!C$16</f>
        <v>2.9087800000000006</v>
      </c>
      <c r="R41" s="744">
        <f>($P$9+$P$10)*'ARP Timing'!D$16</f>
        <v>2.036146</v>
      </c>
      <c r="S41" s="744">
        <f>($P$9+$P$10)*'ARP Timing'!E$16</f>
        <v>2.036146</v>
      </c>
      <c r="T41" s="744">
        <f>($P$9+$P$10)*'ARP Timing'!F$16</f>
        <v>2.036146</v>
      </c>
      <c r="U41" s="744">
        <f>($P$9+$P$10)*'ARP Timing'!G$16</f>
        <v>2.036146</v>
      </c>
      <c r="V41" s="744">
        <f>($P$9+$P$10)*'ARP Timing'!H$16</f>
        <v>2.036146</v>
      </c>
    </row>
    <row r="42" spans="1:23" x14ac:dyDescent="0.25">
      <c r="B42" s="33" t="s">
        <v>331</v>
      </c>
      <c r="C42" s="996"/>
      <c r="H42" s="996"/>
      <c r="Q42" s="744">
        <f>($Q$9+$Q$10)*'ARP Timing'!B$16</f>
        <v>2.9087800000000006</v>
      </c>
      <c r="R42" s="744">
        <f>($Q$9+$Q$10)*'ARP Timing'!C$16</f>
        <v>2.9087800000000006</v>
      </c>
      <c r="S42" s="744">
        <f>($Q$9+$Q$10)*'ARP Timing'!D$16</f>
        <v>2.036146</v>
      </c>
      <c r="T42" s="744">
        <f>($Q$9+$Q$10)*'ARP Timing'!E$16</f>
        <v>2.036146</v>
      </c>
      <c r="U42" s="744">
        <f>($Q$9+$Q$10)*'ARP Timing'!F$16</f>
        <v>2.036146</v>
      </c>
      <c r="V42" s="744">
        <f>($Q$9+$Q$10)*'ARP Timing'!G$16</f>
        <v>2.036146</v>
      </c>
    </row>
    <row r="43" spans="1:23" x14ac:dyDescent="0.25">
      <c r="B43" s="33" t="s">
        <v>776</v>
      </c>
      <c r="C43" s="996"/>
      <c r="H43" s="996"/>
      <c r="R43" s="744">
        <f>($R$9+$R$10)*'ARP Timing'!B$16</f>
        <v>1.9374600000000002</v>
      </c>
      <c r="S43" s="744">
        <f>($R$9+$R$10)*'ARP Timing'!C$16</f>
        <v>1.9374600000000002</v>
      </c>
      <c r="T43" s="744">
        <f>($R$9+$R$10)*'ARP Timing'!D$16</f>
        <v>1.356222</v>
      </c>
      <c r="U43" s="744">
        <f>($R$9+$R$10)*'ARP Timing'!E$16</f>
        <v>1.356222</v>
      </c>
      <c r="V43" s="744">
        <f>($R$9+$R$10)*'ARP Timing'!F$16</f>
        <v>1.356222</v>
      </c>
    </row>
    <row r="44" spans="1:23" x14ac:dyDescent="0.25">
      <c r="S44" s="744">
        <f>($S$9+$S$10)*'ARP Timing'!B$16</f>
        <v>1.9374600000000002</v>
      </c>
      <c r="T44" s="744">
        <f>($S$9+$S$10)*'ARP Timing'!C$16</f>
        <v>1.9374600000000002</v>
      </c>
      <c r="U44" s="744">
        <f>($S$9+$S$10)*'ARP Timing'!D$16</f>
        <v>1.356222</v>
      </c>
      <c r="V44" s="744">
        <f>($S$9+$S$10)*'ARP Timing'!E$16</f>
        <v>1.356222</v>
      </c>
    </row>
    <row r="46" spans="1:23" x14ac:dyDescent="0.25">
      <c r="B46" s="744" t="s">
        <v>777</v>
      </c>
      <c r="D46" s="621" t="s">
        <v>251</v>
      </c>
      <c r="E46" s="621" t="s">
        <v>180</v>
      </c>
      <c r="F46" s="621" t="s">
        <v>181</v>
      </c>
      <c r="G46" s="621" t="s">
        <v>182</v>
      </c>
      <c r="H46" s="621" t="s">
        <v>183</v>
      </c>
      <c r="I46" s="621" t="s">
        <v>184</v>
      </c>
      <c r="J46" s="621" t="s">
        <v>185</v>
      </c>
      <c r="K46" s="621" t="s">
        <v>186</v>
      </c>
      <c r="L46" s="621" t="s">
        <v>187</v>
      </c>
      <c r="M46" s="621" t="s">
        <v>188</v>
      </c>
      <c r="N46" s="621" t="s">
        <v>189</v>
      </c>
      <c r="O46" s="621" t="s">
        <v>190</v>
      </c>
      <c r="P46" s="621" t="s">
        <v>191</v>
      </c>
      <c r="Q46" s="621" t="s">
        <v>175</v>
      </c>
      <c r="R46" s="621" t="s">
        <v>176</v>
      </c>
      <c r="S46" s="621" t="s">
        <v>177</v>
      </c>
      <c r="T46" s="621" t="s">
        <v>765</v>
      </c>
      <c r="U46" s="621" t="s">
        <v>766</v>
      </c>
      <c r="V46" s="621" t="s">
        <v>767</v>
      </c>
    </row>
    <row r="47" spans="1:23" x14ac:dyDescent="0.25">
      <c r="B47" s="33"/>
      <c r="C47" s="996" t="s">
        <v>312</v>
      </c>
      <c r="D47" s="1174">
        <f t="shared" ref="D47:U47" si="42">SUM(D48:D66)</f>
        <v>0</v>
      </c>
      <c r="E47" s="1174">
        <f t="shared" si="42"/>
        <v>0</v>
      </c>
      <c r="F47" s="1174">
        <f t="shared" si="42"/>
        <v>34.620851999999999</v>
      </c>
      <c r="G47" s="1174">
        <f t="shared" si="42"/>
        <v>50.996274799999995</v>
      </c>
      <c r="H47" s="1174">
        <f t="shared" si="42"/>
        <v>69.350031999999999</v>
      </c>
      <c r="I47" s="1174">
        <f t="shared" si="42"/>
        <v>79.295867999999999</v>
      </c>
      <c r="J47" s="1174">
        <f t="shared" si="42"/>
        <v>80.538927999999999</v>
      </c>
      <c r="K47" s="1174">
        <f t="shared" si="42"/>
        <v>80.122543199999996</v>
      </c>
      <c r="L47" s="1174">
        <f t="shared" si="42"/>
        <v>88.916719999999998</v>
      </c>
      <c r="M47" s="1174">
        <f t="shared" si="42"/>
        <v>92.213943999999998</v>
      </c>
      <c r="N47" s="1174">
        <f t="shared" si="42"/>
        <v>92.213943999999998</v>
      </c>
      <c r="O47" s="1174">
        <f t="shared" si="42"/>
        <v>94.213943999999998</v>
      </c>
      <c r="P47" s="1174">
        <f t="shared" si="42"/>
        <v>98.916719999999998</v>
      </c>
      <c r="Q47" s="1174">
        <f t="shared" si="42"/>
        <v>98.916719999999998</v>
      </c>
      <c r="R47" s="1174">
        <f t="shared" si="42"/>
        <v>99.081581199999988</v>
      </c>
      <c r="S47" s="1174">
        <f t="shared" si="42"/>
        <v>93.146578000000005</v>
      </c>
      <c r="T47" s="1174">
        <f t="shared" si="42"/>
        <v>86.552129999999991</v>
      </c>
      <c r="U47" s="1174">
        <f t="shared" si="42"/>
        <v>86.552129999999991</v>
      </c>
      <c r="V47" s="1174">
        <f>SUM(V48:V66)</f>
        <v>82.265738799999994</v>
      </c>
      <c r="W47" s="744">
        <f>SUM(G47:V47)/4</f>
        <v>343.32344900000004</v>
      </c>
    </row>
    <row r="48" spans="1:23" x14ac:dyDescent="0.25">
      <c r="A48" s="744">
        <v>2021</v>
      </c>
      <c r="B48" s="33" t="s">
        <v>775</v>
      </c>
      <c r="C48" s="996"/>
      <c r="D48" s="744">
        <f>($D$8)*'ARP Timing'!B17</f>
        <v>0</v>
      </c>
      <c r="E48" s="744">
        <f>($D$8)*'ARP Timing'!C17</f>
        <v>0</v>
      </c>
      <c r="F48" s="744">
        <f>($D$8)*'ARP Timing'!D17</f>
        <v>34.620851999999999</v>
      </c>
      <c r="G48" s="744">
        <f>($D$8)*'ARP Timing'!E17</f>
        <v>45.996274799999995</v>
      </c>
      <c r="H48" s="744">
        <f>($D$8)*'ARP Timing'!F17</f>
        <v>59.350031999999992</v>
      </c>
      <c r="I48" s="744">
        <f>($D$8)*'ARP Timing'!G17</f>
        <v>64.295867999999999</v>
      </c>
      <c r="J48" s="744">
        <f>($D$8)*'ARP Timing'!H17</f>
        <v>49.458359999999999</v>
      </c>
      <c r="K48" s="744">
        <f>($D$8)*'ARP Timing'!I17</f>
        <v>49.458359999999999</v>
      </c>
      <c r="L48" s="744">
        <f>($D$8)*'ARP Timing'!J17</f>
        <v>59.350031999999992</v>
      </c>
      <c r="M48" s="744">
        <f>($D$8)*'ARP Timing'!K17</f>
        <v>59.350031999999992</v>
      </c>
      <c r="N48" s="744">
        <f>($D$8)*'ARP Timing'!L17</f>
        <v>69.241703999999999</v>
      </c>
      <c r="O48" s="744">
        <f>($D$8)*'ARP Timing'!M17</f>
        <v>69.241703999999999</v>
      </c>
      <c r="P48" s="744">
        <f>($D$8)*'ARP Timing'!N17</f>
        <v>59.350031999999992</v>
      </c>
      <c r="Q48" s="744">
        <f>($D$8)*'ARP Timing'!O17</f>
        <v>59.350031999999992</v>
      </c>
      <c r="R48" s="744">
        <f>($D$8)*'ARP Timing'!P17</f>
        <v>52.920445199999989</v>
      </c>
      <c r="S48" s="744">
        <f>($D$8)*'ARP Timing'!Q17</f>
        <v>46.985441999999992</v>
      </c>
      <c r="T48" s="744">
        <f>($D$8)*'ARP Timing'!R17</f>
        <v>46.985441999999992</v>
      </c>
      <c r="U48" s="744">
        <f>($D$8)*'ARP Timing'!S17</f>
        <v>46.985441999999992</v>
      </c>
      <c r="V48" s="744">
        <f>($D$8)*'ARP Timing'!T17</f>
        <v>46.985441999999992</v>
      </c>
    </row>
    <row r="49" spans="1:22" x14ac:dyDescent="0.25">
      <c r="B49" s="33" t="s">
        <v>331</v>
      </c>
      <c r="C49" s="996"/>
      <c r="E49" s="744">
        <f>($E$8)*'ARP Timing'!B$17</f>
        <v>0</v>
      </c>
      <c r="F49" s="744">
        <f>($E$8)*'ARP Timing'!C$16</f>
        <v>0</v>
      </c>
      <c r="G49" s="744">
        <f>($E$8)*'ARP Timing'!D$16</f>
        <v>0</v>
      </c>
      <c r="H49" s="744">
        <f>($E$8)*'ARP Timing'!E$16</f>
        <v>0</v>
      </c>
      <c r="I49" s="744">
        <f>($E$8)*'ARP Timing'!F$16</f>
        <v>0</v>
      </c>
      <c r="J49" s="744">
        <f>($E$8)*'ARP Timing'!G$16</f>
        <v>0</v>
      </c>
      <c r="K49" s="744">
        <f>($E$8)*'ARP Timing'!H$16</f>
        <v>0</v>
      </c>
      <c r="L49" s="744">
        <f>($E$8)*'ARP Timing'!I$16</f>
        <v>0</v>
      </c>
      <c r="M49" s="744">
        <f>($E$8)*'ARP Timing'!J$16</f>
        <v>0</v>
      </c>
      <c r="N49" s="744">
        <f>($E$8)*'ARP Timing'!K$16</f>
        <v>0</v>
      </c>
      <c r="O49" s="744">
        <f>($E$8)*'ARP Timing'!L$16</f>
        <v>0</v>
      </c>
      <c r="P49" s="744">
        <f>($E$8)*'ARP Timing'!M$16</f>
        <v>0</v>
      </c>
      <c r="Q49" s="744">
        <f>($E$8)*'ARP Timing'!N$16</f>
        <v>0</v>
      </c>
      <c r="R49" s="744">
        <f>($E$8)*'ARP Timing'!O$16</f>
        <v>0</v>
      </c>
      <c r="S49" s="744">
        <f>($E$8)*'ARP Timing'!P$16</f>
        <v>0</v>
      </c>
      <c r="T49" s="744">
        <f>($E$8)*'ARP Timing'!Q$16</f>
        <v>0</v>
      </c>
      <c r="U49" s="744">
        <f>($E$8)*'ARP Timing'!R$16</f>
        <v>0</v>
      </c>
      <c r="V49" s="744">
        <f>($E$8)*'ARP Timing'!S$16</f>
        <v>0</v>
      </c>
    </row>
    <row r="50" spans="1:22" x14ac:dyDescent="0.25">
      <c r="B50" s="33" t="s">
        <v>776</v>
      </c>
      <c r="C50" s="996"/>
      <c r="F50" s="744">
        <f>($F$8)*'ARP Timing'!C$17</f>
        <v>0</v>
      </c>
      <c r="G50" s="744">
        <f>($F$8)*'ARP Timing'!D$17</f>
        <v>0</v>
      </c>
      <c r="H50" s="744">
        <f>($F$8)*'ARP Timing'!E$17</f>
        <v>0</v>
      </c>
      <c r="I50" s="744">
        <f>($F$8)*'ARP Timing'!F$17</f>
        <v>0</v>
      </c>
      <c r="J50" s="744">
        <f>($F$8)*'ARP Timing'!G$17</f>
        <v>0</v>
      </c>
      <c r="K50" s="744">
        <f>($F$8)*'ARP Timing'!H$17</f>
        <v>0</v>
      </c>
      <c r="L50" s="744">
        <f>($F$8)*'ARP Timing'!I$17</f>
        <v>0</v>
      </c>
      <c r="M50" s="744">
        <f>($F$8)*'ARP Timing'!J$17</f>
        <v>0</v>
      </c>
      <c r="N50" s="744">
        <f>($F$8)*'ARP Timing'!K$17</f>
        <v>0</v>
      </c>
      <c r="O50" s="744">
        <f>($F$8)*'ARP Timing'!L$17</f>
        <v>0</v>
      </c>
      <c r="P50" s="744">
        <f>($F$8)*'ARP Timing'!M$17</f>
        <v>0</v>
      </c>
      <c r="Q50" s="744">
        <f>($F$8)*'ARP Timing'!N$17</f>
        <v>0</v>
      </c>
      <c r="R50" s="744">
        <f>($F$8)*'ARP Timing'!O$17</f>
        <v>0</v>
      </c>
      <c r="S50" s="744">
        <f>($F$8)*'ARP Timing'!P$17</f>
        <v>0</v>
      </c>
      <c r="T50" s="744">
        <f>($F$8)*'ARP Timing'!Q$17</f>
        <v>0</v>
      </c>
      <c r="U50" s="744">
        <f>($F$8)*'ARP Timing'!R$17</f>
        <v>0</v>
      </c>
      <c r="V50" s="744">
        <f>($F$8)*'ARP Timing'!S$17</f>
        <v>0</v>
      </c>
    </row>
    <row r="51" spans="1:22" x14ac:dyDescent="0.25">
      <c r="A51" s="744">
        <v>2022</v>
      </c>
      <c r="B51" s="33" t="s">
        <v>240</v>
      </c>
      <c r="C51" s="996"/>
      <c r="G51" s="744">
        <f>($G$8)*'ARP Timing'!D$17</f>
        <v>0</v>
      </c>
      <c r="H51" s="744">
        <f>($G$8)*'ARP Timing'!E$17</f>
        <v>0</v>
      </c>
      <c r="I51" s="744">
        <f>($G$8)*'ARP Timing'!F$17</f>
        <v>0</v>
      </c>
      <c r="J51" s="744">
        <f>($G$8)*'ARP Timing'!G$17</f>
        <v>0</v>
      </c>
      <c r="K51" s="744">
        <f>($G$8)*'ARP Timing'!H$17</f>
        <v>0</v>
      </c>
      <c r="L51" s="744">
        <f>($G$8)*'ARP Timing'!I$17</f>
        <v>0</v>
      </c>
      <c r="M51" s="744">
        <f>($G$8)*'ARP Timing'!J$17</f>
        <v>0</v>
      </c>
      <c r="N51" s="744">
        <f>($G$8)*'ARP Timing'!K$17</f>
        <v>0</v>
      </c>
      <c r="O51" s="744">
        <f>($G$8)*'ARP Timing'!L$17</f>
        <v>0</v>
      </c>
      <c r="P51" s="744">
        <f>($G$8)*'ARP Timing'!M$17</f>
        <v>0</v>
      </c>
      <c r="Q51" s="744">
        <f>($G$8)*'ARP Timing'!N$17</f>
        <v>0</v>
      </c>
      <c r="R51" s="744">
        <f>($G$8)*'ARP Timing'!O$17</f>
        <v>0</v>
      </c>
      <c r="S51" s="744">
        <f>($G$8)*'ARP Timing'!P$17</f>
        <v>0</v>
      </c>
      <c r="T51" s="744">
        <f>($G$8)*'ARP Timing'!Q$17</f>
        <v>0</v>
      </c>
      <c r="U51" s="744">
        <f>($G$8)*'ARP Timing'!R$17</f>
        <v>0</v>
      </c>
      <c r="V51" s="744">
        <f>($G$8)*'ARP Timing'!S$17</f>
        <v>0</v>
      </c>
    </row>
    <row r="52" spans="1:22" x14ac:dyDescent="0.25">
      <c r="B52" s="33" t="s">
        <v>241</v>
      </c>
      <c r="C52" s="996"/>
      <c r="H52" s="744">
        <f>($H$8)*'ARP Timing'!B$17</f>
        <v>0</v>
      </c>
      <c r="I52" s="744">
        <f>($H$8)*'ARP Timing'!C$17</f>
        <v>0</v>
      </c>
      <c r="J52" s="744">
        <f>($H$8)*'ARP Timing'!D$17</f>
        <v>23.080568000000003</v>
      </c>
      <c r="K52" s="744">
        <f>($H$8)*'ARP Timing'!E$17</f>
        <v>30.6641832</v>
      </c>
      <c r="L52" s="744">
        <f>($H$8)*'ARP Timing'!F$17</f>
        <v>39.566687999999999</v>
      </c>
      <c r="M52" s="744">
        <f>($H$8)*'ARP Timing'!G$17</f>
        <v>42.863911999999999</v>
      </c>
      <c r="N52" s="744">
        <f>($H$8)*'ARP Timing'!H$17</f>
        <v>32.972239999999999</v>
      </c>
      <c r="O52" s="744">
        <f>($H$8)*'ARP Timing'!I$17</f>
        <v>32.972239999999999</v>
      </c>
      <c r="P52" s="744">
        <f>($H$8)*'ARP Timing'!J$17</f>
        <v>39.566687999999999</v>
      </c>
      <c r="Q52" s="744">
        <f>($H$8)*'ARP Timing'!K$17</f>
        <v>39.566687999999999</v>
      </c>
      <c r="R52" s="744">
        <f>($H$8)*'ARP Timing'!L$17</f>
        <v>46.161136000000006</v>
      </c>
      <c r="S52" s="744">
        <f>($H$8)*'ARP Timing'!M$17</f>
        <v>46.161136000000006</v>
      </c>
      <c r="T52" s="744">
        <f>($H$8)*'ARP Timing'!N$17</f>
        <v>39.566687999999999</v>
      </c>
      <c r="U52" s="744">
        <f>($H$8)*'ARP Timing'!O$17</f>
        <v>39.566687999999999</v>
      </c>
      <c r="V52" s="744">
        <f>($H$8)*'ARP Timing'!P$17</f>
        <v>35.280296800000002</v>
      </c>
    </row>
    <row r="53" spans="1:22" x14ac:dyDescent="0.25">
      <c r="B53" s="33" t="s">
        <v>331</v>
      </c>
      <c r="C53" s="996"/>
      <c r="H53" s="996"/>
      <c r="I53" s="744">
        <f>($I$8)*'ARP Timing'!B$17</f>
        <v>0</v>
      </c>
      <c r="J53" s="744">
        <f>($I$8)*'ARP Timing'!C$17</f>
        <v>0</v>
      </c>
      <c r="K53" s="744">
        <f>($I$8)*'ARP Timing'!D$17</f>
        <v>0</v>
      </c>
      <c r="L53" s="744">
        <f>($I$8)*'ARP Timing'!E$17</f>
        <v>0</v>
      </c>
      <c r="M53" s="744">
        <f>($I$8)*'ARP Timing'!F$17</f>
        <v>0</v>
      </c>
      <c r="N53" s="744">
        <f>($I$8)*'ARP Timing'!G$17</f>
        <v>0</v>
      </c>
      <c r="O53" s="744">
        <f>($I$8)*'ARP Timing'!H$17</f>
        <v>0</v>
      </c>
      <c r="P53" s="744">
        <f>($I$8)*'ARP Timing'!I$17</f>
        <v>0</v>
      </c>
      <c r="Q53" s="744">
        <f>($I$8)*'ARP Timing'!J$17</f>
        <v>0</v>
      </c>
      <c r="R53" s="744">
        <f>($I$8)*'ARP Timing'!K$17</f>
        <v>0</v>
      </c>
      <c r="S53" s="744">
        <f>($I$8)*'ARP Timing'!L$17</f>
        <v>0</v>
      </c>
      <c r="T53" s="744">
        <f>($I$8)*'ARP Timing'!M$17</f>
        <v>0</v>
      </c>
      <c r="U53" s="744">
        <f>($I$8)*'ARP Timing'!N$17</f>
        <v>0</v>
      </c>
      <c r="V53" s="744">
        <f>($I$8)*'ARP Timing'!O$17</f>
        <v>0</v>
      </c>
    </row>
    <row r="54" spans="1:22" x14ac:dyDescent="0.25">
      <c r="B54" s="33" t="s">
        <v>776</v>
      </c>
      <c r="C54" s="996"/>
      <c r="H54" s="996"/>
    </row>
    <row r="55" spans="1:22" x14ac:dyDescent="0.25">
      <c r="A55" s="744">
        <v>2023</v>
      </c>
      <c r="B55" s="33" t="s">
        <v>240</v>
      </c>
      <c r="C55" s="996"/>
      <c r="H55" s="996"/>
    </row>
    <row r="56" spans="1:22" x14ac:dyDescent="0.25">
      <c r="B56" s="33" t="s">
        <v>241</v>
      </c>
      <c r="C56" s="996"/>
      <c r="H56" s="996"/>
    </row>
    <row r="57" spans="1:22" x14ac:dyDescent="0.25">
      <c r="B57" s="33" t="s">
        <v>331</v>
      </c>
      <c r="C57" s="996"/>
      <c r="H57" s="996"/>
    </row>
    <row r="58" spans="1:22" x14ac:dyDescent="0.25">
      <c r="B58" s="33" t="s">
        <v>776</v>
      </c>
      <c r="C58" s="996"/>
      <c r="H58" s="996"/>
    </row>
    <row r="59" spans="1:22" x14ac:dyDescent="0.25">
      <c r="A59" s="744">
        <v>2024</v>
      </c>
      <c r="B59" s="33" t="s">
        <v>240</v>
      </c>
      <c r="C59" s="996"/>
      <c r="H59" s="996"/>
    </row>
    <row r="60" spans="1:22" x14ac:dyDescent="0.25">
      <c r="B60" s="33" t="s">
        <v>241</v>
      </c>
      <c r="C60" s="996"/>
      <c r="H60" s="996"/>
    </row>
    <row r="61" spans="1:22" x14ac:dyDescent="0.25">
      <c r="B61" s="33" t="s">
        <v>331</v>
      </c>
      <c r="C61" s="996"/>
      <c r="H61" s="996"/>
    </row>
    <row r="62" spans="1:22" x14ac:dyDescent="0.25">
      <c r="B62" s="33" t="s">
        <v>776</v>
      </c>
      <c r="C62" s="996"/>
      <c r="H62" s="996"/>
    </row>
    <row r="63" spans="1:22" x14ac:dyDescent="0.25">
      <c r="A63" t="s">
        <v>892</v>
      </c>
      <c r="B63" s="33"/>
      <c r="C63" s="996"/>
      <c r="G63">
        <v>5</v>
      </c>
      <c r="H63" s="996">
        <v>10</v>
      </c>
      <c r="I63">
        <v>15</v>
      </c>
      <c r="J63">
        <v>8</v>
      </c>
      <c r="K63">
        <v>0</v>
      </c>
      <c r="L63">
        <v>-10</v>
      </c>
      <c r="M63">
        <v>-10</v>
      </c>
      <c r="N63">
        <v>-10</v>
      </c>
      <c r="O63">
        <v>-8</v>
      </c>
    </row>
    <row r="64" spans="1:22" x14ac:dyDescent="0.25">
      <c r="B64" s="33"/>
      <c r="C64" s="996"/>
      <c r="H64" s="996"/>
    </row>
    <row r="65" spans="2:24" x14ac:dyDescent="0.25">
      <c r="B65" s="33"/>
      <c r="C65" s="996"/>
      <c r="H65" s="996"/>
    </row>
    <row r="66" spans="2:24" x14ac:dyDescent="0.25">
      <c r="B66" s="33"/>
      <c r="C66" s="996"/>
      <c r="H66" s="996"/>
    </row>
    <row r="67" spans="2:24" x14ac:dyDescent="0.25">
      <c r="B67" s="33"/>
      <c r="C67" s="996"/>
      <c r="H67" s="996"/>
    </row>
    <row r="68" spans="2:24" x14ac:dyDescent="0.25">
      <c r="B68" s="33"/>
      <c r="C68" s="996"/>
      <c r="H68" s="996"/>
    </row>
    <row r="69" spans="2:24" x14ac:dyDescent="0.25">
      <c r="B69" s="33"/>
      <c r="C69" s="996"/>
      <c r="H69" s="996"/>
    </row>
    <row r="70" spans="2:24" x14ac:dyDescent="0.25">
      <c r="B70" s="33"/>
      <c r="C70" s="996"/>
      <c r="H70" s="996"/>
    </row>
    <row r="71" spans="2:24" x14ac:dyDescent="0.25">
      <c r="B71" s="33"/>
      <c r="C71" s="996"/>
      <c r="H71" s="996"/>
    </row>
    <row r="72" spans="2:24" x14ac:dyDescent="0.25">
      <c r="B72" s="33"/>
      <c r="C72" s="996"/>
      <c r="H72" s="996"/>
    </row>
    <row r="73" spans="2:24" x14ac:dyDescent="0.25">
      <c r="B73" s="33" t="s">
        <v>778</v>
      </c>
      <c r="C73" s="1171">
        <v>2021</v>
      </c>
      <c r="D73" s="1171">
        <v>2022</v>
      </c>
      <c r="E73" s="1171">
        <v>2023</v>
      </c>
      <c r="F73" s="1171">
        <v>2024</v>
      </c>
      <c r="G73" s="1171">
        <v>2025</v>
      </c>
      <c r="H73" s="996"/>
    </row>
    <row r="74" spans="2:24" x14ac:dyDescent="0.25">
      <c r="B74" s="33" t="s">
        <v>675</v>
      </c>
      <c r="C74" s="1175">
        <f t="shared" ref="C74:C85" si="43">SUM(C4:E4)/4</f>
        <v>0.77600000000001046</v>
      </c>
      <c r="D74" s="1175">
        <f t="shared" ref="D74:D85" si="44">SUM(F4:I4)/4</f>
        <v>19.719000000000005</v>
      </c>
      <c r="E74" s="1175">
        <f t="shared" ref="E74:E85" si="45">SUM(J4:M4)/4</f>
        <v>1.4159999999999999</v>
      </c>
      <c r="F74" s="1175">
        <f t="shared" ref="F74:F85" si="46">SUM(N4:Q4)/4</f>
        <v>1.4790000000000001</v>
      </c>
      <c r="G74" s="1175">
        <f t="shared" ref="G74:G85" si="47">SUM(R4:U4)/4</f>
        <v>1.63</v>
      </c>
    </row>
    <row r="75" spans="2:24" x14ac:dyDescent="0.25">
      <c r="B75" s="33" t="s">
        <v>676</v>
      </c>
      <c r="C75" s="1175">
        <f t="shared" si="43"/>
        <v>19.722000000000016</v>
      </c>
      <c r="D75" s="1175">
        <f t="shared" si="44"/>
        <v>52.756999999999998</v>
      </c>
      <c r="E75" s="1175">
        <f t="shared" si="45"/>
        <v>12</v>
      </c>
      <c r="F75" s="1175">
        <f t="shared" si="46"/>
        <v>4.2219999999999995</v>
      </c>
      <c r="G75" s="1175">
        <f t="shared" si="47"/>
        <v>2.3719999999999999</v>
      </c>
      <c r="H75" s="996"/>
    </row>
    <row r="76" spans="2:24" x14ac:dyDescent="0.25">
      <c r="B76" s="33" t="s">
        <v>52</v>
      </c>
      <c r="C76" s="1175">
        <f t="shared" si="43"/>
        <v>81.643000000000001</v>
      </c>
      <c r="D76" s="1175">
        <f t="shared" si="44"/>
        <v>110.24799999999999</v>
      </c>
      <c r="E76" s="1175">
        <f t="shared" si="45"/>
        <v>12.726000000000001</v>
      </c>
      <c r="F76" s="1175">
        <f t="shared" si="46"/>
        <v>1.365</v>
      </c>
      <c r="G76" s="1175">
        <f t="shared" si="47"/>
        <v>-0.90100000000000025</v>
      </c>
      <c r="H76" s="996"/>
      <c r="O76" s="33"/>
      <c r="P76" s="33"/>
      <c r="Q76" s="33"/>
      <c r="R76" s="33"/>
      <c r="S76" s="1176"/>
      <c r="T76" s="1176"/>
      <c r="U76" s="1176"/>
      <c r="V76" s="14"/>
      <c r="W76" s="33"/>
      <c r="X76" s="33"/>
    </row>
    <row r="77" spans="2:24" x14ac:dyDescent="0.25">
      <c r="B77" s="33" t="s">
        <v>131</v>
      </c>
      <c r="C77" s="1175">
        <f t="shared" si="43"/>
        <v>7.798</v>
      </c>
      <c r="D77" s="1175">
        <f t="shared" si="44"/>
        <v>7.9489999999999998</v>
      </c>
      <c r="E77" s="1175">
        <f t="shared" si="45"/>
        <v>4.7519999999999998</v>
      </c>
      <c r="F77" s="1175">
        <f t="shared" si="46"/>
        <v>4.637999999999999</v>
      </c>
      <c r="G77" s="1175">
        <f t="shared" si="47"/>
        <v>1.8800000000000001</v>
      </c>
      <c r="H77" s="996"/>
    </row>
    <row r="78" spans="2:24" x14ac:dyDescent="0.25">
      <c r="B78" s="1173" t="s">
        <v>348</v>
      </c>
      <c r="C78" s="1175">
        <f t="shared" si="43"/>
        <v>247.29179999999997</v>
      </c>
      <c r="D78" s="1175">
        <f t="shared" si="44"/>
        <v>164.8612</v>
      </c>
      <c r="E78" s="1175">
        <f t="shared" si="45"/>
        <v>0</v>
      </c>
      <c r="F78" s="1175">
        <f t="shared" si="46"/>
        <v>0</v>
      </c>
      <c r="G78" s="1175">
        <f t="shared" si="47"/>
        <v>0</v>
      </c>
      <c r="H78" s="996"/>
      <c r="R78" s="1142"/>
      <c r="S78" s="1142"/>
    </row>
    <row r="79" spans="2:24" x14ac:dyDescent="0.25">
      <c r="B79" s="1173" t="s">
        <v>150</v>
      </c>
      <c r="C79" s="1175">
        <f t="shared" si="43"/>
        <v>12.347</v>
      </c>
      <c r="D79" s="1175">
        <f t="shared" si="44"/>
        <v>46.79</v>
      </c>
      <c r="E79" s="1175">
        <f t="shared" si="45"/>
        <v>38.595999999999997</v>
      </c>
      <c r="F79" s="1175">
        <f t="shared" si="46"/>
        <v>31.911000000000001</v>
      </c>
      <c r="G79" s="1175">
        <f t="shared" si="47"/>
        <v>23.099</v>
      </c>
      <c r="H79" s="996"/>
      <c r="R79" s="1142"/>
      <c r="S79" s="1142"/>
    </row>
    <row r="80" spans="2:24" x14ac:dyDescent="0.25">
      <c r="B80" s="1173" t="s">
        <v>364</v>
      </c>
      <c r="C80" s="1175">
        <f t="shared" si="43"/>
        <v>29.628</v>
      </c>
      <c r="D80" s="1175">
        <f t="shared" si="44"/>
        <v>35.671000000000006</v>
      </c>
      <c r="E80" s="1175">
        <f t="shared" si="45"/>
        <v>24.216000000000001</v>
      </c>
      <c r="F80" s="1175">
        <f t="shared" si="46"/>
        <v>9.6430000000000007</v>
      </c>
      <c r="G80" s="1175">
        <f t="shared" si="47"/>
        <v>4.5789999999999997</v>
      </c>
      <c r="H80" s="996"/>
      <c r="R80" s="1142"/>
      <c r="S80" s="1142"/>
    </row>
    <row r="81" spans="2:19" x14ac:dyDescent="0.25">
      <c r="B81" s="14" t="s">
        <v>159</v>
      </c>
      <c r="C81" s="1175">
        <f t="shared" si="43"/>
        <v>25.75</v>
      </c>
      <c r="D81" s="1175">
        <f t="shared" si="44"/>
        <v>0</v>
      </c>
      <c r="E81" s="1175">
        <f t="shared" si="45"/>
        <v>0</v>
      </c>
      <c r="F81" s="1175">
        <f t="shared" si="46"/>
        <v>0</v>
      </c>
      <c r="G81" s="1175">
        <f t="shared" si="47"/>
        <v>0</v>
      </c>
      <c r="H81" s="996"/>
      <c r="R81" s="1142"/>
      <c r="S81" s="1142"/>
    </row>
    <row r="82" spans="2:19" x14ac:dyDescent="0.25">
      <c r="B82" s="33" t="s">
        <v>109</v>
      </c>
      <c r="C82" s="1175">
        <f t="shared" si="43"/>
        <v>31.939</v>
      </c>
      <c r="D82" s="1175">
        <f t="shared" si="44"/>
        <v>56.413000000000004</v>
      </c>
      <c r="E82" s="1175">
        <f t="shared" si="45"/>
        <v>15.652999999999999</v>
      </c>
      <c r="F82" s="1175">
        <f t="shared" si="46"/>
        <v>3.9320000000000004</v>
      </c>
      <c r="G82" s="1175">
        <f t="shared" si="47"/>
        <v>-0.74299999999999988</v>
      </c>
      <c r="R82" s="1142"/>
      <c r="S82" s="1142"/>
    </row>
    <row r="83" spans="2:19" x14ac:dyDescent="0.25">
      <c r="B83" s="744" t="s">
        <v>769</v>
      </c>
      <c r="C83" s="1175">
        <f t="shared" si="43"/>
        <v>1.02</v>
      </c>
      <c r="D83" s="1175">
        <f t="shared" si="44"/>
        <v>1.5299999999999998</v>
      </c>
      <c r="E83" s="1175">
        <f t="shared" si="45"/>
        <v>0</v>
      </c>
      <c r="F83" s="1175">
        <f t="shared" si="46"/>
        <v>0</v>
      </c>
      <c r="G83" s="1175">
        <f t="shared" si="47"/>
        <v>0</v>
      </c>
      <c r="R83" s="1142"/>
      <c r="S83" s="1142"/>
    </row>
    <row r="84" spans="2:19" x14ac:dyDescent="0.25">
      <c r="B84" s="744" t="s">
        <v>770</v>
      </c>
      <c r="C84" s="1175">
        <f t="shared" si="43"/>
        <v>0.67999999999999994</v>
      </c>
      <c r="D84" s="1175">
        <f t="shared" si="44"/>
        <v>1.02</v>
      </c>
      <c r="E84" s="1175">
        <f t="shared" si="45"/>
        <v>0</v>
      </c>
      <c r="F84" s="1175">
        <f t="shared" si="46"/>
        <v>0</v>
      </c>
      <c r="G84" s="1175">
        <f t="shared" si="47"/>
        <v>0</v>
      </c>
      <c r="R84" s="1142"/>
      <c r="S84" s="1142"/>
    </row>
    <row r="85" spans="2:19" x14ac:dyDescent="0.25">
      <c r="B85" s="744" t="s">
        <v>471</v>
      </c>
      <c r="C85" s="1175">
        <f t="shared" si="43"/>
        <v>1.6999999999999997</v>
      </c>
      <c r="D85" s="1175">
        <f t="shared" si="44"/>
        <v>2.5499999999999998</v>
      </c>
      <c r="E85" s="1175">
        <f t="shared" si="45"/>
        <v>0</v>
      </c>
      <c r="F85" s="1175">
        <f t="shared" si="46"/>
        <v>0</v>
      </c>
      <c r="G85" s="1175">
        <f t="shared" si="47"/>
        <v>0</v>
      </c>
      <c r="R85" s="1142"/>
      <c r="S85" s="1142"/>
    </row>
    <row r="86" spans="2:19" x14ac:dyDescent="0.25">
      <c r="C86" s="1171">
        <v>2021</v>
      </c>
      <c r="D86" s="1171">
        <v>2022</v>
      </c>
      <c r="E86" s="1171">
        <v>2023</v>
      </c>
      <c r="F86" s="1171">
        <v>2024</v>
      </c>
      <c r="G86" s="1171">
        <v>2025</v>
      </c>
      <c r="R86" s="1142"/>
      <c r="S86" s="1142"/>
    </row>
    <row r="87" spans="2:19" x14ac:dyDescent="0.25">
      <c r="B87" s="744" t="s">
        <v>779</v>
      </c>
      <c r="C87" s="1174">
        <f>SUM(C83:C85)</f>
        <v>3.3999999999999995</v>
      </c>
      <c r="D87" s="1174">
        <f t="shared" ref="D87:G87" si="48">SUM(D83:D85)</f>
        <v>5.0999999999999996</v>
      </c>
      <c r="E87" s="1174">
        <f t="shared" si="48"/>
        <v>0</v>
      </c>
      <c r="F87" s="1174">
        <f t="shared" si="48"/>
        <v>0</v>
      </c>
      <c r="G87" s="1174">
        <f t="shared" si="48"/>
        <v>0</v>
      </c>
      <c r="R87" s="1142"/>
      <c r="S87" s="1142"/>
    </row>
    <row r="90" spans="2:19" x14ac:dyDescent="0.25">
      <c r="B90" s="744" t="s">
        <v>675</v>
      </c>
      <c r="C90" s="1175">
        <v>26.636000000000024</v>
      </c>
      <c r="D90" s="1175">
        <v>98.978999999999999</v>
      </c>
      <c r="E90" s="1175">
        <v>2.1159999999999997</v>
      </c>
      <c r="F90" s="1175">
        <v>2.1789999999999998</v>
      </c>
      <c r="G90" s="1175">
        <v>2.33</v>
      </c>
      <c r="H90" s="1175"/>
      <c r="I90" s="1175"/>
      <c r="J90" s="1175"/>
      <c r="K90" s="1175"/>
      <c r="L90" s="1175"/>
      <c r="M90" s="1175"/>
    </row>
    <row r="91" spans="2:19" x14ac:dyDescent="0.25">
      <c r="B91" s="744" t="s">
        <v>676</v>
      </c>
      <c r="C91" s="1175">
        <v>47.722000000000016</v>
      </c>
      <c r="D91" s="1175">
        <v>52.756999999999998</v>
      </c>
      <c r="E91" s="1175">
        <v>12</v>
      </c>
      <c r="F91" s="1175">
        <v>4.2219999999999995</v>
      </c>
      <c r="G91" s="1175">
        <v>2.3719999999999999</v>
      </c>
      <c r="H91" s="1175"/>
      <c r="I91" s="1175"/>
      <c r="J91" s="1175"/>
      <c r="K91" s="1175"/>
      <c r="L91" s="1175"/>
      <c r="M91" s="1175"/>
    </row>
    <row r="92" spans="2:19" x14ac:dyDescent="0.25">
      <c r="B92" s="744" t="s">
        <v>52</v>
      </c>
      <c r="C92" s="1175">
        <v>81.842999999999989</v>
      </c>
      <c r="D92" s="1175">
        <v>110.24799999999999</v>
      </c>
      <c r="E92" s="1175">
        <v>12.726000000000001</v>
      </c>
      <c r="F92" s="1175">
        <v>1.365</v>
      </c>
      <c r="G92" s="1175">
        <v>-0.90100000000000025</v>
      </c>
      <c r="H92" s="1175"/>
      <c r="I92" s="1175"/>
      <c r="J92" s="1175"/>
      <c r="K92" s="1175"/>
      <c r="L92" s="1175"/>
      <c r="M92" s="1175"/>
    </row>
    <row r="93" spans="2:19" x14ac:dyDescent="0.25">
      <c r="B93" s="744" t="s">
        <v>131</v>
      </c>
      <c r="C93" s="1175">
        <v>7.798</v>
      </c>
      <c r="D93" s="1175">
        <v>7.9489999999999998</v>
      </c>
      <c r="E93" s="1175">
        <v>4.7519999999999998</v>
      </c>
      <c r="F93" s="1175">
        <v>4.637999999999999</v>
      </c>
      <c r="G93" s="1175">
        <v>1.8800000000000001</v>
      </c>
      <c r="H93" s="1175"/>
      <c r="I93" s="1175"/>
      <c r="J93" s="1175"/>
      <c r="K93" s="1175"/>
      <c r="L93" s="1175"/>
      <c r="M93" s="1175"/>
    </row>
    <row r="94" spans="2:19" x14ac:dyDescent="0.25">
      <c r="B94" s="744" t="s">
        <v>348</v>
      </c>
      <c r="C94" s="1175">
        <v>283.95749999999998</v>
      </c>
      <c r="D94" s="1175">
        <v>77.092500000000001</v>
      </c>
      <c r="E94" s="1175">
        <v>1</v>
      </c>
      <c r="F94" s="1175">
        <v>0</v>
      </c>
      <c r="G94" s="1175">
        <v>0</v>
      </c>
      <c r="H94" s="1175"/>
      <c r="I94" s="1175"/>
      <c r="J94" s="1175"/>
      <c r="K94" s="1175"/>
      <c r="L94" s="1175"/>
      <c r="M94" s="1175"/>
    </row>
    <row r="95" spans="2:19" x14ac:dyDescent="0.25">
      <c r="B95" s="744" t="s">
        <v>150</v>
      </c>
      <c r="C95" s="1175">
        <v>12.347</v>
      </c>
      <c r="D95" s="1175">
        <v>46.79</v>
      </c>
      <c r="E95" s="1175">
        <v>38.595999999999997</v>
      </c>
      <c r="F95" s="1175">
        <v>31.911000000000001</v>
      </c>
      <c r="G95" s="1175">
        <v>23.099</v>
      </c>
      <c r="H95" s="1175"/>
      <c r="I95" s="1175"/>
      <c r="J95" s="1175"/>
      <c r="K95" s="1175"/>
      <c r="L95" s="1175"/>
      <c r="M95" s="1175"/>
    </row>
    <row r="96" spans="2:19" x14ac:dyDescent="0.25">
      <c r="B96" s="744" t="s">
        <v>364</v>
      </c>
      <c r="C96" s="1175">
        <v>2.286</v>
      </c>
      <c r="D96" s="1175">
        <v>4.6049999999999995</v>
      </c>
      <c r="E96" s="1175">
        <v>1.349</v>
      </c>
      <c r="F96" s="1175">
        <v>0.441</v>
      </c>
      <c r="G96" s="1175">
        <v>0.313</v>
      </c>
      <c r="H96" s="1175"/>
      <c r="I96" s="1175"/>
      <c r="J96" s="1175"/>
      <c r="K96" s="1175"/>
      <c r="L96" s="1175"/>
      <c r="M96" s="1175"/>
    </row>
    <row r="97" spans="2:13" x14ac:dyDescent="0.25">
      <c r="B97" s="744" t="s">
        <v>159</v>
      </c>
      <c r="C97" s="1175">
        <v>25.75</v>
      </c>
      <c r="D97" s="1175">
        <v>0</v>
      </c>
      <c r="E97" s="1175">
        <v>0</v>
      </c>
      <c r="F97" s="1175">
        <v>0</v>
      </c>
      <c r="G97" s="1175">
        <v>0</v>
      </c>
      <c r="H97" s="1175"/>
      <c r="I97" s="1175"/>
      <c r="J97" s="1175"/>
      <c r="K97" s="1175"/>
      <c r="L97" s="1175"/>
      <c r="M97" s="1175"/>
    </row>
    <row r="98" spans="2:13" x14ac:dyDescent="0.25">
      <c r="B98" s="744" t="s">
        <v>109</v>
      </c>
      <c r="C98" s="1175">
        <v>60.441000000000003</v>
      </c>
      <c r="D98" s="1175">
        <v>91.678999999999988</v>
      </c>
      <c r="E98" s="1175">
        <v>41.220000000000006</v>
      </c>
      <c r="F98" s="1175">
        <v>14.004000000000003</v>
      </c>
      <c r="G98" s="1175">
        <v>3.8530000000000006</v>
      </c>
      <c r="H98" s="1175"/>
      <c r="I98" s="1175"/>
      <c r="J98" s="1175"/>
      <c r="K98" s="1175"/>
      <c r="L98" s="1175"/>
      <c r="M98" s="1175"/>
    </row>
    <row r="99" spans="2:13" x14ac:dyDescent="0.25">
      <c r="C99" s="1171">
        <v>3.4</v>
      </c>
      <c r="D99" s="1171">
        <v>5.0999999999999996</v>
      </c>
      <c r="E99" s="1171">
        <v>0</v>
      </c>
      <c r="F99" s="1171">
        <v>0</v>
      </c>
    </row>
  </sheetData>
  <pageMargins left="0.7" right="0.7" top="0.75" bottom="0.75" header="0.3" footer="0.3"/>
  <pageSetup paperSize="9"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L252"/>
  <sheetViews>
    <sheetView workbookViewId="0"/>
  </sheetViews>
  <sheetFormatPr defaultColWidth="10.85546875" defaultRowHeight="15" x14ac:dyDescent="0.25"/>
  <sheetData>
    <row r="1" spans="1:12" x14ac:dyDescent="0.25">
      <c r="A1" s="76" t="s">
        <v>1436</v>
      </c>
      <c r="B1" s="76" t="s">
        <v>1437</v>
      </c>
      <c r="C1" s="76" t="s">
        <v>1438</v>
      </c>
      <c r="D1" s="76" t="s">
        <v>1439</v>
      </c>
      <c r="E1" s="76" t="s">
        <v>1440</v>
      </c>
      <c r="F1" s="76" t="s">
        <v>1441</v>
      </c>
      <c r="G1" s="76" t="s">
        <v>925</v>
      </c>
      <c r="H1" s="76" t="s">
        <v>926</v>
      </c>
      <c r="I1" s="76" t="s">
        <v>927</v>
      </c>
      <c r="J1" s="76" t="s">
        <v>928</v>
      </c>
      <c r="K1" s="76" t="s">
        <v>929</v>
      </c>
      <c r="L1" s="76" t="s">
        <v>930</v>
      </c>
    </row>
    <row r="2" spans="1:12" x14ac:dyDescent="0.25">
      <c r="A2">
        <v>4.5079018442711401E-2</v>
      </c>
      <c r="B2">
        <v>5.3878515900577198E-2</v>
      </c>
      <c r="C2">
        <v>8.2063006909154398E-2</v>
      </c>
      <c r="D2">
        <v>0.104421067414309</v>
      </c>
      <c r="E2" t="s">
        <v>1442</v>
      </c>
      <c r="F2" t="s">
        <v>1443</v>
      </c>
      <c r="G2">
        <v>13.106999999999999</v>
      </c>
      <c r="H2">
        <v>1.9913023575188999E-2</v>
      </c>
      <c r="I2">
        <v>16.824999999999999</v>
      </c>
      <c r="J2">
        <v>2.51411589895989E-2</v>
      </c>
      <c r="K2" t="s">
        <v>931</v>
      </c>
      <c r="L2" t="s">
        <v>932</v>
      </c>
    </row>
    <row r="3" spans="1:12" x14ac:dyDescent="0.25">
      <c r="A3">
        <v>4.5079018442711401E-2</v>
      </c>
      <c r="B3">
        <v>5.3878515900577198E-2</v>
      </c>
      <c r="C3">
        <v>8.2063006909154398E-2</v>
      </c>
      <c r="D3">
        <v>0.104421067414309</v>
      </c>
      <c r="E3" t="s">
        <v>1444</v>
      </c>
      <c r="F3" t="s">
        <v>1443</v>
      </c>
      <c r="G3">
        <v>13.368</v>
      </c>
      <c r="H3">
        <v>1.9913023575188999E-2</v>
      </c>
      <c r="I3">
        <v>17.248000000000001</v>
      </c>
      <c r="J3">
        <v>2.51411589895989E-2</v>
      </c>
      <c r="K3" t="s">
        <v>933</v>
      </c>
      <c r="L3" t="s">
        <v>932</v>
      </c>
    </row>
    <row r="4" spans="1:12" x14ac:dyDescent="0.25">
      <c r="A4">
        <v>3.9419555818651898E-2</v>
      </c>
      <c r="B4">
        <v>6.9938689583740596E-2</v>
      </c>
      <c r="C4">
        <v>7.2508506661211405E-2</v>
      </c>
      <c r="D4">
        <v>7.9737360467493398E-2</v>
      </c>
      <c r="E4" t="s">
        <v>1445</v>
      </c>
      <c r="F4" t="s">
        <v>1443</v>
      </c>
      <c r="G4">
        <v>13.603999999999999</v>
      </c>
      <c r="H4">
        <v>1.7654099341711402E-2</v>
      </c>
      <c r="I4">
        <v>17.582000000000001</v>
      </c>
      <c r="J4">
        <v>1.9364564007421099E-2</v>
      </c>
      <c r="K4" t="s">
        <v>934</v>
      </c>
      <c r="L4" t="s">
        <v>932</v>
      </c>
    </row>
    <row r="5" spans="1:12" x14ac:dyDescent="0.25">
      <c r="A5">
        <v>5.2824828770235303E-2</v>
      </c>
      <c r="B5">
        <v>5.1823422551402501E-2</v>
      </c>
      <c r="C5">
        <v>6.9052453854286294E-2</v>
      </c>
      <c r="D5">
        <v>0.10539397910227</v>
      </c>
      <c r="E5" t="s">
        <v>1446</v>
      </c>
      <c r="F5" t="s">
        <v>1443</v>
      </c>
      <c r="G5">
        <v>13.833</v>
      </c>
      <c r="H5">
        <v>1.6833284328138898E-2</v>
      </c>
      <c r="I5">
        <v>18.027999999999999</v>
      </c>
      <c r="J5">
        <v>2.5366852462745899E-2</v>
      </c>
      <c r="K5" t="s">
        <v>935</v>
      </c>
      <c r="L5" t="s">
        <v>932</v>
      </c>
    </row>
    <row r="6" spans="1:12" x14ac:dyDescent="0.25">
      <c r="A6">
        <v>3.85286878692137E-2</v>
      </c>
      <c r="B6">
        <v>0.132788480581229</v>
      </c>
      <c r="C6">
        <v>0.10231116414477499</v>
      </c>
      <c r="D6">
        <v>6.9175988166702701E-2</v>
      </c>
      <c r="E6" t="s">
        <v>1447</v>
      </c>
      <c r="F6" t="s">
        <v>1443</v>
      </c>
      <c r="G6">
        <v>14.173999999999999</v>
      </c>
      <c r="H6">
        <v>2.4651196414371399E-2</v>
      </c>
      <c r="I6">
        <v>18.332000000000001</v>
      </c>
      <c r="J6">
        <v>1.6862658087419598E-2</v>
      </c>
      <c r="K6" t="s">
        <v>936</v>
      </c>
      <c r="L6" t="s">
        <v>932</v>
      </c>
    </row>
    <row r="7" spans="1:12" x14ac:dyDescent="0.25">
      <c r="A7">
        <v>4.6230845754161802E-2</v>
      </c>
      <c r="B7">
        <v>7.6806429060699302E-2</v>
      </c>
      <c r="C7">
        <v>7.6908368677740299E-2</v>
      </c>
      <c r="D7">
        <v>6.5481053360561203E-2</v>
      </c>
      <c r="E7" t="s">
        <v>1448</v>
      </c>
      <c r="F7" t="s">
        <v>1443</v>
      </c>
      <c r="G7">
        <v>14.439</v>
      </c>
      <c r="H7">
        <v>1.8696204317764999E-2</v>
      </c>
      <c r="I7">
        <v>18.625</v>
      </c>
      <c r="J7">
        <v>1.59829805804057E-2</v>
      </c>
      <c r="K7" t="s">
        <v>937</v>
      </c>
      <c r="L7" t="s">
        <v>932</v>
      </c>
    </row>
    <row r="8" spans="1:12" x14ac:dyDescent="0.25">
      <c r="A8">
        <v>4.0000704948734103E-2</v>
      </c>
      <c r="B8">
        <v>5.9184461037305798E-2</v>
      </c>
      <c r="C8">
        <v>6.1773509542664397E-2</v>
      </c>
      <c r="D8">
        <v>4.4315280925248897E-2</v>
      </c>
      <c r="E8" t="s">
        <v>1449</v>
      </c>
      <c r="F8" t="s">
        <v>1443</v>
      </c>
      <c r="G8">
        <v>14.657</v>
      </c>
      <c r="H8">
        <v>1.5097998476348899E-2</v>
      </c>
      <c r="I8">
        <v>18.827999999999999</v>
      </c>
      <c r="J8">
        <v>1.0899328859060401E-2</v>
      </c>
      <c r="K8" t="s">
        <v>938</v>
      </c>
      <c r="L8" t="s">
        <v>932</v>
      </c>
    </row>
    <row r="9" spans="1:12" x14ac:dyDescent="0.25">
      <c r="A9">
        <v>2.5035607973723999E-2</v>
      </c>
      <c r="B9">
        <v>8.3819893360376693E-2</v>
      </c>
      <c r="C9">
        <v>3.6793688078589702E-2</v>
      </c>
      <c r="D9">
        <v>7.0854524877743894E-2</v>
      </c>
      <c r="E9" t="s">
        <v>1450</v>
      </c>
      <c r="F9" t="s">
        <v>1443</v>
      </c>
      <c r="G9">
        <v>14.79</v>
      </c>
      <c r="H9">
        <v>9.0741625162038507E-3</v>
      </c>
      <c r="I9">
        <v>19.152999999999999</v>
      </c>
      <c r="J9">
        <v>1.7261525387720401E-2</v>
      </c>
      <c r="K9" t="s">
        <v>939</v>
      </c>
      <c r="L9" t="s">
        <v>932</v>
      </c>
    </row>
    <row r="10" spans="1:12" x14ac:dyDescent="0.25">
      <c r="A10">
        <v>4.2906681103859E-2</v>
      </c>
      <c r="B10">
        <v>0.175097239288524</v>
      </c>
      <c r="C10">
        <v>0.10446834522691199</v>
      </c>
      <c r="D10">
        <v>5.2157088254066501E-2</v>
      </c>
      <c r="E10" t="s">
        <v>1451</v>
      </c>
      <c r="F10" t="s">
        <v>1443</v>
      </c>
      <c r="G10">
        <v>15.162000000000001</v>
      </c>
      <c r="H10">
        <v>2.5152129817444399E-2</v>
      </c>
      <c r="I10">
        <v>19.398</v>
      </c>
      <c r="J10">
        <v>1.27917297551299E-2</v>
      </c>
      <c r="K10" t="s">
        <v>940</v>
      </c>
      <c r="L10" t="s">
        <v>932</v>
      </c>
    </row>
    <row r="11" spans="1:12" x14ac:dyDescent="0.25">
      <c r="A11">
        <v>2.3157030840978501E-2</v>
      </c>
      <c r="B11">
        <v>4.0963848741786497E-2</v>
      </c>
      <c r="C11">
        <v>5.35423244430666E-2</v>
      </c>
      <c r="D11">
        <v>2.83404365976123E-2</v>
      </c>
      <c r="E11" t="s">
        <v>1452</v>
      </c>
      <c r="F11" t="s">
        <v>1443</v>
      </c>
      <c r="G11">
        <v>15.361000000000001</v>
      </c>
      <c r="H11">
        <v>1.3124917557050499E-2</v>
      </c>
      <c r="I11">
        <v>19.533999999999999</v>
      </c>
      <c r="J11">
        <v>7.0110320651612899E-3</v>
      </c>
      <c r="K11" t="s">
        <v>941</v>
      </c>
      <c r="L11" t="s">
        <v>932</v>
      </c>
    </row>
    <row r="12" spans="1:12" x14ac:dyDescent="0.25">
      <c r="A12">
        <v>3.55986781186481E-2</v>
      </c>
      <c r="B12">
        <v>3.3186191278740597E-2</v>
      </c>
      <c r="C12">
        <v>6.3703129067968198E-2</v>
      </c>
      <c r="D12">
        <v>5.6658506033298299E-2</v>
      </c>
      <c r="E12" t="s">
        <v>1453</v>
      </c>
      <c r="F12" t="s">
        <v>1443</v>
      </c>
      <c r="G12">
        <v>15.6</v>
      </c>
      <c r="H12">
        <v>1.5558882885228701E-2</v>
      </c>
      <c r="I12">
        <v>19.805</v>
      </c>
      <c r="J12">
        <v>1.38732466468721E-2</v>
      </c>
      <c r="K12" t="s">
        <v>942</v>
      </c>
      <c r="L12" t="s">
        <v>932</v>
      </c>
    </row>
    <row r="13" spans="1:12" x14ac:dyDescent="0.25">
      <c r="A13">
        <v>3.3109052200751603E-2</v>
      </c>
      <c r="B13">
        <v>8.9944620716435594E-2</v>
      </c>
      <c r="C13">
        <v>5.0679215853917103E-2</v>
      </c>
      <c r="D13">
        <v>7.6848944278385095E-2</v>
      </c>
      <c r="E13" t="s">
        <v>1454</v>
      </c>
      <c r="F13" t="s">
        <v>1443</v>
      </c>
      <c r="G13">
        <v>15.794</v>
      </c>
      <c r="H13">
        <v>1.2435897435897601E-2</v>
      </c>
      <c r="I13">
        <v>20.175000000000001</v>
      </c>
      <c r="J13">
        <v>1.8682150971976799E-2</v>
      </c>
      <c r="K13" t="s">
        <v>943</v>
      </c>
      <c r="L13" t="s">
        <v>932</v>
      </c>
    </row>
    <row r="14" spans="1:12" x14ac:dyDescent="0.25">
      <c r="A14">
        <v>4.91014015888558E-2</v>
      </c>
      <c r="B14">
        <v>6.5908483031781095E-2</v>
      </c>
      <c r="C14">
        <v>8.1389738888574495E-2</v>
      </c>
      <c r="D14">
        <v>7.93845743471608E-2</v>
      </c>
      <c r="E14" t="s">
        <v>1455</v>
      </c>
      <c r="F14" t="s">
        <v>1443</v>
      </c>
      <c r="G14">
        <v>16.106000000000002</v>
      </c>
      <c r="H14">
        <v>1.9754337090034199E-2</v>
      </c>
      <c r="I14">
        <v>20.564</v>
      </c>
      <c r="J14">
        <v>1.9281288723668001E-2</v>
      </c>
      <c r="K14" t="s">
        <v>944</v>
      </c>
      <c r="L14" t="s">
        <v>932</v>
      </c>
    </row>
    <row r="15" spans="1:12" x14ac:dyDescent="0.25">
      <c r="A15">
        <v>7.9177652454341899E-2</v>
      </c>
      <c r="B15">
        <v>7.1493559288280994E-2</v>
      </c>
      <c r="C15">
        <v>6.9283063617710403E-2</v>
      </c>
      <c r="D15">
        <v>8.6922582910256702E-2</v>
      </c>
      <c r="E15" t="s">
        <v>1456</v>
      </c>
      <c r="F15" t="s">
        <v>1443</v>
      </c>
      <c r="G15">
        <v>16.378</v>
      </c>
      <c r="H15">
        <v>1.68881162299763E-2</v>
      </c>
      <c r="I15">
        <v>20.997</v>
      </c>
      <c r="J15">
        <v>2.1056214744213299E-2</v>
      </c>
      <c r="K15" t="s">
        <v>945</v>
      </c>
      <c r="L15" t="s">
        <v>932</v>
      </c>
    </row>
    <row r="16" spans="1:12" x14ac:dyDescent="0.25">
      <c r="A16">
        <v>7.4767520593947104E-2</v>
      </c>
      <c r="B16">
        <v>8.5362600720222198E-2</v>
      </c>
      <c r="C16">
        <v>4.7217464684975501E-2</v>
      </c>
      <c r="D16">
        <v>8.4062519785650797E-2</v>
      </c>
      <c r="E16" t="s">
        <v>1457</v>
      </c>
      <c r="F16" t="s">
        <v>1443</v>
      </c>
      <c r="G16">
        <v>16.568000000000001</v>
      </c>
      <c r="H16">
        <v>1.1600928074246E-2</v>
      </c>
      <c r="I16">
        <v>21.425000000000001</v>
      </c>
      <c r="J16">
        <v>2.03838643615755E-2</v>
      </c>
      <c r="K16" t="s">
        <v>946</v>
      </c>
      <c r="L16" t="s">
        <v>932</v>
      </c>
    </row>
    <row r="17" spans="1:12" x14ac:dyDescent="0.25">
      <c r="A17">
        <v>8.4354048501589896E-2</v>
      </c>
      <c r="B17">
        <v>8.8313277531109999E-2</v>
      </c>
      <c r="C17">
        <v>6.8825586736247696E-2</v>
      </c>
      <c r="D17">
        <v>0.111750672708145</v>
      </c>
      <c r="E17" t="s">
        <v>1458</v>
      </c>
      <c r="F17" t="s">
        <v>1443</v>
      </c>
      <c r="G17">
        <v>16.846</v>
      </c>
      <c r="H17">
        <v>1.6779333655238898E-2</v>
      </c>
      <c r="I17">
        <v>22</v>
      </c>
      <c r="J17">
        <v>2.68378063010501E-2</v>
      </c>
      <c r="K17" t="s">
        <v>947</v>
      </c>
      <c r="L17" t="s">
        <v>932</v>
      </c>
    </row>
    <row r="18" spans="1:12" x14ac:dyDescent="0.25">
      <c r="A18">
        <v>0.124536540877934</v>
      </c>
      <c r="B18">
        <v>4.1616768277239702E-2</v>
      </c>
      <c r="C18">
        <v>0.100709384145876</v>
      </c>
      <c r="D18">
        <v>0.19875533747763099</v>
      </c>
      <c r="E18" t="s">
        <v>1459</v>
      </c>
      <c r="F18" t="s">
        <v>1443</v>
      </c>
      <c r="G18">
        <v>17.254999999999999</v>
      </c>
      <c r="H18">
        <v>2.42787605366259E-2</v>
      </c>
      <c r="I18">
        <v>23.02</v>
      </c>
      <c r="J18">
        <v>4.6363636363636399E-2</v>
      </c>
      <c r="K18" t="s">
        <v>948</v>
      </c>
      <c r="L18" t="s">
        <v>932</v>
      </c>
    </row>
    <row r="19" spans="1:12" x14ac:dyDescent="0.25">
      <c r="A19">
        <v>0.118186339709689</v>
      </c>
      <c r="B19">
        <v>7.4336480554695494E-2</v>
      </c>
      <c r="C19">
        <v>0.111980004946894</v>
      </c>
      <c r="D19">
        <v>0.27614966476000502</v>
      </c>
      <c r="E19" t="s">
        <v>1460</v>
      </c>
      <c r="F19" t="s">
        <v>1443</v>
      </c>
      <c r="G19">
        <v>17.719000000000001</v>
      </c>
      <c r="H19">
        <v>2.68907563025211E-2</v>
      </c>
      <c r="I19">
        <v>24.466999999999999</v>
      </c>
      <c r="J19">
        <v>6.2858384013900995E-2</v>
      </c>
      <c r="K19" t="s">
        <v>949</v>
      </c>
      <c r="L19" t="s">
        <v>932</v>
      </c>
    </row>
    <row r="20" spans="1:12" x14ac:dyDescent="0.25">
      <c r="A20">
        <v>0.112285409166716</v>
      </c>
      <c r="B20">
        <v>0.121923532437656</v>
      </c>
      <c r="C20">
        <v>0.119951580753957</v>
      </c>
      <c r="D20">
        <v>0.28126959643585903</v>
      </c>
      <c r="E20" t="s">
        <v>1461</v>
      </c>
      <c r="F20" t="s">
        <v>1443</v>
      </c>
      <c r="G20">
        <v>18.228000000000002</v>
      </c>
      <c r="H20">
        <v>2.8726226084993398E-2</v>
      </c>
      <c r="I20">
        <v>26.030999999999999</v>
      </c>
      <c r="J20">
        <v>6.3922834838762405E-2</v>
      </c>
      <c r="K20" t="s">
        <v>950</v>
      </c>
      <c r="L20" t="s">
        <v>932</v>
      </c>
    </row>
    <row r="21" spans="1:12" x14ac:dyDescent="0.25">
      <c r="A21">
        <v>0.10564888426900799</v>
      </c>
      <c r="B21">
        <v>0.139689749601554</v>
      </c>
      <c r="C21">
        <v>0.10861792322335199</v>
      </c>
      <c r="D21">
        <v>0.17691984955710299</v>
      </c>
      <c r="E21" t="s">
        <v>1462</v>
      </c>
      <c r="F21" t="s">
        <v>1443</v>
      </c>
      <c r="G21">
        <v>18.704000000000001</v>
      </c>
      <c r="H21">
        <v>2.6113671274961399E-2</v>
      </c>
      <c r="I21">
        <v>27.113</v>
      </c>
      <c r="J21">
        <v>4.15658253620683E-2</v>
      </c>
      <c r="K21" t="s">
        <v>951</v>
      </c>
      <c r="L21" t="s">
        <v>932</v>
      </c>
    </row>
    <row r="22" spans="1:12" x14ac:dyDescent="0.25">
      <c r="A22">
        <v>7.7418031911128199E-2</v>
      </c>
      <c r="B22">
        <v>7.47377264200315E-2</v>
      </c>
      <c r="C22">
        <v>8.2414004288707196E-2</v>
      </c>
      <c r="D22">
        <v>8.77241949354641E-2</v>
      </c>
      <c r="E22" t="s">
        <v>1463</v>
      </c>
      <c r="F22" t="s">
        <v>1443</v>
      </c>
      <c r="G22">
        <v>19.077999999999999</v>
      </c>
      <c r="H22">
        <v>1.99957228400343E-2</v>
      </c>
      <c r="I22">
        <v>27.689</v>
      </c>
      <c r="J22">
        <v>2.1244421495223698E-2</v>
      </c>
      <c r="K22" t="s">
        <v>952</v>
      </c>
      <c r="L22" t="s">
        <v>932</v>
      </c>
    </row>
    <row r="23" spans="1:12" x14ac:dyDescent="0.25">
      <c r="A23">
        <v>5.00188837807687E-2</v>
      </c>
      <c r="B23">
        <v>5.9076854521070303E-2</v>
      </c>
      <c r="C23">
        <v>9.99907756879512E-2</v>
      </c>
      <c r="D23">
        <v>1.9938623083631101E-2</v>
      </c>
      <c r="E23" t="s">
        <v>1464</v>
      </c>
      <c r="F23" t="s">
        <v>1443</v>
      </c>
      <c r="G23">
        <v>19.538</v>
      </c>
      <c r="H23">
        <v>2.4111542090365898E-2</v>
      </c>
      <c r="I23">
        <v>27.826000000000001</v>
      </c>
      <c r="J23">
        <v>4.9478132110223304E-3</v>
      </c>
      <c r="K23" t="s">
        <v>953</v>
      </c>
      <c r="L23" t="s">
        <v>932</v>
      </c>
    </row>
    <row r="24" spans="1:12" x14ac:dyDescent="0.25">
      <c r="A24">
        <v>7.6956317974106001E-2</v>
      </c>
      <c r="B24">
        <v>5.5091330920863602E-2</v>
      </c>
      <c r="C24">
        <v>6.2847909413525901E-2</v>
      </c>
      <c r="D24">
        <v>1.2710174962932599E-2</v>
      </c>
      <c r="E24" t="s">
        <v>1465</v>
      </c>
      <c r="F24" t="s">
        <v>1443</v>
      </c>
      <c r="G24">
        <v>19.838000000000001</v>
      </c>
      <c r="H24">
        <v>1.5354693417954699E-2</v>
      </c>
      <c r="I24">
        <v>27.914000000000001</v>
      </c>
      <c r="J24">
        <v>3.16250988284339E-3</v>
      </c>
      <c r="K24" t="s">
        <v>954</v>
      </c>
      <c r="L24" t="s">
        <v>932</v>
      </c>
    </row>
    <row r="25" spans="1:12" x14ac:dyDescent="0.25">
      <c r="A25">
        <v>6.8882772668885706E-2</v>
      </c>
      <c r="B25">
        <v>9.5097426388938394E-2</v>
      </c>
      <c r="C25">
        <v>5.9557775023163499E-2</v>
      </c>
      <c r="D25">
        <v>2.4583979224767301E-2</v>
      </c>
      <c r="E25" t="s">
        <v>1466</v>
      </c>
      <c r="F25" t="s">
        <v>1443</v>
      </c>
      <c r="G25">
        <v>20.126999999999999</v>
      </c>
      <c r="H25">
        <v>1.45680008065328E-2</v>
      </c>
      <c r="I25">
        <v>28.084</v>
      </c>
      <c r="J25">
        <v>6.0901339829475499E-3</v>
      </c>
      <c r="K25" t="s">
        <v>955</v>
      </c>
      <c r="L25" t="s">
        <v>932</v>
      </c>
    </row>
    <row r="26" spans="1:12" x14ac:dyDescent="0.25">
      <c r="A26">
        <v>4.46796784787249E-2</v>
      </c>
      <c r="B26">
        <v>5.9702158874865199E-2</v>
      </c>
      <c r="C26">
        <v>5.3094918319799497E-2</v>
      </c>
      <c r="D26">
        <v>1.9800669277978002E-2</v>
      </c>
      <c r="E26" t="s">
        <v>1467</v>
      </c>
      <c r="F26" t="s">
        <v>1443</v>
      </c>
      <c r="G26">
        <v>20.388999999999999</v>
      </c>
      <c r="H26">
        <v>1.30173398916877E-2</v>
      </c>
      <c r="I26">
        <v>28.222000000000001</v>
      </c>
      <c r="J26">
        <v>4.91382993875522E-3</v>
      </c>
      <c r="K26" t="s">
        <v>956</v>
      </c>
      <c r="L26" t="s">
        <v>932</v>
      </c>
    </row>
    <row r="27" spans="1:12" x14ac:dyDescent="0.25">
      <c r="A27">
        <v>3.3979822161052303E-2</v>
      </c>
      <c r="B27">
        <v>3.3961135638896502E-2</v>
      </c>
      <c r="C27">
        <v>5.3215140717762302E-2</v>
      </c>
      <c r="D27">
        <v>3.4743180507705002E-2</v>
      </c>
      <c r="E27" t="s">
        <v>1468</v>
      </c>
      <c r="F27" t="s">
        <v>1443</v>
      </c>
      <c r="G27">
        <v>20.655000000000001</v>
      </c>
      <c r="H27">
        <v>1.3046250429153101E-2</v>
      </c>
      <c r="I27">
        <v>28.463999999999999</v>
      </c>
      <c r="J27">
        <v>8.5748706682728902E-3</v>
      </c>
      <c r="K27" t="s">
        <v>957</v>
      </c>
      <c r="L27" t="s">
        <v>932</v>
      </c>
    </row>
    <row r="28" spans="1:12" x14ac:dyDescent="0.25">
      <c r="A28">
        <v>6.2157602764701697E-2</v>
      </c>
      <c r="B28">
        <v>4.6572413553721298E-2</v>
      </c>
      <c r="C28">
        <v>3.5515485276211803E-2</v>
      </c>
      <c r="D28">
        <v>8.7412684077270396E-3</v>
      </c>
      <c r="E28" t="s">
        <v>1469</v>
      </c>
      <c r="F28" t="s">
        <v>1443</v>
      </c>
      <c r="G28">
        <v>20.835999999999999</v>
      </c>
      <c r="H28">
        <v>8.7630113773904394E-3</v>
      </c>
      <c r="I28">
        <v>28.526</v>
      </c>
      <c r="J28">
        <v>2.17818999437891E-3</v>
      </c>
      <c r="K28" t="s">
        <v>958</v>
      </c>
      <c r="L28" t="s">
        <v>932</v>
      </c>
    </row>
    <row r="29" spans="1:12" x14ac:dyDescent="0.25">
      <c r="A29">
        <v>6.4679796349943294E-2</v>
      </c>
      <c r="B29">
        <v>0.11140543202132699</v>
      </c>
      <c r="C29">
        <v>5.3847641567893498E-2</v>
      </c>
      <c r="D29">
        <v>2.7482019859727602E-2</v>
      </c>
      <c r="E29" t="s">
        <v>1470</v>
      </c>
      <c r="F29" t="s">
        <v>1443</v>
      </c>
      <c r="G29">
        <v>21.111000000000001</v>
      </c>
      <c r="H29">
        <v>1.31983106162412E-2</v>
      </c>
      <c r="I29">
        <v>28.72</v>
      </c>
      <c r="J29">
        <v>6.8008132931360902E-3</v>
      </c>
      <c r="K29" t="s">
        <v>959</v>
      </c>
      <c r="L29" t="s">
        <v>932</v>
      </c>
    </row>
    <row r="30" spans="1:12" x14ac:dyDescent="0.25">
      <c r="A30">
        <v>7.4088172350420103E-2</v>
      </c>
      <c r="B30">
        <v>5.7739458159661701E-2</v>
      </c>
      <c r="C30">
        <v>8.3796072481744796E-2</v>
      </c>
      <c r="D30">
        <v>5.2825931688943499E-2</v>
      </c>
      <c r="E30" t="s">
        <v>1471</v>
      </c>
      <c r="F30" t="s">
        <v>1443</v>
      </c>
      <c r="G30">
        <v>21.54</v>
      </c>
      <c r="H30">
        <v>2.0321159585050302E-2</v>
      </c>
      <c r="I30">
        <v>29.091999999999999</v>
      </c>
      <c r="J30">
        <v>1.2952646239554401E-2</v>
      </c>
      <c r="K30" t="s">
        <v>960</v>
      </c>
      <c r="L30" t="s">
        <v>932</v>
      </c>
    </row>
    <row r="31" spans="1:12" x14ac:dyDescent="0.25">
      <c r="A31">
        <v>7.0308632461715301E-2</v>
      </c>
      <c r="B31">
        <v>4.6296846180206901E-2</v>
      </c>
      <c r="C31">
        <v>8.1880476726010801E-2</v>
      </c>
      <c r="D31">
        <v>4.0048809702137603E-2</v>
      </c>
      <c r="E31" t="s">
        <v>1472</v>
      </c>
      <c r="F31" t="s">
        <v>1443</v>
      </c>
      <c r="G31">
        <v>21.968</v>
      </c>
      <c r="H31">
        <v>1.9870009285051001E-2</v>
      </c>
      <c r="I31">
        <v>29.379000000000001</v>
      </c>
      <c r="J31">
        <v>9.8652550529356696E-3</v>
      </c>
      <c r="K31" t="s">
        <v>961</v>
      </c>
      <c r="L31" t="s">
        <v>932</v>
      </c>
    </row>
    <row r="32" spans="1:12" x14ac:dyDescent="0.25">
      <c r="A32">
        <v>6.1553542794543503E-2</v>
      </c>
      <c r="B32">
        <v>1.98663105662467E-2</v>
      </c>
      <c r="C32">
        <v>7.3501873886998997E-2</v>
      </c>
      <c r="D32">
        <v>5.4874269706492597E-2</v>
      </c>
      <c r="E32" t="s">
        <v>1473</v>
      </c>
      <c r="F32" t="s">
        <v>1443</v>
      </c>
      <c r="G32">
        <v>22.361000000000001</v>
      </c>
      <c r="H32">
        <v>1.7889657683903801E-2</v>
      </c>
      <c r="I32">
        <v>29.774000000000001</v>
      </c>
      <c r="J32">
        <v>1.3444977705163501E-2</v>
      </c>
      <c r="K32" t="s">
        <v>962</v>
      </c>
      <c r="L32" t="s">
        <v>932</v>
      </c>
    </row>
    <row r="33" spans="1:12" x14ac:dyDescent="0.25">
      <c r="A33">
        <v>5.8025197908700303E-2</v>
      </c>
      <c r="B33">
        <v>0.12112082718011299</v>
      </c>
      <c r="C33">
        <v>7.5383891455237398E-2</v>
      </c>
      <c r="D33">
        <v>4.34111575180351E-2</v>
      </c>
      <c r="E33" t="s">
        <v>1474</v>
      </c>
      <c r="F33" t="s">
        <v>1443</v>
      </c>
      <c r="G33">
        <v>22.771000000000001</v>
      </c>
      <c r="H33">
        <v>1.83354948347569E-2</v>
      </c>
      <c r="I33">
        <v>30.091999999999999</v>
      </c>
      <c r="J33">
        <v>1.0680459461274799E-2</v>
      </c>
      <c r="K33" t="s">
        <v>963</v>
      </c>
      <c r="L33" t="s">
        <v>932</v>
      </c>
    </row>
    <row r="34" spans="1:12" x14ac:dyDescent="0.25">
      <c r="A34">
        <v>6.7326294927223501E-2</v>
      </c>
      <c r="B34">
        <v>4.65097292728067E-2</v>
      </c>
      <c r="C34">
        <v>5.9424238450433299E-2</v>
      </c>
      <c r="D34">
        <v>5.0510789433123801E-2</v>
      </c>
      <c r="E34" t="s">
        <v>1475</v>
      </c>
      <c r="F34" t="s">
        <v>1443</v>
      </c>
      <c r="G34">
        <v>23.102</v>
      </c>
      <c r="H34">
        <v>1.4536032673137E-2</v>
      </c>
      <c r="I34">
        <v>30.465</v>
      </c>
      <c r="J34">
        <v>1.23953210155523E-2</v>
      </c>
      <c r="K34" t="s">
        <v>964</v>
      </c>
      <c r="L34" t="s">
        <v>932</v>
      </c>
    </row>
    <row r="35" spans="1:12" x14ac:dyDescent="0.25">
      <c r="A35">
        <v>8.4675701203493298E-2</v>
      </c>
      <c r="B35">
        <v>8.09066486989478E-2</v>
      </c>
      <c r="C35">
        <v>6.5619276167123694E-2</v>
      </c>
      <c r="D35">
        <v>8.0997725857898203E-2</v>
      </c>
      <c r="E35" t="s">
        <v>1476</v>
      </c>
      <c r="F35" t="s">
        <v>1443</v>
      </c>
      <c r="G35">
        <v>23.472000000000001</v>
      </c>
      <c r="H35">
        <v>1.6015929356765699E-2</v>
      </c>
      <c r="I35">
        <v>31.064</v>
      </c>
      <c r="J35">
        <v>1.9661907106515601E-2</v>
      </c>
      <c r="K35" t="s">
        <v>965</v>
      </c>
      <c r="L35" t="s">
        <v>932</v>
      </c>
    </row>
    <row r="36" spans="1:12" x14ac:dyDescent="0.25">
      <c r="A36">
        <v>7.2050406034996906E-2</v>
      </c>
      <c r="B36">
        <v>6.8549166168664605E-2</v>
      </c>
      <c r="C36">
        <v>5.8500992246239197E-2</v>
      </c>
      <c r="D36">
        <v>7.8709215306017405E-2</v>
      </c>
      <c r="E36" t="s">
        <v>1477</v>
      </c>
      <c r="F36" t="s">
        <v>1443</v>
      </c>
      <c r="G36">
        <v>23.808</v>
      </c>
      <c r="H36">
        <v>1.4314928425357899E-2</v>
      </c>
      <c r="I36">
        <v>31.658000000000001</v>
      </c>
      <c r="J36">
        <v>1.9121813031161401E-2</v>
      </c>
      <c r="K36" t="s">
        <v>966</v>
      </c>
      <c r="L36" t="s">
        <v>932</v>
      </c>
    </row>
    <row r="37" spans="1:12" x14ac:dyDescent="0.25">
      <c r="A37">
        <v>7.7759817693589403E-2</v>
      </c>
      <c r="B37">
        <v>7.0826828171957498E-2</v>
      </c>
      <c r="C37">
        <v>5.4682260590980698E-2</v>
      </c>
      <c r="D37">
        <v>7.3455131593814296E-2</v>
      </c>
      <c r="E37" t="s">
        <v>1478</v>
      </c>
      <c r="F37" t="s">
        <v>1443</v>
      </c>
      <c r="G37">
        <v>24.126999999999999</v>
      </c>
      <c r="H37">
        <v>1.33988575268817E-2</v>
      </c>
      <c r="I37">
        <v>32.223999999999997</v>
      </c>
      <c r="J37">
        <v>1.78785772948384E-2</v>
      </c>
      <c r="K37" t="s">
        <v>967</v>
      </c>
      <c r="L37" t="s">
        <v>932</v>
      </c>
    </row>
    <row r="38" spans="1:12" x14ac:dyDescent="0.25">
      <c r="A38">
        <v>7.7602845525897898E-2</v>
      </c>
      <c r="B38">
        <v>7.5755853629737399E-2</v>
      </c>
      <c r="C38">
        <v>0.101819091447914</v>
      </c>
      <c r="D38">
        <v>8.5137769356933707E-2</v>
      </c>
      <c r="E38" t="s">
        <v>1479</v>
      </c>
      <c r="F38" t="s">
        <v>1443</v>
      </c>
      <c r="G38">
        <v>24.719000000000001</v>
      </c>
      <c r="H38">
        <v>2.4536825962614601E-2</v>
      </c>
      <c r="I38">
        <v>32.889000000000003</v>
      </c>
      <c r="J38">
        <v>2.0636792452830299E-2</v>
      </c>
      <c r="K38" t="s">
        <v>968</v>
      </c>
      <c r="L38" t="s">
        <v>932</v>
      </c>
    </row>
    <row r="39" spans="1:12" x14ac:dyDescent="0.25">
      <c r="A39">
        <v>0.113838252689951</v>
      </c>
      <c r="B39">
        <v>6.1815502695247999E-2</v>
      </c>
      <c r="C39">
        <v>9.0287471336475605E-2</v>
      </c>
      <c r="D39">
        <v>0.11311171886032199</v>
      </c>
      <c r="E39" t="s">
        <v>1480</v>
      </c>
      <c r="F39" t="s">
        <v>1443</v>
      </c>
      <c r="G39">
        <v>25.259</v>
      </c>
      <c r="H39">
        <v>2.18455439135887E-2</v>
      </c>
      <c r="I39">
        <v>33.781999999999996</v>
      </c>
      <c r="J39">
        <v>2.7151935297515601E-2</v>
      </c>
      <c r="K39" t="s">
        <v>969</v>
      </c>
      <c r="L39" t="s">
        <v>932</v>
      </c>
    </row>
    <row r="40" spans="1:12" x14ac:dyDescent="0.25">
      <c r="A40">
        <v>0.10293672514128201</v>
      </c>
      <c r="B40">
        <v>9.6664179784869297E-2</v>
      </c>
      <c r="C40">
        <v>0.148038402658868</v>
      </c>
      <c r="D40">
        <v>0.121960082107911</v>
      </c>
      <c r="E40" t="s">
        <v>1481</v>
      </c>
      <c r="F40" t="s">
        <v>1443</v>
      </c>
      <c r="G40">
        <v>26.146000000000001</v>
      </c>
      <c r="H40">
        <v>3.5116196207292602E-2</v>
      </c>
      <c r="I40">
        <v>34.768000000000001</v>
      </c>
      <c r="J40">
        <v>2.9187141081049101E-2</v>
      </c>
      <c r="K40" t="s">
        <v>970</v>
      </c>
      <c r="L40" t="s">
        <v>932</v>
      </c>
    </row>
    <row r="41" spans="1:12" x14ac:dyDescent="0.25">
      <c r="A41">
        <v>0.100470180706661</v>
      </c>
      <c r="B41">
        <v>9.1027084037313494E-2</v>
      </c>
      <c r="C41">
        <v>7.0641984000731503E-2</v>
      </c>
      <c r="D41">
        <v>0.118355060703055</v>
      </c>
      <c r="E41" t="s">
        <v>1482</v>
      </c>
      <c r="F41" t="s">
        <v>1443</v>
      </c>
      <c r="G41">
        <v>26.596</v>
      </c>
      <c r="H41">
        <v>1.7211045666641198E-2</v>
      </c>
      <c r="I41">
        <v>35.753999999999998</v>
      </c>
      <c r="J41">
        <v>2.83594109526E-2</v>
      </c>
      <c r="K41" t="s">
        <v>971</v>
      </c>
      <c r="L41" t="s">
        <v>932</v>
      </c>
    </row>
    <row r="42" spans="1:12" x14ac:dyDescent="0.25">
      <c r="A42">
        <v>0.12552467874009099</v>
      </c>
      <c r="B42">
        <v>8.1451601423466094E-2</v>
      </c>
      <c r="C42">
        <v>0.106909632651843</v>
      </c>
      <c r="D42">
        <v>0.113864763230328</v>
      </c>
      <c r="E42" t="s">
        <v>1483</v>
      </c>
      <c r="F42" t="s">
        <v>1443</v>
      </c>
      <c r="G42">
        <v>27.28</v>
      </c>
      <c r="H42">
        <v>2.5718153105730199E-2</v>
      </c>
      <c r="I42">
        <v>36.731000000000002</v>
      </c>
      <c r="J42">
        <v>2.7325613917324101E-2</v>
      </c>
      <c r="K42" t="s">
        <v>972</v>
      </c>
      <c r="L42" t="s">
        <v>932</v>
      </c>
    </row>
    <row r="43" spans="1:12" x14ac:dyDescent="0.25">
      <c r="A43">
        <v>0.101539889707692</v>
      </c>
      <c r="B43">
        <v>0.163874229132176</v>
      </c>
      <c r="C43">
        <v>0.11299973225785501</v>
      </c>
      <c r="D43">
        <v>0.119816075191493</v>
      </c>
      <c r="E43" t="s">
        <v>1484</v>
      </c>
      <c r="F43" t="s">
        <v>1443</v>
      </c>
      <c r="G43">
        <v>28.02</v>
      </c>
      <c r="H43">
        <v>2.7126099706744799E-2</v>
      </c>
      <c r="I43">
        <v>37.784999999999997</v>
      </c>
      <c r="J43">
        <v>2.8695107674715899E-2</v>
      </c>
      <c r="K43" t="s">
        <v>973</v>
      </c>
      <c r="L43" t="s">
        <v>932</v>
      </c>
    </row>
    <row r="44" spans="1:12" x14ac:dyDescent="0.25">
      <c r="A44">
        <v>9.6919062654431398E-2</v>
      </c>
      <c r="B44">
        <v>4.1150587007602997E-2</v>
      </c>
      <c r="C44">
        <v>0.115930396885483</v>
      </c>
      <c r="D44">
        <v>0.138106666956619</v>
      </c>
      <c r="E44" t="s">
        <v>1485</v>
      </c>
      <c r="F44" t="s">
        <v>1443</v>
      </c>
      <c r="G44">
        <v>28.798999999999999</v>
      </c>
      <c r="H44">
        <v>2.7801570306923699E-2</v>
      </c>
      <c r="I44">
        <v>39.027000000000001</v>
      </c>
      <c r="J44">
        <v>3.2870186581977198E-2</v>
      </c>
      <c r="K44" t="s">
        <v>974</v>
      </c>
      <c r="L44" t="s">
        <v>932</v>
      </c>
    </row>
    <row r="45" spans="1:12" x14ac:dyDescent="0.25">
      <c r="A45">
        <v>0.102667735598145</v>
      </c>
      <c r="B45">
        <v>0.12591483160208999</v>
      </c>
      <c r="C45">
        <v>0.11071312036879399</v>
      </c>
      <c r="D45">
        <v>0.12373918134004901</v>
      </c>
      <c r="E45" t="s">
        <v>1486</v>
      </c>
      <c r="F45" t="s">
        <v>1443</v>
      </c>
      <c r="G45">
        <v>29.565000000000001</v>
      </c>
      <c r="H45">
        <v>2.65981457689504E-2</v>
      </c>
      <c r="I45">
        <v>40.182000000000002</v>
      </c>
      <c r="J45">
        <v>2.9594895841340601E-2</v>
      </c>
      <c r="K45" t="s">
        <v>975</v>
      </c>
      <c r="L45" t="s">
        <v>932</v>
      </c>
    </row>
    <row r="46" spans="1:12" x14ac:dyDescent="0.25">
      <c r="A46">
        <v>0.107873886984393</v>
      </c>
      <c r="B46">
        <v>8.2350511297398302E-2</v>
      </c>
      <c r="C46">
        <v>0.14097064786198199</v>
      </c>
      <c r="D46">
        <v>0.118188584098933</v>
      </c>
      <c r="E46" t="s">
        <v>1487</v>
      </c>
      <c r="F46" t="s">
        <v>1443</v>
      </c>
      <c r="G46">
        <v>30.556000000000001</v>
      </c>
      <c r="H46">
        <v>3.3519364112971399E-2</v>
      </c>
      <c r="I46">
        <v>41.32</v>
      </c>
      <c r="J46">
        <v>2.8321138818376401E-2</v>
      </c>
      <c r="K46" t="s">
        <v>976</v>
      </c>
      <c r="L46" t="s">
        <v>932</v>
      </c>
    </row>
    <row r="47" spans="1:12" x14ac:dyDescent="0.25">
      <c r="A47">
        <v>6.8864078536554199E-2</v>
      </c>
      <c r="B47">
        <v>9.6264819656522296E-2</v>
      </c>
      <c r="C47">
        <v>8.6310442735713797E-2</v>
      </c>
      <c r="D47">
        <v>9.9129163647753094E-2</v>
      </c>
      <c r="E47" t="s">
        <v>1488</v>
      </c>
      <c r="F47" t="s">
        <v>1443</v>
      </c>
      <c r="G47">
        <v>31.195</v>
      </c>
      <c r="H47">
        <v>2.0912423092027701E-2</v>
      </c>
      <c r="I47">
        <v>42.308</v>
      </c>
      <c r="J47">
        <v>2.39109390125847E-2</v>
      </c>
      <c r="K47" t="s">
        <v>977</v>
      </c>
      <c r="L47" t="s">
        <v>932</v>
      </c>
    </row>
    <row r="48" spans="1:12" x14ac:dyDescent="0.25">
      <c r="A48">
        <v>6.7510216956085903E-2</v>
      </c>
      <c r="B48">
        <v>9.0754628296435505E-2</v>
      </c>
      <c r="C48">
        <v>4.8692861535788202E-2</v>
      </c>
      <c r="D48">
        <v>8.4524586959714404E-2</v>
      </c>
      <c r="E48" t="s">
        <v>1489</v>
      </c>
      <c r="F48" t="s">
        <v>1443</v>
      </c>
      <c r="G48">
        <v>31.568000000000001</v>
      </c>
      <c r="H48">
        <v>1.1957044398140699E-2</v>
      </c>
      <c r="I48">
        <v>43.174999999999997</v>
      </c>
      <c r="J48">
        <v>2.0492578235794499E-2</v>
      </c>
      <c r="K48" t="s">
        <v>978</v>
      </c>
      <c r="L48" t="s">
        <v>932</v>
      </c>
    </row>
    <row r="49" spans="1:12" x14ac:dyDescent="0.25">
      <c r="A49">
        <v>6.2684205945477106E-2</v>
      </c>
      <c r="B49">
        <v>7.8781408158281802E-2</v>
      </c>
      <c r="C49">
        <v>6.2752816594642893E-2</v>
      </c>
      <c r="D49">
        <v>7.3171075998094998E-2</v>
      </c>
      <c r="E49" t="s">
        <v>1490</v>
      </c>
      <c r="F49" t="s">
        <v>1443</v>
      </c>
      <c r="G49">
        <v>32.052</v>
      </c>
      <c r="H49">
        <v>1.53319817536746E-2</v>
      </c>
      <c r="I49">
        <v>43.944000000000003</v>
      </c>
      <c r="J49">
        <v>1.7811233352634799E-2</v>
      </c>
      <c r="K49" t="s">
        <v>979</v>
      </c>
      <c r="L49" t="s">
        <v>932</v>
      </c>
    </row>
    <row r="50" spans="1:12" x14ac:dyDescent="0.25">
      <c r="A50">
        <v>5.1825632418063497E-2</v>
      </c>
      <c r="B50">
        <v>6.5520529029189395E-2</v>
      </c>
      <c r="C50">
        <v>7.2002334651775995E-2</v>
      </c>
      <c r="D50">
        <v>5.7261419360111997E-2</v>
      </c>
      <c r="E50" t="s">
        <v>1491</v>
      </c>
      <c r="F50" t="s">
        <v>1443</v>
      </c>
      <c r="G50">
        <v>32.613999999999997</v>
      </c>
      <c r="H50">
        <v>1.7534007238237701E-2</v>
      </c>
      <c r="I50">
        <v>44.56</v>
      </c>
      <c r="J50">
        <v>1.40178408884035E-2</v>
      </c>
      <c r="K50" t="s">
        <v>980</v>
      </c>
      <c r="L50" t="s">
        <v>932</v>
      </c>
    </row>
    <row r="51" spans="1:12" x14ac:dyDescent="0.25">
      <c r="A51">
        <v>3.9076838958162399E-2</v>
      </c>
      <c r="B51">
        <v>8.1541548822787496E-2</v>
      </c>
      <c r="C51">
        <v>6.5317850608274997E-2</v>
      </c>
      <c r="D51">
        <v>6.8572049720328196E-2</v>
      </c>
      <c r="E51" t="s">
        <v>1492</v>
      </c>
      <c r="F51" t="s">
        <v>1443</v>
      </c>
      <c r="G51">
        <v>33.134</v>
      </c>
      <c r="H51">
        <v>1.5944073097442901E-2</v>
      </c>
      <c r="I51">
        <v>45.305</v>
      </c>
      <c r="J51">
        <v>1.6719030520646199E-2</v>
      </c>
      <c r="K51" t="s">
        <v>981</v>
      </c>
      <c r="L51" t="s">
        <v>932</v>
      </c>
    </row>
    <row r="52" spans="1:12" x14ac:dyDescent="0.25">
      <c r="A52">
        <v>6.4698202701339205E-2</v>
      </c>
      <c r="B52">
        <v>3.4072636599968002E-2</v>
      </c>
      <c r="C52">
        <v>6.8068638365729198E-2</v>
      </c>
      <c r="D52">
        <v>4.8078704643683703E-2</v>
      </c>
      <c r="E52" t="s">
        <v>1493</v>
      </c>
      <c r="F52" t="s">
        <v>1443</v>
      </c>
      <c r="G52">
        <v>33.683999999999997</v>
      </c>
      <c r="H52">
        <v>1.65992635963059E-2</v>
      </c>
      <c r="I52">
        <v>45.84</v>
      </c>
      <c r="J52">
        <v>1.1808851120185501E-2</v>
      </c>
      <c r="K52" t="s">
        <v>982</v>
      </c>
      <c r="L52" t="s">
        <v>932</v>
      </c>
    </row>
    <row r="53" spans="1:12" x14ac:dyDescent="0.25">
      <c r="A53">
        <v>4.4829664945906803E-2</v>
      </c>
      <c r="B53">
        <v>4.8009313734526098E-2</v>
      </c>
      <c r="C53">
        <v>6.1455443169872802E-2</v>
      </c>
      <c r="D53">
        <v>1.01606507354322E-2</v>
      </c>
      <c r="E53" t="s">
        <v>1494</v>
      </c>
      <c r="F53" t="s">
        <v>1443</v>
      </c>
      <c r="G53">
        <v>34.19</v>
      </c>
      <c r="H53">
        <v>1.5021968887305399E-2</v>
      </c>
      <c r="I53">
        <v>45.956000000000003</v>
      </c>
      <c r="J53">
        <v>2.5305410122164998E-3</v>
      </c>
      <c r="K53" t="s">
        <v>983</v>
      </c>
      <c r="L53" t="s">
        <v>932</v>
      </c>
    </row>
    <row r="54" spans="1:12" x14ac:dyDescent="0.25">
      <c r="A54">
        <v>3.3496613159939903E-2</v>
      </c>
      <c r="B54">
        <v>7.5539459294806698E-3</v>
      </c>
      <c r="C54">
        <v>3.4722196261408399E-2</v>
      </c>
      <c r="D54">
        <v>3.7479666516224701E-3</v>
      </c>
      <c r="E54" t="s">
        <v>1495</v>
      </c>
      <c r="F54" t="s">
        <v>1443</v>
      </c>
      <c r="G54">
        <v>34.482999999999997</v>
      </c>
      <c r="H54">
        <v>8.5697572389587008E-3</v>
      </c>
      <c r="I54">
        <v>45.999000000000002</v>
      </c>
      <c r="J54">
        <v>9.3567760466539696E-4</v>
      </c>
      <c r="K54" t="s">
        <v>984</v>
      </c>
      <c r="L54" t="s">
        <v>932</v>
      </c>
    </row>
    <row r="55" spans="1:12" x14ac:dyDescent="0.25">
      <c r="A55">
        <v>3.7100673423204902E-2</v>
      </c>
      <c r="B55">
        <v>3.1269437697415199E-2</v>
      </c>
      <c r="C55">
        <v>5.5765239502398901E-2</v>
      </c>
      <c r="D55">
        <v>-5.3805310591299397E-3</v>
      </c>
      <c r="E55" t="s">
        <v>1496</v>
      </c>
      <c r="F55" t="s">
        <v>1443</v>
      </c>
      <c r="G55">
        <v>34.954000000000001</v>
      </c>
      <c r="H55">
        <v>1.36589043876694E-2</v>
      </c>
      <c r="I55">
        <v>45.936999999999998</v>
      </c>
      <c r="J55">
        <v>-1.3478553881607299E-3</v>
      </c>
      <c r="K55" t="s">
        <v>985</v>
      </c>
      <c r="L55" t="s">
        <v>932</v>
      </c>
    </row>
    <row r="56" spans="1:12" x14ac:dyDescent="0.25">
      <c r="A56">
        <v>5.3607020035561601E-2</v>
      </c>
      <c r="B56">
        <v>4.5007889346835098E-2</v>
      </c>
      <c r="C56">
        <v>4.7632291898301399E-2</v>
      </c>
      <c r="D56">
        <v>2.2658930308778699E-3</v>
      </c>
      <c r="E56" t="s">
        <v>1497</v>
      </c>
      <c r="F56" t="s">
        <v>1443</v>
      </c>
      <c r="G56">
        <v>35.363</v>
      </c>
      <c r="H56">
        <v>1.17010928649082E-2</v>
      </c>
      <c r="I56">
        <v>45.963000000000001</v>
      </c>
      <c r="J56">
        <v>5.6599255502098899E-4</v>
      </c>
      <c r="K56" t="s">
        <v>986</v>
      </c>
      <c r="L56" t="s">
        <v>932</v>
      </c>
    </row>
    <row r="57" spans="1:12" x14ac:dyDescent="0.25">
      <c r="A57">
        <v>2.6644627827705498E-2</v>
      </c>
      <c r="B57">
        <v>2.64126969592136E-2</v>
      </c>
      <c r="C57">
        <v>3.7969215238040602E-2</v>
      </c>
      <c r="D57">
        <v>-1.13086488994096E-3</v>
      </c>
      <c r="E57" t="s">
        <v>1498</v>
      </c>
      <c r="F57" t="s">
        <v>1443</v>
      </c>
      <c r="G57">
        <v>35.694000000000003</v>
      </c>
      <c r="H57">
        <v>9.3600656052936805E-3</v>
      </c>
      <c r="I57">
        <v>45.95</v>
      </c>
      <c r="J57">
        <v>-2.82836194330227E-4</v>
      </c>
      <c r="K57" t="s">
        <v>987</v>
      </c>
      <c r="L57" t="s">
        <v>932</v>
      </c>
    </row>
    <row r="58" spans="1:12" x14ac:dyDescent="0.25">
      <c r="A58">
        <v>4.3935723897537297E-2</v>
      </c>
      <c r="B58">
        <v>5.28225710519643E-2</v>
      </c>
      <c r="C58">
        <v>7.2018998740306803E-2</v>
      </c>
      <c r="D58">
        <v>4.3596665649268101E-3</v>
      </c>
      <c r="E58" t="s">
        <v>1499</v>
      </c>
      <c r="F58" t="s">
        <v>1443</v>
      </c>
      <c r="G58">
        <v>36.32</v>
      </c>
      <c r="H58">
        <v>1.7537961562167099E-2</v>
      </c>
      <c r="I58">
        <v>46</v>
      </c>
      <c r="J58">
        <v>1.0881392818280499E-3</v>
      </c>
      <c r="K58" t="s">
        <v>988</v>
      </c>
      <c r="L58" t="s">
        <v>932</v>
      </c>
    </row>
    <row r="59" spans="1:12" x14ac:dyDescent="0.25">
      <c r="A59">
        <v>3.93022623248813E-2</v>
      </c>
      <c r="B59">
        <v>4.0487191821635002E-2</v>
      </c>
      <c r="C59">
        <v>4.4330796852368702E-2</v>
      </c>
      <c r="D59">
        <v>1.4249428601276599E-2</v>
      </c>
      <c r="E59" t="s">
        <v>1500</v>
      </c>
      <c r="F59" t="s">
        <v>1443</v>
      </c>
      <c r="G59">
        <v>36.716000000000001</v>
      </c>
      <c r="H59">
        <v>1.09030837004405E-2</v>
      </c>
      <c r="I59">
        <v>46.162999999999997</v>
      </c>
      <c r="J59">
        <v>3.5434782608694299E-3</v>
      </c>
      <c r="K59" t="s">
        <v>989</v>
      </c>
      <c r="L59" t="s">
        <v>932</v>
      </c>
    </row>
    <row r="60" spans="1:12" x14ac:dyDescent="0.25">
      <c r="A60">
        <v>3.1206818640470101E-2</v>
      </c>
      <c r="B60">
        <v>6.08178890509075E-2</v>
      </c>
      <c r="C60">
        <v>4.3619950255883798E-2</v>
      </c>
      <c r="D60">
        <v>1.29734153291148E-2</v>
      </c>
      <c r="E60" t="s">
        <v>1501</v>
      </c>
      <c r="F60" t="s">
        <v>1443</v>
      </c>
      <c r="G60">
        <v>37.11</v>
      </c>
      <c r="H60">
        <v>1.07310164505936E-2</v>
      </c>
      <c r="I60">
        <v>46.311999999999998</v>
      </c>
      <c r="J60">
        <v>3.22769317418703E-3</v>
      </c>
      <c r="K60" t="s">
        <v>990</v>
      </c>
      <c r="L60" t="s">
        <v>932</v>
      </c>
    </row>
    <row r="61" spans="1:12" x14ac:dyDescent="0.25">
      <c r="A61">
        <v>2.4937045869749999E-2</v>
      </c>
      <c r="B61">
        <v>5.0188195911601098E-2</v>
      </c>
      <c r="C61">
        <v>4.8053419713626901E-2</v>
      </c>
      <c r="D61">
        <v>8.1435979249952998E-3</v>
      </c>
      <c r="E61" t="s">
        <v>1502</v>
      </c>
      <c r="F61" t="s">
        <v>1443</v>
      </c>
      <c r="G61">
        <v>37.548000000000002</v>
      </c>
      <c r="H61">
        <v>1.1802748585286999E-2</v>
      </c>
      <c r="I61">
        <v>46.405999999999999</v>
      </c>
      <c r="J61">
        <v>2.0297115218517198E-3</v>
      </c>
      <c r="K61" t="s">
        <v>991</v>
      </c>
      <c r="L61" t="s">
        <v>932</v>
      </c>
    </row>
    <row r="62" spans="1:12" x14ac:dyDescent="0.25">
      <c r="A62">
        <v>4.8021891562025902E-2</v>
      </c>
      <c r="B62">
        <v>-1.5869949670850401E-2</v>
      </c>
      <c r="C62">
        <v>5.3895269710959599E-2</v>
      </c>
      <c r="D62">
        <v>2.2424648618448499E-2</v>
      </c>
      <c r="E62" t="s">
        <v>1503</v>
      </c>
      <c r="F62" t="s">
        <v>1443</v>
      </c>
      <c r="G62">
        <v>38.043999999999997</v>
      </c>
      <c r="H62">
        <v>1.3209758176201E-2</v>
      </c>
      <c r="I62">
        <v>46.664000000000001</v>
      </c>
      <c r="J62">
        <v>5.5596259104426799E-3</v>
      </c>
      <c r="K62" t="s">
        <v>992</v>
      </c>
      <c r="L62" t="s">
        <v>932</v>
      </c>
    </row>
    <row r="63" spans="1:12" x14ac:dyDescent="0.25">
      <c r="A63">
        <v>3.2831975950411901E-2</v>
      </c>
      <c r="B63">
        <v>9.4485381047573203E-3</v>
      </c>
      <c r="C63">
        <v>4.6526948089148097E-2</v>
      </c>
      <c r="D63">
        <v>1.2400816449865701E-2</v>
      </c>
      <c r="E63" t="s">
        <v>1504</v>
      </c>
      <c r="F63" t="s">
        <v>1443</v>
      </c>
      <c r="G63">
        <v>38.478999999999999</v>
      </c>
      <c r="H63">
        <v>1.1434128903375E-2</v>
      </c>
      <c r="I63">
        <v>46.808</v>
      </c>
      <c r="J63">
        <v>3.0858906223212301E-3</v>
      </c>
      <c r="K63" t="s">
        <v>993</v>
      </c>
      <c r="L63" t="s">
        <v>932</v>
      </c>
    </row>
    <row r="64" spans="1:12" x14ac:dyDescent="0.25">
      <c r="A64">
        <v>3.1711964087017402E-2</v>
      </c>
      <c r="B64">
        <v>2.1519541922931699E-2</v>
      </c>
      <c r="C64">
        <v>3.7630817464174598E-2</v>
      </c>
      <c r="D64">
        <v>1.6508679737656601E-2</v>
      </c>
      <c r="E64" t="s">
        <v>1505</v>
      </c>
      <c r="F64" t="s">
        <v>1443</v>
      </c>
      <c r="G64">
        <v>38.835999999999999</v>
      </c>
      <c r="H64">
        <v>9.2777878843004497E-3</v>
      </c>
      <c r="I64">
        <v>47</v>
      </c>
      <c r="J64">
        <v>4.1018629294138397E-3</v>
      </c>
      <c r="K64" t="s">
        <v>994</v>
      </c>
      <c r="L64" t="s">
        <v>932</v>
      </c>
    </row>
    <row r="65" spans="1:12" x14ac:dyDescent="0.25">
      <c r="A65">
        <v>2.8237310351865798E-2</v>
      </c>
      <c r="B65">
        <v>2.6513418939119401E-2</v>
      </c>
      <c r="C65">
        <v>4.0884190168569902E-2</v>
      </c>
      <c r="D65">
        <v>2.40435812756121E-2</v>
      </c>
      <c r="E65" t="s">
        <v>1506</v>
      </c>
      <c r="F65" t="s">
        <v>1443</v>
      </c>
      <c r="G65">
        <v>39.226999999999997</v>
      </c>
      <c r="H65">
        <v>1.0067978164589601E-2</v>
      </c>
      <c r="I65">
        <v>47.28</v>
      </c>
      <c r="J65">
        <v>5.9574468085106204E-3</v>
      </c>
      <c r="K65" t="s">
        <v>995</v>
      </c>
      <c r="L65" t="s">
        <v>932</v>
      </c>
    </row>
    <row r="66" spans="1:12" x14ac:dyDescent="0.25">
      <c r="A66">
        <v>2.86487834236928E-2</v>
      </c>
      <c r="B66">
        <v>-1.00878062845416E-2</v>
      </c>
      <c r="C66">
        <v>1.47648166353573E-2</v>
      </c>
      <c r="D66">
        <v>2.5106061305751201E-2</v>
      </c>
      <c r="E66" t="s">
        <v>1507</v>
      </c>
      <c r="F66" t="s">
        <v>1443</v>
      </c>
      <c r="G66">
        <v>39.371000000000002</v>
      </c>
      <c r="H66">
        <v>3.6709409335409201E-3</v>
      </c>
      <c r="I66">
        <v>47.573999999999998</v>
      </c>
      <c r="J66">
        <v>6.2182741116749698E-3</v>
      </c>
      <c r="K66" t="s">
        <v>996</v>
      </c>
      <c r="L66" t="s">
        <v>932</v>
      </c>
    </row>
    <row r="67" spans="1:12" x14ac:dyDescent="0.25">
      <c r="A67">
        <v>-4.2153079272678803E-3</v>
      </c>
      <c r="B67">
        <v>-9.8843189037382002E-3</v>
      </c>
      <c r="C67">
        <v>1.2042523964300099E-2</v>
      </c>
      <c r="D67">
        <v>4.1753162692227598E-2</v>
      </c>
      <c r="E67" t="s">
        <v>1508</v>
      </c>
      <c r="F67" t="s">
        <v>1443</v>
      </c>
      <c r="G67">
        <v>39.488999999999997</v>
      </c>
      <c r="H67">
        <v>2.9971298671609401E-3</v>
      </c>
      <c r="I67">
        <v>48.063000000000002</v>
      </c>
      <c r="J67">
        <v>1.02787236725943E-2</v>
      </c>
      <c r="K67" t="s">
        <v>997</v>
      </c>
      <c r="L67" t="s">
        <v>932</v>
      </c>
    </row>
    <row r="68" spans="1:12" x14ac:dyDescent="0.25">
      <c r="A68">
        <v>2.1224970793817698E-2</v>
      </c>
      <c r="B68">
        <v>5.6401548408471199E-3</v>
      </c>
      <c r="C68">
        <v>3.4679470629119601E-2</v>
      </c>
      <c r="D68">
        <v>3.6953475595025202E-2</v>
      </c>
      <c r="E68" t="s">
        <v>1509</v>
      </c>
      <c r="F68" t="s">
        <v>1443</v>
      </c>
      <c r="G68">
        <v>39.826999999999998</v>
      </c>
      <c r="H68">
        <v>8.5593456405581598E-3</v>
      </c>
      <c r="I68">
        <v>48.500999999999998</v>
      </c>
      <c r="J68">
        <v>9.1130391361338194E-3</v>
      </c>
      <c r="K68" t="s">
        <v>998</v>
      </c>
      <c r="L68" t="s">
        <v>932</v>
      </c>
    </row>
    <row r="69" spans="1:12" x14ac:dyDescent="0.25">
      <c r="A69">
        <v>2.4413629868112598E-2</v>
      </c>
      <c r="B69">
        <v>4.55022354216461E-3</v>
      </c>
      <c r="C69">
        <v>5.3779833992726497E-2</v>
      </c>
      <c r="D69">
        <v>4.4006184582173501E-2</v>
      </c>
      <c r="E69" t="s">
        <v>1510</v>
      </c>
      <c r="F69" t="s">
        <v>1443</v>
      </c>
      <c r="G69">
        <v>40.351999999999997</v>
      </c>
      <c r="H69">
        <v>1.3182012202777E-2</v>
      </c>
      <c r="I69">
        <v>49.026000000000003</v>
      </c>
      <c r="J69">
        <v>1.08245190820808E-2</v>
      </c>
      <c r="K69" t="s">
        <v>999</v>
      </c>
      <c r="L69" t="s">
        <v>932</v>
      </c>
    </row>
    <row r="70" spans="1:12" x14ac:dyDescent="0.25">
      <c r="A70">
        <v>3.8220568833408297E-2</v>
      </c>
      <c r="B70">
        <v>-6.8268953681047701E-3</v>
      </c>
      <c r="C70">
        <v>6.6318650583382599E-2</v>
      </c>
      <c r="D70">
        <v>2.5866237951436302E-2</v>
      </c>
      <c r="E70" t="s">
        <v>1511</v>
      </c>
      <c r="F70" t="s">
        <v>1443</v>
      </c>
      <c r="G70">
        <v>41.005000000000003</v>
      </c>
      <c r="H70">
        <v>1.61825931800159E-2</v>
      </c>
      <c r="I70">
        <v>49.34</v>
      </c>
      <c r="J70">
        <v>6.4047648186675897E-3</v>
      </c>
      <c r="K70" t="s">
        <v>1000</v>
      </c>
      <c r="L70" t="s">
        <v>932</v>
      </c>
    </row>
    <row r="71" spans="1:12" x14ac:dyDescent="0.25">
      <c r="A71">
        <v>3.9129087464599803E-2</v>
      </c>
      <c r="B71">
        <v>1.9164012541417402E-2</v>
      </c>
      <c r="C71">
        <v>5.3726223643289599E-2</v>
      </c>
      <c r="D71">
        <v>3.4070959420577702E-2</v>
      </c>
      <c r="E71" t="s">
        <v>1512</v>
      </c>
      <c r="F71" t="s">
        <v>1443</v>
      </c>
      <c r="G71">
        <v>41.545000000000002</v>
      </c>
      <c r="H71">
        <v>1.3169125716376E-2</v>
      </c>
      <c r="I71">
        <v>49.755000000000003</v>
      </c>
      <c r="J71">
        <v>8.4110255370895004E-3</v>
      </c>
      <c r="K71" t="s">
        <v>1001</v>
      </c>
      <c r="L71" t="s">
        <v>932</v>
      </c>
    </row>
    <row r="72" spans="1:12" x14ac:dyDescent="0.25">
      <c r="A72">
        <v>3.8454021368670203E-2</v>
      </c>
      <c r="B72">
        <v>2.9219770282175001E-2</v>
      </c>
      <c r="C72">
        <v>5.1713813262120399E-2</v>
      </c>
      <c r="D72">
        <v>3.6092988240003197E-2</v>
      </c>
      <c r="E72" t="s">
        <v>1513</v>
      </c>
      <c r="F72" t="s">
        <v>1443</v>
      </c>
      <c r="G72">
        <v>42.072000000000003</v>
      </c>
      <c r="H72">
        <v>1.2685040317727899E-2</v>
      </c>
      <c r="I72">
        <v>50.198</v>
      </c>
      <c r="J72">
        <v>8.9036277761027592E-3</v>
      </c>
      <c r="K72" t="s">
        <v>1002</v>
      </c>
      <c r="L72" t="s">
        <v>932</v>
      </c>
    </row>
    <row r="73" spans="1:12" x14ac:dyDescent="0.25">
      <c r="A73">
        <v>3.5013174112648898E-2</v>
      </c>
      <c r="B73">
        <v>8.3996255435596599E-3</v>
      </c>
      <c r="C73">
        <v>2.4659104438458999E-2</v>
      </c>
      <c r="D73">
        <v>2.13651369698558E-2</v>
      </c>
      <c r="E73" t="s">
        <v>1514</v>
      </c>
      <c r="F73" t="s">
        <v>1443</v>
      </c>
      <c r="G73">
        <v>42.329000000000001</v>
      </c>
      <c r="H73">
        <v>6.1085757748620103E-3</v>
      </c>
      <c r="I73">
        <v>50.463999999999999</v>
      </c>
      <c r="J73">
        <v>5.29901589704762E-3</v>
      </c>
      <c r="K73" t="s">
        <v>1003</v>
      </c>
      <c r="L73" t="s">
        <v>932</v>
      </c>
    </row>
    <row r="74" spans="1:12" x14ac:dyDescent="0.25">
      <c r="A74">
        <v>3.19577361885768E-2</v>
      </c>
      <c r="B74">
        <v>5.5666299963321703E-2</v>
      </c>
      <c r="C74">
        <v>1.7884305064996799E-2</v>
      </c>
      <c r="D74">
        <v>3.2571809116936898E-2</v>
      </c>
      <c r="E74" t="s">
        <v>1515</v>
      </c>
      <c r="F74" t="s">
        <v>1443</v>
      </c>
      <c r="G74">
        <v>42.517000000000003</v>
      </c>
      <c r="H74">
        <v>4.4413995133361101E-3</v>
      </c>
      <c r="I74">
        <v>50.87</v>
      </c>
      <c r="J74">
        <v>8.0453392517438899E-3</v>
      </c>
      <c r="K74" t="s">
        <v>1004</v>
      </c>
      <c r="L74" t="s">
        <v>932</v>
      </c>
    </row>
    <row r="75" spans="1:12" x14ac:dyDescent="0.25">
      <c r="A75">
        <v>4.4899260052234199E-2</v>
      </c>
      <c r="B75">
        <v>3.99278081765242E-2</v>
      </c>
      <c r="C75">
        <v>4.3789897152202203E-2</v>
      </c>
      <c r="D75">
        <v>2.2279292577718199E-2</v>
      </c>
      <c r="E75" t="s">
        <v>1516</v>
      </c>
      <c r="F75" t="s">
        <v>1443</v>
      </c>
      <c r="G75">
        <v>42.975000000000001</v>
      </c>
      <c r="H75">
        <v>1.0772161723545901E-2</v>
      </c>
      <c r="I75">
        <v>51.151000000000003</v>
      </c>
      <c r="J75">
        <v>5.5238844112444098E-3</v>
      </c>
      <c r="K75" t="s">
        <v>1005</v>
      </c>
      <c r="L75" t="s">
        <v>932</v>
      </c>
    </row>
    <row r="76" spans="1:12" x14ac:dyDescent="0.25">
      <c r="A76">
        <v>5.0215068802573502E-2</v>
      </c>
      <c r="B76">
        <v>2.3053377277420399E-2</v>
      </c>
      <c r="C76">
        <v>3.6032445200426998E-2</v>
      </c>
      <c r="D76">
        <v>2.6056753006691701E-2</v>
      </c>
      <c r="E76" t="s">
        <v>1517</v>
      </c>
      <c r="F76" t="s">
        <v>1443</v>
      </c>
      <c r="G76">
        <v>43.356999999999999</v>
      </c>
      <c r="H76">
        <v>8.8888888888889496E-3</v>
      </c>
      <c r="I76">
        <v>51.481000000000002</v>
      </c>
      <c r="J76">
        <v>6.45148677445206E-3</v>
      </c>
      <c r="K76" t="s">
        <v>1006</v>
      </c>
      <c r="L76" t="s">
        <v>932</v>
      </c>
    </row>
    <row r="77" spans="1:12" x14ac:dyDescent="0.25">
      <c r="A77">
        <v>4.1025346631292002E-2</v>
      </c>
      <c r="B77">
        <v>3.2561998713341901E-2</v>
      </c>
      <c r="C77">
        <v>5.2865449677459202E-2</v>
      </c>
      <c r="D77">
        <v>2.13020937510979E-2</v>
      </c>
      <c r="E77" t="s">
        <v>1518</v>
      </c>
      <c r="F77" t="s">
        <v>1443</v>
      </c>
      <c r="G77">
        <v>43.918999999999997</v>
      </c>
      <c r="H77">
        <v>1.29621514403671E-2</v>
      </c>
      <c r="I77">
        <v>51.753</v>
      </c>
      <c r="J77">
        <v>5.2835026514637101E-3</v>
      </c>
      <c r="K77" t="s">
        <v>1007</v>
      </c>
      <c r="L77" t="s">
        <v>932</v>
      </c>
    </row>
    <row r="78" spans="1:12" x14ac:dyDescent="0.25">
      <c r="A78">
        <v>4.6770164599538401E-2</v>
      </c>
      <c r="B78">
        <v>3.00519488200592E-2</v>
      </c>
      <c r="C78">
        <v>6.2050852369377699E-2</v>
      </c>
      <c r="D78">
        <v>1.9463013158635498E-2</v>
      </c>
      <c r="E78" t="s">
        <v>1519</v>
      </c>
      <c r="F78" t="s">
        <v>1443</v>
      </c>
      <c r="G78">
        <v>44.585000000000001</v>
      </c>
      <c r="H78">
        <v>1.5164279696714401E-2</v>
      </c>
      <c r="I78">
        <v>52.003</v>
      </c>
      <c r="J78">
        <v>4.8306378374200999E-3</v>
      </c>
      <c r="K78" t="s">
        <v>1008</v>
      </c>
      <c r="L78" t="s">
        <v>932</v>
      </c>
    </row>
    <row r="79" spans="1:12" x14ac:dyDescent="0.25">
      <c r="A79">
        <v>5.4994617531312101E-2</v>
      </c>
      <c r="B79">
        <v>2.9679316947533299E-2</v>
      </c>
      <c r="C79">
        <v>6.0821876360983101E-2</v>
      </c>
      <c r="D79">
        <v>3.2856918868300999E-2</v>
      </c>
      <c r="E79" t="s">
        <v>1520</v>
      </c>
      <c r="F79" t="s">
        <v>1443</v>
      </c>
      <c r="G79">
        <v>45.247999999999998</v>
      </c>
      <c r="H79">
        <v>1.48704721318829E-2</v>
      </c>
      <c r="I79">
        <v>52.424999999999997</v>
      </c>
      <c r="J79">
        <v>8.1149164471279196E-3</v>
      </c>
      <c r="K79" t="s">
        <v>1009</v>
      </c>
      <c r="L79" t="s">
        <v>932</v>
      </c>
    </row>
    <row r="80" spans="1:12" x14ac:dyDescent="0.25">
      <c r="A80">
        <v>2.3822978628153201E-2</v>
      </c>
      <c r="B80">
        <v>2.0057150963272801E-2</v>
      </c>
      <c r="C80">
        <v>3.9922896172757301E-2</v>
      </c>
      <c r="D80">
        <v>3.0012482573731999E-2</v>
      </c>
      <c r="E80" t="s">
        <v>1521</v>
      </c>
      <c r="F80" t="s">
        <v>1443</v>
      </c>
      <c r="G80">
        <v>45.692999999999998</v>
      </c>
      <c r="H80">
        <v>9.8346888260254506E-3</v>
      </c>
      <c r="I80">
        <v>52.814</v>
      </c>
      <c r="J80">
        <v>7.4201239866476002E-3</v>
      </c>
      <c r="K80" t="s">
        <v>1010</v>
      </c>
      <c r="L80" t="s">
        <v>932</v>
      </c>
    </row>
    <row r="81" spans="1:12" x14ac:dyDescent="0.25">
      <c r="A81">
        <v>3.1803231650019199E-2</v>
      </c>
      <c r="B81">
        <v>1.4432124176051201E-2</v>
      </c>
      <c r="C81">
        <v>6.0046453160524503E-2</v>
      </c>
      <c r="D81">
        <v>2.2222434897181301E-2</v>
      </c>
      <c r="E81" t="s">
        <v>1522</v>
      </c>
      <c r="F81" t="s">
        <v>1443</v>
      </c>
      <c r="G81">
        <v>46.363999999999997</v>
      </c>
      <c r="H81">
        <v>1.46849626857506E-2</v>
      </c>
      <c r="I81">
        <v>53.104999999999997</v>
      </c>
      <c r="J81">
        <v>5.5099026773204303E-3</v>
      </c>
      <c r="K81" t="s">
        <v>1011</v>
      </c>
      <c r="L81" t="s">
        <v>932</v>
      </c>
    </row>
    <row r="82" spans="1:12" x14ac:dyDescent="0.25">
      <c r="A82">
        <v>5.92740793130948E-2</v>
      </c>
      <c r="B82">
        <v>2.8330647899498702E-2</v>
      </c>
      <c r="C82">
        <v>6.4935137330784501E-2</v>
      </c>
      <c r="D82">
        <v>2.9085137772108E-2</v>
      </c>
      <c r="E82" t="s">
        <v>1523</v>
      </c>
      <c r="F82" t="s">
        <v>1443</v>
      </c>
      <c r="G82">
        <v>47.098999999999997</v>
      </c>
      <c r="H82">
        <v>1.5852816840652199E-2</v>
      </c>
      <c r="I82">
        <v>53.487000000000002</v>
      </c>
      <c r="J82">
        <v>7.1932962997835999E-3</v>
      </c>
      <c r="K82" t="s">
        <v>1012</v>
      </c>
      <c r="L82" t="s">
        <v>932</v>
      </c>
    </row>
    <row r="83" spans="1:12" x14ac:dyDescent="0.25">
      <c r="A83">
        <v>3.6833081072387398E-2</v>
      </c>
      <c r="B83">
        <v>7.0464261662823505E-2</v>
      </c>
      <c r="C83">
        <v>4.34077415784246E-2</v>
      </c>
      <c r="D83">
        <v>3.5768290293157798E-2</v>
      </c>
      <c r="E83" t="s">
        <v>1524</v>
      </c>
      <c r="F83" t="s">
        <v>1443</v>
      </c>
      <c r="G83">
        <v>47.601999999999997</v>
      </c>
      <c r="H83">
        <v>1.0679632263954599E-2</v>
      </c>
      <c r="I83">
        <v>53.959000000000003</v>
      </c>
      <c r="J83">
        <v>8.8245741955990092E-3</v>
      </c>
      <c r="K83" t="s">
        <v>1013</v>
      </c>
      <c r="L83" t="s">
        <v>932</v>
      </c>
    </row>
    <row r="84" spans="1:12" x14ac:dyDescent="0.25">
      <c r="A84">
        <v>5.1769155239957503E-2</v>
      </c>
      <c r="B84">
        <v>5.3870047588526803E-3</v>
      </c>
      <c r="C84">
        <v>5.9429132401131797E-2</v>
      </c>
      <c r="D84">
        <v>3.9413809912278698E-2</v>
      </c>
      <c r="E84" t="s">
        <v>1525</v>
      </c>
      <c r="F84" t="s">
        <v>1443</v>
      </c>
      <c r="G84">
        <v>48.293999999999997</v>
      </c>
      <c r="H84">
        <v>1.4537204319146299E-2</v>
      </c>
      <c r="I84">
        <v>54.482999999999997</v>
      </c>
      <c r="J84">
        <v>9.7110769287791499E-3</v>
      </c>
      <c r="K84" t="s">
        <v>1014</v>
      </c>
      <c r="L84" t="s">
        <v>932</v>
      </c>
    </row>
    <row r="85" spans="1:12" x14ac:dyDescent="0.25">
      <c r="A85">
        <v>5.3985249536158401E-2</v>
      </c>
      <c r="B85">
        <v>4.8480456964960797E-2</v>
      </c>
      <c r="C85">
        <v>7.7879333039596599E-2</v>
      </c>
      <c r="D85">
        <v>1.0688095589023601E-2</v>
      </c>
      <c r="E85" t="s">
        <v>1526</v>
      </c>
      <c r="F85" t="s">
        <v>1443</v>
      </c>
      <c r="G85">
        <v>49.207999999999998</v>
      </c>
      <c r="H85">
        <v>1.8925746469540702E-2</v>
      </c>
      <c r="I85">
        <v>54.628</v>
      </c>
      <c r="J85">
        <v>2.66138061413668E-3</v>
      </c>
      <c r="K85" t="s">
        <v>1015</v>
      </c>
      <c r="L85" t="s">
        <v>932</v>
      </c>
    </row>
    <row r="86" spans="1:12" x14ac:dyDescent="0.25">
      <c r="A86">
        <v>2.1158982786186002E-2</v>
      </c>
      <c r="B86">
        <v>3.6386290478485302E-2</v>
      </c>
      <c r="C86">
        <v>1.91574066493869E-2</v>
      </c>
      <c r="D86">
        <v>7.9315148019272197E-3</v>
      </c>
      <c r="E86" t="s">
        <v>1527</v>
      </c>
      <c r="F86" t="s">
        <v>1443</v>
      </c>
      <c r="G86">
        <v>49.442</v>
      </c>
      <c r="H86">
        <v>4.7553243375060301E-3</v>
      </c>
      <c r="I86">
        <v>54.735999999999997</v>
      </c>
      <c r="J86">
        <v>1.9770081276999601E-3</v>
      </c>
      <c r="K86" t="s">
        <v>1016</v>
      </c>
      <c r="L86" t="s">
        <v>932</v>
      </c>
    </row>
    <row r="87" spans="1:12" x14ac:dyDescent="0.25">
      <c r="A87">
        <v>2.2052154501282398E-2</v>
      </c>
      <c r="B87">
        <v>1.9883287825612099E-2</v>
      </c>
      <c r="C87">
        <v>2.5316754451185201E-2</v>
      </c>
      <c r="D87">
        <v>2.0767815828135701E-2</v>
      </c>
      <c r="E87" t="s">
        <v>1528</v>
      </c>
      <c r="F87" t="s">
        <v>1443</v>
      </c>
      <c r="G87">
        <v>49.752000000000002</v>
      </c>
      <c r="H87">
        <v>6.2699728975366097E-3</v>
      </c>
      <c r="I87">
        <v>55.018000000000001</v>
      </c>
      <c r="J87">
        <v>5.1520023384976597E-3</v>
      </c>
      <c r="K87" t="s">
        <v>1017</v>
      </c>
      <c r="L87" t="s">
        <v>932</v>
      </c>
    </row>
    <row r="88" spans="1:12" x14ac:dyDescent="0.25">
      <c r="A88">
        <v>2.7438615126695699E-2</v>
      </c>
      <c r="B88">
        <v>5.2374465161812503E-2</v>
      </c>
      <c r="C88">
        <v>3.8739820782161899E-2</v>
      </c>
      <c r="D88">
        <v>1.0657034721188501E-2</v>
      </c>
      <c r="E88" t="s">
        <v>1529</v>
      </c>
      <c r="F88" t="s">
        <v>1443</v>
      </c>
      <c r="G88">
        <v>50.226999999999997</v>
      </c>
      <c r="H88">
        <v>9.5473548802056402E-3</v>
      </c>
      <c r="I88">
        <v>55.164000000000001</v>
      </c>
      <c r="J88">
        <v>2.6536769784435399E-3</v>
      </c>
      <c r="K88" t="s">
        <v>1018</v>
      </c>
      <c r="L88" t="s">
        <v>932</v>
      </c>
    </row>
    <row r="89" spans="1:12" x14ac:dyDescent="0.25">
      <c r="A89">
        <v>2.9370792816648401E-2</v>
      </c>
      <c r="B89">
        <v>4.1076934031538899E-2</v>
      </c>
      <c r="C89">
        <v>4.6254885206873202E-2</v>
      </c>
      <c r="D89">
        <v>-9.9690396175571294E-3</v>
      </c>
      <c r="E89" t="s">
        <v>1530</v>
      </c>
      <c r="F89" t="s">
        <v>1443</v>
      </c>
      <c r="G89">
        <v>50.798000000000002</v>
      </c>
      <c r="H89">
        <v>1.13683875206563E-2</v>
      </c>
      <c r="I89">
        <v>55.026000000000003</v>
      </c>
      <c r="J89">
        <v>-2.5016314988035599E-3</v>
      </c>
      <c r="K89" t="s">
        <v>1019</v>
      </c>
      <c r="L89" t="s">
        <v>932</v>
      </c>
    </row>
    <row r="90" spans="1:12" x14ac:dyDescent="0.25">
      <c r="A90">
        <v>2.5261592124571599E-2</v>
      </c>
      <c r="B90">
        <v>5.8581566563336001E-3</v>
      </c>
      <c r="C90">
        <v>3.8335869645315497E-2</v>
      </c>
      <c r="D90">
        <v>-1.04267601108922E-2</v>
      </c>
      <c r="E90" t="s">
        <v>1531</v>
      </c>
      <c r="F90" t="s">
        <v>1443</v>
      </c>
      <c r="G90">
        <v>51.277999999999999</v>
      </c>
      <c r="H90">
        <v>9.4491909130280903E-3</v>
      </c>
      <c r="I90">
        <v>54.881999999999998</v>
      </c>
      <c r="J90">
        <v>-2.61694471704299E-3</v>
      </c>
      <c r="K90" t="s">
        <v>1020</v>
      </c>
      <c r="L90" t="s">
        <v>932</v>
      </c>
    </row>
    <row r="91" spans="1:12" x14ac:dyDescent="0.25">
      <c r="A91">
        <v>2.6883329197386899E-2</v>
      </c>
      <c r="B91">
        <v>1.4672046081608801E-2</v>
      </c>
      <c r="C91">
        <v>5.5488923116520997E-2</v>
      </c>
      <c r="D91">
        <v>1.90848323659343E-2</v>
      </c>
      <c r="E91" t="s">
        <v>1532</v>
      </c>
      <c r="F91" t="s">
        <v>1443</v>
      </c>
      <c r="G91">
        <v>51.975000000000001</v>
      </c>
      <c r="H91">
        <v>1.35925738133313E-2</v>
      </c>
      <c r="I91">
        <v>55.142000000000003</v>
      </c>
      <c r="J91">
        <v>4.7374366823367299E-3</v>
      </c>
      <c r="K91" t="s">
        <v>1021</v>
      </c>
      <c r="L91" t="s">
        <v>932</v>
      </c>
    </row>
    <row r="92" spans="1:12" x14ac:dyDescent="0.25">
      <c r="A92">
        <v>2.57889573012124E-2</v>
      </c>
      <c r="B92">
        <v>3.5352763805176303E-2</v>
      </c>
      <c r="C92">
        <v>3.4689577494526398E-2</v>
      </c>
      <c r="D92">
        <v>8.1492648352745594E-3</v>
      </c>
      <c r="E92" t="s">
        <v>1533</v>
      </c>
      <c r="F92" t="s">
        <v>1443</v>
      </c>
      <c r="G92">
        <v>52.42</v>
      </c>
      <c r="H92">
        <v>8.5618085618086592E-3</v>
      </c>
      <c r="I92">
        <v>55.253999999999998</v>
      </c>
      <c r="J92">
        <v>2.03111965470959E-3</v>
      </c>
      <c r="K92" t="s">
        <v>1022</v>
      </c>
      <c r="L92" t="s">
        <v>932</v>
      </c>
    </row>
    <row r="93" spans="1:12" x14ac:dyDescent="0.25">
      <c r="A93">
        <v>2.8170464275272301E-2</v>
      </c>
      <c r="B93">
        <v>2.5395981622951001E-2</v>
      </c>
      <c r="C93">
        <v>2.9547347848341E-2</v>
      </c>
      <c r="D93">
        <v>1.8368205985927599E-2</v>
      </c>
      <c r="E93" t="s">
        <v>1534</v>
      </c>
      <c r="F93" t="s">
        <v>1443</v>
      </c>
      <c r="G93">
        <v>52.802999999999997</v>
      </c>
      <c r="H93">
        <v>7.3063716138877001E-3</v>
      </c>
      <c r="I93">
        <v>55.506</v>
      </c>
      <c r="J93">
        <v>4.5607557823867896E-3</v>
      </c>
      <c r="K93" t="s">
        <v>1023</v>
      </c>
      <c r="L93" t="s">
        <v>932</v>
      </c>
    </row>
    <row r="94" spans="1:12" x14ac:dyDescent="0.25">
      <c r="A94">
        <v>2.40619409805858E-2</v>
      </c>
      <c r="B94">
        <v>9.9983702538513092E-3</v>
      </c>
      <c r="C94">
        <v>2.2073085991106502E-2</v>
      </c>
      <c r="D94">
        <v>3.0096377482488099E-2</v>
      </c>
      <c r="E94" t="s">
        <v>1535</v>
      </c>
      <c r="F94" t="s">
        <v>1443</v>
      </c>
      <c r="G94">
        <v>53.091999999999999</v>
      </c>
      <c r="H94">
        <v>5.4731738726967504E-3</v>
      </c>
      <c r="I94">
        <v>55.918999999999997</v>
      </c>
      <c r="J94">
        <v>7.4406370482469298E-3</v>
      </c>
      <c r="K94" t="s">
        <v>1024</v>
      </c>
      <c r="L94" t="s">
        <v>932</v>
      </c>
    </row>
    <row r="95" spans="1:12" x14ac:dyDescent="0.25">
      <c r="A95">
        <v>2.70873737268695E-2</v>
      </c>
      <c r="B95">
        <v>1.7716185249098602E-2</v>
      </c>
      <c r="C95">
        <v>2.3867747826854101E-2</v>
      </c>
      <c r="D95">
        <v>2.3524161594785199E-2</v>
      </c>
      <c r="E95" t="s">
        <v>1536</v>
      </c>
      <c r="F95" t="s">
        <v>1443</v>
      </c>
      <c r="G95">
        <v>53.405999999999999</v>
      </c>
      <c r="H95">
        <v>5.91426203571155E-3</v>
      </c>
      <c r="I95">
        <v>56.244999999999997</v>
      </c>
      <c r="J95">
        <v>5.8298610490172802E-3</v>
      </c>
      <c r="K95" t="s">
        <v>1025</v>
      </c>
      <c r="L95" t="s">
        <v>932</v>
      </c>
    </row>
    <row r="96" spans="1:12" x14ac:dyDescent="0.25">
      <c r="A96">
        <v>1.7542540867755401E-2</v>
      </c>
      <c r="B96">
        <v>2.9283418694515902E-2</v>
      </c>
      <c r="C96">
        <v>1.3096071782226999E-2</v>
      </c>
      <c r="D96">
        <v>4.0598599880798903E-3</v>
      </c>
      <c r="E96" t="s">
        <v>1537</v>
      </c>
      <c r="F96" t="s">
        <v>1443</v>
      </c>
      <c r="G96">
        <v>53.58</v>
      </c>
      <c r="H96">
        <v>3.2580608920345102E-3</v>
      </c>
      <c r="I96">
        <v>56.302</v>
      </c>
      <c r="J96">
        <v>1.01342341541466E-3</v>
      </c>
      <c r="K96" t="s">
        <v>1026</v>
      </c>
      <c r="L96" t="s">
        <v>932</v>
      </c>
    </row>
    <row r="97" spans="1:12" x14ac:dyDescent="0.25">
      <c r="A97">
        <v>2.3240038949048102E-2</v>
      </c>
      <c r="B97">
        <v>3.6370296177081797E-2</v>
      </c>
      <c r="C97">
        <v>2.0612838101556001E-2</v>
      </c>
      <c r="D97">
        <v>1.8816279960193898E-2</v>
      </c>
      <c r="E97" t="s">
        <v>1538</v>
      </c>
      <c r="F97" t="s">
        <v>1443</v>
      </c>
      <c r="G97">
        <v>53.853999999999999</v>
      </c>
      <c r="H97">
        <v>5.1138484509145599E-3</v>
      </c>
      <c r="I97">
        <v>56.564999999999998</v>
      </c>
      <c r="J97">
        <v>4.6712372562254202E-3</v>
      </c>
      <c r="K97" t="s">
        <v>1027</v>
      </c>
      <c r="L97" t="s">
        <v>932</v>
      </c>
    </row>
    <row r="98" spans="1:12" x14ac:dyDescent="0.25">
      <c r="A98">
        <v>1.4387423449919501E-2</v>
      </c>
      <c r="B98">
        <v>1.8449816517922799E-2</v>
      </c>
      <c r="C98">
        <v>3.3921123111567301E-2</v>
      </c>
      <c r="D98">
        <v>2.9526755688726598E-2</v>
      </c>
      <c r="E98" t="s">
        <v>1539</v>
      </c>
      <c r="F98" t="s">
        <v>1443</v>
      </c>
      <c r="G98">
        <v>54.305</v>
      </c>
      <c r="H98">
        <v>8.3744940023024999E-3</v>
      </c>
      <c r="I98">
        <v>56.978000000000002</v>
      </c>
      <c r="J98">
        <v>7.3013347476356101E-3</v>
      </c>
      <c r="K98" t="s">
        <v>1028</v>
      </c>
      <c r="L98" t="s">
        <v>932</v>
      </c>
    </row>
    <row r="99" spans="1:12" x14ac:dyDescent="0.25">
      <c r="A99">
        <v>2.2496438657089599E-2</v>
      </c>
      <c r="B99">
        <v>3.3991498444716703E-2</v>
      </c>
      <c r="C99">
        <v>2.3479894269272002E-2</v>
      </c>
      <c r="D99">
        <v>1.7453105874537699E-2</v>
      </c>
      <c r="E99" t="s">
        <v>1540</v>
      </c>
      <c r="F99" t="s">
        <v>1443</v>
      </c>
      <c r="G99">
        <v>54.621000000000002</v>
      </c>
      <c r="H99">
        <v>5.8189853604639899E-3</v>
      </c>
      <c r="I99">
        <v>57.225000000000001</v>
      </c>
      <c r="J99">
        <v>4.3350064937344203E-3</v>
      </c>
      <c r="K99" t="s">
        <v>1029</v>
      </c>
      <c r="L99" t="s">
        <v>932</v>
      </c>
    </row>
    <row r="100" spans="1:12" x14ac:dyDescent="0.25">
      <c r="A100">
        <v>2.90726218207682E-2</v>
      </c>
      <c r="B100">
        <v>2.3185974053502999E-2</v>
      </c>
      <c r="C100">
        <v>3.5391871305663798E-2</v>
      </c>
      <c r="D100">
        <v>3.5482240520336501E-2</v>
      </c>
      <c r="E100" t="s">
        <v>1541</v>
      </c>
      <c r="F100" t="s">
        <v>1443</v>
      </c>
      <c r="G100">
        <v>55.097999999999999</v>
      </c>
      <c r="H100">
        <v>8.7329049266764401E-3</v>
      </c>
      <c r="I100">
        <v>57.725999999999999</v>
      </c>
      <c r="J100">
        <v>8.7549148099605994E-3</v>
      </c>
      <c r="K100" t="s">
        <v>1030</v>
      </c>
      <c r="L100" t="s">
        <v>932</v>
      </c>
    </row>
    <row r="101" spans="1:12" x14ac:dyDescent="0.25">
      <c r="A101">
        <v>1.88663260541506E-2</v>
      </c>
      <c r="B101">
        <v>3.3254108726641599E-2</v>
      </c>
      <c r="C101">
        <v>3.4634574022881899E-2</v>
      </c>
      <c r="D101">
        <v>3.3748767658719397E-2</v>
      </c>
      <c r="E101" t="s">
        <v>1542</v>
      </c>
      <c r="F101" t="s">
        <v>1443</v>
      </c>
      <c r="G101">
        <v>55.569000000000003</v>
      </c>
      <c r="H101">
        <v>8.5484046607862095E-3</v>
      </c>
      <c r="I101">
        <v>58.207000000000001</v>
      </c>
      <c r="J101">
        <v>8.3324671725046907E-3</v>
      </c>
      <c r="K101" t="s">
        <v>1031</v>
      </c>
      <c r="L101" t="s">
        <v>932</v>
      </c>
    </row>
    <row r="102" spans="1:12" x14ac:dyDescent="0.25">
      <c r="A102">
        <v>1.9752209109685798E-2</v>
      </c>
      <c r="B102">
        <v>3.4122786590531799E-2</v>
      </c>
      <c r="C102">
        <v>1.8555272424330301E-2</v>
      </c>
      <c r="D102">
        <v>4.0528253340275301E-2</v>
      </c>
      <c r="E102" t="s">
        <v>1543</v>
      </c>
      <c r="F102" t="s">
        <v>1443</v>
      </c>
      <c r="G102">
        <v>55.825000000000003</v>
      </c>
      <c r="H102">
        <v>4.6068851337977001E-3</v>
      </c>
      <c r="I102">
        <v>58.787999999999997</v>
      </c>
      <c r="J102">
        <v>9.9816173312487991E-3</v>
      </c>
      <c r="K102" t="s">
        <v>1032</v>
      </c>
      <c r="L102" t="s">
        <v>932</v>
      </c>
    </row>
    <row r="103" spans="1:12" x14ac:dyDescent="0.25">
      <c r="A103">
        <v>2.3426148348960799E-2</v>
      </c>
      <c r="B103">
        <v>2.6924495262994098E-2</v>
      </c>
      <c r="C103">
        <v>3.10950653969519E-2</v>
      </c>
      <c r="D103">
        <v>2.8884969324625399E-2</v>
      </c>
      <c r="E103" t="s">
        <v>1544</v>
      </c>
      <c r="F103" t="s">
        <v>1443</v>
      </c>
      <c r="G103">
        <v>56.253999999999998</v>
      </c>
      <c r="H103">
        <v>7.6847290640393896E-3</v>
      </c>
      <c r="I103">
        <v>59.207999999999998</v>
      </c>
      <c r="J103">
        <v>7.1443151663605998E-3</v>
      </c>
      <c r="K103" t="s">
        <v>1033</v>
      </c>
      <c r="L103" t="s">
        <v>932</v>
      </c>
    </row>
    <row r="104" spans="1:12" x14ac:dyDescent="0.25">
      <c r="A104">
        <v>1.6481276503132601E-2</v>
      </c>
      <c r="B104">
        <v>2.0844963333619401E-2</v>
      </c>
      <c r="C104">
        <v>1.5303746558651399E-2</v>
      </c>
      <c r="D104">
        <v>2.2275298720186399E-2</v>
      </c>
      <c r="E104" t="s">
        <v>1545</v>
      </c>
      <c r="F104" t="s">
        <v>1443</v>
      </c>
      <c r="G104">
        <v>56.468000000000004</v>
      </c>
      <c r="H104">
        <v>3.8041739254097702E-3</v>
      </c>
      <c r="I104">
        <v>59.534999999999997</v>
      </c>
      <c r="J104">
        <v>5.5229023104985701E-3</v>
      </c>
      <c r="K104" t="s">
        <v>1034</v>
      </c>
      <c r="L104" t="s">
        <v>932</v>
      </c>
    </row>
    <row r="105" spans="1:12" x14ac:dyDescent="0.25">
      <c r="A105">
        <v>1.77105887350755E-2</v>
      </c>
      <c r="B105">
        <v>5.6392491810183902E-2</v>
      </c>
      <c r="C105">
        <v>1.3670147091618101E-2</v>
      </c>
      <c r="D105">
        <v>2.3245190160411201E-2</v>
      </c>
      <c r="E105" t="s">
        <v>1546</v>
      </c>
      <c r="F105" t="s">
        <v>1443</v>
      </c>
      <c r="G105">
        <v>56.66</v>
      </c>
      <c r="H105">
        <v>3.4001558404759299E-3</v>
      </c>
      <c r="I105">
        <v>59.878</v>
      </c>
      <c r="J105">
        <v>5.7613168724279804E-3</v>
      </c>
      <c r="K105" t="s">
        <v>1035</v>
      </c>
      <c r="L105" t="s">
        <v>932</v>
      </c>
    </row>
    <row r="106" spans="1:12" x14ac:dyDescent="0.25">
      <c r="A106">
        <v>2.24149830534284E-2</v>
      </c>
      <c r="B106">
        <v>9.43340099661172E-3</v>
      </c>
      <c r="C106">
        <v>4.4785324127958097E-2</v>
      </c>
      <c r="D106">
        <v>2.1616654614663E-2</v>
      </c>
      <c r="E106" t="s">
        <v>1547</v>
      </c>
      <c r="F106" t="s">
        <v>1443</v>
      </c>
      <c r="G106">
        <v>57.283999999999999</v>
      </c>
      <c r="H106">
        <v>1.1013060360042499E-2</v>
      </c>
      <c r="I106">
        <v>60.198999999999998</v>
      </c>
      <c r="J106">
        <v>5.3609004976786804E-3</v>
      </c>
      <c r="K106" t="s">
        <v>1036</v>
      </c>
      <c r="L106" t="s">
        <v>932</v>
      </c>
    </row>
    <row r="107" spans="1:12" x14ac:dyDescent="0.25">
      <c r="A107">
        <v>2.7006131410312901E-2</v>
      </c>
      <c r="B107">
        <v>-2.1272525988481301E-2</v>
      </c>
      <c r="C107">
        <v>5.7381634098421204E-3</v>
      </c>
      <c r="D107">
        <v>4.4593389946305803E-3</v>
      </c>
      <c r="E107" t="s">
        <v>1548</v>
      </c>
      <c r="F107" t="s">
        <v>1443</v>
      </c>
      <c r="G107">
        <v>57.366</v>
      </c>
      <c r="H107">
        <v>1.4314642832204999E-3</v>
      </c>
      <c r="I107">
        <v>60.265999999999998</v>
      </c>
      <c r="J107">
        <v>1.1129752985929999E-3</v>
      </c>
      <c r="K107" t="s">
        <v>1037</v>
      </c>
      <c r="L107" t="s">
        <v>932</v>
      </c>
    </row>
    <row r="108" spans="1:12" x14ac:dyDescent="0.25">
      <c r="A108">
        <v>1.7195373350960198E-2</v>
      </c>
      <c r="B108">
        <v>2.3444846886997699E-2</v>
      </c>
      <c r="C108">
        <v>2.6760970425558899E-2</v>
      </c>
      <c r="D108">
        <v>1.9993530620905801E-2</v>
      </c>
      <c r="E108" t="s">
        <v>1549</v>
      </c>
      <c r="F108" t="s">
        <v>1443</v>
      </c>
      <c r="G108">
        <v>57.746000000000002</v>
      </c>
      <c r="H108">
        <v>6.62413276156615E-3</v>
      </c>
      <c r="I108">
        <v>60.564999999999998</v>
      </c>
      <c r="J108">
        <v>4.9613380678989998E-3</v>
      </c>
      <c r="K108" t="s">
        <v>1038</v>
      </c>
      <c r="L108" t="s">
        <v>932</v>
      </c>
    </row>
    <row r="109" spans="1:12" x14ac:dyDescent="0.25">
      <c r="A109">
        <v>2.7544322225657499E-2</v>
      </c>
      <c r="B109">
        <v>1.3803868113502E-2</v>
      </c>
      <c r="C109">
        <v>3.2814056779429501E-2</v>
      </c>
      <c r="D109">
        <v>1.3007743413415899E-2</v>
      </c>
      <c r="E109" t="s">
        <v>1550</v>
      </c>
      <c r="F109" t="s">
        <v>1443</v>
      </c>
      <c r="G109">
        <v>58.213999999999999</v>
      </c>
      <c r="H109">
        <v>8.1044574515982699E-3</v>
      </c>
      <c r="I109">
        <v>60.761000000000003</v>
      </c>
      <c r="J109">
        <v>3.2361925204327201E-3</v>
      </c>
      <c r="K109" t="s">
        <v>1039</v>
      </c>
      <c r="L109" t="s">
        <v>932</v>
      </c>
    </row>
    <row r="110" spans="1:12" x14ac:dyDescent="0.25">
      <c r="A110">
        <v>1.7773223680601899E-2</v>
      </c>
      <c r="B110">
        <v>1.36962800731413E-2</v>
      </c>
      <c r="C110">
        <v>2.76992412803541E-2</v>
      </c>
      <c r="D110">
        <v>2.2772194889475902E-2</v>
      </c>
      <c r="E110" t="s">
        <v>1551</v>
      </c>
      <c r="F110" t="s">
        <v>1443</v>
      </c>
      <c r="G110">
        <v>58.613</v>
      </c>
      <c r="H110">
        <v>6.8540213694301402E-3</v>
      </c>
      <c r="I110">
        <v>61.103999999999999</v>
      </c>
      <c r="J110">
        <v>5.6450683826796402E-3</v>
      </c>
      <c r="K110" t="s">
        <v>1040</v>
      </c>
      <c r="L110" t="s">
        <v>932</v>
      </c>
    </row>
    <row r="111" spans="1:12" x14ac:dyDescent="0.25">
      <c r="A111">
        <v>1.0067171002752701E-2</v>
      </c>
      <c r="B111">
        <v>2.65913479501769E-2</v>
      </c>
      <c r="C111">
        <v>9.5884799897107999E-3</v>
      </c>
      <c r="D111">
        <v>2.7578432526699701E-2</v>
      </c>
      <c r="E111" t="s">
        <v>1552</v>
      </c>
      <c r="F111" t="s">
        <v>1443</v>
      </c>
      <c r="G111">
        <v>58.753</v>
      </c>
      <c r="H111">
        <v>2.3885486154948698E-3</v>
      </c>
      <c r="I111">
        <v>61.521000000000001</v>
      </c>
      <c r="J111">
        <v>6.8244304791831301E-3</v>
      </c>
      <c r="K111" t="s">
        <v>1041</v>
      </c>
      <c r="L111" t="s">
        <v>932</v>
      </c>
    </row>
    <row r="112" spans="1:12" x14ac:dyDescent="0.25">
      <c r="A112">
        <v>1.05839184448571E-2</v>
      </c>
      <c r="B112">
        <v>9.2223862003817398E-3</v>
      </c>
      <c r="C112">
        <v>1.9268623425193102E-2</v>
      </c>
      <c r="D112">
        <v>1.0181522541022199E-2</v>
      </c>
      <c r="E112" t="s">
        <v>1553</v>
      </c>
      <c r="F112" t="s">
        <v>1443</v>
      </c>
      <c r="G112">
        <v>59.033999999999999</v>
      </c>
      <c r="H112">
        <v>4.7827344986639498E-3</v>
      </c>
      <c r="I112">
        <v>61.677</v>
      </c>
      <c r="J112">
        <v>2.5357195104109801E-3</v>
      </c>
      <c r="K112" t="s">
        <v>1042</v>
      </c>
      <c r="L112" t="s">
        <v>932</v>
      </c>
    </row>
    <row r="113" spans="1:12" x14ac:dyDescent="0.25">
      <c r="A113">
        <v>1.26121897911931E-2</v>
      </c>
      <c r="B113">
        <v>2.8333969394931401E-2</v>
      </c>
      <c r="C113">
        <v>3.3061309623051399E-2</v>
      </c>
      <c r="D113">
        <v>2.5996696664996499E-2</v>
      </c>
      <c r="E113" t="s">
        <v>1554</v>
      </c>
      <c r="F113" t="s">
        <v>1443</v>
      </c>
      <c r="G113">
        <v>59.515999999999998</v>
      </c>
      <c r="H113">
        <v>8.1647863942813093E-3</v>
      </c>
      <c r="I113">
        <v>62.073999999999998</v>
      </c>
      <c r="J113">
        <v>6.4367592457479396E-3</v>
      </c>
      <c r="K113" t="s">
        <v>1043</v>
      </c>
      <c r="L113" t="s">
        <v>932</v>
      </c>
    </row>
    <row r="114" spans="1:12" x14ac:dyDescent="0.25">
      <c r="A114">
        <v>3.2090280398078302E-4</v>
      </c>
      <c r="B114">
        <v>-1.66473304304918E-2</v>
      </c>
      <c r="C114">
        <v>6.3326118015940604E-3</v>
      </c>
      <c r="D114">
        <v>1.3539104320199301E-3</v>
      </c>
      <c r="E114" t="s">
        <v>1555</v>
      </c>
      <c r="F114" t="s">
        <v>1443</v>
      </c>
      <c r="G114">
        <v>59.61</v>
      </c>
      <c r="H114">
        <v>1.57940721822714E-3</v>
      </c>
      <c r="I114">
        <v>62.094999999999999</v>
      </c>
      <c r="J114">
        <v>3.3830589296646201E-4</v>
      </c>
      <c r="K114" t="s">
        <v>1044</v>
      </c>
      <c r="L114" t="s">
        <v>932</v>
      </c>
    </row>
    <row r="115" spans="1:12" x14ac:dyDescent="0.25">
      <c r="A115">
        <v>7.2384308298694099E-3</v>
      </c>
      <c r="B115">
        <v>2.5981704959145799E-2</v>
      </c>
      <c r="C115">
        <v>2.14418814289523E-2</v>
      </c>
      <c r="D115">
        <v>2.5146473935451202E-3</v>
      </c>
      <c r="E115" t="s">
        <v>1556</v>
      </c>
      <c r="F115" t="s">
        <v>1443</v>
      </c>
      <c r="G115">
        <v>59.927</v>
      </c>
      <c r="H115">
        <v>5.3178996812615099E-3</v>
      </c>
      <c r="I115">
        <v>62.134</v>
      </c>
      <c r="J115">
        <v>6.2806989290598004E-4</v>
      </c>
      <c r="K115" t="s">
        <v>1045</v>
      </c>
      <c r="L115" t="s">
        <v>932</v>
      </c>
    </row>
    <row r="116" spans="1:12" x14ac:dyDescent="0.25">
      <c r="A116">
        <v>1.2387156771827E-2</v>
      </c>
      <c r="B116">
        <v>2.6407820145390601E-2</v>
      </c>
      <c r="C116">
        <v>3.1605845001569703E-2</v>
      </c>
      <c r="D116">
        <v>2.4885302644445099E-2</v>
      </c>
      <c r="E116" t="s">
        <v>1557</v>
      </c>
      <c r="F116" t="s">
        <v>1443</v>
      </c>
      <c r="G116">
        <v>60.395000000000003</v>
      </c>
      <c r="H116">
        <v>7.8095015602317498E-3</v>
      </c>
      <c r="I116">
        <v>62.517000000000003</v>
      </c>
      <c r="J116">
        <v>6.1640969517495802E-3</v>
      </c>
      <c r="K116" t="s">
        <v>1046</v>
      </c>
      <c r="L116" t="s">
        <v>932</v>
      </c>
    </row>
    <row r="117" spans="1:12" x14ac:dyDescent="0.25">
      <c r="A117">
        <v>1.0631455336088899E-2</v>
      </c>
      <c r="B117">
        <v>1.29075602616771E-2</v>
      </c>
      <c r="C117">
        <v>3.6519198475668799E-2</v>
      </c>
      <c r="D117">
        <v>2.2777873103542599E-2</v>
      </c>
      <c r="E117" t="s">
        <v>1558</v>
      </c>
      <c r="F117" t="s">
        <v>1443</v>
      </c>
      <c r="G117">
        <v>60.939</v>
      </c>
      <c r="H117">
        <v>9.0073681596158899E-3</v>
      </c>
      <c r="I117">
        <v>62.87</v>
      </c>
      <c r="J117">
        <v>5.6464641617479704E-3</v>
      </c>
      <c r="K117" t="s">
        <v>1047</v>
      </c>
      <c r="L117" t="s">
        <v>932</v>
      </c>
    </row>
    <row r="118" spans="1:12" x14ac:dyDescent="0.25">
      <c r="A118">
        <v>7.8778546175835001E-3</v>
      </c>
      <c r="B118">
        <v>1.19346323256166E-2</v>
      </c>
      <c r="C118">
        <v>3.4639204699016303E-2</v>
      </c>
      <c r="D118">
        <v>1.61297394114919E-2</v>
      </c>
      <c r="E118" t="s">
        <v>1559</v>
      </c>
      <c r="F118" t="s">
        <v>1443</v>
      </c>
      <c r="G118">
        <v>61.46</v>
      </c>
      <c r="H118">
        <v>8.5495331396971998E-3</v>
      </c>
      <c r="I118">
        <v>63.122</v>
      </c>
      <c r="J118">
        <v>4.0082710354700799E-3</v>
      </c>
      <c r="K118" t="s">
        <v>1048</v>
      </c>
      <c r="L118" t="s">
        <v>932</v>
      </c>
    </row>
    <row r="119" spans="1:12" x14ac:dyDescent="0.25">
      <c r="A119">
        <v>2.2971603454798002E-2</v>
      </c>
      <c r="B119">
        <v>3.4068264295770097E-2</v>
      </c>
      <c r="C119">
        <v>6.1370356227924201E-2</v>
      </c>
      <c r="D119">
        <v>2.99883116478201E-2</v>
      </c>
      <c r="E119" t="s">
        <v>1560</v>
      </c>
      <c r="F119" t="s">
        <v>1443</v>
      </c>
      <c r="G119">
        <v>62.381999999999998</v>
      </c>
      <c r="H119">
        <v>1.5001627074519901E-2</v>
      </c>
      <c r="I119">
        <v>63.59</v>
      </c>
      <c r="J119">
        <v>7.4142137448116596E-3</v>
      </c>
      <c r="K119" t="s">
        <v>1049</v>
      </c>
      <c r="L119" t="s">
        <v>932</v>
      </c>
    </row>
    <row r="120" spans="1:12" x14ac:dyDescent="0.25">
      <c r="A120">
        <v>2.21977740334749E-2</v>
      </c>
      <c r="B120">
        <v>3.6824162588046098E-2</v>
      </c>
      <c r="C120">
        <v>5.6562220210462498E-2</v>
      </c>
      <c r="D120">
        <v>1.6964868305367399E-2</v>
      </c>
      <c r="E120" t="s">
        <v>1561</v>
      </c>
      <c r="F120" t="s">
        <v>1443</v>
      </c>
      <c r="G120">
        <v>63.246000000000002</v>
      </c>
      <c r="H120">
        <v>1.3850149081466E-2</v>
      </c>
      <c r="I120">
        <v>63.857999999999997</v>
      </c>
      <c r="J120">
        <v>4.2144991350840898E-3</v>
      </c>
      <c r="K120" t="s">
        <v>1050</v>
      </c>
      <c r="L120" t="s">
        <v>932</v>
      </c>
    </row>
    <row r="121" spans="1:12" x14ac:dyDescent="0.25">
      <c r="A121">
        <v>2.4473399596212499E-2</v>
      </c>
      <c r="B121">
        <v>5.00811045761866E-2</v>
      </c>
      <c r="C121">
        <v>4.9726482376824199E-2</v>
      </c>
      <c r="D121">
        <v>3.4513513517111301E-2</v>
      </c>
      <c r="E121" t="s">
        <v>1562</v>
      </c>
      <c r="F121" t="s">
        <v>1443</v>
      </c>
      <c r="G121">
        <v>64.018000000000001</v>
      </c>
      <c r="H121">
        <v>1.2206305537109099E-2</v>
      </c>
      <c r="I121">
        <v>64.402000000000001</v>
      </c>
      <c r="J121">
        <v>8.5189013122866104E-3</v>
      </c>
      <c r="K121" t="s">
        <v>1051</v>
      </c>
      <c r="L121" t="s">
        <v>932</v>
      </c>
    </row>
    <row r="122" spans="1:12" x14ac:dyDescent="0.25">
      <c r="A122">
        <v>3.2886107964122897E-2</v>
      </c>
      <c r="B122">
        <v>3.9540884737924602E-2</v>
      </c>
      <c r="C122">
        <v>5.7040318663066601E-2</v>
      </c>
      <c r="D122">
        <v>3.2054289459933799E-2</v>
      </c>
      <c r="E122" t="s">
        <v>1563</v>
      </c>
      <c r="F122" t="s">
        <v>1443</v>
      </c>
      <c r="G122">
        <v>64.912000000000006</v>
      </c>
      <c r="H122">
        <v>1.3964822393701899E-2</v>
      </c>
      <c r="I122">
        <v>64.912000000000006</v>
      </c>
      <c r="J122">
        <v>7.9190087264371396E-3</v>
      </c>
      <c r="K122" t="s">
        <v>1052</v>
      </c>
      <c r="L122" t="s">
        <v>932</v>
      </c>
    </row>
    <row r="123" spans="1:12" x14ac:dyDescent="0.25">
      <c r="A123">
        <v>1.9193585341739101E-2</v>
      </c>
      <c r="B123">
        <v>1.5459188057563401E-2</v>
      </c>
      <c r="C123">
        <v>4.2438786901308999E-2</v>
      </c>
      <c r="D123">
        <v>4.6322155050911397E-2</v>
      </c>
      <c r="E123" t="s">
        <v>1564</v>
      </c>
      <c r="F123" t="s">
        <v>1443</v>
      </c>
      <c r="G123">
        <v>65.59</v>
      </c>
      <c r="H123">
        <v>1.0444910032043399E-2</v>
      </c>
      <c r="I123">
        <v>65.650999999999996</v>
      </c>
      <c r="J123">
        <v>1.13846438254868E-2</v>
      </c>
      <c r="K123" t="s">
        <v>1053</v>
      </c>
      <c r="L123" t="s">
        <v>932</v>
      </c>
    </row>
    <row r="124" spans="1:12" x14ac:dyDescent="0.25">
      <c r="A124">
        <v>2.6053548554263901E-2</v>
      </c>
      <c r="B124">
        <v>2.8949345820011199E-2</v>
      </c>
      <c r="C124">
        <v>4.7728620369875199E-2</v>
      </c>
      <c r="D124">
        <v>2.6457667912965801E-2</v>
      </c>
      <c r="E124" t="s">
        <v>1565</v>
      </c>
      <c r="F124" t="s">
        <v>1443</v>
      </c>
      <c r="G124">
        <v>66.358999999999995</v>
      </c>
      <c r="H124">
        <v>1.1724348223814501E-2</v>
      </c>
      <c r="I124">
        <v>66.081000000000003</v>
      </c>
      <c r="J124">
        <v>6.5497859895509202E-3</v>
      </c>
      <c r="K124" t="s">
        <v>1054</v>
      </c>
      <c r="L124" t="s">
        <v>932</v>
      </c>
    </row>
    <row r="125" spans="1:12" x14ac:dyDescent="0.25">
      <c r="A125">
        <v>2.2816932316492001E-2</v>
      </c>
      <c r="B125">
        <v>1.82242710503548E-2</v>
      </c>
      <c r="C125">
        <v>5.7499642478727998E-2</v>
      </c>
      <c r="D125">
        <v>2.3755596803619598E-2</v>
      </c>
      <c r="E125" t="s">
        <v>1566</v>
      </c>
      <c r="F125" t="s">
        <v>1443</v>
      </c>
      <c r="G125">
        <v>67.293000000000006</v>
      </c>
      <c r="H125">
        <v>1.40749559215783E-2</v>
      </c>
      <c r="I125">
        <v>66.47</v>
      </c>
      <c r="J125">
        <v>5.8867147894250396E-3</v>
      </c>
      <c r="K125" t="s">
        <v>1055</v>
      </c>
      <c r="L125" t="s">
        <v>932</v>
      </c>
    </row>
    <row r="126" spans="1:12" x14ac:dyDescent="0.25">
      <c r="A126">
        <v>2.9937016463394299E-2</v>
      </c>
      <c r="B126">
        <v>6.8223280329673397E-3</v>
      </c>
      <c r="C126">
        <v>5.4456520671492398E-2</v>
      </c>
      <c r="D126">
        <v>2.4902004743710501E-2</v>
      </c>
      <c r="E126" t="s">
        <v>1567</v>
      </c>
      <c r="F126" t="s">
        <v>1443</v>
      </c>
      <c r="G126">
        <v>68.191000000000003</v>
      </c>
      <c r="H126">
        <v>1.33446272272004E-2</v>
      </c>
      <c r="I126">
        <v>66.88</v>
      </c>
      <c r="J126">
        <v>6.16819617872721E-3</v>
      </c>
      <c r="K126" t="s">
        <v>1056</v>
      </c>
      <c r="L126" t="s">
        <v>932</v>
      </c>
    </row>
    <row r="127" spans="1:12" x14ac:dyDescent="0.25">
      <c r="A127">
        <v>1.8884884410707199E-2</v>
      </c>
      <c r="B127">
        <v>2.1198789662036002E-2</v>
      </c>
      <c r="C127">
        <v>1.7060457300781501E-2</v>
      </c>
      <c r="D127">
        <v>1.0326833438175601E-2</v>
      </c>
      <c r="E127" t="s">
        <v>1568</v>
      </c>
      <c r="F127" t="s">
        <v>1443</v>
      </c>
      <c r="G127">
        <v>68.48</v>
      </c>
      <c r="H127">
        <v>4.2380959364138899E-3</v>
      </c>
      <c r="I127">
        <v>67.052000000000007</v>
      </c>
      <c r="J127">
        <v>2.5717703349283898E-3</v>
      </c>
      <c r="K127" t="s">
        <v>1057</v>
      </c>
      <c r="L127" t="s">
        <v>932</v>
      </c>
    </row>
    <row r="128" spans="1:12" x14ac:dyDescent="0.25">
      <c r="A128">
        <v>2.0085104332627801E-3</v>
      </c>
      <c r="B128">
        <v>2.5873085754739799E-2</v>
      </c>
      <c r="C128">
        <v>1.0084643678167899E-2</v>
      </c>
      <c r="D128">
        <v>1.25865662000337E-2</v>
      </c>
      <c r="E128" t="s">
        <v>1569</v>
      </c>
      <c r="F128" t="s">
        <v>1443</v>
      </c>
      <c r="G128">
        <v>68.652000000000001</v>
      </c>
      <c r="H128">
        <v>2.5116822429906999E-3</v>
      </c>
      <c r="I128">
        <v>67.262</v>
      </c>
      <c r="J128">
        <v>3.1318976316887502E-3</v>
      </c>
      <c r="K128" t="s">
        <v>1058</v>
      </c>
      <c r="L128" t="s">
        <v>932</v>
      </c>
    </row>
    <row r="129" spans="1:12" x14ac:dyDescent="0.25">
      <c r="A129">
        <v>1.65597149400032E-3</v>
      </c>
      <c r="B129">
        <v>2.61448943379867E-2</v>
      </c>
      <c r="C129">
        <v>4.4939487008062197E-3</v>
      </c>
      <c r="D129">
        <v>2.16417401943385E-2</v>
      </c>
      <c r="E129" t="s">
        <v>1570</v>
      </c>
      <c r="F129" t="s">
        <v>1443</v>
      </c>
      <c r="G129">
        <v>68.728999999999999</v>
      </c>
      <c r="H129">
        <v>1.1215987880905901E-3</v>
      </c>
      <c r="I129">
        <v>67.623000000000005</v>
      </c>
      <c r="J129">
        <v>5.3670720466236803E-3</v>
      </c>
      <c r="K129" t="s">
        <v>1059</v>
      </c>
      <c r="L129" t="s">
        <v>932</v>
      </c>
    </row>
    <row r="130" spans="1:12" x14ac:dyDescent="0.25">
      <c r="A130">
        <v>8.0448095256371293E-3</v>
      </c>
      <c r="B130">
        <v>2.6192779718551499E-2</v>
      </c>
      <c r="C130">
        <v>2.6210777008154801E-2</v>
      </c>
      <c r="D130">
        <v>1.77439998941584E-2</v>
      </c>
      <c r="E130" t="s">
        <v>1571</v>
      </c>
      <c r="F130" t="s">
        <v>1443</v>
      </c>
      <c r="G130">
        <v>69.174999999999997</v>
      </c>
      <c r="H130">
        <v>6.4892548996784401E-3</v>
      </c>
      <c r="I130">
        <v>67.921000000000006</v>
      </c>
      <c r="J130">
        <v>4.4067846738535801E-3</v>
      </c>
      <c r="K130" t="s">
        <v>1060</v>
      </c>
      <c r="L130" t="s">
        <v>932</v>
      </c>
    </row>
    <row r="131" spans="1:12" x14ac:dyDescent="0.25">
      <c r="A131">
        <v>2.9998743908273201E-2</v>
      </c>
      <c r="B131">
        <v>3.8349371649444103E-2</v>
      </c>
      <c r="C131">
        <v>3.99637104830428E-2</v>
      </c>
      <c r="D131">
        <v>2.19088618142655E-2</v>
      </c>
      <c r="E131" t="s">
        <v>1572</v>
      </c>
      <c r="F131" t="s">
        <v>1443</v>
      </c>
      <c r="G131">
        <v>69.855999999999995</v>
      </c>
      <c r="H131">
        <v>9.8445970365015293E-3</v>
      </c>
      <c r="I131">
        <v>68.290000000000006</v>
      </c>
      <c r="J131">
        <v>5.4327822028532599E-3</v>
      </c>
      <c r="K131" t="s">
        <v>1061</v>
      </c>
      <c r="L131" t="s">
        <v>932</v>
      </c>
    </row>
    <row r="132" spans="1:12" x14ac:dyDescent="0.25">
      <c r="A132">
        <v>2.0869776308943801E-2</v>
      </c>
      <c r="B132">
        <v>3.4801584391165798E-2</v>
      </c>
      <c r="C132">
        <v>3.3157579483975103E-2</v>
      </c>
      <c r="D132">
        <v>1.23573378485025E-2</v>
      </c>
      <c r="E132" t="s">
        <v>1573</v>
      </c>
      <c r="F132" t="s">
        <v>1443</v>
      </c>
      <c r="G132">
        <v>70.427999999999997</v>
      </c>
      <c r="H132">
        <v>8.1882730187814393E-3</v>
      </c>
      <c r="I132">
        <v>68.5</v>
      </c>
      <c r="J132">
        <v>3.07512080831729E-3</v>
      </c>
      <c r="K132" t="s">
        <v>1062</v>
      </c>
      <c r="L132" t="s">
        <v>932</v>
      </c>
    </row>
    <row r="133" spans="1:12" x14ac:dyDescent="0.25">
      <c r="A133">
        <v>1.8806157080279301E-2</v>
      </c>
      <c r="B133">
        <v>7.6203068975526894E-2</v>
      </c>
      <c r="C133">
        <v>4.04120889716926E-2</v>
      </c>
      <c r="D133">
        <v>6.9083360828583497E-3</v>
      </c>
      <c r="E133" t="s">
        <v>1574</v>
      </c>
      <c r="F133" t="s">
        <v>1443</v>
      </c>
      <c r="G133">
        <v>71.129000000000005</v>
      </c>
      <c r="H133">
        <v>9.9534276140171903E-3</v>
      </c>
      <c r="I133">
        <v>68.617999999999995</v>
      </c>
      <c r="J133">
        <v>1.7226277372262E-3</v>
      </c>
      <c r="K133" t="s">
        <v>1063</v>
      </c>
      <c r="L133" t="s">
        <v>932</v>
      </c>
    </row>
    <row r="134" spans="1:12" x14ac:dyDescent="0.25">
      <c r="A134">
        <v>3.0939531110064901E-2</v>
      </c>
      <c r="B134">
        <v>4.5343406532494003E-2</v>
      </c>
      <c r="C134">
        <v>6.4192818314913899E-2</v>
      </c>
      <c r="D134">
        <v>3.35839967225895E-2</v>
      </c>
      <c r="E134" t="s">
        <v>1575</v>
      </c>
      <c r="F134" t="s">
        <v>1443</v>
      </c>
      <c r="G134">
        <v>72.244</v>
      </c>
      <c r="H134">
        <v>1.5675744070632099E-2</v>
      </c>
      <c r="I134">
        <v>69.186999999999998</v>
      </c>
      <c r="J134">
        <v>8.2922848232243104E-3</v>
      </c>
      <c r="K134" t="s">
        <v>1064</v>
      </c>
      <c r="L134" t="s">
        <v>932</v>
      </c>
    </row>
    <row r="135" spans="1:12" x14ac:dyDescent="0.25">
      <c r="A135">
        <v>4.0077661469082298E-3</v>
      </c>
      <c r="B135">
        <v>2.8726975579467701E-2</v>
      </c>
      <c r="C135">
        <v>2.60483280529056E-3</v>
      </c>
      <c r="D135">
        <v>4.1691340309692997E-3</v>
      </c>
      <c r="E135" t="s">
        <v>1576</v>
      </c>
      <c r="F135" t="s">
        <v>1443</v>
      </c>
      <c r="G135">
        <v>72.290999999999997</v>
      </c>
      <c r="H135">
        <v>6.5057305797022703E-4</v>
      </c>
      <c r="I135">
        <v>69.259</v>
      </c>
      <c r="J135">
        <v>1.0406579270672001E-3</v>
      </c>
      <c r="K135" t="s">
        <v>1065</v>
      </c>
      <c r="L135" t="s">
        <v>932</v>
      </c>
    </row>
    <row r="136" spans="1:12" x14ac:dyDescent="0.25">
      <c r="A136">
        <v>2.6637470683258401E-2</v>
      </c>
      <c r="B136">
        <v>3.6701160751028999E-2</v>
      </c>
      <c r="C136">
        <v>3.2537484109284899E-2</v>
      </c>
      <c r="D136">
        <v>5.0920666130191998E-3</v>
      </c>
      <c r="E136" t="s">
        <v>1577</v>
      </c>
      <c r="F136" t="s">
        <v>1443</v>
      </c>
      <c r="G136">
        <v>72.872</v>
      </c>
      <c r="H136">
        <v>8.0369617241426994E-3</v>
      </c>
      <c r="I136">
        <v>69.346999999999994</v>
      </c>
      <c r="J136">
        <v>1.2705929915244299E-3</v>
      </c>
      <c r="K136" t="s">
        <v>1066</v>
      </c>
      <c r="L136" t="s">
        <v>932</v>
      </c>
    </row>
    <row r="137" spans="1:12" x14ac:dyDescent="0.25">
      <c r="A137">
        <v>1.9809591582912799E-2</v>
      </c>
      <c r="B137">
        <v>3.0297839189273201E-2</v>
      </c>
      <c r="C137">
        <v>3.6723057880070603E-2</v>
      </c>
      <c r="D137">
        <v>1.11208187291489E-2</v>
      </c>
      <c r="E137" t="s">
        <v>1578</v>
      </c>
      <c r="F137" t="s">
        <v>1443</v>
      </c>
      <c r="G137">
        <v>73.531999999999996</v>
      </c>
      <c r="H137">
        <v>9.0569766165331505E-3</v>
      </c>
      <c r="I137">
        <v>69.539000000000001</v>
      </c>
      <c r="J137">
        <v>2.7686850188184402E-3</v>
      </c>
      <c r="K137" t="s">
        <v>1067</v>
      </c>
      <c r="L137" t="s">
        <v>932</v>
      </c>
    </row>
    <row r="138" spans="1:12" x14ac:dyDescent="0.25">
      <c r="A138">
        <v>3.1204615634115699E-2</v>
      </c>
      <c r="B138">
        <v>3.4471201135703997E-2</v>
      </c>
      <c r="C138">
        <v>5.7672124037001303E-2</v>
      </c>
      <c r="D138">
        <v>2.6313046913832801E-2</v>
      </c>
      <c r="E138" t="s">
        <v>1579</v>
      </c>
      <c r="F138" t="s">
        <v>1443</v>
      </c>
      <c r="G138">
        <v>74.569999999999993</v>
      </c>
      <c r="H138">
        <v>1.41163031061307E-2</v>
      </c>
      <c r="I138">
        <v>69.992000000000004</v>
      </c>
      <c r="J138">
        <v>6.5143300881520504E-3</v>
      </c>
      <c r="K138" t="s">
        <v>1068</v>
      </c>
      <c r="L138" t="s">
        <v>932</v>
      </c>
    </row>
    <row r="139" spans="1:12" x14ac:dyDescent="0.25">
      <c r="A139">
        <v>2.7200294389546201E-2</v>
      </c>
      <c r="B139">
        <v>3.5181669062461299E-2</v>
      </c>
      <c r="C139">
        <v>5.42271951092188E-2</v>
      </c>
      <c r="D139">
        <v>7.5544557477534205E-2</v>
      </c>
      <c r="E139" t="s">
        <v>1580</v>
      </c>
      <c r="F139" t="s">
        <v>1443</v>
      </c>
      <c r="G139">
        <v>75.561000000000007</v>
      </c>
      <c r="H139">
        <v>1.3289526619284101E-2</v>
      </c>
      <c r="I139">
        <v>71.278000000000006</v>
      </c>
      <c r="J139">
        <v>1.8373528403245999E-2</v>
      </c>
      <c r="K139" t="s">
        <v>1069</v>
      </c>
      <c r="L139" t="s">
        <v>932</v>
      </c>
    </row>
    <row r="140" spans="1:12" x14ac:dyDescent="0.25">
      <c r="A140">
        <v>1.9813936050087699E-2</v>
      </c>
      <c r="B140">
        <v>3.71188179062025E-2</v>
      </c>
      <c r="C140">
        <v>5.5705667373545202E-2</v>
      </c>
      <c r="D140">
        <v>0.112118604043563</v>
      </c>
      <c r="E140" t="s">
        <v>1581</v>
      </c>
      <c r="F140" t="s">
        <v>1443</v>
      </c>
      <c r="G140">
        <v>76.591999999999999</v>
      </c>
      <c r="H140">
        <v>1.3644605021108799E-2</v>
      </c>
      <c r="I140">
        <v>73.197000000000003</v>
      </c>
      <c r="J140">
        <v>2.6922753163668899E-2</v>
      </c>
      <c r="K140" t="s">
        <v>1070</v>
      </c>
      <c r="L140" t="s">
        <v>932</v>
      </c>
    </row>
    <row r="141" spans="1:12" x14ac:dyDescent="0.25">
      <c r="A141">
        <v>3.4620969363609901E-2</v>
      </c>
      <c r="B141">
        <v>3.9499400752586601E-2</v>
      </c>
      <c r="C141">
        <v>6.4048552869122796E-2</v>
      </c>
      <c r="D141">
        <v>9.9586266592777403E-2</v>
      </c>
      <c r="E141" t="s">
        <v>1582</v>
      </c>
      <c r="F141" t="s">
        <v>1443</v>
      </c>
      <c r="G141">
        <v>77.790000000000006</v>
      </c>
      <c r="H141">
        <v>1.5641320242323099E-2</v>
      </c>
      <c r="I141">
        <v>74.954999999999998</v>
      </c>
      <c r="J141">
        <v>2.4017377761383699E-2</v>
      </c>
      <c r="K141" t="s">
        <v>1071</v>
      </c>
      <c r="L141" t="s">
        <v>932</v>
      </c>
    </row>
    <row r="142" spans="1:12" x14ac:dyDescent="0.25">
      <c r="A142">
        <v>2.34535899973984E-2</v>
      </c>
      <c r="B142">
        <v>5.3706890981395999E-2</v>
      </c>
      <c r="C142">
        <v>3.69057460702173E-2</v>
      </c>
      <c r="D142">
        <v>3.4210597371460802E-2</v>
      </c>
      <c r="E142" t="s">
        <v>1583</v>
      </c>
      <c r="F142" t="s">
        <v>1443</v>
      </c>
      <c r="G142">
        <v>78.498000000000005</v>
      </c>
      <c r="H142">
        <v>9.1014269186271406E-3</v>
      </c>
      <c r="I142">
        <v>75.587999999999994</v>
      </c>
      <c r="J142">
        <v>8.4450670402240694E-3</v>
      </c>
      <c r="K142" t="s">
        <v>1072</v>
      </c>
      <c r="L142" t="s">
        <v>932</v>
      </c>
    </row>
    <row r="143" spans="1:12" x14ac:dyDescent="0.25">
      <c r="A143">
        <v>2.5499802950129401E-2</v>
      </c>
      <c r="B143">
        <v>3.6566859174503898E-2</v>
      </c>
      <c r="C143">
        <v>4.6392177019789503E-2</v>
      </c>
      <c r="D143">
        <v>7.7400259900339399E-2</v>
      </c>
      <c r="E143" t="s">
        <v>1584</v>
      </c>
      <c r="F143" t="s">
        <v>1443</v>
      </c>
      <c r="G143">
        <v>79.393000000000001</v>
      </c>
      <c r="H143">
        <v>1.14015643710668E-2</v>
      </c>
      <c r="I143">
        <v>77.010000000000005</v>
      </c>
      <c r="J143">
        <v>1.8812509922210102E-2</v>
      </c>
      <c r="K143" t="s">
        <v>1073</v>
      </c>
      <c r="L143" t="s">
        <v>932</v>
      </c>
    </row>
    <row r="144" spans="1:12" x14ac:dyDescent="0.25">
      <c r="A144">
        <v>4.3914132970667798E-2</v>
      </c>
      <c r="B144">
        <v>4.2425430776049898E-2</v>
      </c>
      <c r="C144">
        <v>5.93159029125543E-2</v>
      </c>
      <c r="D144">
        <v>9.2099438138909306E-2</v>
      </c>
      <c r="E144" t="s">
        <v>1585</v>
      </c>
      <c r="F144" t="s">
        <v>1443</v>
      </c>
      <c r="G144">
        <v>80.545000000000002</v>
      </c>
      <c r="H144">
        <v>1.45100953484565E-2</v>
      </c>
      <c r="I144">
        <v>78.724999999999994</v>
      </c>
      <c r="J144">
        <v>2.2269835086352399E-2</v>
      </c>
      <c r="K144" t="s">
        <v>1074</v>
      </c>
      <c r="L144" t="s">
        <v>932</v>
      </c>
    </row>
    <row r="145" spans="1:12" x14ac:dyDescent="0.25">
      <c r="A145">
        <v>3.2225013743436802E-2</v>
      </c>
      <c r="B145">
        <v>2.9052051363888599E-2</v>
      </c>
      <c r="C145">
        <v>6.9322056053448003E-2</v>
      </c>
      <c r="D145">
        <v>5.6967190258747399E-2</v>
      </c>
      <c r="E145" t="s">
        <v>1586</v>
      </c>
      <c r="F145" t="s">
        <v>1443</v>
      </c>
      <c r="G145">
        <v>81.906000000000006</v>
      </c>
      <c r="H145">
        <v>1.68973865541002E-2</v>
      </c>
      <c r="I145">
        <v>79.822999999999993</v>
      </c>
      <c r="J145">
        <v>1.39472848523341E-2</v>
      </c>
      <c r="K145" t="s">
        <v>1075</v>
      </c>
      <c r="L145" t="s">
        <v>932</v>
      </c>
    </row>
    <row r="146" spans="1:12" x14ac:dyDescent="0.25">
      <c r="A146">
        <v>2.0935342800184199E-2</v>
      </c>
      <c r="B146">
        <v>3.4093201961780999E-2</v>
      </c>
      <c r="C146">
        <v>2.9725271896635399E-2</v>
      </c>
      <c r="D146">
        <v>2.50876168066392E-2</v>
      </c>
      <c r="E146" t="s">
        <v>1587</v>
      </c>
      <c r="F146" t="s">
        <v>1443</v>
      </c>
      <c r="G146">
        <v>82.507999999999996</v>
      </c>
      <c r="H146">
        <v>7.3498888970282604E-3</v>
      </c>
      <c r="I146">
        <v>80.319000000000003</v>
      </c>
      <c r="J146">
        <v>6.2137479172670301E-3</v>
      </c>
      <c r="K146" t="s">
        <v>1076</v>
      </c>
      <c r="L146" t="s">
        <v>932</v>
      </c>
    </row>
    <row r="147" spans="1:12" x14ac:dyDescent="0.25">
      <c r="A147">
        <v>3.5555363218846101E-2</v>
      </c>
      <c r="B147">
        <v>2.8135458399094499E-2</v>
      </c>
      <c r="C147">
        <v>5.61203132204302E-2</v>
      </c>
      <c r="D147">
        <v>9.1105361450751501E-2</v>
      </c>
      <c r="E147" t="s">
        <v>1588</v>
      </c>
      <c r="F147" t="s">
        <v>1443</v>
      </c>
      <c r="G147">
        <v>83.641999999999996</v>
      </c>
      <c r="H147">
        <v>1.37441217821301E-2</v>
      </c>
      <c r="I147">
        <v>82.088999999999999</v>
      </c>
      <c r="J147">
        <v>2.20371269562618E-2</v>
      </c>
      <c r="K147" t="s">
        <v>1077</v>
      </c>
      <c r="L147" t="s">
        <v>932</v>
      </c>
    </row>
    <row r="148" spans="1:12" x14ac:dyDescent="0.25">
      <c r="A148">
        <v>2.9090990484891902E-2</v>
      </c>
      <c r="B148">
        <v>2.9966625510563099E-2</v>
      </c>
      <c r="C148">
        <v>3.6843754178801799E-2</v>
      </c>
      <c r="D148">
        <v>5.6869734933791702E-2</v>
      </c>
      <c r="E148" t="s">
        <v>1589</v>
      </c>
      <c r="F148" t="s">
        <v>1443</v>
      </c>
      <c r="G148">
        <v>84.402000000000001</v>
      </c>
      <c r="H148">
        <v>9.0863441811530592E-3</v>
      </c>
      <c r="I148">
        <v>83.231999999999999</v>
      </c>
      <c r="J148">
        <v>1.39239118517707E-2</v>
      </c>
      <c r="K148" t="s">
        <v>1078</v>
      </c>
      <c r="L148" t="s">
        <v>932</v>
      </c>
    </row>
    <row r="149" spans="1:12" x14ac:dyDescent="0.25">
      <c r="A149">
        <v>-6.5707467210734897E-3</v>
      </c>
      <c r="B149">
        <v>2.09838687014814E-2</v>
      </c>
      <c r="C149">
        <v>3.0338463665483501E-2</v>
      </c>
      <c r="D149">
        <v>9.7213617262259494E-2</v>
      </c>
      <c r="E149" t="s">
        <v>1590</v>
      </c>
      <c r="F149" t="s">
        <v>1443</v>
      </c>
      <c r="G149">
        <v>85.034999999999997</v>
      </c>
      <c r="H149">
        <v>7.4998222790929603E-3</v>
      </c>
      <c r="I149">
        <v>85.185000000000002</v>
      </c>
      <c r="J149">
        <v>2.34645328719723E-2</v>
      </c>
      <c r="K149" t="s">
        <v>1079</v>
      </c>
      <c r="L149" t="s">
        <v>932</v>
      </c>
    </row>
    <row r="150" spans="1:12" x14ac:dyDescent="0.25">
      <c r="A150">
        <v>3.7059917165470399E-2</v>
      </c>
      <c r="B150">
        <v>3.4651107406359301E-2</v>
      </c>
      <c r="C150">
        <v>7.2299496950969405E-2</v>
      </c>
      <c r="D150">
        <v>0.104792955269219</v>
      </c>
      <c r="E150" t="s">
        <v>1591</v>
      </c>
      <c r="F150" t="s">
        <v>1443</v>
      </c>
      <c r="G150">
        <v>86.531999999999996</v>
      </c>
      <c r="H150">
        <v>1.7604515787616799E-2</v>
      </c>
      <c r="I150">
        <v>87.334000000000003</v>
      </c>
      <c r="J150">
        <v>2.5227446146622E-2</v>
      </c>
      <c r="K150" t="s">
        <v>1080</v>
      </c>
      <c r="L150" t="s">
        <v>932</v>
      </c>
    </row>
    <row r="151" spans="1:12" x14ac:dyDescent="0.25">
      <c r="A151">
        <v>3.4406916686266602E-2</v>
      </c>
      <c r="B151">
        <v>3.2361806516408201E-2</v>
      </c>
      <c r="C151">
        <v>4.4022069506022297E-2</v>
      </c>
      <c r="D151">
        <v>4.2476788274359099E-2</v>
      </c>
      <c r="E151" t="s">
        <v>1592</v>
      </c>
      <c r="F151" t="s">
        <v>1443</v>
      </c>
      <c r="G151">
        <v>87.468999999999994</v>
      </c>
      <c r="H151">
        <v>1.0828364073406401E-2</v>
      </c>
      <c r="I151">
        <v>88.247</v>
      </c>
      <c r="J151">
        <v>1.0454118670849799E-2</v>
      </c>
      <c r="K151" t="s">
        <v>1081</v>
      </c>
      <c r="L151" t="s">
        <v>932</v>
      </c>
    </row>
    <row r="152" spans="1:12" x14ac:dyDescent="0.25">
      <c r="A152">
        <v>2.2795387185985401E-2</v>
      </c>
      <c r="B152">
        <v>2.78463672712683E-2</v>
      </c>
      <c r="C152">
        <v>4.5480126137950501E-2</v>
      </c>
      <c r="D152">
        <v>3.9088464000031499E-2</v>
      </c>
      <c r="E152" t="s">
        <v>1593</v>
      </c>
      <c r="F152" t="s">
        <v>1443</v>
      </c>
      <c r="G152">
        <v>88.447000000000003</v>
      </c>
      <c r="H152">
        <v>1.11811041626177E-2</v>
      </c>
      <c r="I152">
        <v>89.096999999999994</v>
      </c>
      <c r="J152">
        <v>9.6320554806394992E-3</v>
      </c>
      <c r="K152" t="s">
        <v>1082</v>
      </c>
      <c r="L152" t="s">
        <v>932</v>
      </c>
    </row>
    <row r="153" spans="1:12" x14ac:dyDescent="0.25">
      <c r="A153">
        <v>4.1308326629664098E-2</v>
      </c>
      <c r="B153">
        <v>3.2459146974833902E-2</v>
      </c>
      <c r="C153">
        <v>6.2039731527971001E-2</v>
      </c>
      <c r="D153">
        <v>4.7886506250196997E-2</v>
      </c>
      <c r="E153" t="s">
        <v>1594</v>
      </c>
      <c r="F153" t="s">
        <v>1443</v>
      </c>
      <c r="G153">
        <v>89.787999999999997</v>
      </c>
      <c r="H153">
        <v>1.51616222144335E-2</v>
      </c>
      <c r="I153">
        <v>90.144999999999996</v>
      </c>
      <c r="J153">
        <v>1.1762461137861099E-2</v>
      </c>
      <c r="K153" t="s">
        <v>1083</v>
      </c>
      <c r="L153" t="s">
        <v>932</v>
      </c>
    </row>
    <row r="154" spans="1:12" x14ac:dyDescent="0.25">
      <c r="A154">
        <v>3.2954987594988598E-2</v>
      </c>
      <c r="B154">
        <v>3.4144429632388298E-2</v>
      </c>
      <c r="C154">
        <v>7.23147883586404E-2</v>
      </c>
      <c r="D154">
        <v>3.8436409888859401E-2</v>
      </c>
      <c r="E154" t="s">
        <v>1595</v>
      </c>
      <c r="F154" t="s">
        <v>1443</v>
      </c>
      <c r="G154">
        <v>91.369</v>
      </c>
      <c r="H154">
        <v>1.7608143627210901E-2</v>
      </c>
      <c r="I154">
        <v>90.998999999999995</v>
      </c>
      <c r="J154">
        <v>9.4736258250596207E-3</v>
      </c>
      <c r="K154" t="s">
        <v>1084</v>
      </c>
      <c r="L154" t="s">
        <v>932</v>
      </c>
    </row>
    <row r="155" spans="1:12" x14ac:dyDescent="0.25">
      <c r="A155">
        <v>3.9493950261418401E-2</v>
      </c>
      <c r="B155">
        <v>4.1602053152730099E-2</v>
      </c>
      <c r="C155">
        <v>6.3263019462217004E-2</v>
      </c>
      <c r="D155">
        <v>3.1126430511134499E-2</v>
      </c>
      <c r="E155" t="s">
        <v>1596</v>
      </c>
      <c r="F155" t="s">
        <v>1443</v>
      </c>
      <c r="G155">
        <v>92.781000000000006</v>
      </c>
      <c r="H155">
        <v>1.5453819129026301E-2</v>
      </c>
      <c r="I155">
        <v>91.698999999999998</v>
      </c>
      <c r="J155">
        <v>7.6923922240903497E-3</v>
      </c>
      <c r="K155" t="s">
        <v>1085</v>
      </c>
      <c r="L155" t="s">
        <v>932</v>
      </c>
    </row>
    <row r="156" spans="1:12" x14ac:dyDescent="0.25">
      <c r="A156">
        <v>4.3386852489040402E-2</v>
      </c>
      <c r="B156">
        <v>3.03408157550791E-2</v>
      </c>
      <c r="C156">
        <v>5.52136316684275E-2</v>
      </c>
      <c r="D156">
        <v>5.2701497522020399E-2</v>
      </c>
      <c r="E156" t="s">
        <v>1597</v>
      </c>
      <c r="F156" t="s">
        <v>1443</v>
      </c>
      <c r="G156">
        <v>94.036000000000001</v>
      </c>
      <c r="H156">
        <v>1.35264763259719E-2</v>
      </c>
      <c r="I156">
        <v>92.884</v>
      </c>
      <c r="J156">
        <v>1.29227145334192E-2</v>
      </c>
      <c r="K156" t="s">
        <v>1086</v>
      </c>
      <c r="L156" t="s">
        <v>932</v>
      </c>
    </row>
    <row r="157" spans="1:12" x14ac:dyDescent="0.25">
      <c r="A157">
        <v>-6.2360196436278902E-2</v>
      </c>
      <c r="B157">
        <v>-1.8917326805224201E-2</v>
      </c>
      <c r="C157">
        <v>-7.4155067193705196E-2</v>
      </c>
      <c r="D157">
        <v>7.5335045349203197E-2</v>
      </c>
      <c r="E157" t="s">
        <v>1598</v>
      </c>
      <c r="F157" t="s">
        <v>1443</v>
      </c>
      <c r="G157">
        <v>92.242000000000004</v>
      </c>
      <c r="H157">
        <v>-1.9077799991492599E-2</v>
      </c>
      <c r="I157">
        <v>94.585999999999999</v>
      </c>
      <c r="J157">
        <v>1.8323930924594199E-2</v>
      </c>
      <c r="K157" t="s">
        <v>1087</v>
      </c>
      <c r="L157" t="s">
        <v>932</v>
      </c>
    </row>
    <row r="158" spans="1:12" x14ac:dyDescent="0.25">
      <c r="A158">
        <v>-2.6731212813050201E-2</v>
      </c>
      <c r="B158">
        <v>-3.3135327897025703E-2</v>
      </c>
      <c r="C158">
        <v>-6.8462037949067106E-2</v>
      </c>
      <c r="D158">
        <v>2.5185264843212301E-2</v>
      </c>
      <c r="E158" t="s">
        <v>1599</v>
      </c>
      <c r="F158" t="s">
        <v>1443</v>
      </c>
      <c r="G158">
        <v>90.620999999999995</v>
      </c>
      <c r="H158">
        <v>-1.7573339693415201E-2</v>
      </c>
      <c r="I158">
        <v>95.176000000000002</v>
      </c>
      <c r="J158">
        <v>6.2377095976149403E-3</v>
      </c>
      <c r="K158" t="s">
        <v>1088</v>
      </c>
      <c r="L158" t="s">
        <v>932</v>
      </c>
    </row>
    <row r="159" spans="1:12" x14ac:dyDescent="0.25">
      <c r="A159">
        <v>1.6004255010514602E-2</v>
      </c>
      <c r="B159">
        <v>7.2471101838833497E-4</v>
      </c>
      <c r="C159">
        <v>1.9832196265286098E-2</v>
      </c>
      <c r="D159">
        <v>-3.4674689642026801E-2</v>
      </c>
      <c r="E159" t="s">
        <v>1600</v>
      </c>
      <c r="F159" t="s">
        <v>1443</v>
      </c>
      <c r="G159">
        <v>91.066999999999993</v>
      </c>
      <c r="H159">
        <v>4.9215965394333603E-3</v>
      </c>
      <c r="I159">
        <v>94.34</v>
      </c>
      <c r="J159">
        <v>-8.7837269899974108E-3</v>
      </c>
      <c r="K159" t="s">
        <v>1089</v>
      </c>
      <c r="L159" t="s">
        <v>932</v>
      </c>
    </row>
    <row r="160" spans="1:12" x14ac:dyDescent="0.25">
      <c r="A160">
        <v>2.78350080421834E-2</v>
      </c>
      <c r="B160">
        <v>1.22854862155337E-2</v>
      </c>
      <c r="C160">
        <v>3.47933032481611E-2</v>
      </c>
      <c r="D160">
        <v>-3.55556982427905E-2</v>
      </c>
      <c r="E160" t="s">
        <v>1601</v>
      </c>
      <c r="F160" t="s">
        <v>1443</v>
      </c>
      <c r="G160">
        <v>91.849000000000004</v>
      </c>
      <c r="H160">
        <v>8.5870842346844594E-3</v>
      </c>
      <c r="I160">
        <v>93.49</v>
      </c>
      <c r="J160">
        <v>-9.0099639601441996E-3</v>
      </c>
      <c r="K160" t="s">
        <v>1090</v>
      </c>
      <c r="L160" t="s">
        <v>932</v>
      </c>
    </row>
    <row r="161" spans="1:12" x14ac:dyDescent="0.25">
      <c r="A161">
        <v>3.1240948480233E-2</v>
      </c>
      <c r="B161">
        <v>3.11127095791379E-2</v>
      </c>
      <c r="C161">
        <v>3.76238534925952E-2</v>
      </c>
      <c r="D161">
        <v>-3.0769865450653898E-3</v>
      </c>
      <c r="E161" t="s">
        <v>1602</v>
      </c>
      <c r="F161" t="s">
        <v>1443</v>
      </c>
      <c r="G161">
        <v>92.700999999999993</v>
      </c>
      <c r="H161">
        <v>9.2760944593843798E-3</v>
      </c>
      <c r="I161">
        <v>93.418000000000006</v>
      </c>
      <c r="J161">
        <v>-7.7013584340557305E-4</v>
      </c>
      <c r="K161" t="s">
        <v>1091</v>
      </c>
      <c r="L161" t="s">
        <v>932</v>
      </c>
    </row>
    <row r="162" spans="1:12" x14ac:dyDescent="0.25">
      <c r="A162">
        <v>1.5538458112328299E-2</v>
      </c>
      <c r="B162">
        <v>2.5706833981413501E-2</v>
      </c>
      <c r="C162">
        <v>4.6975487060338501E-2</v>
      </c>
      <c r="D162">
        <v>1.13952226394907E-2</v>
      </c>
      <c r="E162" t="s">
        <v>1603</v>
      </c>
      <c r="F162" t="s">
        <v>1443</v>
      </c>
      <c r="G162">
        <v>93.771000000000001</v>
      </c>
      <c r="H162">
        <v>1.15424860573241E-2</v>
      </c>
      <c r="I162">
        <v>93.683000000000007</v>
      </c>
      <c r="J162">
        <v>2.8367124108843499E-3</v>
      </c>
      <c r="K162" t="s">
        <v>1092</v>
      </c>
      <c r="L162" t="s">
        <v>932</v>
      </c>
    </row>
    <row r="163" spans="1:12" x14ac:dyDescent="0.25">
      <c r="A163">
        <v>6.2204942357442202E-3</v>
      </c>
      <c r="B163">
        <v>3.1017939025557401E-2</v>
      </c>
      <c r="C163">
        <v>2.9062361366274402E-2</v>
      </c>
      <c r="D163">
        <v>1.7491325837778699E-2</v>
      </c>
      <c r="E163" t="s">
        <v>1604</v>
      </c>
      <c r="F163" t="s">
        <v>1443</v>
      </c>
      <c r="G163">
        <v>94.444999999999993</v>
      </c>
      <c r="H163">
        <v>7.18772328331774E-3</v>
      </c>
      <c r="I163">
        <v>94.09</v>
      </c>
      <c r="J163">
        <v>4.3444381584705196E-3</v>
      </c>
      <c r="K163" t="s">
        <v>1093</v>
      </c>
      <c r="L163" t="s">
        <v>932</v>
      </c>
    </row>
    <row r="164" spans="1:12" x14ac:dyDescent="0.25">
      <c r="A164">
        <v>7.72594376628044E-3</v>
      </c>
      <c r="B164">
        <v>1.59750935835106E-2</v>
      </c>
      <c r="C164">
        <v>2.3067349052007899E-2</v>
      </c>
      <c r="D164">
        <v>1.2643202128826501E-2</v>
      </c>
      <c r="E164" t="s">
        <v>1605</v>
      </c>
      <c r="F164" t="s">
        <v>1443</v>
      </c>
      <c r="G164">
        <v>94.984999999999999</v>
      </c>
      <c r="H164">
        <v>5.7176134258034601E-3</v>
      </c>
      <c r="I164">
        <v>94.385999999999996</v>
      </c>
      <c r="J164">
        <v>3.1459241152087501E-3</v>
      </c>
      <c r="K164" t="s">
        <v>1094</v>
      </c>
      <c r="L164" t="s">
        <v>932</v>
      </c>
    </row>
    <row r="165" spans="1:12" x14ac:dyDescent="0.25">
      <c r="A165">
        <v>2.5862689650447499E-2</v>
      </c>
      <c r="B165">
        <v>3.29452826155043E-2</v>
      </c>
      <c r="C165">
        <v>3.7879756208726099E-2</v>
      </c>
      <c r="D165">
        <v>1.8090208281751299E-2</v>
      </c>
      <c r="E165" t="s">
        <v>1606</v>
      </c>
      <c r="F165" t="s">
        <v>1443</v>
      </c>
      <c r="G165">
        <v>95.872</v>
      </c>
      <c r="H165">
        <v>9.3383165763014607E-3</v>
      </c>
      <c r="I165">
        <v>94.81</v>
      </c>
      <c r="J165">
        <v>4.4921916385904899E-3</v>
      </c>
      <c r="K165" t="s">
        <v>1095</v>
      </c>
      <c r="L165" t="s">
        <v>932</v>
      </c>
    </row>
    <row r="166" spans="1:12" x14ac:dyDescent="0.25">
      <c r="A166">
        <v>3.4016266815046298E-2</v>
      </c>
      <c r="B166">
        <v>3.64259738306612E-2</v>
      </c>
      <c r="C166">
        <v>4.5137017344844002E-2</v>
      </c>
      <c r="D166">
        <v>2.4394704867924499E-2</v>
      </c>
      <c r="E166" t="s">
        <v>1607</v>
      </c>
      <c r="F166" t="s">
        <v>1443</v>
      </c>
      <c r="G166">
        <v>96.936000000000007</v>
      </c>
      <c r="H166">
        <v>1.10981308411215E-2</v>
      </c>
      <c r="I166">
        <v>95.382999999999996</v>
      </c>
      <c r="J166">
        <v>6.0436662799281402E-3</v>
      </c>
      <c r="K166" t="s">
        <v>1096</v>
      </c>
      <c r="L166" t="s">
        <v>932</v>
      </c>
    </row>
    <row r="167" spans="1:12" x14ac:dyDescent="0.25">
      <c r="A167">
        <v>3.9906323464895102E-2</v>
      </c>
      <c r="B167">
        <v>3.6682670107609103E-2</v>
      </c>
      <c r="C167">
        <v>5.0829697512543702E-2</v>
      </c>
      <c r="D167">
        <v>4.1043493786856698E-2</v>
      </c>
      <c r="E167" t="s">
        <v>1608</v>
      </c>
      <c r="F167" t="s">
        <v>1443</v>
      </c>
      <c r="G167">
        <v>98.144999999999996</v>
      </c>
      <c r="H167">
        <v>1.24721465709332E-2</v>
      </c>
      <c r="I167">
        <v>96.346999999999994</v>
      </c>
      <c r="J167">
        <v>1.01066227734501E-2</v>
      </c>
      <c r="K167" t="s">
        <v>1097</v>
      </c>
      <c r="L167" t="s">
        <v>932</v>
      </c>
    </row>
    <row r="168" spans="1:12" x14ac:dyDescent="0.25">
      <c r="A168">
        <v>1.8640626124373699E-2</v>
      </c>
      <c r="B168">
        <v>1.39908352832361E-2</v>
      </c>
      <c r="C168">
        <v>1.5247657751557699E-2</v>
      </c>
      <c r="D168">
        <v>4.5983903903995101E-2</v>
      </c>
      <c r="E168" t="s">
        <v>1609</v>
      </c>
      <c r="F168" t="s">
        <v>1443</v>
      </c>
      <c r="G168">
        <v>98.516999999999996</v>
      </c>
      <c r="H168">
        <v>3.7903102552345699E-3</v>
      </c>
      <c r="I168">
        <v>97.436000000000007</v>
      </c>
      <c r="J168">
        <v>1.13028947450362E-2</v>
      </c>
      <c r="K168" t="s">
        <v>1098</v>
      </c>
      <c r="L168" t="s">
        <v>932</v>
      </c>
    </row>
    <row r="169" spans="1:12" x14ac:dyDescent="0.25">
      <c r="A169">
        <v>1.32561299755005E-2</v>
      </c>
      <c r="B169">
        <v>-5.33618345022691E-3</v>
      </c>
      <c r="C169">
        <v>-1.40950235359611E-2</v>
      </c>
      <c r="D169">
        <v>3.8137779822804398E-2</v>
      </c>
      <c r="E169" t="s">
        <v>1610</v>
      </c>
      <c r="F169" t="s">
        <v>1443</v>
      </c>
      <c r="G169">
        <v>98.168000000000006</v>
      </c>
      <c r="H169">
        <v>-3.54253580600294E-3</v>
      </c>
      <c r="I169">
        <v>98.352000000000004</v>
      </c>
      <c r="J169">
        <v>9.4010427357444897E-3</v>
      </c>
      <c r="K169" t="s">
        <v>1099</v>
      </c>
      <c r="L169" t="s">
        <v>932</v>
      </c>
    </row>
    <row r="170" spans="1:12" x14ac:dyDescent="0.25">
      <c r="A170">
        <v>2.6761481120787502E-2</v>
      </c>
      <c r="B170">
        <v>1.39201532997375E-2</v>
      </c>
      <c r="C170">
        <v>5.4116713606157101E-2</v>
      </c>
      <c r="D170">
        <v>3.0312571909831599E-2</v>
      </c>
      <c r="E170" t="s">
        <v>1611</v>
      </c>
      <c r="F170" t="s">
        <v>1443</v>
      </c>
      <c r="G170">
        <v>99.47</v>
      </c>
      <c r="H170">
        <v>1.32629777524242E-2</v>
      </c>
      <c r="I170">
        <v>99.088999999999999</v>
      </c>
      <c r="J170">
        <v>7.4934927606962196E-3</v>
      </c>
      <c r="K170" t="s">
        <v>1100</v>
      </c>
      <c r="L170" t="s">
        <v>932</v>
      </c>
    </row>
    <row r="171" spans="1:12" x14ac:dyDescent="0.25">
      <c r="A171">
        <v>9.7203652064314899E-3</v>
      </c>
      <c r="B171">
        <v>8.8550245823753003E-3</v>
      </c>
      <c r="C171">
        <v>-6.9787462524018001E-3</v>
      </c>
      <c r="D171">
        <v>3.2273930792219303E-2</v>
      </c>
      <c r="E171" t="s">
        <v>1612</v>
      </c>
      <c r="F171" t="s">
        <v>1443</v>
      </c>
      <c r="G171">
        <v>99.296000000000006</v>
      </c>
      <c r="H171">
        <v>-1.7492711370261599E-3</v>
      </c>
      <c r="I171">
        <v>99.879000000000005</v>
      </c>
      <c r="J171">
        <v>7.9726306653615797E-3</v>
      </c>
      <c r="K171" t="s">
        <v>1101</v>
      </c>
      <c r="L171" t="s">
        <v>932</v>
      </c>
    </row>
    <row r="172" spans="1:12" x14ac:dyDescent="0.25">
      <c r="A172">
        <v>1.1676944984941699E-2</v>
      </c>
      <c r="B172">
        <v>7.7077122555302396E-3</v>
      </c>
      <c r="C172">
        <v>2.44311343320835E-2</v>
      </c>
      <c r="D172">
        <v>2.17207841742009E-2</v>
      </c>
      <c r="E172" t="s">
        <v>1613</v>
      </c>
      <c r="F172" t="s">
        <v>1443</v>
      </c>
      <c r="G172">
        <v>99.897000000000006</v>
      </c>
      <c r="H172">
        <v>6.0526103770543998E-3</v>
      </c>
      <c r="I172">
        <v>100.417</v>
      </c>
      <c r="J172">
        <v>5.3865176864005297E-3</v>
      </c>
      <c r="K172" t="s">
        <v>1102</v>
      </c>
      <c r="L172" t="s">
        <v>932</v>
      </c>
    </row>
    <row r="173" spans="1:12" x14ac:dyDescent="0.25">
      <c r="A173">
        <v>2.2614716677978E-2</v>
      </c>
      <c r="B173">
        <v>4.9632662336496196E-3</v>
      </c>
      <c r="C173">
        <v>5.8918140200379103E-2</v>
      </c>
      <c r="D173">
        <v>7.9104688711333394E-3</v>
      </c>
      <c r="E173" t="s">
        <v>1614</v>
      </c>
      <c r="F173" t="s">
        <v>1443</v>
      </c>
      <c r="G173">
        <v>101.337</v>
      </c>
      <c r="H173">
        <v>1.4414847292711501E-2</v>
      </c>
      <c r="I173">
        <v>100.61499999999999</v>
      </c>
      <c r="J173">
        <v>1.9717776870449301E-3</v>
      </c>
      <c r="K173" t="s">
        <v>1103</v>
      </c>
      <c r="L173" t="s">
        <v>932</v>
      </c>
    </row>
    <row r="174" spans="1:12" x14ac:dyDescent="0.25">
      <c r="A174">
        <v>1.45079389824292E-2</v>
      </c>
      <c r="B174">
        <v>-1.9949826125076301E-4</v>
      </c>
      <c r="C174">
        <v>5.3376513955371498E-2</v>
      </c>
      <c r="D174">
        <v>1.6319173615011201E-2</v>
      </c>
      <c r="E174" t="s">
        <v>1615</v>
      </c>
      <c r="F174" t="s">
        <v>1443</v>
      </c>
      <c r="G174">
        <v>102.663</v>
      </c>
      <c r="H174">
        <v>1.3085052843482501E-2</v>
      </c>
      <c r="I174">
        <v>101.023</v>
      </c>
      <c r="J174">
        <v>4.05506137255873E-3</v>
      </c>
      <c r="K174" t="s">
        <v>1104</v>
      </c>
      <c r="L174" t="s">
        <v>932</v>
      </c>
    </row>
    <row r="175" spans="1:12" x14ac:dyDescent="0.25">
      <c r="A175">
        <v>2.8548469670495202E-3</v>
      </c>
      <c r="B175">
        <v>7.9245575399269404E-3</v>
      </c>
      <c r="C175">
        <v>2.14833879994034E-2</v>
      </c>
      <c r="D175">
        <v>2.0547855013869399E-2</v>
      </c>
      <c r="E175" t="s">
        <v>1616</v>
      </c>
      <c r="F175" t="s">
        <v>1443</v>
      </c>
      <c r="G175">
        <v>103.21</v>
      </c>
      <c r="H175">
        <v>5.3281123676494103E-3</v>
      </c>
      <c r="I175">
        <v>101.538</v>
      </c>
      <c r="J175">
        <v>5.0978490046820202E-3</v>
      </c>
      <c r="K175" t="s">
        <v>1105</v>
      </c>
      <c r="L175" t="s">
        <v>932</v>
      </c>
    </row>
    <row r="176" spans="1:12" x14ac:dyDescent="0.25">
      <c r="A176">
        <v>1.6326843500240801E-2</v>
      </c>
      <c r="B176">
        <v>1.3006397529373E-2</v>
      </c>
      <c r="C176">
        <v>3.4225885044726997E-2</v>
      </c>
      <c r="D176">
        <v>2.1723337040250802E-2</v>
      </c>
      <c r="E176" t="s">
        <v>1617</v>
      </c>
      <c r="F176" t="s">
        <v>1443</v>
      </c>
      <c r="G176">
        <v>104.08199999999999</v>
      </c>
      <c r="H176">
        <v>8.4487937215385108E-3</v>
      </c>
      <c r="I176">
        <v>102.08499999999999</v>
      </c>
      <c r="J176">
        <v>5.3871456991470001E-3</v>
      </c>
      <c r="K176" t="s">
        <v>1106</v>
      </c>
      <c r="L176" t="s">
        <v>932</v>
      </c>
    </row>
    <row r="177" spans="1:12" x14ac:dyDescent="0.25">
      <c r="A177">
        <v>1.6859105016114002E-2</v>
      </c>
      <c r="B177">
        <v>6.2259222369993199E-2</v>
      </c>
      <c r="C177">
        <v>2.1461497744286601E-2</v>
      </c>
      <c r="D177">
        <v>3.0554089712781E-2</v>
      </c>
      <c r="E177" t="s">
        <v>1618</v>
      </c>
      <c r="F177" t="s">
        <v>1443</v>
      </c>
      <c r="G177">
        <v>104.636</v>
      </c>
      <c r="H177">
        <v>5.3227263119464104E-3</v>
      </c>
      <c r="I177">
        <v>102.85599999999999</v>
      </c>
      <c r="J177">
        <v>7.55252975461618E-3</v>
      </c>
      <c r="K177" t="s">
        <v>1107</v>
      </c>
      <c r="L177" t="s">
        <v>932</v>
      </c>
    </row>
    <row r="178" spans="1:12" x14ac:dyDescent="0.25">
      <c r="A178">
        <v>1.93744928521071E-2</v>
      </c>
      <c r="B178">
        <v>-1.02831916231174E-2</v>
      </c>
      <c r="C178">
        <v>3.4027993671362999E-2</v>
      </c>
      <c r="D178">
        <v>2.27077607090642E-2</v>
      </c>
      <c r="E178" t="s">
        <v>1619</v>
      </c>
      <c r="F178" t="s">
        <v>1443</v>
      </c>
      <c r="G178">
        <v>105.515</v>
      </c>
      <c r="H178">
        <v>8.4005504797584098E-3</v>
      </c>
      <c r="I178">
        <v>103.435</v>
      </c>
      <c r="J178">
        <v>5.6292292136579398E-3</v>
      </c>
      <c r="K178" t="s">
        <v>1108</v>
      </c>
      <c r="L178" t="s">
        <v>932</v>
      </c>
    </row>
    <row r="179" spans="1:12" x14ac:dyDescent="0.25">
      <c r="A179">
        <v>2.0192934056340501E-2</v>
      </c>
      <c r="B179">
        <v>1.7798477087045E-2</v>
      </c>
      <c r="C179">
        <v>1.2683683496116101E-2</v>
      </c>
      <c r="D179">
        <v>1.8378329285591199E-2</v>
      </c>
      <c r="E179" t="s">
        <v>1620</v>
      </c>
      <c r="F179" t="s">
        <v>1443</v>
      </c>
      <c r="G179">
        <v>105.848</v>
      </c>
      <c r="H179">
        <v>3.1559493910817702E-3</v>
      </c>
      <c r="I179">
        <v>103.907</v>
      </c>
      <c r="J179">
        <v>4.5632522840430801E-3</v>
      </c>
      <c r="K179" t="s">
        <v>1109</v>
      </c>
      <c r="L179" t="s">
        <v>932</v>
      </c>
    </row>
    <row r="180" spans="1:12" x14ac:dyDescent="0.25">
      <c r="A180">
        <v>1.13601398604235E-2</v>
      </c>
      <c r="B180">
        <v>1.8827452214838801E-2</v>
      </c>
      <c r="C180">
        <v>2.3098181930942801E-2</v>
      </c>
      <c r="D180">
        <v>1.94654703730235E-2</v>
      </c>
      <c r="E180" t="s">
        <v>1621</v>
      </c>
      <c r="F180" t="s">
        <v>1443</v>
      </c>
      <c r="G180">
        <v>106.45399999999999</v>
      </c>
      <c r="H180">
        <v>5.7251908396946903E-3</v>
      </c>
      <c r="I180">
        <v>104.40900000000001</v>
      </c>
      <c r="J180">
        <v>4.8312433233566E-3</v>
      </c>
      <c r="K180" t="s">
        <v>1110</v>
      </c>
      <c r="L180" t="s">
        <v>932</v>
      </c>
    </row>
    <row r="181" spans="1:12" x14ac:dyDescent="0.25">
      <c r="A181">
        <v>-4.6048768205230201E-3</v>
      </c>
      <c r="B181">
        <v>5.3720415632923001E-3</v>
      </c>
      <c r="C181">
        <v>-3.1150724387948299E-3</v>
      </c>
      <c r="D181">
        <v>7.0678568534106E-3</v>
      </c>
      <c r="E181" t="s">
        <v>1622</v>
      </c>
      <c r="F181" t="s">
        <v>1443</v>
      </c>
      <c r="G181">
        <v>106.371</v>
      </c>
      <c r="H181">
        <v>-7.7967948597512703E-4</v>
      </c>
      <c r="I181">
        <v>104.593</v>
      </c>
      <c r="J181">
        <v>1.76230018484991E-3</v>
      </c>
      <c r="K181" t="s">
        <v>1111</v>
      </c>
      <c r="L181" t="s">
        <v>932</v>
      </c>
    </row>
    <row r="182" spans="1:12" x14ac:dyDescent="0.25">
      <c r="A182">
        <v>-1.65067373701384E-2</v>
      </c>
      <c r="B182">
        <v>-6.4248737444822001E-3</v>
      </c>
      <c r="C182">
        <v>-3.9305105462135198E-2</v>
      </c>
      <c r="D182">
        <v>-1.18502082280647E-3</v>
      </c>
      <c r="E182" t="s">
        <v>1623</v>
      </c>
      <c r="F182" t="s">
        <v>1443</v>
      </c>
      <c r="G182">
        <v>105.31</v>
      </c>
      <c r="H182">
        <v>-9.9745231313045392E-3</v>
      </c>
      <c r="I182">
        <v>104.562</v>
      </c>
      <c r="J182">
        <v>-2.9638694750133698E-4</v>
      </c>
      <c r="K182" t="s">
        <v>1112</v>
      </c>
      <c r="L182" t="s">
        <v>932</v>
      </c>
    </row>
    <row r="183" spans="1:12" x14ac:dyDescent="0.25">
      <c r="A183">
        <v>1.9548766403745001E-2</v>
      </c>
      <c r="B183">
        <v>7.87290366046434E-3</v>
      </c>
      <c r="C183">
        <v>2.82887807392058E-2</v>
      </c>
      <c r="D183">
        <v>1.76749178700988E-2</v>
      </c>
      <c r="E183" t="s">
        <v>1624</v>
      </c>
      <c r="F183" t="s">
        <v>1443</v>
      </c>
      <c r="G183">
        <v>106.047</v>
      </c>
      <c r="H183">
        <v>6.9983857183553199E-3</v>
      </c>
      <c r="I183">
        <v>105.021</v>
      </c>
      <c r="J183">
        <v>4.3897400585299904E-3</v>
      </c>
      <c r="K183" t="s">
        <v>1113</v>
      </c>
      <c r="L183" t="s">
        <v>932</v>
      </c>
    </row>
    <row r="184" spans="1:12" x14ac:dyDescent="0.25">
      <c r="A184">
        <v>9.6917092109320997E-3</v>
      </c>
      <c r="B184">
        <v>6.1419866574232698E-3</v>
      </c>
      <c r="C184">
        <v>2.4162101667697402E-3</v>
      </c>
      <c r="D184">
        <v>1.1398511762960899E-2</v>
      </c>
      <c r="E184" t="s">
        <v>1625</v>
      </c>
      <c r="F184" t="s">
        <v>1443</v>
      </c>
      <c r="G184">
        <v>106.111</v>
      </c>
      <c r="H184">
        <v>6.0350599262592997E-4</v>
      </c>
      <c r="I184">
        <v>105.319</v>
      </c>
      <c r="J184">
        <v>2.8375277325487498E-3</v>
      </c>
      <c r="K184" t="s">
        <v>1114</v>
      </c>
      <c r="L184" t="s">
        <v>932</v>
      </c>
    </row>
    <row r="185" spans="1:12" x14ac:dyDescent="0.25">
      <c r="A185">
        <v>-3.9403871252573497E-3</v>
      </c>
      <c r="B185">
        <v>-3.1716537268759999E-3</v>
      </c>
      <c r="C185">
        <v>-1.5664221695060501E-2</v>
      </c>
      <c r="D185">
        <v>-2.2010123911118101E-3</v>
      </c>
      <c r="E185" t="s">
        <v>1626</v>
      </c>
      <c r="F185" t="s">
        <v>1443</v>
      </c>
      <c r="G185">
        <v>105.693</v>
      </c>
      <c r="H185">
        <v>-3.9392711405981098E-3</v>
      </c>
      <c r="I185">
        <v>105.261</v>
      </c>
      <c r="J185">
        <v>-5.5070784948596497E-4</v>
      </c>
      <c r="K185" t="s">
        <v>1115</v>
      </c>
      <c r="L185" t="s">
        <v>932</v>
      </c>
    </row>
    <row r="186" spans="1:12" x14ac:dyDescent="0.25">
      <c r="A186">
        <v>2.1316685833889801E-3</v>
      </c>
      <c r="B186">
        <v>-9.9615046560082004E-3</v>
      </c>
      <c r="C186">
        <v>-3.3665208430493802E-2</v>
      </c>
      <c r="D186">
        <v>-9.6550430027560995E-3</v>
      </c>
      <c r="E186" t="s">
        <v>1627</v>
      </c>
      <c r="F186" t="s">
        <v>1443</v>
      </c>
      <c r="G186">
        <v>104.792</v>
      </c>
      <c r="H186">
        <v>-8.5246894307096106E-3</v>
      </c>
      <c r="I186">
        <v>105.006</v>
      </c>
      <c r="J186">
        <v>-2.4225496622680702E-3</v>
      </c>
      <c r="K186" t="s">
        <v>1116</v>
      </c>
      <c r="L186" t="s">
        <v>932</v>
      </c>
    </row>
    <row r="187" spans="1:12" x14ac:dyDescent="0.25">
      <c r="A187">
        <v>2.5357857709627601E-2</v>
      </c>
      <c r="B187">
        <v>2.1698746196001199E-2</v>
      </c>
      <c r="C187">
        <v>3.0770998377488399E-2</v>
      </c>
      <c r="D187">
        <v>3.3008554152673703E-2</v>
      </c>
      <c r="E187" t="s">
        <v>1628</v>
      </c>
      <c r="F187" t="s">
        <v>1443</v>
      </c>
      <c r="G187">
        <v>105.589</v>
      </c>
      <c r="H187">
        <v>7.6055424078174099E-3</v>
      </c>
      <c r="I187">
        <v>105.86199999999999</v>
      </c>
      <c r="J187">
        <v>8.1519151286593202E-3</v>
      </c>
      <c r="K187" t="s">
        <v>1117</v>
      </c>
      <c r="L187" t="s">
        <v>932</v>
      </c>
    </row>
    <row r="188" spans="1:12" x14ac:dyDescent="0.25">
      <c r="A188">
        <v>1.5085753101185199E-2</v>
      </c>
      <c r="B188">
        <v>1.5625918949128799E-2</v>
      </c>
      <c r="C188">
        <v>1.5469326265677499E-2</v>
      </c>
      <c r="D188">
        <v>3.0262315011426702E-3</v>
      </c>
      <c r="E188" t="s">
        <v>1629</v>
      </c>
      <c r="F188" t="s">
        <v>1443</v>
      </c>
      <c r="G188">
        <v>105.995</v>
      </c>
      <c r="H188">
        <v>3.8450975006867299E-3</v>
      </c>
      <c r="I188">
        <v>105.94199999999999</v>
      </c>
      <c r="J188">
        <v>7.5570081804610101E-4</v>
      </c>
      <c r="K188" t="s">
        <v>1118</v>
      </c>
      <c r="L188" t="s">
        <v>932</v>
      </c>
    </row>
    <row r="189" spans="1:12" x14ac:dyDescent="0.25">
      <c r="A189">
        <v>1.9065277405527499E-2</v>
      </c>
      <c r="B189">
        <v>1.9426037707255001E-2</v>
      </c>
      <c r="C189">
        <v>1.98067429774604E-2</v>
      </c>
      <c r="D189">
        <v>1.9471921944120799E-2</v>
      </c>
      <c r="E189" t="s">
        <v>1630</v>
      </c>
      <c r="F189" t="s">
        <v>1443</v>
      </c>
      <c r="G189">
        <v>106.51600000000001</v>
      </c>
      <c r="H189">
        <v>4.9153261946317502E-3</v>
      </c>
      <c r="I189">
        <v>106.45399999999999</v>
      </c>
      <c r="J189">
        <v>4.8328330595985803E-3</v>
      </c>
      <c r="K189" t="s">
        <v>1119</v>
      </c>
      <c r="L189" t="s">
        <v>932</v>
      </c>
    </row>
    <row r="190" spans="1:12" x14ac:dyDescent="0.25">
      <c r="A190">
        <v>2.3896314746341098E-2</v>
      </c>
      <c r="B190">
        <v>1.9409885132803301E-2</v>
      </c>
      <c r="C190">
        <v>3.9514900887574103E-2</v>
      </c>
      <c r="D190">
        <v>2.7099611156277601E-2</v>
      </c>
      <c r="E190" t="s">
        <v>1631</v>
      </c>
      <c r="F190" t="s">
        <v>1443</v>
      </c>
      <c r="G190">
        <v>107.53400000000001</v>
      </c>
      <c r="H190">
        <v>9.5572496150813108E-3</v>
      </c>
      <c r="I190">
        <v>107.188</v>
      </c>
      <c r="J190">
        <v>6.8949969000695601E-3</v>
      </c>
      <c r="K190" t="s">
        <v>1120</v>
      </c>
      <c r="L190" t="s">
        <v>932</v>
      </c>
    </row>
    <row r="191" spans="1:12" x14ac:dyDescent="0.25">
      <c r="A191">
        <v>9.9328007831764892E-3</v>
      </c>
      <c r="B191">
        <v>1.3103273651826199E-2</v>
      </c>
      <c r="C191">
        <v>9.0306358829268501E-3</v>
      </c>
      <c r="D191">
        <v>2.1521193573355E-2</v>
      </c>
      <c r="E191" t="s">
        <v>1632</v>
      </c>
      <c r="F191" t="s">
        <v>1443</v>
      </c>
      <c r="G191">
        <v>107.80200000000001</v>
      </c>
      <c r="H191">
        <v>2.49223501404217E-3</v>
      </c>
      <c r="I191">
        <v>107.712</v>
      </c>
      <c r="J191">
        <v>4.8886069336120403E-3</v>
      </c>
      <c r="K191" t="s">
        <v>1121</v>
      </c>
      <c r="L191" t="s">
        <v>932</v>
      </c>
    </row>
    <row r="192" spans="1:12" x14ac:dyDescent="0.25">
      <c r="A192">
        <v>1.4603017582518699E-2</v>
      </c>
      <c r="B192">
        <v>1.7788818797953999E-2</v>
      </c>
      <c r="C192">
        <v>3.6635495652026999E-2</v>
      </c>
      <c r="D192">
        <v>3.6311211479282998E-2</v>
      </c>
      <c r="E192" t="s">
        <v>1633</v>
      </c>
      <c r="F192" t="s">
        <v>1443</v>
      </c>
      <c r="G192">
        <v>108.785</v>
      </c>
      <c r="H192">
        <v>9.1185692287711895E-3</v>
      </c>
      <c r="I192">
        <v>108.676</v>
      </c>
      <c r="J192">
        <v>8.94979203802726E-3</v>
      </c>
      <c r="K192" t="s">
        <v>1122</v>
      </c>
      <c r="L192" t="s">
        <v>932</v>
      </c>
    </row>
    <row r="193" spans="1:12" x14ac:dyDescent="0.25">
      <c r="A193">
        <v>2.5719713356744601E-2</v>
      </c>
      <c r="B193">
        <v>2.90667642529692E-2</v>
      </c>
      <c r="C193">
        <v>5.7042627848445E-2</v>
      </c>
      <c r="D193">
        <v>2.3197124388088401E-2</v>
      </c>
      <c r="E193" t="s">
        <v>1634</v>
      </c>
      <c r="F193" t="s">
        <v>1443</v>
      </c>
      <c r="G193">
        <v>110.252</v>
      </c>
      <c r="H193">
        <v>1.3485315071011699E-2</v>
      </c>
      <c r="I193">
        <v>109.285</v>
      </c>
      <c r="J193">
        <v>5.6038131694209304E-3</v>
      </c>
      <c r="K193" t="s">
        <v>1123</v>
      </c>
      <c r="L193" t="s">
        <v>932</v>
      </c>
    </row>
    <row r="194" spans="1:12" x14ac:dyDescent="0.25">
      <c r="A194">
        <v>2.9147369447939799E-2</v>
      </c>
      <c r="B194">
        <v>4.11537159385129E-2</v>
      </c>
      <c r="C194">
        <v>5.2316315130779299E-2</v>
      </c>
      <c r="D194">
        <v>3.8107075575473298E-2</v>
      </c>
      <c r="E194" t="s">
        <v>1635</v>
      </c>
      <c r="F194" t="s">
        <v>1443</v>
      </c>
      <c r="G194">
        <v>111.627</v>
      </c>
      <c r="H194">
        <v>1.24714290897217E-2</v>
      </c>
      <c r="I194">
        <v>110.291</v>
      </c>
      <c r="J194">
        <v>9.2052889234570702E-3</v>
      </c>
      <c r="K194" t="s">
        <v>1124</v>
      </c>
      <c r="L194" t="s">
        <v>932</v>
      </c>
    </row>
    <row r="195" spans="1:12" x14ac:dyDescent="0.25">
      <c r="A195">
        <v>2.1663179127611398E-2</v>
      </c>
      <c r="B195">
        <v>2.95524402709311E-2</v>
      </c>
      <c r="C195">
        <v>4.1414814571916599E-2</v>
      </c>
      <c r="D195">
        <v>5.71493007542314E-2</v>
      </c>
      <c r="E195" t="s">
        <v>1636</v>
      </c>
      <c r="F195" t="s">
        <v>1443</v>
      </c>
      <c r="G195">
        <v>112.81100000000001</v>
      </c>
      <c r="H195">
        <v>1.06067528465337E-2</v>
      </c>
      <c r="I195">
        <v>111.736</v>
      </c>
      <c r="J195">
        <v>1.3101703674824E-2</v>
      </c>
      <c r="K195" t="s">
        <v>1125</v>
      </c>
      <c r="L195" t="s">
        <v>932</v>
      </c>
    </row>
    <row r="196" spans="1:12" x14ac:dyDescent="0.25">
      <c r="A196">
        <v>1.4350946991545E-2</v>
      </c>
      <c r="B196">
        <v>2.3387558006987101E-2</v>
      </c>
      <c r="C196">
        <v>3.8836746328921902E-2</v>
      </c>
      <c r="D196">
        <v>2.9745006586506799E-2</v>
      </c>
      <c r="E196" t="s">
        <v>1637</v>
      </c>
      <c r="F196" t="s">
        <v>1443</v>
      </c>
      <c r="G196">
        <v>113.875</v>
      </c>
      <c r="H196">
        <v>9.4317043550717905E-3</v>
      </c>
      <c r="I196">
        <v>112.542</v>
      </c>
      <c r="J196">
        <v>7.2134316603422698E-3</v>
      </c>
      <c r="K196" t="s">
        <v>1126</v>
      </c>
      <c r="L196" t="s">
        <v>932</v>
      </c>
    </row>
    <row r="197" spans="1:12" x14ac:dyDescent="0.25">
      <c r="A197">
        <v>1.51565091171486E-2</v>
      </c>
      <c r="B197">
        <v>2.9652502701153601E-2</v>
      </c>
      <c r="C197">
        <v>1.6036274889288799E-2</v>
      </c>
      <c r="D197">
        <v>4.1912016313216102E-2</v>
      </c>
      <c r="E197" t="s">
        <v>1638</v>
      </c>
      <c r="F197" t="s">
        <v>1443</v>
      </c>
      <c r="G197">
        <v>114.43899999999999</v>
      </c>
      <c r="H197">
        <v>4.9527991218440998E-3</v>
      </c>
      <c r="I197">
        <v>113.715</v>
      </c>
      <c r="J197">
        <v>1.0422775497147801E-2</v>
      </c>
      <c r="K197" t="s">
        <v>1127</v>
      </c>
      <c r="L197" t="s">
        <v>932</v>
      </c>
    </row>
    <row r="198" spans="1:12" x14ac:dyDescent="0.25">
      <c r="A198">
        <v>8.3593342288621492E-3</v>
      </c>
      <c r="B198">
        <v>4.3357912415273203E-2</v>
      </c>
      <c r="C198">
        <v>-1.6750426853228501E-2</v>
      </c>
      <c r="D198">
        <v>1.5721372171975601E-2</v>
      </c>
      <c r="E198" t="s">
        <v>1639</v>
      </c>
      <c r="F198" t="s">
        <v>1443</v>
      </c>
      <c r="G198">
        <v>113.98</v>
      </c>
      <c r="H198">
        <v>-4.0108704200489996E-3</v>
      </c>
      <c r="I198">
        <v>114.175</v>
      </c>
      <c r="J198">
        <v>4.0452007211009304E-3</v>
      </c>
      <c r="K198" t="s">
        <v>1128</v>
      </c>
      <c r="L198" t="s">
        <v>932</v>
      </c>
    </row>
    <row r="199" spans="1:12" x14ac:dyDescent="0.25">
      <c r="A199">
        <v>2.4734353401226102E-2</v>
      </c>
      <c r="B199">
        <v>-2.6343933972632301E-2</v>
      </c>
      <c r="C199">
        <v>2.5813818283005E-2</v>
      </c>
      <c r="D199">
        <v>4.8037769815769002E-2</v>
      </c>
      <c r="E199" t="s">
        <v>1640</v>
      </c>
      <c r="F199" t="s">
        <v>1443</v>
      </c>
      <c r="G199">
        <v>114.758</v>
      </c>
      <c r="H199">
        <v>6.8257589050710896E-3</v>
      </c>
      <c r="I199">
        <v>115.41800000000001</v>
      </c>
      <c r="J199">
        <v>1.0886796584191E-2</v>
      </c>
      <c r="K199" t="s">
        <v>1129</v>
      </c>
      <c r="L199" t="s">
        <v>932</v>
      </c>
    </row>
    <row r="200" spans="1:12" x14ac:dyDescent="0.25">
      <c r="A200">
        <v>1.0490970472330399E-2</v>
      </c>
      <c r="B200">
        <v>1.0018821110834301E-2</v>
      </c>
      <c r="C200">
        <v>8.6124156242581903E-3</v>
      </c>
      <c r="D200">
        <v>1.9083730667159401E-2</v>
      </c>
      <c r="E200" t="s">
        <v>1641</v>
      </c>
      <c r="F200" t="s">
        <v>1443</v>
      </c>
      <c r="G200">
        <v>114.919</v>
      </c>
      <c r="H200">
        <v>1.40295229962173E-3</v>
      </c>
      <c r="I200">
        <v>115.982</v>
      </c>
      <c r="J200">
        <v>4.8865861477411796E-3</v>
      </c>
      <c r="K200" t="s">
        <v>1130</v>
      </c>
      <c r="L200" t="s">
        <v>932</v>
      </c>
    </row>
    <row r="201" spans="1:12" x14ac:dyDescent="0.25">
      <c r="A201">
        <v>1.45690487077856E-2</v>
      </c>
      <c r="B201">
        <v>1.6245763277308499E-2</v>
      </c>
      <c r="C201">
        <v>1.6996215944869601E-2</v>
      </c>
      <c r="D201">
        <v>5.8979339636946503E-3</v>
      </c>
      <c r="E201" t="s">
        <v>1642</v>
      </c>
      <c r="F201" t="s">
        <v>1443</v>
      </c>
      <c r="G201">
        <v>115.285</v>
      </c>
      <c r="H201">
        <v>3.1848519391919298E-3</v>
      </c>
      <c r="I201">
        <v>116.167</v>
      </c>
      <c r="J201">
        <v>1.59507509785994E-3</v>
      </c>
      <c r="K201" t="s">
        <v>1131</v>
      </c>
      <c r="L201" t="s">
        <v>932</v>
      </c>
    </row>
    <row r="202" spans="1:12" x14ac:dyDescent="0.25">
      <c r="A202">
        <v>1.46624987744557E-2</v>
      </c>
      <c r="B202">
        <v>1.3591255249432201E-2</v>
      </c>
      <c r="C202">
        <v>5.0660572456327199E-2</v>
      </c>
      <c r="D202">
        <v>1.0418465412080901E-2</v>
      </c>
      <c r="E202" t="s">
        <v>1643</v>
      </c>
      <c r="F202" t="s">
        <v>1443</v>
      </c>
      <c r="G202">
        <v>116.54600000000001</v>
      </c>
      <c r="H202">
        <v>1.09381099015484E-2</v>
      </c>
      <c r="I202">
        <v>116.5</v>
      </c>
      <c r="J202">
        <v>2.86656279322006E-3</v>
      </c>
      <c r="K202" t="s">
        <v>1132</v>
      </c>
      <c r="L202" t="s">
        <v>932</v>
      </c>
    </row>
    <row r="203" spans="1:12" x14ac:dyDescent="0.25">
      <c r="A203">
        <v>-1.7940859457881899E-2</v>
      </c>
      <c r="B203">
        <v>3.31045118831508E-3</v>
      </c>
      <c r="C203">
        <v>-1.06133933402519E-3</v>
      </c>
      <c r="D203">
        <v>-7.65559802497651E-3</v>
      </c>
      <c r="E203" t="s">
        <v>1644</v>
      </c>
      <c r="F203" t="s">
        <v>1443</v>
      </c>
      <c r="G203">
        <v>116.072</v>
      </c>
      <c r="H203">
        <v>-4.0670636486881398E-3</v>
      </c>
      <c r="I203">
        <v>116.19499999999999</v>
      </c>
      <c r="J203">
        <v>-2.61802575107306E-3</v>
      </c>
      <c r="K203" t="s">
        <v>1133</v>
      </c>
      <c r="L203" t="s">
        <v>932</v>
      </c>
    </row>
    <row r="204" spans="1:12" x14ac:dyDescent="0.25">
      <c r="A204">
        <v>3.3775526155126898E-2</v>
      </c>
      <c r="B204">
        <v>2.5959727144998501E-2</v>
      </c>
      <c r="C204">
        <v>3.4596703938155803E-2</v>
      </c>
      <c r="D204">
        <v>4.1355015452944698E-2</v>
      </c>
      <c r="E204" t="s">
        <v>1645</v>
      </c>
      <c r="F204" t="s">
        <v>1443</v>
      </c>
      <c r="G204">
        <v>116.51900000000001</v>
      </c>
      <c r="H204">
        <v>3.8510579640223001E-3</v>
      </c>
      <c r="I204">
        <v>117.285</v>
      </c>
      <c r="J204">
        <v>9.3807823056069103E-3</v>
      </c>
      <c r="K204" t="s">
        <v>1134</v>
      </c>
      <c r="L204" t="s">
        <v>932</v>
      </c>
    </row>
    <row r="205" spans="1:12" x14ac:dyDescent="0.25">
      <c r="A205">
        <v>1.6442937470855502E-2</v>
      </c>
      <c r="B205">
        <v>2.4447407360365301E-2</v>
      </c>
      <c r="C205">
        <v>5.1547958936444697E-2</v>
      </c>
      <c r="D205">
        <v>1.8415186976738801E-2</v>
      </c>
      <c r="E205" t="s">
        <v>1646</v>
      </c>
      <c r="F205" t="s">
        <v>1443</v>
      </c>
      <c r="G205">
        <v>117.593</v>
      </c>
      <c r="H205">
        <v>9.2173808563409398E-3</v>
      </c>
      <c r="I205">
        <v>117.706</v>
      </c>
      <c r="J205">
        <v>3.5895468303705999E-3</v>
      </c>
      <c r="K205" t="s">
        <v>1135</v>
      </c>
      <c r="L205" t="s">
        <v>932</v>
      </c>
    </row>
    <row r="206" spans="1:12" x14ac:dyDescent="0.25">
      <c r="A206">
        <v>4.5025943450948999E-2</v>
      </c>
      <c r="B206">
        <v>4.0827649049089101E-2</v>
      </c>
      <c r="C206">
        <v>9.2834286401326696E-2</v>
      </c>
      <c r="D206">
        <v>6.4160755006020101E-2</v>
      </c>
      <c r="E206" t="s">
        <v>1647</v>
      </c>
      <c r="F206" t="s">
        <v>1443</v>
      </c>
      <c r="G206">
        <v>119.419</v>
      </c>
      <c r="H206">
        <v>1.5528135178114201E-2</v>
      </c>
      <c r="I206">
        <v>119.416</v>
      </c>
      <c r="J206">
        <v>1.45277216114725E-2</v>
      </c>
      <c r="K206" t="s">
        <v>1136</v>
      </c>
      <c r="L206" t="s">
        <v>932</v>
      </c>
    </row>
    <row r="207" spans="1:12" x14ac:dyDescent="0.25">
      <c r="A207">
        <v>6.4441802743663304E-2</v>
      </c>
      <c r="B207">
        <v>4.1247362410053098E-2</v>
      </c>
      <c r="C207">
        <v>8.0575514620662397E-2</v>
      </c>
      <c r="D207">
        <v>0.104589902157439</v>
      </c>
      <c r="E207" t="s">
        <v>1648</v>
      </c>
      <c r="F207" t="s">
        <v>1443</v>
      </c>
      <c r="G207">
        <v>121.425</v>
      </c>
      <c r="H207">
        <v>1.6797996968656699E-2</v>
      </c>
      <c r="I207">
        <v>122.101</v>
      </c>
      <c r="J207">
        <v>2.24844241977624E-2</v>
      </c>
      <c r="K207" t="s">
        <v>1137</v>
      </c>
      <c r="L207" t="s">
        <v>932</v>
      </c>
    </row>
    <row r="208" spans="1:12" x14ac:dyDescent="0.25">
      <c r="A208">
        <v>5.5998846943190198E-2</v>
      </c>
      <c r="B208">
        <v>4.40178580952795E-2</v>
      </c>
      <c r="C208">
        <v>6.4680375979367696E-2</v>
      </c>
      <c r="D208">
        <v>9.3631239224950299E-2</v>
      </c>
      <c r="E208" t="s">
        <v>1649</v>
      </c>
      <c r="F208" t="s">
        <v>1443</v>
      </c>
      <c r="G208">
        <v>123.291</v>
      </c>
      <c r="H208">
        <v>1.53675108091413E-2</v>
      </c>
      <c r="I208">
        <v>124.71</v>
      </c>
      <c r="J208">
        <v>2.13675563672697E-2</v>
      </c>
      <c r="K208" t="s">
        <v>1138</v>
      </c>
      <c r="L208" t="s">
        <v>932</v>
      </c>
    </row>
    <row r="209" spans="1:12" x14ac:dyDescent="0.25">
      <c r="A209">
        <v>6.1859650545573498E-2</v>
      </c>
      <c r="B209">
        <v>4.34322998250962E-2</v>
      </c>
      <c r="C209">
        <v>8.4136934840178798E-2</v>
      </c>
      <c r="D209">
        <v>0.12124821634027599</v>
      </c>
      <c r="E209" t="s">
        <v>1650</v>
      </c>
      <c r="F209" t="s">
        <v>1443</v>
      </c>
      <c r="G209">
        <v>125.712</v>
      </c>
      <c r="H209">
        <v>1.96364698153151E-2</v>
      </c>
      <c r="I209">
        <v>128.44900000000001</v>
      </c>
      <c r="J209">
        <v>2.9981557212733798E-2</v>
      </c>
      <c r="K209" t="s">
        <v>1139</v>
      </c>
      <c r="L209" t="s">
        <v>932</v>
      </c>
    </row>
    <row r="210" spans="1:12" x14ac:dyDescent="0.25">
      <c r="A210">
        <v>7.4784916271317198E-2</v>
      </c>
      <c r="B210">
        <v>5.6798579453040801E-2</v>
      </c>
      <c r="C210">
        <v>0.10120576467409099</v>
      </c>
      <c r="D210">
        <v>0.12687792670398401</v>
      </c>
      <c r="E210" t="s">
        <v>1651</v>
      </c>
      <c r="F210" t="s">
        <v>1443</v>
      </c>
      <c r="G210">
        <v>129</v>
      </c>
      <c r="H210">
        <v>2.6155021000381799E-2</v>
      </c>
      <c r="I210">
        <v>132.33099999999999</v>
      </c>
      <c r="J210">
        <v>3.0222111499505398E-2</v>
      </c>
      <c r="K210" t="s">
        <v>1140</v>
      </c>
      <c r="L210" t="s">
        <v>932</v>
      </c>
    </row>
    <row r="211" spans="1:12" x14ac:dyDescent="0.25">
      <c r="A211">
        <v>7.2922192171477093E-2</v>
      </c>
      <c r="B211">
        <v>5.9959109255099501E-2</v>
      </c>
      <c r="C211">
        <v>0.15221841372862299</v>
      </c>
      <c r="D211">
        <v>0.13796693794697101</v>
      </c>
      <c r="E211" t="s">
        <v>1652</v>
      </c>
      <c r="F211" t="s">
        <v>1443</v>
      </c>
      <c r="G211">
        <v>133.62100000000001</v>
      </c>
      <c r="H211">
        <v>3.5821705426356799E-2</v>
      </c>
      <c r="I211">
        <v>136.69900000000001</v>
      </c>
      <c r="J211">
        <v>3.3008138682546297E-2</v>
      </c>
      <c r="K211" t="s">
        <v>1141</v>
      </c>
      <c r="L211" t="s">
        <v>932</v>
      </c>
    </row>
    <row r="212" spans="1:12" x14ac:dyDescent="0.25">
      <c r="A212">
        <v>4.1796200977757901E-2</v>
      </c>
      <c r="B212">
        <v>4.8377032065661102E-2</v>
      </c>
      <c r="C212">
        <v>8.9811228034972802E-3</v>
      </c>
      <c r="D212">
        <v>8.9581033951388098E-2</v>
      </c>
      <c r="E212" t="s">
        <v>1653</v>
      </c>
      <c r="F212" t="s">
        <v>1443</v>
      </c>
      <c r="H212">
        <v>1.10762503071244E-2</v>
      </c>
      <c r="J212">
        <v>1.10762503071244E-2</v>
      </c>
      <c r="K212" t="s">
        <v>1142</v>
      </c>
      <c r="L212" t="s">
        <v>1143</v>
      </c>
    </row>
    <row r="213" spans="1:12" x14ac:dyDescent="0.25">
      <c r="A213">
        <v>2.7447616796656402E-2</v>
      </c>
      <c r="B213">
        <v>2.3249618404576101E-2</v>
      </c>
      <c r="C213">
        <v>3.8298767461848897E-2</v>
      </c>
      <c r="D213">
        <v>3.8298767461848897E-2</v>
      </c>
      <c r="E213" t="s">
        <v>1654</v>
      </c>
      <c r="F213" t="s">
        <v>1655</v>
      </c>
      <c r="H213">
        <v>9.4401732935755992E-3</v>
      </c>
      <c r="J213">
        <v>9.4401732935755992E-3</v>
      </c>
      <c r="K213" t="s">
        <v>1144</v>
      </c>
      <c r="L213" t="s">
        <v>1143</v>
      </c>
    </row>
    <row r="214" spans="1:12" x14ac:dyDescent="0.25">
      <c r="A214">
        <v>2.49173870638888E-2</v>
      </c>
      <c r="B214">
        <v>2.1715756912072299E-2</v>
      </c>
      <c r="C214">
        <v>3.6085750781477598E-2</v>
      </c>
      <c r="D214">
        <v>3.6085750781477598E-2</v>
      </c>
      <c r="E214" t="s">
        <v>1656</v>
      </c>
      <c r="F214" t="s">
        <v>1655</v>
      </c>
      <c r="H214">
        <v>8.9018658885664497E-3</v>
      </c>
      <c r="J214">
        <v>8.9018658885664497E-3</v>
      </c>
      <c r="K214" t="s">
        <v>1145</v>
      </c>
      <c r="L214" t="s">
        <v>1143</v>
      </c>
    </row>
    <row r="215" spans="1:12" x14ac:dyDescent="0.25">
      <c r="A215">
        <v>2.33440010578361E-2</v>
      </c>
      <c r="B215">
        <v>2.1485909848918801E-2</v>
      </c>
      <c r="C215">
        <v>3.2005284910624002E-2</v>
      </c>
      <c r="D215">
        <v>3.2005284910624002E-2</v>
      </c>
      <c r="E215" t="s">
        <v>1657</v>
      </c>
      <c r="F215" t="s">
        <v>1655</v>
      </c>
      <c r="H215">
        <v>7.9070438771131606E-3</v>
      </c>
      <c r="J215">
        <v>7.9070438771131606E-3</v>
      </c>
      <c r="K215" t="s">
        <v>1146</v>
      </c>
      <c r="L215" t="s">
        <v>1143</v>
      </c>
    </row>
    <row r="216" spans="1:12" x14ac:dyDescent="0.25">
      <c r="A216">
        <v>2.2676579457354702E-2</v>
      </c>
      <c r="B216">
        <v>2.1729771469873E-2</v>
      </c>
      <c r="C216">
        <v>2.9538555790939999E-2</v>
      </c>
      <c r="D216">
        <v>2.9538555790939999E-2</v>
      </c>
      <c r="E216" t="s">
        <v>1658</v>
      </c>
      <c r="F216" t="s">
        <v>1655</v>
      </c>
      <c r="H216">
        <v>7.3042210756391101E-3</v>
      </c>
      <c r="J216">
        <v>7.3042210756391101E-3</v>
      </c>
      <c r="K216" t="s">
        <v>1147</v>
      </c>
      <c r="L216" t="s">
        <v>1143</v>
      </c>
    </row>
    <row r="217" spans="1:12" x14ac:dyDescent="0.25">
      <c r="A217">
        <v>2.2178287431426899E-2</v>
      </c>
      <c r="B217">
        <v>2.22727407121028E-2</v>
      </c>
      <c r="C217">
        <v>2.8512142036472E-2</v>
      </c>
      <c r="D217">
        <v>2.8512142036472E-2</v>
      </c>
      <c r="E217" t="s">
        <v>1659</v>
      </c>
      <c r="F217" t="s">
        <v>1655</v>
      </c>
      <c r="H217">
        <v>7.0530654325617901E-3</v>
      </c>
      <c r="J217">
        <v>7.0530654325617901E-3</v>
      </c>
      <c r="K217" t="s">
        <v>1148</v>
      </c>
      <c r="L217" t="s">
        <v>1143</v>
      </c>
    </row>
    <row r="218" spans="1:12" x14ac:dyDescent="0.25">
      <c r="A218">
        <v>2.1434276652948898E-2</v>
      </c>
      <c r="B218">
        <v>2.23623952750127E-2</v>
      </c>
      <c r="C218">
        <v>2.8283584176253401E-2</v>
      </c>
      <c r="D218">
        <v>2.8283584176253401E-2</v>
      </c>
      <c r="E218" t="s">
        <v>1660</v>
      </c>
      <c r="F218" t="s">
        <v>1655</v>
      </c>
      <c r="H218">
        <v>6.9971134735056202E-3</v>
      </c>
      <c r="J218">
        <v>6.9971134735056202E-3</v>
      </c>
      <c r="K218" t="s">
        <v>1149</v>
      </c>
      <c r="L218" t="s">
        <v>1143</v>
      </c>
    </row>
    <row r="219" spans="1:12" x14ac:dyDescent="0.25">
      <c r="A219">
        <v>2.10072065089228E-2</v>
      </c>
      <c r="B219">
        <v>2.2496789219665199E-2</v>
      </c>
      <c r="C219">
        <v>2.7654852328046001E-2</v>
      </c>
      <c r="D219">
        <v>2.7654852328046001E-2</v>
      </c>
      <c r="E219" t="s">
        <v>1661</v>
      </c>
      <c r="F219" t="s">
        <v>1655</v>
      </c>
      <c r="H219">
        <v>6.8431490448084302E-3</v>
      </c>
      <c r="J219">
        <v>6.8431490448084302E-3</v>
      </c>
      <c r="K219" t="s">
        <v>1150</v>
      </c>
      <c r="L219" t="s">
        <v>1143</v>
      </c>
    </row>
    <row r="220" spans="1:12" x14ac:dyDescent="0.25">
      <c r="A220">
        <v>2.0591622707038602E-2</v>
      </c>
      <c r="B220">
        <v>2.25123599902981E-2</v>
      </c>
      <c r="C220">
        <v>2.7753662335143502E-2</v>
      </c>
      <c r="D220">
        <v>2.7753662335143502E-2</v>
      </c>
      <c r="E220" t="s">
        <v>1662</v>
      </c>
      <c r="F220" t="s">
        <v>1655</v>
      </c>
      <c r="H220">
        <v>6.8673504076357502E-3</v>
      </c>
      <c r="J220">
        <v>6.8673504076357502E-3</v>
      </c>
      <c r="K220" t="s">
        <v>1151</v>
      </c>
      <c r="L220" t="s">
        <v>1143</v>
      </c>
    </row>
    <row r="221" spans="1:12" x14ac:dyDescent="0.25">
      <c r="A221">
        <v>2.0347186911993099E-2</v>
      </c>
      <c r="B221">
        <v>2.2891901714989799E-2</v>
      </c>
      <c r="C221">
        <v>2.8110399323646899E-2</v>
      </c>
      <c r="D221">
        <v>2.8110399323646899E-2</v>
      </c>
      <c r="E221" t="s">
        <v>1663</v>
      </c>
      <c r="F221" t="s">
        <v>1655</v>
      </c>
      <c r="H221">
        <v>6.9547108559351303E-3</v>
      </c>
      <c r="J221">
        <v>6.9547108559351303E-3</v>
      </c>
      <c r="K221" t="s">
        <v>1152</v>
      </c>
      <c r="L221" t="s">
        <v>1143</v>
      </c>
    </row>
    <row r="222" spans="1:12" x14ac:dyDescent="0.25">
      <c r="A222">
        <v>2.03844462174123E-2</v>
      </c>
      <c r="B222">
        <v>2.2688598137850801E-2</v>
      </c>
      <c r="C222">
        <v>2.89673943247446E-2</v>
      </c>
      <c r="D222">
        <v>2.89673943247446E-2</v>
      </c>
      <c r="E222" t="s">
        <v>1664</v>
      </c>
      <c r="F222" t="s">
        <v>1655</v>
      </c>
      <c r="H222">
        <v>7.1644853940870902E-3</v>
      </c>
      <c r="J222">
        <v>7.1644853940870902E-3</v>
      </c>
      <c r="K222" t="s">
        <v>1153</v>
      </c>
      <c r="L222" t="s">
        <v>1143</v>
      </c>
    </row>
    <row r="223" spans="1:12" x14ac:dyDescent="0.25">
      <c r="A223">
        <v>2.02121429685698E-2</v>
      </c>
      <c r="B223">
        <v>2.2861927422401802E-2</v>
      </c>
      <c r="C223">
        <v>2.97171972862664E-2</v>
      </c>
      <c r="D223">
        <v>2.97171972862664E-2</v>
      </c>
      <c r="E223" t="s">
        <v>1665</v>
      </c>
      <c r="F223" t="s">
        <v>1655</v>
      </c>
      <c r="H223">
        <v>7.3479141028771596E-3</v>
      </c>
      <c r="J223">
        <v>7.3479141028771596E-3</v>
      </c>
      <c r="K223" t="s">
        <v>1154</v>
      </c>
      <c r="L223" t="s">
        <v>1143</v>
      </c>
    </row>
    <row r="224" spans="1:12" x14ac:dyDescent="0.25">
      <c r="A224">
        <v>2.00951255413373E-2</v>
      </c>
      <c r="B224">
        <v>2.2789213164977801E-2</v>
      </c>
      <c r="C224">
        <v>2.9972823640437098E-2</v>
      </c>
      <c r="D224">
        <v>2.9972823640437098E-2</v>
      </c>
      <c r="E224" t="s">
        <v>1666</v>
      </c>
      <c r="F224" t="s">
        <v>1655</v>
      </c>
      <c r="H224">
        <v>7.4104265836887296E-3</v>
      </c>
      <c r="J224">
        <v>7.4104265836887296E-3</v>
      </c>
      <c r="K224" t="s">
        <v>1155</v>
      </c>
      <c r="L224" t="s">
        <v>1143</v>
      </c>
    </row>
    <row r="225" spans="1:12" x14ac:dyDescent="0.25">
      <c r="A225">
        <v>2.0005533751415599E-2</v>
      </c>
      <c r="B225">
        <v>2.30067515754304E-2</v>
      </c>
      <c r="C225">
        <v>3.0378543432117301E-2</v>
      </c>
      <c r="D225">
        <v>3.0378543432117301E-2</v>
      </c>
      <c r="E225" t="s">
        <v>1667</v>
      </c>
      <c r="F225" t="s">
        <v>1655</v>
      </c>
      <c r="H225">
        <v>7.5096199742570296E-3</v>
      </c>
      <c r="J225">
        <v>7.5096199742570296E-3</v>
      </c>
      <c r="K225" t="s">
        <v>1156</v>
      </c>
      <c r="L225" t="s">
        <v>1143</v>
      </c>
    </row>
    <row r="226" spans="1:12" x14ac:dyDescent="0.25">
      <c r="A226">
        <v>1.9992497685795502E-2</v>
      </c>
      <c r="B226">
        <v>2.28689196510703E-2</v>
      </c>
      <c r="C226">
        <v>3.0384347471833498E-2</v>
      </c>
      <c r="D226">
        <v>3.0384347471833498E-2</v>
      </c>
      <c r="E226" t="s">
        <v>1668</v>
      </c>
      <c r="F226" t="s">
        <v>1655</v>
      </c>
      <c r="H226">
        <v>7.5110387764860701E-3</v>
      </c>
      <c r="J226">
        <v>7.5110387764860701E-3</v>
      </c>
      <c r="K226" t="s">
        <v>1157</v>
      </c>
      <c r="L226" t="s">
        <v>1143</v>
      </c>
    </row>
    <row r="227" spans="1:12" x14ac:dyDescent="0.25">
      <c r="A227">
        <v>1.99491524210023E-2</v>
      </c>
      <c r="B227">
        <v>2.2952518060170599E-2</v>
      </c>
      <c r="C227">
        <v>3.0780667439755299E-2</v>
      </c>
      <c r="D227">
        <v>3.0780667439755299E-2</v>
      </c>
      <c r="E227" t="s">
        <v>1669</v>
      </c>
      <c r="F227" t="s">
        <v>1655</v>
      </c>
      <c r="H227">
        <v>7.6079053396602703E-3</v>
      </c>
      <c r="J227">
        <v>7.6079053396602703E-3</v>
      </c>
      <c r="K227" t="s">
        <v>1158</v>
      </c>
      <c r="L227" t="s">
        <v>1143</v>
      </c>
    </row>
    <row r="228" spans="1:12" x14ac:dyDescent="0.25">
      <c r="A228">
        <v>1.99785657506244E-2</v>
      </c>
      <c r="B228">
        <v>2.3092018308592099E-2</v>
      </c>
      <c r="C228">
        <v>3.09234356698747E-2</v>
      </c>
      <c r="D228">
        <v>3.09234356698747E-2</v>
      </c>
      <c r="E228" t="s">
        <v>1670</v>
      </c>
      <c r="F228" t="s">
        <v>1655</v>
      </c>
      <c r="H228">
        <v>7.6427931995954896E-3</v>
      </c>
      <c r="J228">
        <v>7.6427931995954896E-3</v>
      </c>
      <c r="K228" t="s">
        <v>1159</v>
      </c>
      <c r="L228" t="s">
        <v>1143</v>
      </c>
    </row>
    <row r="229" spans="1:12" x14ac:dyDescent="0.25">
      <c r="A229">
        <v>1.9973482507164499E-2</v>
      </c>
      <c r="B229">
        <v>2.29188557927167E-2</v>
      </c>
      <c r="C229">
        <v>3.0940126349132901E-2</v>
      </c>
      <c r="D229">
        <v>3.0940126349132901E-2</v>
      </c>
      <c r="E229" t="s">
        <v>1671</v>
      </c>
      <c r="F229" t="s">
        <v>1655</v>
      </c>
      <c r="H229">
        <v>7.6468716160857904E-3</v>
      </c>
      <c r="J229">
        <v>7.6468716160857904E-3</v>
      </c>
      <c r="K229" t="s">
        <v>1160</v>
      </c>
      <c r="L229" t="s">
        <v>1143</v>
      </c>
    </row>
    <row r="230" spans="1:12" x14ac:dyDescent="0.25">
      <c r="A230">
        <v>2.00262569988248E-2</v>
      </c>
      <c r="B230">
        <v>2.34219478386497E-2</v>
      </c>
      <c r="C230">
        <v>3.08963138434795E-2</v>
      </c>
      <c r="D230">
        <v>3.08963138434795E-2</v>
      </c>
      <c r="E230" t="s">
        <v>1672</v>
      </c>
      <c r="F230" t="s">
        <v>1655</v>
      </c>
      <c r="H230">
        <v>7.6361657960506398E-3</v>
      </c>
      <c r="J230">
        <v>7.6361657960506398E-3</v>
      </c>
      <c r="K230" t="s">
        <v>1161</v>
      </c>
      <c r="L230" t="s">
        <v>1143</v>
      </c>
    </row>
    <row r="231" spans="1:12" x14ac:dyDescent="0.25">
      <c r="A231">
        <v>2.0068184200822601E-2</v>
      </c>
      <c r="B231">
        <v>2.29559923804479E-2</v>
      </c>
      <c r="C231">
        <v>3.1171169586274899E-2</v>
      </c>
      <c r="D231">
        <v>3.1171169586274899E-2</v>
      </c>
      <c r="E231" t="s">
        <v>1673</v>
      </c>
      <c r="F231" t="s">
        <v>1655</v>
      </c>
      <c r="H231">
        <v>7.7033226228278E-3</v>
      </c>
      <c r="J231">
        <v>7.7033226228278E-3</v>
      </c>
      <c r="K231" t="s">
        <v>1162</v>
      </c>
      <c r="L231" t="s">
        <v>1143</v>
      </c>
    </row>
    <row r="232" spans="1:12" x14ac:dyDescent="0.25">
      <c r="A232">
        <v>2.00733299513789E-2</v>
      </c>
      <c r="B232">
        <v>2.3089907346120601E-2</v>
      </c>
      <c r="C232">
        <v>3.11290252355114E-2</v>
      </c>
      <c r="D232">
        <v>3.11290252355114E-2</v>
      </c>
      <c r="E232" t="s">
        <v>1674</v>
      </c>
      <c r="F232" t="s">
        <v>1655</v>
      </c>
      <c r="H232">
        <v>7.6930261622452098E-3</v>
      </c>
      <c r="J232">
        <v>7.6930261622452098E-3</v>
      </c>
      <c r="K232" t="s">
        <v>1163</v>
      </c>
      <c r="L232" t="s">
        <v>1143</v>
      </c>
    </row>
    <row r="233" spans="1:12" x14ac:dyDescent="0.25">
      <c r="A233">
        <v>2.00833471581769E-2</v>
      </c>
      <c r="B233">
        <v>2.2986135275529802E-2</v>
      </c>
      <c r="C233">
        <v>3.12799263503531E-2</v>
      </c>
      <c r="D233">
        <v>3.12799263503531E-2</v>
      </c>
      <c r="E233" t="s">
        <v>1675</v>
      </c>
      <c r="F233" t="s">
        <v>1655</v>
      </c>
      <c r="H233">
        <v>7.72989197946106E-3</v>
      </c>
      <c r="J233">
        <v>7.72989197946106E-3</v>
      </c>
      <c r="K233" t="s">
        <v>1164</v>
      </c>
      <c r="L233" t="s">
        <v>1143</v>
      </c>
    </row>
    <row r="234" spans="1:12" x14ac:dyDescent="0.25">
      <c r="A234">
        <v>2.0140093939852201E-2</v>
      </c>
      <c r="B234">
        <v>2.31414769468055E-2</v>
      </c>
      <c r="C234">
        <v>3.1432246791632999E-2</v>
      </c>
      <c r="D234">
        <v>3.1432246791632999E-2</v>
      </c>
      <c r="E234" t="s">
        <v>1676</v>
      </c>
      <c r="F234" t="s">
        <v>1655</v>
      </c>
      <c r="H234">
        <v>7.76710044167461E-3</v>
      </c>
      <c r="J234">
        <v>7.76710044167461E-3</v>
      </c>
      <c r="K234" t="s">
        <v>1165</v>
      </c>
      <c r="L234" t="s">
        <v>1143</v>
      </c>
    </row>
    <row r="235" spans="1:12" x14ac:dyDescent="0.25">
      <c r="A235">
        <v>2.02021592909249E-2</v>
      </c>
      <c r="B235">
        <v>2.2984714477401601E-2</v>
      </c>
      <c r="C235">
        <v>3.1205847095053599E-2</v>
      </c>
      <c r="D235">
        <v>3.1205847095053599E-2</v>
      </c>
      <c r="E235" t="s">
        <v>1677</v>
      </c>
      <c r="F235" t="s">
        <v>1655</v>
      </c>
      <c r="H235">
        <v>7.7117945916846996E-3</v>
      </c>
      <c r="J235">
        <v>7.7117945916846996E-3</v>
      </c>
      <c r="K235" t="s">
        <v>1166</v>
      </c>
      <c r="L235" t="s">
        <v>1143</v>
      </c>
    </row>
    <row r="236" spans="1:12" x14ac:dyDescent="0.25">
      <c r="A236">
        <v>2.0211898969260102E-2</v>
      </c>
      <c r="B236">
        <v>2.2913195171825301E-2</v>
      </c>
      <c r="C236">
        <v>3.14110402970686E-2</v>
      </c>
      <c r="D236">
        <v>3.14110402970686E-2</v>
      </c>
      <c r="E236" t="s">
        <v>1678</v>
      </c>
      <c r="F236" t="s">
        <v>1655</v>
      </c>
      <c r="H236">
        <v>7.7619204183672101E-3</v>
      </c>
      <c r="J236">
        <v>7.7619204183672101E-3</v>
      </c>
      <c r="K236" t="s">
        <v>1167</v>
      </c>
      <c r="L236" t="s">
        <v>1143</v>
      </c>
    </row>
    <row r="237" spans="1:12" x14ac:dyDescent="0.25">
      <c r="A237">
        <v>2.0290430669000999E-2</v>
      </c>
      <c r="B237">
        <v>2.29758501503456E-2</v>
      </c>
      <c r="C237">
        <v>3.1565029186180898E-2</v>
      </c>
      <c r="D237">
        <v>3.1565029186180898E-2</v>
      </c>
      <c r="E237" t="s">
        <v>1679</v>
      </c>
      <c r="F237" t="s">
        <v>1655</v>
      </c>
      <c r="H237">
        <v>7.7995328359632401E-3</v>
      </c>
      <c r="J237">
        <v>7.7995328359632401E-3</v>
      </c>
      <c r="K237" t="s">
        <v>1168</v>
      </c>
      <c r="L237" t="s">
        <v>1143</v>
      </c>
    </row>
    <row r="238" spans="1:12" x14ac:dyDescent="0.25">
      <c r="A238">
        <v>2.0308808571870299E-2</v>
      </c>
      <c r="B238">
        <v>2.2824531954790599E-2</v>
      </c>
      <c r="C238">
        <v>3.1531274423854297E-2</v>
      </c>
      <c r="D238">
        <v>3.1531274423854297E-2</v>
      </c>
      <c r="E238" t="s">
        <v>1680</v>
      </c>
      <c r="F238" t="s">
        <v>1655</v>
      </c>
      <c r="H238">
        <v>7.7912884572341997E-3</v>
      </c>
      <c r="J238">
        <v>7.7912884572341997E-3</v>
      </c>
      <c r="K238" t="s">
        <v>1169</v>
      </c>
      <c r="L238" t="s">
        <v>1143</v>
      </c>
    </row>
    <row r="239" spans="1:12" x14ac:dyDescent="0.25">
      <c r="A239">
        <v>2.03080060292413E-2</v>
      </c>
      <c r="B239">
        <v>2.2972481063801901E-2</v>
      </c>
      <c r="C239">
        <v>3.1542996473644003E-2</v>
      </c>
      <c r="D239">
        <v>3.1542996473644003E-2</v>
      </c>
      <c r="E239" t="s">
        <v>1681</v>
      </c>
      <c r="F239" t="s">
        <v>1655</v>
      </c>
      <c r="H239">
        <v>7.7941515137436301E-3</v>
      </c>
      <c r="J239">
        <v>7.7941515137436301E-3</v>
      </c>
      <c r="K239" t="s">
        <v>1170</v>
      </c>
      <c r="L239" t="s">
        <v>1143</v>
      </c>
    </row>
    <row r="240" spans="1:12" x14ac:dyDescent="0.25">
      <c r="A240">
        <v>2.0323983720006399E-2</v>
      </c>
      <c r="B240">
        <v>2.2824566637221998E-2</v>
      </c>
      <c r="C240">
        <v>3.1855243350590097E-2</v>
      </c>
      <c r="D240">
        <v>3.1855243350590097E-2</v>
      </c>
      <c r="E240" t="s">
        <v>1682</v>
      </c>
      <c r="F240" t="s">
        <v>1655</v>
      </c>
      <c r="H240">
        <v>7.8704073905595494E-3</v>
      </c>
      <c r="J240">
        <v>7.8704073905595494E-3</v>
      </c>
      <c r="K240" t="s">
        <v>1171</v>
      </c>
      <c r="L240" t="s">
        <v>1143</v>
      </c>
    </row>
    <row r="241" spans="1:12" x14ac:dyDescent="0.25">
      <c r="A241">
        <v>2.0325704902500501E-2</v>
      </c>
      <c r="B241">
        <v>2.2886555231629101E-2</v>
      </c>
      <c r="C241">
        <v>3.1708818720508798E-2</v>
      </c>
      <c r="D241">
        <v>3.1708818720508798E-2</v>
      </c>
      <c r="E241" t="s">
        <v>1683</v>
      </c>
      <c r="F241" t="s">
        <v>1655</v>
      </c>
      <c r="H241">
        <v>7.8346502176538397E-3</v>
      </c>
      <c r="J241">
        <v>7.8346502176538397E-3</v>
      </c>
      <c r="K241" t="s">
        <v>1172</v>
      </c>
      <c r="L241" t="s">
        <v>1143</v>
      </c>
    </row>
    <row r="242" spans="1:12" x14ac:dyDescent="0.25">
      <c r="A242">
        <v>2.0305041683886599E-2</v>
      </c>
      <c r="B242">
        <v>2.29465623765257E-2</v>
      </c>
      <c r="C242">
        <v>3.1893508731351002E-2</v>
      </c>
      <c r="D242">
        <v>3.1893508731351002E-2</v>
      </c>
      <c r="E242" t="s">
        <v>1684</v>
      </c>
      <c r="F242" t="s">
        <v>1655</v>
      </c>
      <c r="H242">
        <v>7.8797512420421007E-3</v>
      </c>
      <c r="J242">
        <v>7.8797512420421007E-3</v>
      </c>
      <c r="K242" t="s">
        <v>1173</v>
      </c>
      <c r="L242" t="s">
        <v>1143</v>
      </c>
    </row>
    <row r="243" spans="1:12" x14ac:dyDescent="0.25">
      <c r="A243">
        <v>2.0287096358251301E-2</v>
      </c>
      <c r="B243">
        <v>2.2798980065175601E-2</v>
      </c>
      <c r="C243">
        <v>3.1810408581062898E-2</v>
      </c>
      <c r="D243">
        <v>3.1810408581062898E-2</v>
      </c>
      <c r="E243" t="s">
        <v>1685</v>
      </c>
      <c r="F243" t="s">
        <v>1655</v>
      </c>
      <c r="H243">
        <v>7.8594590588953999E-3</v>
      </c>
      <c r="J243">
        <v>7.8594590588953999E-3</v>
      </c>
      <c r="K243" t="s">
        <v>1174</v>
      </c>
      <c r="L243" t="s">
        <v>1143</v>
      </c>
    </row>
    <row r="244" spans="1:12" x14ac:dyDescent="0.25">
      <c r="A244">
        <v>2.0271579331879098E-2</v>
      </c>
      <c r="B244">
        <v>2.2857567238674801E-2</v>
      </c>
      <c r="C244">
        <v>3.1611362599311098E-2</v>
      </c>
      <c r="D244">
        <v>3.1611362599311098E-2</v>
      </c>
      <c r="E244" t="s">
        <v>1686</v>
      </c>
      <c r="F244" t="s">
        <v>1655</v>
      </c>
      <c r="H244">
        <v>7.8108491379678098E-3</v>
      </c>
      <c r="J244">
        <v>7.8108491379678098E-3</v>
      </c>
      <c r="K244" t="s">
        <v>1175</v>
      </c>
      <c r="L244" t="s">
        <v>1143</v>
      </c>
    </row>
    <row r="245" spans="1:12" x14ac:dyDescent="0.25">
      <c r="A245">
        <v>2.0226750918557398E-2</v>
      </c>
      <c r="B245">
        <v>2.30078651102898E-2</v>
      </c>
      <c r="C245">
        <v>3.1895036638032601E-2</v>
      </c>
      <c r="D245">
        <v>3.1895036638032601E-2</v>
      </c>
      <c r="E245" t="s">
        <v>1687</v>
      </c>
      <c r="F245" t="s">
        <v>1655</v>
      </c>
      <c r="H245">
        <v>7.8801243293176206E-3</v>
      </c>
      <c r="J245">
        <v>7.8801243293176206E-3</v>
      </c>
      <c r="K245" t="s">
        <v>1176</v>
      </c>
      <c r="L245" t="s">
        <v>1143</v>
      </c>
    </row>
    <row r="246" spans="1:12" x14ac:dyDescent="0.25">
      <c r="A246">
        <v>2.0229639632362201E-2</v>
      </c>
      <c r="B246">
        <v>2.2755662461575201E-2</v>
      </c>
      <c r="C246">
        <v>3.1906732152356301E-2</v>
      </c>
      <c r="D246">
        <v>3.1906732152356301E-2</v>
      </c>
      <c r="E246" t="s">
        <v>1688</v>
      </c>
      <c r="F246" t="s">
        <v>1655</v>
      </c>
      <c r="H246">
        <v>7.88298014941358E-3</v>
      </c>
      <c r="J246">
        <v>7.88298014941358E-3</v>
      </c>
      <c r="K246" t="s">
        <v>1177</v>
      </c>
      <c r="L246" t="s">
        <v>1143</v>
      </c>
    </row>
    <row r="247" spans="1:12" x14ac:dyDescent="0.25">
      <c r="A247">
        <v>2.0196749252488402E-2</v>
      </c>
      <c r="B247">
        <v>2.2817811468051102E-2</v>
      </c>
      <c r="C247">
        <v>3.1666344390047098E-2</v>
      </c>
      <c r="D247">
        <v>3.1666344390047098E-2</v>
      </c>
      <c r="E247" t="s">
        <v>1689</v>
      </c>
      <c r="F247" t="s">
        <v>1655</v>
      </c>
      <c r="H247">
        <v>7.8242771932854893E-3</v>
      </c>
      <c r="J247">
        <v>7.8242771932854893E-3</v>
      </c>
      <c r="K247" t="s">
        <v>1178</v>
      </c>
      <c r="L247" t="s">
        <v>1143</v>
      </c>
    </row>
    <row r="248" spans="1:12" x14ac:dyDescent="0.25">
      <c r="A248">
        <v>2.0138226913895701E-2</v>
      </c>
      <c r="B248">
        <v>2.3174738681931199E-2</v>
      </c>
      <c r="C248">
        <v>3.1749922428638201E-2</v>
      </c>
      <c r="D248">
        <v>3.1749922428638201E-2</v>
      </c>
      <c r="E248" t="s">
        <v>1690</v>
      </c>
      <c r="F248" t="s">
        <v>1655</v>
      </c>
      <c r="H248">
        <v>7.8446882055194199E-3</v>
      </c>
      <c r="J248">
        <v>7.8446882055194199E-3</v>
      </c>
      <c r="K248" t="s">
        <v>1179</v>
      </c>
      <c r="L248" t="s">
        <v>1143</v>
      </c>
    </row>
    <row r="249" spans="1:12" x14ac:dyDescent="0.25">
      <c r="A249">
        <v>2.0129535533826501E-2</v>
      </c>
      <c r="B249">
        <v>2.27379267080541E-2</v>
      </c>
      <c r="C249">
        <v>3.1908648163189397E-2</v>
      </c>
      <c r="D249">
        <v>3.1908648163189397E-2</v>
      </c>
      <c r="E249" t="s">
        <v>1691</v>
      </c>
      <c r="F249" t="s">
        <v>1655</v>
      </c>
      <c r="H249">
        <v>7.8834480001659397E-3</v>
      </c>
      <c r="J249">
        <v>7.8834480001659397E-3</v>
      </c>
      <c r="K249" t="s">
        <v>1180</v>
      </c>
      <c r="L249" t="s">
        <v>1143</v>
      </c>
    </row>
    <row r="250" spans="1:12" x14ac:dyDescent="0.25">
      <c r="A250">
        <v>2.0106884793451098E-2</v>
      </c>
      <c r="B250">
        <v>2.3093327603912001E-2</v>
      </c>
      <c r="C250">
        <v>3.1692204125751702E-2</v>
      </c>
      <c r="D250">
        <v>3.1692204125751702E-2</v>
      </c>
      <c r="E250" t="s">
        <v>1692</v>
      </c>
      <c r="F250" t="s">
        <v>1655</v>
      </c>
      <c r="H250">
        <v>7.8305926616084598E-3</v>
      </c>
      <c r="J250">
        <v>7.8305926616084598E-3</v>
      </c>
      <c r="K250" t="s">
        <v>1181</v>
      </c>
      <c r="L250" t="s">
        <v>1143</v>
      </c>
    </row>
    <row r="251" spans="1:12" x14ac:dyDescent="0.25">
      <c r="A251">
        <v>2.0037252982960399E-2</v>
      </c>
      <c r="B251">
        <v>2.2853757020905099E-2</v>
      </c>
      <c r="C251">
        <v>3.1763978164364597E-2</v>
      </c>
      <c r="D251">
        <v>3.1763978164364597E-2</v>
      </c>
      <c r="E251" t="s">
        <v>1693</v>
      </c>
      <c r="F251" t="s">
        <v>1655</v>
      </c>
      <c r="H251">
        <v>7.8481207054677E-3</v>
      </c>
      <c r="J251">
        <v>7.8481207054677E-3</v>
      </c>
      <c r="K251" t="s">
        <v>1182</v>
      </c>
      <c r="L251" t="s">
        <v>1143</v>
      </c>
    </row>
    <row r="252" spans="1:12" x14ac:dyDescent="0.25">
      <c r="A252">
        <v>2.0056022895238401E-2</v>
      </c>
      <c r="B252">
        <v>2.2713969923905002E-2</v>
      </c>
      <c r="C252">
        <v>3.17278315390737E-2</v>
      </c>
      <c r="D252">
        <v>3.17278315390737E-2</v>
      </c>
      <c r="E252" t="s">
        <v>1694</v>
      </c>
      <c r="F252" t="s">
        <v>1655</v>
      </c>
      <c r="H252">
        <v>7.8392933990876195E-3</v>
      </c>
      <c r="J252">
        <v>7.8392933990876195E-3</v>
      </c>
      <c r="K252" t="s">
        <v>1183</v>
      </c>
      <c r="L252" t="s">
        <v>1143</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Guide to the FIM Spreadsheet</vt:lpstr>
      <vt:lpstr>Checklist (New Quarter Release)</vt:lpstr>
      <vt:lpstr>Checklist (Monthly Revision)</vt:lpstr>
      <vt:lpstr>Revisions</vt:lpstr>
      <vt:lpstr>Checklist (CBO Budget Release)</vt:lpstr>
      <vt:lpstr>Haver Pivoted</vt:lpstr>
      <vt:lpstr>forecast comparison</vt:lpstr>
      <vt:lpstr>forecast</vt:lpstr>
      <vt:lpstr>April - MPI</vt:lpstr>
      <vt:lpstr>historical overrides</vt:lpstr>
      <vt:lpstr>deflators_override</vt:lpstr>
      <vt:lpstr>mpc</vt:lpstr>
      <vt:lpstr>Unemployment Insurance</vt:lpstr>
      <vt:lpstr>Unemployment Insurance - lorae</vt:lpstr>
      <vt:lpstr>Grants</vt:lpstr>
      <vt:lpstr>Federal and State Purchases</vt:lpstr>
      <vt:lpstr>Subsidies</vt:lpstr>
      <vt:lpstr>Medicaid</vt:lpstr>
      <vt:lpstr>Medicare</vt:lpstr>
      <vt:lpstr>Student loans</vt:lpstr>
      <vt:lpstr>Social Benefits</vt:lpstr>
      <vt:lpstr>Social Benefits (BETA VERSION)</vt:lpstr>
      <vt:lpstr>Social Benefits (EXPLANATION)</vt:lpstr>
      <vt:lpstr>Supply Side IRA</vt:lpstr>
      <vt:lpstr>Taxes</vt:lpstr>
      <vt:lpstr>Deflators</vt:lpstr>
      <vt:lpstr>PPP (expired)</vt:lpstr>
      <vt:lpstr>Provider Relief (expired)</vt:lpstr>
      <vt:lpstr>Rebate Checks (expired)</vt:lpstr>
      <vt:lpstr>IRA and CHIPS supply side</vt:lpstr>
      <vt:lpstr>Cares Act Scores</vt:lpstr>
      <vt:lpstr>IRA and CHIPS</vt:lpstr>
      <vt:lpstr>Response and Relief Act Score</vt:lpstr>
      <vt:lpstr>ARP Score</vt:lpstr>
      <vt:lpstr>ARP Timing</vt:lpstr>
      <vt:lpstr>ARP Quarterly</vt:lpstr>
      <vt:lpstr>Deflators_original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Louise Sheiner</dc:creator>
  <cp:keywords/>
  <dc:description/>
  <cp:lastModifiedBy>Lorae Stojanovic</cp:lastModifiedBy>
  <cp:revision/>
  <dcterms:created xsi:type="dcterms:W3CDTF">2021-05-28T15:43:48Z</dcterms:created>
  <dcterms:modified xsi:type="dcterms:W3CDTF">2024-06-27T15:31:34Z</dcterms:modified>
  <cp:category/>
  <cp:contentStatus/>
</cp:coreProperties>
</file>